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18E9420D-1115-485E-BDBD-54C04AB87F19}" xr6:coauthVersionLast="31" xr6:coauthVersionMax="31" xr10:uidLastSave="{00000000-0000-0000-0000-000000000000}"/>
  <bookViews>
    <workbookView xWindow="0" yWindow="0" windowWidth="22260" windowHeight="12650" firstSheet="2" activeTab="6" xr2:uid="{00000000-000D-0000-FFFF-FFFF00000000}"/>
  </bookViews>
  <sheets>
    <sheet name="Benchmark" sheetId="1" r:id="rId1"/>
    <sheet name="——&gt;" sheetId="2" r:id="rId2"/>
    <sheet name="营收毛利" sheetId="4" r:id="rId3"/>
    <sheet name="费用净利" sheetId="5" r:id="rId4"/>
    <sheet name="流动资产和应付" sheetId="6" r:id="rId5"/>
    <sheet name="非流资产和负债、权益" sheetId="7" r:id="rId6"/>
    <sheet name="FCF" sheetId="8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7" l="1"/>
  <c r="S14" i="7"/>
  <c r="S13" i="7"/>
  <c r="H10" i="5" l="1"/>
  <c r="I10" i="5" s="1"/>
  <c r="G10" i="5"/>
  <c r="F10" i="5"/>
  <c r="E10" i="5"/>
  <c r="D10" i="5"/>
  <c r="H9" i="5"/>
  <c r="G9" i="5"/>
  <c r="F9" i="5"/>
  <c r="E9" i="5"/>
  <c r="I9" i="5" s="1"/>
  <c r="D9" i="5"/>
  <c r="E17" i="8"/>
  <c r="F17" i="8"/>
  <c r="G17" i="8"/>
  <c r="H17" i="8"/>
  <c r="D17" i="8"/>
  <c r="H15" i="8"/>
  <c r="G15" i="8"/>
  <c r="F15" i="8"/>
  <c r="E15" i="8"/>
  <c r="D15" i="8"/>
  <c r="H13" i="8"/>
  <c r="G13" i="8"/>
  <c r="F13" i="8"/>
  <c r="E13" i="8"/>
  <c r="D13" i="8"/>
  <c r="H11" i="8"/>
  <c r="E11" i="8"/>
  <c r="D11" i="8"/>
  <c r="H9" i="8"/>
  <c r="G9" i="8"/>
  <c r="F9" i="8"/>
  <c r="E9" i="8"/>
  <c r="D9" i="8"/>
  <c r="H7" i="8"/>
  <c r="G7" i="8"/>
  <c r="F7" i="8"/>
  <c r="E7" i="8"/>
  <c r="D7" i="8"/>
  <c r="D58" i="1"/>
  <c r="E58" i="1"/>
  <c r="D56" i="1"/>
  <c r="E56" i="1"/>
  <c r="F58" i="1"/>
  <c r="G58" i="1"/>
  <c r="H56" i="1"/>
  <c r="H58" i="1"/>
  <c r="H49" i="1"/>
  <c r="I49" i="1" s="1"/>
  <c r="G49" i="1"/>
  <c r="F49" i="1"/>
  <c r="E49" i="1"/>
  <c r="D49" i="1"/>
  <c r="I17" i="7"/>
  <c r="E17" i="7"/>
  <c r="F17" i="7"/>
  <c r="G17" i="7"/>
  <c r="H17" i="7"/>
  <c r="D17" i="7"/>
  <c r="E18" i="7"/>
  <c r="F18" i="7"/>
  <c r="G18" i="7"/>
  <c r="H18" i="7"/>
  <c r="D18" i="7"/>
  <c r="H16" i="7"/>
  <c r="G16" i="7"/>
  <c r="F16" i="7"/>
  <c r="E16" i="7"/>
  <c r="D16" i="7"/>
  <c r="I15" i="7"/>
  <c r="I14" i="7"/>
  <c r="I13" i="7"/>
  <c r="H12" i="7"/>
  <c r="G12" i="7"/>
  <c r="F12" i="7"/>
  <c r="E12" i="7"/>
  <c r="D12" i="7"/>
  <c r="H11" i="7"/>
  <c r="I11" i="7" s="1"/>
  <c r="G11" i="7"/>
  <c r="F11" i="7"/>
  <c r="E11" i="7"/>
  <c r="D11" i="7"/>
  <c r="H10" i="7"/>
  <c r="I10" i="7" s="1"/>
  <c r="G10" i="7"/>
  <c r="F10" i="7"/>
  <c r="E10" i="7"/>
  <c r="D10" i="7"/>
  <c r="I9" i="7"/>
  <c r="H8" i="7"/>
  <c r="I8" i="7" s="1"/>
  <c r="G8" i="7"/>
  <c r="F8" i="7"/>
  <c r="E8" i="7"/>
  <c r="D8" i="7"/>
  <c r="G7" i="7"/>
  <c r="H6" i="7"/>
  <c r="G6" i="7"/>
  <c r="F6" i="7"/>
  <c r="E6" i="7"/>
  <c r="D6" i="7"/>
  <c r="I6" i="7" s="1"/>
  <c r="H5" i="7"/>
  <c r="G5" i="7"/>
  <c r="F5" i="7"/>
  <c r="E5" i="7"/>
  <c r="D5" i="7"/>
  <c r="D60" i="1"/>
  <c r="E60" i="1"/>
  <c r="D54" i="1"/>
  <c r="E54" i="1"/>
  <c r="F60" i="1"/>
  <c r="F54" i="1"/>
  <c r="G54" i="1"/>
  <c r="G60" i="1"/>
  <c r="H60" i="1"/>
  <c r="H54" i="1"/>
  <c r="I23" i="6"/>
  <c r="I22" i="6"/>
  <c r="I21" i="6"/>
  <c r="I47" i="1"/>
  <c r="I46" i="1"/>
  <c r="H20" i="6"/>
  <c r="I20" i="6" s="1"/>
  <c r="G20" i="6"/>
  <c r="F20" i="6"/>
  <c r="E20" i="6"/>
  <c r="D20" i="6"/>
  <c r="H19" i="6"/>
  <c r="I19" i="6" s="1"/>
  <c r="G19" i="6"/>
  <c r="F19" i="6"/>
  <c r="E19" i="6"/>
  <c r="H18" i="6"/>
  <c r="G18" i="6"/>
  <c r="F18" i="6"/>
  <c r="E18" i="6"/>
  <c r="D18" i="6"/>
  <c r="I17" i="6"/>
  <c r="H17" i="6"/>
  <c r="G17" i="6"/>
  <c r="F17" i="6"/>
  <c r="E17" i="6"/>
  <c r="D17" i="6"/>
  <c r="I16" i="6"/>
  <c r="H16" i="6"/>
  <c r="G16" i="6"/>
  <c r="F16" i="6"/>
  <c r="E16" i="6"/>
  <c r="D16" i="6"/>
  <c r="I15" i="6"/>
  <c r="H15" i="6"/>
  <c r="G15" i="6"/>
  <c r="F15" i="6"/>
  <c r="E15" i="6"/>
  <c r="D15" i="6"/>
  <c r="H14" i="6"/>
  <c r="G14" i="6"/>
  <c r="F14" i="6"/>
  <c r="E14" i="6"/>
  <c r="D14" i="6"/>
  <c r="H13" i="6"/>
  <c r="G13" i="6"/>
  <c r="F13" i="6"/>
  <c r="E13" i="6"/>
  <c r="D13" i="6"/>
  <c r="H12" i="6"/>
  <c r="G12" i="6"/>
  <c r="F12" i="6"/>
  <c r="E12" i="6"/>
  <c r="D12" i="6"/>
  <c r="H11" i="6"/>
  <c r="G11" i="6"/>
  <c r="F11" i="6"/>
  <c r="E11" i="6"/>
  <c r="D11" i="6"/>
  <c r="H10" i="6"/>
  <c r="G10" i="6"/>
  <c r="F10" i="6"/>
  <c r="E10" i="6"/>
  <c r="D10" i="6"/>
  <c r="H9" i="6"/>
  <c r="G9" i="6"/>
  <c r="F9" i="6"/>
  <c r="E9" i="6"/>
  <c r="D9" i="6"/>
  <c r="I8" i="6"/>
  <c r="H8" i="6"/>
  <c r="G8" i="6"/>
  <c r="F8" i="6"/>
  <c r="E8" i="6"/>
  <c r="D8" i="6"/>
  <c r="I7" i="6"/>
  <c r="H7" i="6"/>
  <c r="G7" i="6"/>
  <c r="F7" i="6"/>
  <c r="E7" i="6"/>
  <c r="D7" i="6"/>
  <c r="I6" i="6"/>
  <c r="H6" i="6"/>
  <c r="G6" i="6"/>
  <c r="F6" i="6"/>
  <c r="E6" i="6"/>
  <c r="D6" i="6"/>
  <c r="I35" i="1"/>
  <c r="D30" i="1"/>
  <c r="D29" i="1"/>
  <c r="D28" i="1"/>
  <c r="D27" i="1"/>
  <c r="D26" i="1"/>
  <c r="D25" i="1"/>
  <c r="E25" i="1"/>
  <c r="F30" i="1"/>
  <c r="F29" i="1"/>
  <c r="F28" i="1"/>
  <c r="F27" i="1"/>
  <c r="F26" i="1"/>
  <c r="F25" i="1"/>
  <c r="G30" i="1"/>
  <c r="G29" i="1"/>
  <c r="G28" i="1"/>
  <c r="G27" i="1"/>
  <c r="G26" i="1"/>
  <c r="G25" i="1"/>
  <c r="H30" i="1"/>
  <c r="H29" i="1"/>
  <c r="H28" i="1"/>
  <c r="H27" i="1"/>
  <c r="H26" i="1"/>
  <c r="H25" i="1"/>
  <c r="E30" i="1"/>
  <c r="E29" i="1"/>
  <c r="E28" i="1"/>
  <c r="E27" i="1"/>
  <c r="E26" i="1"/>
  <c r="D34" i="1"/>
  <c r="E34" i="1"/>
  <c r="F34" i="1"/>
  <c r="G34" i="1"/>
  <c r="H34" i="1"/>
  <c r="H17" i="1"/>
  <c r="H16" i="1"/>
  <c r="F16" i="1"/>
  <c r="F17" i="1"/>
  <c r="G17" i="1"/>
  <c r="G16" i="1"/>
  <c r="D17" i="1"/>
  <c r="E17" i="1"/>
  <c r="D16" i="1"/>
  <c r="E16" i="1"/>
  <c r="I16" i="1" s="1"/>
  <c r="I7" i="1"/>
  <c r="I8" i="1"/>
  <c r="I9" i="1"/>
  <c r="I10" i="1"/>
  <c r="I11" i="1"/>
  <c r="I12" i="1"/>
  <c r="I13" i="1"/>
  <c r="I14" i="1"/>
  <c r="I15" i="1"/>
  <c r="I18" i="1"/>
  <c r="I19" i="1"/>
  <c r="I20" i="1"/>
  <c r="I22" i="1"/>
  <c r="I23" i="1"/>
  <c r="I24" i="1"/>
  <c r="I31" i="1"/>
  <c r="I32" i="1"/>
  <c r="I33" i="1"/>
  <c r="I36" i="1"/>
  <c r="I37" i="1"/>
  <c r="I38" i="1"/>
  <c r="I40" i="1"/>
  <c r="I41" i="1"/>
  <c r="I42" i="1"/>
  <c r="I43" i="1"/>
  <c r="I44" i="1"/>
  <c r="I45" i="1"/>
  <c r="I48" i="1"/>
  <c r="I6" i="1"/>
  <c r="H13" i="5"/>
  <c r="G13" i="5"/>
  <c r="F13" i="5"/>
  <c r="E13" i="5"/>
  <c r="D13" i="5"/>
  <c r="H12" i="5"/>
  <c r="G12" i="5"/>
  <c r="F12" i="5"/>
  <c r="E12" i="5"/>
  <c r="D12" i="5"/>
  <c r="H11" i="5"/>
  <c r="G11" i="5"/>
  <c r="F11" i="5"/>
  <c r="E11" i="5"/>
  <c r="D11" i="5"/>
  <c r="H8" i="5"/>
  <c r="G8" i="5"/>
  <c r="F8" i="5"/>
  <c r="E8" i="5"/>
  <c r="D8" i="5"/>
  <c r="H7" i="5"/>
  <c r="G7" i="5"/>
  <c r="F7" i="5"/>
  <c r="E7" i="5"/>
  <c r="D7" i="5"/>
  <c r="H12" i="4"/>
  <c r="G12" i="4"/>
  <c r="F12" i="4"/>
  <c r="E12" i="4"/>
  <c r="D12" i="4"/>
  <c r="H10" i="4"/>
  <c r="G10" i="4"/>
  <c r="F10" i="4"/>
  <c r="E10" i="4"/>
  <c r="D10" i="4"/>
  <c r="H9" i="4"/>
  <c r="G9" i="4"/>
  <c r="F9" i="4"/>
  <c r="E9" i="4"/>
  <c r="D9" i="4"/>
  <c r="H8" i="4"/>
  <c r="G8" i="4"/>
  <c r="F8" i="4"/>
  <c r="E8" i="4"/>
  <c r="D8" i="4"/>
  <c r="H7" i="4"/>
  <c r="G7" i="4"/>
  <c r="F7" i="4"/>
  <c r="E7" i="4"/>
  <c r="D7" i="4"/>
  <c r="H6" i="4"/>
  <c r="H13" i="4" s="1"/>
  <c r="G6" i="4"/>
  <c r="G13" i="4" s="1"/>
  <c r="F6" i="4"/>
  <c r="E6" i="4"/>
  <c r="E13" i="4" s="1"/>
  <c r="D6" i="4"/>
  <c r="D13" i="4" s="1"/>
  <c r="D11" i="1"/>
  <c r="E10" i="1"/>
  <c r="E9" i="1"/>
  <c r="D10" i="1"/>
  <c r="D9" i="1"/>
  <c r="E11" i="1"/>
  <c r="F11" i="1"/>
  <c r="G11" i="1"/>
  <c r="H11" i="1"/>
  <c r="H10" i="1"/>
  <c r="H9" i="1"/>
  <c r="H8" i="1"/>
  <c r="H7" i="1"/>
  <c r="F10" i="1"/>
  <c r="G10" i="1"/>
  <c r="F9" i="1"/>
  <c r="G9" i="1"/>
  <c r="F8" i="1"/>
  <c r="G8" i="1"/>
  <c r="F7" i="1"/>
  <c r="G7" i="1"/>
  <c r="D8" i="1"/>
  <c r="E8" i="1"/>
  <c r="D7" i="1"/>
  <c r="E7" i="1"/>
  <c r="H52" i="1"/>
  <c r="F52" i="1"/>
  <c r="G52" i="1"/>
  <c r="D52" i="1"/>
  <c r="E52" i="1"/>
  <c r="D48" i="1"/>
  <c r="E48" i="1"/>
  <c r="F48" i="1"/>
  <c r="G48" i="1"/>
  <c r="H48" i="1"/>
  <c r="H44" i="1"/>
  <c r="F44" i="1"/>
  <c r="G44" i="1"/>
  <c r="D44" i="1"/>
  <c r="E44" i="1"/>
  <c r="D43" i="1"/>
  <c r="E43" i="1"/>
  <c r="F43" i="1"/>
  <c r="G43" i="1"/>
  <c r="H43" i="1"/>
  <c r="H42" i="1"/>
  <c r="F42" i="1"/>
  <c r="G42" i="1"/>
  <c r="E42" i="1"/>
  <c r="D42" i="1"/>
  <c r="D40" i="1"/>
  <c r="E40" i="1"/>
  <c r="F40" i="1"/>
  <c r="G40" i="1"/>
  <c r="H40" i="1"/>
  <c r="G39" i="1"/>
  <c r="H38" i="1"/>
  <c r="F38" i="1"/>
  <c r="G38" i="1"/>
  <c r="D38" i="1"/>
  <c r="E38" i="1"/>
  <c r="D37" i="1"/>
  <c r="E37" i="1"/>
  <c r="F37" i="1"/>
  <c r="H37" i="1"/>
  <c r="G37" i="1"/>
  <c r="H36" i="1"/>
  <c r="F36" i="1"/>
  <c r="G36" i="1"/>
  <c r="D36" i="1"/>
  <c r="E36" i="1"/>
  <c r="E35" i="1"/>
  <c r="F35" i="1"/>
  <c r="G35" i="1"/>
  <c r="H35" i="1"/>
  <c r="H33" i="1"/>
  <c r="F33" i="1"/>
  <c r="G33" i="1"/>
  <c r="D33" i="1"/>
  <c r="E33" i="1"/>
  <c r="D32" i="1"/>
  <c r="E32" i="1"/>
  <c r="F32" i="1"/>
  <c r="G32" i="1"/>
  <c r="H32" i="1"/>
  <c r="H31" i="1"/>
  <c r="F31" i="1"/>
  <c r="G31" i="1"/>
  <c r="D31" i="1"/>
  <c r="E31" i="1"/>
  <c r="D24" i="1"/>
  <c r="E24" i="1"/>
  <c r="F24" i="1"/>
  <c r="G24" i="1"/>
  <c r="H24" i="1"/>
  <c r="H23" i="1"/>
  <c r="F23" i="1"/>
  <c r="G23" i="1"/>
  <c r="D23" i="1"/>
  <c r="E23" i="1"/>
  <c r="H22" i="1"/>
  <c r="F22" i="1"/>
  <c r="G22" i="1"/>
  <c r="D22" i="1"/>
  <c r="E22" i="1"/>
  <c r="H20" i="1"/>
  <c r="F20" i="1"/>
  <c r="G20" i="1"/>
  <c r="D20" i="1"/>
  <c r="E20" i="1"/>
  <c r="D19" i="1"/>
  <c r="E19" i="1"/>
  <c r="F19" i="1"/>
  <c r="G19" i="1"/>
  <c r="H19" i="1"/>
  <c r="H18" i="1"/>
  <c r="F18" i="1"/>
  <c r="G18" i="1"/>
  <c r="D18" i="1"/>
  <c r="E18" i="1"/>
  <c r="D15" i="1"/>
  <c r="E15" i="1"/>
  <c r="F15" i="1"/>
  <c r="G15" i="1"/>
  <c r="H15" i="1"/>
  <c r="H14" i="1"/>
  <c r="F14" i="1"/>
  <c r="G14" i="1"/>
  <c r="D14" i="1"/>
  <c r="E14" i="1"/>
  <c r="H12" i="1"/>
  <c r="F12" i="1"/>
  <c r="F13" i="1" s="1"/>
  <c r="G12" i="1"/>
  <c r="D12" i="1"/>
  <c r="E12" i="1"/>
  <c r="H6" i="1"/>
  <c r="H13" i="1" s="1"/>
  <c r="F6" i="1"/>
  <c r="G6" i="1"/>
  <c r="G13" i="1" s="1"/>
  <c r="E6" i="1"/>
  <c r="E13" i="1" s="1"/>
  <c r="D6" i="1"/>
  <c r="D13" i="1" s="1"/>
  <c r="I5" i="7" l="1"/>
  <c r="I12" i="7"/>
  <c r="I16" i="7"/>
  <c r="I17" i="1"/>
  <c r="G11" i="4"/>
  <c r="F11" i="4"/>
  <c r="E11" i="4"/>
  <c r="D11" i="4"/>
  <c r="H11" i="4"/>
  <c r="F13" i="4"/>
</calcChain>
</file>

<file path=xl/sharedStrings.xml><?xml version="1.0" encoding="utf-8"?>
<sst xmlns="http://schemas.openxmlformats.org/spreadsheetml/2006/main" count="159" uniqueCount="87">
  <si>
    <t>Benchmark</t>
    <phoneticPr fontId="2" type="noConversion"/>
  </si>
  <si>
    <t>单位：百万元</t>
    <phoneticPr fontId="2" type="noConversion"/>
  </si>
  <si>
    <t>source：公司合并报表</t>
    <phoneticPr fontId="2" type="noConversion"/>
  </si>
  <si>
    <t>利润表</t>
    <phoneticPr fontId="2" type="noConversion"/>
  </si>
  <si>
    <t>营业收入</t>
    <phoneticPr fontId="2" type="noConversion"/>
  </si>
  <si>
    <t>读写装置</t>
    <phoneticPr fontId="2" type="noConversion"/>
  </si>
  <si>
    <t>电子标签</t>
    <phoneticPr fontId="2" type="noConversion"/>
  </si>
  <si>
    <t>软件</t>
    <phoneticPr fontId="2" type="noConversion"/>
  </si>
  <si>
    <t>备品备件及其他</t>
    <phoneticPr fontId="2" type="noConversion"/>
  </si>
  <si>
    <t>其他业务收入</t>
    <phoneticPr fontId="2" type="noConversion"/>
  </si>
  <si>
    <t>营业成本</t>
    <phoneticPr fontId="2" type="noConversion"/>
  </si>
  <si>
    <t>毛利润</t>
  </si>
  <si>
    <t>毛利润</t>
    <phoneticPr fontId="2" type="noConversion"/>
  </si>
  <si>
    <t>销售费用</t>
    <phoneticPr fontId="2" type="noConversion"/>
  </si>
  <si>
    <t>管理费用</t>
    <phoneticPr fontId="2" type="noConversion"/>
  </si>
  <si>
    <t>财务费用</t>
    <phoneticPr fontId="2" type="noConversion"/>
  </si>
  <si>
    <t>固定资产折旧</t>
    <phoneticPr fontId="2" type="noConversion"/>
  </si>
  <si>
    <t>研发支出</t>
    <phoneticPr fontId="2" type="noConversion"/>
  </si>
  <si>
    <t>资产减值损失</t>
    <phoneticPr fontId="2" type="noConversion"/>
  </si>
  <si>
    <t>净利润</t>
    <phoneticPr fontId="2" type="noConversion"/>
  </si>
  <si>
    <t>资产负债表</t>
    <phoneticPr fontId="2" type="noConversion"/>
  </si>
  <si>
    <t>应收账款</t>
    <phoneticPr fontId="2" type="noConversion"/>
  </si>
  <si>
    <t>一年内</t>
    <phoneticPr fontId="2" type="noConversion"/>
  </si>
  <si>
    <t>1-2年</t>
    <phoneticPr fontId="2" type="noConversion"/>
  </si>
  <si>
    <t>2-3年</t>
    <phoneticPr fontId="2" type="noConversion"/>
  </si>
  <si>
    <t>3-4年</t>
    <phoneticPr fontId="2" type="noConversion"/>
  </si>
  <si>
    <t>4-5年</t>
    <phoneticPr fontId="2" type="noConversion"/>
  </si>
  <si>
    <t>5年以上</t>
    <phoneticPr fontId="2" type="noConversion"/>
  </si>
  <si>
    <t>存货</t>
    <phoneticPr fontId="2" type="noConversion"/>
  </si>
  <si>
    <t>跌价准备</t>
    <phoneticPr fontId="2" type="noConversion"/>
  </si>
  <si>
    <t>无形资产</t>
    <phoneticPr fontId="2" type="noConversion"/>
  </si>
  <si>
    <t>货币资金</t>
    <phoneticPr fontId="2" type="noConversion"/>
  </si>
  <si>
    <t>流动资产合计</t>
    <phoneticPr fontId="2" type="noConversion"/>
  </si>
  <si>
    <t>应收票据</t>
    <phoneticPr fontId="2" type="noConversion"/>
  </si>
  <si>
    <t>预收款项</t>
    <phoneticPr fontId="2" type="noConversion"/>
  </si>
  <si>
    <t>其他应收款项</t>
    <phoneticPr fontId="2" type="noConversion"/>
  </si>
  <si>
    <t>其他流动资产</t>
    <phoneticPr fontId="2" type="noConversion"/>
  </si>
  <si>
    <t>长期股权投资</t>
  </si>
  <si>
    <t>固定资产</t>
    <phoneticPr fontId="2" type="noConversion"/>
  </si>
  <si>
    <t>开发支出</t>
    <phoneticPr fontId="2" type="noConversion"/>
  </si>
  <si>
    <t>商誉</t>
    <phoneticPr fontId="2" type="noConversion"/>
  </si>
  <si>
    <t>资产总计</t>
    <phoneticPr fontId="2" type="noConversion"/>
  </si>
  <si>
    <t>其他应付款</t>
    <phoneticPr fontId="2" type="noConversion"/>
  </si>
  <si>
    <t>保证金</t>
    <phoneticPr fontId="2" type="noConversion"/>
  </si>
  <si>
    <t>往来款</t>
    <phoneticPr fontId="2" type="noConversion"/>
  </si>
  <si>
    <t>负债合计</t>
    <phoneticPr fontId="2" type="noConversion"/>
  </si>
  <si>
    <t>现金流量表</t>
    <phoneticPr fontId="2" type="noConversion"/>
  </si>
  <si>
    <t>经营活动产生的</t>
    <phoneticPr fontId="2" type="noConversion"/>
  </si>
  <si>
    <t>现金流量净额</t>
  </si>
  <si>
    <t>在建工程</t>
    <phoneticPr fontId="2" type="noConversion"/>
  </si>
  <si>
    <t>CAGR</t>
    <phoneticPr fontId="2" type="noConversion"/>
  </si>
  <si>
    <t>观察净值，管理费用的上升是净利润下滑的一个主要因素。</t>
    <phoneticPr fontId="2" type="noConversion"/>
  </si>
  <si>
    <t>备品备件其他业务下滑非常严重。</t>
    <phoneticPr fontId="2" type="noConversion"/>
  </si>
  <si>
    <t>毛利润增长不快。</t>
    <phoneticPr fontId="2" type="noConversion"/>
  </si>
  <si>
    <t>净利润下滑非常严重。</t>
    <phoneticPr fontId="2" type="noConversion"/>
  </si>
  <si>
    <t>骤降1</t>
    <phoneticPr fontId="2" type="noConversion"/>
  </si>
  <si>
    <t>骤降2</t>
    <phoneticPr fontId="2" type="noConversion"/>
  </si>
  <si>
    <t>电子标签业务是增长主力军，也成长为业务主力。</t>
    <phoneticPr fontId="2" type="noConversion"/>
  </si>
  <si>
    <t>管理费用和资产减值</t>
    <phoneticPr fontId="2" type="noConversion"/>
  </si>
  <si>
    <t>财务费用和资产减值损失</t>
    <phoneticPr fontId="2" type="noConversion"/>
  </si>
  <si>
    <t>存货越来越多，说明产品难卖出去。</t>
    <phoneticPr fontId="2" type="noConversion"/>
  </si>
  <si>
    <t>货币资金倒是越来越多了。</t>
    <phoneticPr fontId="2" type="noConversion"/>
  </si>
  <si>
    <t>应收业务管控的不错，说明对下游议价能力提升。</t>
    <phoneticPr fontId="2" type="noConversion"/>
  </si>
  <si>
    <t>预收业务也不错。</t>
    <phoneticPr fontId="2" type="noConversion"/>
  </si>
  <si>
    <t>无伤大雅。</t>
    <phoneticPr fontId="2" type="noConversion"/>
  </si>
  <si>
    <t>基本无视。</t>
    <phoneticPr fontId="2" type="noConversion"/>
  </si>
  <si>
    <t>货币资金非常充足以应付其他应付款。</t>
    <phoneticPr fontId="2" type="noConversion"/>
  </si>
  <si>
    <t>投资活动产生的</t>
    <phoneticPr fontId="2" type="noConversion"/>
  </si>
  <si>
    <t>筹资活动产生的</t>
    <phoneticPr fontId="2" type="noConversion"/>
  </si>
  <si>
    <t>资产负债率</t>
    <phoneticPr fontId="2" type="noConversion"/>
  </si>
  <si>
    <t>所有者权益合计</t>
    <phoneticPr fontId="2" type="noConversion"/>
  </si>
  <si>
    <t>负债率越来越高。</t>
    <phoneticPr fontId="2" type="noConversion"/>
  </si>
  <si>
    <t>应付款越来越多，说明对于上游的控制力也在上升。但是最后一年涨幅较大。</t>
    <phoneticPr fontId="2" type="noConversion"/>
  </si>
  <si>
    <t>处置固定资产、无形资产和其他</t>
    <phoneticPr fontId="2" type="noConversion"/>
  </si>
  <si>
    <t xml:space="preserve">长期资产收回的现金净额 </t>
    <phoneticPr fontId="2" type="noConversion"/>
  </si>
  <si>
    <t xml:space="preserve">购建固定资产、无形资产和其他 </t>
  </si>
  <si>
    <t>长期资产支付的现金</t>
  </si>
  <si>
    <t>企业自由现金流</t>
    <phoneticPr fontId="2" type="noConversion"/>
  </si>
  <si>
    <t>企业自由现金流在16、17年下降得非常厉害。</t>
    <phoneticPr fontId="2" type="noConversion"/>
  </si>
  <si>
    <t>读写装置等业务应该属于“增量”业务，而电子标签是存量的一类业务。</t>
    <phoneticPr fontId="2" type="noConversion"/>
  </si>
  <si>
    <t>电子标签收入的增长，一方面可能是因为市场圈下来以后，根据剃刀+刀片原则，增加刀片价格。</t>
    <phoneticPr fontId="2" type="noConversion"/>
  </si>
  <si>
    <t>读写装置等收入的下滑，或许反映了市场竞争激烈、难以大幅扩大市场份额。因为这个行业并不是一个高技术准入的行业。</t>
    <phoneticPr fontId="2" type="noConversion"/>
  </si>
  <si>
    <t>管理费用中占比大头的是研发和工资。其中工资大幅度上升。</t>
    <phoneticPr fontId="2" type="noConversion"/>
  </si>
  <si>
    <t>无形资产摊销也在上升。或许是和企业的M&amp;A行为有关联。</t>
    <phoneticPr fontId="2" type="noConversion"/>
  </si>
  <si>
    <t>下游溢价能力提升的来源应该是对下游行业的整合，从而得到更大的定价能力。</t>
    <phoneticPr fontId="2" type="noConversion"/>
  </si>
  <si>
    <t>存货也有可能是M&amp;A进入了拥有大量存货的公司。</t>
    <phoneticPr fontId="2" type="noConversion"/>
  </si>
  <si>
    <t>财务费用激增，系公司问银行借款导致。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</si>
</sst>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#,##0.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楷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C557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0" borderId="0" xfId="0" applyFill="1"/>
    <xf numFmtId="0" fontId="4" fillId="5" borderId="0" xfId="0" applyFont="1" applyFill="1" applyAlignment="1">
      <alignment horizontal="center"/>
    </xf>
    <xf numFmtId="0" fontId="5" fillId="0" borderId="0" xfId="0" applyFont="1" applyFill="1"/>
    <xf numFmtId="176" fontId="0" fillId="0" borderId="0" xfId="0" applyNumberFormat="1"/>
    <xf numFmtId="176" fontId="0" fillId="3" borderId="0" xfId="0" applyNumberFormat="1" applyFill="1"/>
    <xf numFmtId="176" fontId="0" fillId="4" borderId="0" xfId="0" applyNumberFormat="1" applyFill="1"/>
    <xf numFmtId="176" fontId="0" fillId="0" borderId="0" xfId="0" applyNumberFormat="1" applyFill="1"/>
    <xf numFmtId="0" fontId="3" fillId="5" borderId="0" xfId="0" applyFont="1" applyFill="1" applyAlignment="1">
      <alignment horizontal="center"/>
    </xf>
    <xf numFmtId="10" fontId="0" fillId="0" borderId="0" xfId="1" applyNumberFormat="1" applyFont="1" applyAlignment="1"/>
    <xf numFmtId="177" fontId="0" fillId="0" borderId="0" xfId="0" applyNumberFormat="1"/>
    <xf numFmtId="10" fontId="0" fillId="3" borderId="0" xfId="1" applyNumberFormat="1" applyFont="1" applyFill="1" applyAlignment="1"/>
    <xf numFmtId="10" fontId="0" fillId="4" borderId="0" xfId="1" applyNumberFormat="1" applyFont="1" applyFill="1" applyAlignment="1"/>
    <xf numFmtId="10" fontId="0" fillId="0" borderId="0" xfId="1" applyNumberFormat="1" applyFont="1" applyFill="1" applyAlignment="1"/>
    <xf numFmtId="0" fontId="3" fillId="0" borderId="0" xfId="0" applyFont="1" applyFill="1" applyAlignment="1">
      <alignment horizontal="center"/>
    </xf>
    <xf numFmtId="176" fontId="5" fillId="0" borderId="0" xfId="0" applyNumberFormat="1" applyFont="1" applyFill="1"/>
  </cellXfs>
  <cellStyles count="2">
    <cellStyle name="百分比" xfId="1" builtinId="5"/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60"/>
  <sheetViews>
    <sheetView showGridLines="0" zoomScale="75" zoomScaleNormal="75" workbookViewId="0">
      <pane xSplit="3" ySplit="5" topLeftCell="D17" activePane="bottomRight" state="frozen"/>
      <selection pane="topRight" activeCell="D1" sqref="D1"/>
      <selection pane="bottomLeft" activeCell="A6" sqref="A6"/>
      <selection pane="bottomRight" activeCell="D16" sqref="D16:I17"/>
    </sheetView>
  </sheetViews>
  <sheetFormatPr defaultRowHeight="14" x14ac:dyDescent="0.3"/>
  <cols>
    <col min="1" max="1" width="10" customWidth="1"/>
    <col min="2" max="2" width="13.33203125" customWidth="1"/>
    <col min="3" max="4" width="10.4140625" customWidth="1"/>
    <col min="5" max="5" width="10.83203125" customWidth="1"/>
    <col min="6" max="6" width="9.33203125" customWidth="1"/>
    <col min="7" max="7" width="9.08203125" bestFit="1" customWidth="1"/>
    <col min="8" max="8" width="9" customWidth="1"/>
  </cols>
  <sheetData>
    <row r="1" spans="1:9" ht="14.5" x14ac:dyDescent="0.3">
      <c r="A1" s="2" t="s">
        <v>0</v>
      </c>
      <c r="B1" s="2"/>
      <c r="C1" s="2"/>
    </row>
    <row r="2" spans="1:9" ht="14.5" x14ac:dyDescent="0.3">
      <c r="A2" s="2" t="s">
        <v>1</v>
      </c>
      <c r="B2" s="2"/>
      <c r="C2" s="2"/>
    </row>
    <row r="3" spans="1:9" ht="14.5" x14ac:dyDescent="0.3">
      <c r="A3" s="2" t="s">
        <v>2</v>
      </c>
      <c r="B3" s="2"/>
      <c r="C3" s="2"/>
    </row>
    <row r="4" spans="1:9" ht="14.5" x14ac:dyDescent="0.3">
      <c r="A4" s="2"/>
      <c r="B4" s="2"/>
      <c r="C4" s="2"/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14" t="s">
        <v>50</v>
      </c>
    </row>
    <row r="5" spans="1:9" ht="14.5" x14ac:dyDescent="0.3">
      <c r="A5" s="5" t="s">
        <v>3</v>
      </c>
      <c r="B5" s="5"/>
      <c r="C5" s="5"/>
      <c r="D5" s="6"/>
      <c r="E5" s="6"/>
      <c r="F5" s="6"/>
      <c r="G5" s="6"/>
      <c r="H5" s="6"/>
      <c r="I5" s="6"/>
    </row>
    <row r="6" spans="1:9" ht="14.5" x14ac:dyDescent="0.3">
      <c r="A6" s="2"/>
      <c r="B6" s="2" t="s">
        <v>4</v>
      </c>
      <c r="C6" s="2"/>
      <c r="D6" s="10">
        <f>541120086.93/10^6</f>
        <v>541.12008692999996</v>
      </c>
      <c r="E6" s="10">
        <f>642085984.14/10^6</f>
        <v>642.08598413999994</v>
      </c>
      <c r="F6" s="10">
        <f>507283135.69/10^6</f>
        <v>507.28313568999999</v>
      </c>
      <c r="G6" s="10">
        <f>486470680.99/10^6</f>
        <v>486.47068099000001</v>
      </c>
      <c r="H6" s="10">
        <f>508047408.59/10^6</f>
        <v>508.04740858999997</v>
      </c>
      <c r="I6" s="15">
        <f>POWER(H6/D6,1/4)-1</f>
        <v>-1.5642972373999142E-2</v>
      </c>
    </row>
    <row r="7" spans="1:9" ht="14.5" x14ac:dyDescent="0.3">
      <c r="A7" s="2"/>
      <c r="B7" s="2"/>
      <c r="C7" s="2" t="s">
        <v>5</v>
      </c>
      <c r="D7" s="10">
        <f>176766164.31/10^6</f>
        <v>176.76616430999999</v>
      </c>
      <c r="E7" s="10">
        <f>172515900.2/10^6</f>
        <v>172.51590019999998</v>
      </c>
      <c r="F7" s="10">
        <f>170694830.49/10^6</f>
        <v>170.69483049000002</v>
      </c>
      <c r="G7" s="10">
        <f>208930709.89/10^6</f>
        <v>208.93070988999997</v>
      </c>
      <c r="H7" s="10">
        <f>149837947.45/10^6</f>
        <v>149.83794745</v>
      </c>
      <c r="I7" s="15">
        <f t="shared" ref="I7:I49" si="0">POWER(H7/D7,1/4)-1</f>
        <v>-4.0476381532833505E-2</v>
      </c>
    </row>
    <row r="8" spans="1:9" ht="14.5" x14ac:dyDescent="0.3">
      <c r="A8" s="2"/>
      <c r="B8" s="2"/>
      <c r="C8" s="2" t="s">
        <v>6</v>
      </c>
      <c r="D8" s="10">
        <f>90966670.82/10^6</f>
        <v>90.96667081999999</v>
      </c>
      <c r="E8" s="10">
        <f>147911663.61/10^6</f>
        <v>147.91166361000001</v>
      </c>
      <c r="F8" s="10">
        <f>160669499.35/10^6</f>
        <v>160.66949935</v>
      </c>
      <c r="G8" s="10">
        <f>219131998.83/10^6</f>
        <v>219.13199883000001</v>
      </c>
      <c r="H8" s="10">
        <f>256355615.56/10^6</f>
        <v>256.35561555999999</v>
      </c>
      <c r="I8" s="15">
        <f t="shared" si="0"/>
        <v>0.29565726220465116</v>
      </c>
    </row>
    <row r="9" spans="1:9" ht="14.5" x14ac:dyDescent="0.3">
      <c r="A9" s="2"/>
      <c r="B9" s="2"/>
      <c r="C9" s="2" t="s">
        <v>7</v>
      </c>
      <c r="D9" s="10">
        <f>9649945.05/10^6</f>
        <v>9.6499450500000012</v>
      </c>
      <c r="E9" s="10">
        <f>9248543.49/10^6</f>
        <v>9.2485434899999994</v>
      </c>
      <c r="F9" s="10">
        <f>10255341.99/10^6</f>
        <v>10.25534199</v>
      </c>
      <c r="G9" s="10">
        <f>3113198.91/10^6</f>
        <v>3.1131989099999999</v>
      </c>
      <c r="H9" s="10">
        <f>2292241.8/10^6</f>
        <v>2.2922417999999998</v>
      </c>
      <c r="I9" s="15">
        <f t="shared" si="0"/>
        <v>-0.30187386445150821</v>
      </c>
    </row>
    <row r="10" spans="1:9" ht="14.5" x14ac:dyDescent="0.3">
      <c r="A10" s="2"/>
      <c r="B10" s="2"/>
      <c r="C10" s="2" t="s">
        <v>8</v>
      </c>
      <c r="D10" s="10">
        <f>251801879.45/10^6</f>
        <v>251.80187945</v>
      </c>
      <c r="E10" s="10">
        <f>293612868.65/10^6</f>
        <v>293.61286865</v>
      </c>
      <c r="F10" s="10">
        <f>152310180.03/10^6</f>
        <v>152.31018003</v>
      </c>
      <c r="G10" s="10">
        <f>46249641/10^6</f>
        <v>46.249640999999997</v>
      </c>
      <c r="H10" s="10">
        <f>75045193.58/10^6</f>
        <v>75.045193580000003</v>
      </c>
      <c r="I10" s="15">
        <f t="shared" si="0"/>
        <v>-0.26113349575144518</v>
      </c>
    </row>
    <row r="11" spans="1:9" ht="14.5" x14ac:dyDescent="0.3">
      <c r="A11" s="2"/>
      <c r="B11" s="2"/>
      <c r="C11" s="2" t="s">
        <v>9</v>
      </c>
      <c r="D11" s="10">
        <f>D6-D7-D8-D9-D10</f>
        <v>11.935427299999958</v>
      </c>
      <c r="E11" s="10">
        <f t="shared" ref="E11:G11" si="1">E6-E7-E8-E9-E10</f>
        <v>18.797008189999985</v>
      </c>
      <c r="F11" s="10">
        <f t="shared" si="1"/>
        <v>13.353283829999981</v>
      </c>
      <c r="G11" s="10">
        <f t="shared" si="1"/>
        <v>9.0451323599999895</v>
      </c>
      <c r="H11" s="10">
        <f>H6-H7-H8-H9-H10</f>
        <v>24.516410199999982</v>
      </c>
      <c r="I11" s="15">
        <f t="shared" si="0"/>
        <v>0.19716697210674461</v>
      </c>
    </row>
    <row r="12" spans="1:9" ht="14.5" x14ac:dyDescent="0.3">
      <c r="A12" s="2"/>
      <c r="B12" s="2" t="s">
        <v>10</v>
      </c>
      <c r="C12" s="2"/>
      <c r="D12" s="10">
        <f>373343279.5/10^6</f>
        <v>373.34327949999999</v>
      </c>
      <c r="E12" s="10">
        <f>440938394.02/10^6</f>
        <v>440.93839401999998</v>
      </c>
      <c r="F12" s="10">
        <f>311131554.07/10^6</f>
        <v>311.13155406999999</v>
      </c>
      <c r="G12" s="10">
        <f>264885302.64/10^6</f>
        <v>264.88530263999996</v>
      </c>
      <c r="H12" s="10">
        <f>294970639.97/10^6</f>
        <v>294.97063997000004</v>
      </c>
      <c r="I12" s="15">
        <f t="shared" si="0"/>
        <v>-5.7204256553721744E-2</v>
      </c>
    </row>
    <row r="13" spans="1:9" ht="14.5" x14ac:dyDescent="0.3">
      <c r="A13" s="2"/>
      <c r="B13" s="3" t="s">
        <v>12</v>
      </c>
      <c r="C13" s="3"/>
      <c r="D13" s="11">
        <f>D6-D12</f>
        <v>167.77680742999996</v>
      </c>
      <c r="E13" s="11">
        <f t="shared" ref="E13:H13" si="2">E6-E12</f>
        <v>201.14759011999996</v>
      </c>
      <c r="F13" s="11">
        <f t="shared" si="2"/>
        <v>196.15158162</v>
      </c>
      <c r="G13" s="11">
        <f t="shared" si="2"/>
        <v>221.58537835000004</v>
      </c>
      <c r="H13" s="11">
        <f t="shared" si="2"/>
        <v>213.07676861999994</v>
      </c>
      <c r="I13" s="17">
        <f t="shared" si="0"/>
        <v>6.1575883843514978E-2</v>
      </c>
    </row>
    <row r="14" spans="1:9" ht="14.5" x14ac:dyDescent="0.3">
      <c r="A14" s="2"/>
      <c r="B14" s="2" t="s">
        <v>13</v>
      </c>
      <c r="C14" s="2"/>
      <c r="D14" s="10">
        <f>67386082.87/10^6</f>
        <v>67.38608287000001</v>
      </c>
      <c r="E14" s="10">
        <f>70764781.75/10^6</f>
        <v>70.764781749999997</v>
      </c>
      <c r="F14" s="10">
        <f>79849121.12/10^6</f>
        <v>79.849121120000007</v>
      </c>
      <c r="G14" s="10">
        <f>74587529/10^6</f>
        <v>74.587529000000004</v>
      </c>
      <c r="H14" s="10">
        <f>81155143.55/10^6</f>
        <v>81.155143549999991</v>
      </c>
      <c r="I14" s="15">
        <f t="shared" si="0"/>
        <v>4.7578217898258224E-2</v>
      </c>
    </row>
    <row r="15" spans="1:9" ht="14.5" x14ac:dyDescent="0.3">
      <c r="A15" s="2"/>
      <c r="B15" s="2" t="s">
        <v>14</v>
      </c>
      <c r="C15" s="2"/>
      <c r="D15" s="10">
        <f>101756917.29/10^6</f>
        <v>101.75691729</v>
      </c>
      <c r="E15" s="10">
        <f>109701754.79/10^6</f>
        <v>109.70175479000001</v>
      </c>
      <c r="F15" s="10">
        <f>141256434.42/10^6</f>
        <v>141.25643441999998</v>
      </c>
      <c r="G15" s="10">
        <f>172506484.77/10^6</f>
        <v>172.50648477000001</v>
      </c>
      <c r="H15" s="10">
        <f>147455005.14/10^6</f>
        <v>147.45500514</v>
      </c>
      <c r="I15" s="15">
        <f t="shared" si="0"/>
        <v>9.7169924463139656E-2</v>
      </c>
    </row>
    <row r="16" spans="1:9" ht="14.5" x14ac:dyDescent="0.3">
      <c r="A16" s="2"/>
      <c r="B16" s="2"/>
      <c r="C16" s="2" t="s">
        <v>16</v>
      </c>
      <c r="D16" s="16">
        <f>3648244.03/10^6</f>
        <v>3.6482440299999999</v>
      </c>
      <c r="E16" s="10">
        <f>4143131.21/10^6</f>
        <v>4.14313121</v>
      </c>
      <c r="F16" s="10">
        <f>4430805.26/10^6</f>
        <v>4.4308052599999996</v>
      </c>
      <c r="G16" s="10">
        <f>3735226.46/10^6</f>
        <v>3.7352264599999998</v>
      </c>
      <c r="H16" s="10">
        <f>3870016.7/10^6</f>
        <v>3.8700167000000003</v>
      </c>
      <c r="I16" s="15">
        <f>POWER(H16/E16,1/4)-1</f>
        <v>-1.6903753509460495E-2</v>
      </c>
    </row>
    <row r="17" spans="1:9" ht="14.5" x14ac:dyDescent="0.3">
      <c r="A17" s="2"/>
      <c r="B17" s="2"/>
      <c r="C17" s="2" t="s">
        <v>17</v>
      </c>
      <c r="D17" s="10">
        <f>38420681.01/10^6</f>
        <v>38.420681009999996</v>
      </c>
      <c r="E17" s="10">
        <f>35038746.52/10^6</f>
        <v>35.038746520000004</v>
      </c>
      <c r="F17" s="10">
        <f>52604444.96/10^6</f>
        <v>52.604444960000002</v>
      </c>
      <c r="G17" s="10">
        <f>52751755.76/10^6</f>
        <v>52.751755759999995</v>
      </c>
      <c r="H17" s="10">
        <f>49553689.15/10^6</f>
        <v>49.553689149999997</v>
      </c>
      <c r="I17" s="15">
        <f t="shared" si="0"/>
        <v>6.5682252916817951E-2</v>
      </c>
    </row>
    <row r="18" spans="1:9" ht="14.5" x14ac:dyDescent="0.3">
      <c r="A18" s="2"/>
      <c r="B18" s="2" t="s">
        <v>15</v>
      </c>
      <c r="C18" s="2"/>
      <c r="D18" s="10">
        <f>2319147.27/10^6</f>
        <v>2.3191472700000002</v>
      </c>
      <c r="E18" s="10">
        <f>2276890.04/10^6</f>
        <v>2.2768900400000001</v>
      </c>
      <c r="F18" s="10">
        <f>422294.24/10^6</f>
        <v>0.42229423999999999</v>
      </c>
      <c r="G18" s="10">
        <f>-944578.49/10^6</f>
        <v>-0.94457848999999994</v>
      </c>
      <c r="H18" s="10">
        <f>13294995.01/10^6</f>
        <v>13.294995009999999</v>
      </c>
      <c r="I18" s="15">
        <f t="shared" si="0"/>
        <v>0.54735500023311268</v>
      </c>
    </row>
    <row r="19" spans="1:9" ht="14.5" x14ac:dyDescent="0.3">
      <c r="A19" s="2"/>
      <c r="B19" s="2" t="s">
        <v>18</v>
      </c>
      <c r="C19" s="2"/>
      <c r="D19" s="10">
        <f>7595348.38/10^6</f>
        <v>7.5953483799999999</v>
      </c>
      <c r="E19" s="10">
        <f>16553372.56/10^6</f>
        <v>16.55337256</v>
      </c>
      <c r="F19" s="10">
        <f>36770924.42/10^6</f>
        <v>36.77092442</v>
      </c>
      <c r="G19" s="10">
        <f>20382127.45/10^6</f>
        <v>20.382127449999999</v>
      </c>
      <c r="H19" s="10">
        <f>29525849.7/10^6</f>
        <v>29.525849699999998</v>
      </c>
      <c r="I19" s="15">
        <f t="shared" si="0"/>
        <v>0.40415055674854039</v>
      </c>
    </row>
    <row r="20" spans="1:9" ht="14.5" x14ac:dyDescent="0.3">
      <c r="A20" s="2"/>
      <c r="B20" s="3" t="s">
        <v>19</v>
      </c>
      <c r="C20" s="3"/>
      <c r="D20" s="11">
        <f>47665687.97/10^6</f>
        <v>47.66568797</v>
      </c>
      <c r="E20" s="11">
        <f>54885400.04/10^6</f>
        <v>54.88540004</v>
      </c>
      <c r="F20" s="11">
        <f>12520609/10^6</f>
        <v>12.520609</v>
      </c>
      <c r="G20" s="11">
        <f>38024577/10^6</f>
        <v>38.024577000000001</v>
      </c>
      <c r="H20" s="11">
        <f>1687503.69/10^6</f>
        <v>1.68750369</v>
      </c>
      <c r="I20" s="15">
        <f t="shared" si="0"/>
        <v>-0.56622979631872838</v>
      </c>
    </row>
    <row r="21" spans="1:9" ht="14.5" x14ac:dyDescent="0.3">
      <c r="A21" s="5" t="s">
        <v>20</v>
      </c>
      <c r="B21" s="5"/>
      <c r="C21" s="5"/>
      <c r="D21" s="12"/>
      <c r="E21" s="12"/>
      <c r="F21" s="12"/>
      <c r="G21" s="12"/>
      <c r="H21" s="12"/>
      <c r="I21" s="18"/>
    </row>
    <row r="22" spans="1:9" s="7" customFormat="1" ht="14.5" x14ac:dyDescent="0.3">
      <c r="A22" s="9"/>
      <c r="B22" s="9" t="s">
        <v>31</v>
      </c>
      <c r="C22" s="9"/>
      <c r="D22" s="13">
        <f>200226285.12/10^6</f>
        <v>200.22628512</v>
      </c>
      <c r="E22" s="13">
        <f>211597007.46/10^6</f>
        <v>211.59700746000001</v>
      </c>
      <c r="F22" s="13">
        <f>249366713.1/10^6</f>
        <v>249.3667131</v>
      </c>
      <c r="G22" s="13">
        <f>257144283.24/10^6</f>
        <v>257.14428323999999</v>
      </c>
      <c r="H22" s="13">
        <f>277242923.29/10^6</f>
        <v>277.24292329000002</v>
      </c>
      <c r="I22" s="15">
        <f t="shared" si="0"/>
        <v>8.4762953591836832E-2</v>
      </c>
    </row>
    <row r="23" spans="1:9" s="7" customFormat="1" ht="14.5" x14ac:dyDescent="0.3">
      <c r="A23" s="9"/>
      <c r="B23" s="9" t="s">
        <v>33</v>
      </c>
      <c r="C23" s="9"/>
      <c r="D23" s="13">
        <f>6393382.6/10^6</f>
        <v>6.3933825999999998</v>
      </c>
      <c r="E23" s="13">
        <f>11709671.8/10^6</f>
        <v>11.709671800000001</v>
      </c>
      <c r="F23" s="13">
        <f>9114181.45/10^6</f>
        <v>9.1141814499999985</v>
      </c>
      <c r="G23" s="13">
        <f>5862000/10^6</f>
        <v>5.8620000000000001</v>
      </c>
      <c r="H23" s="13">
        <f>6373879.27/10^6</f>
        <v>6.3738792699999998</v>
      </c>
      <c r="I23" s="15">
        <f t="shared" si="0"/>
        <v>-7.6351135070484855E-4</v>
      </c>
    </row>
    <row r="24" spans="1:9" ht="14.5" x14ac:dyDescent="0.3">
      <c r="A24" s="2"/>
      <c r="B24" s="2" t="s">
        <v>21</v>
      </c>
      <c r="C24" s="2"/>
      <c r="D24" s="10">
        <f>300403110.57/10^6</f>
        <v>300.40311056999997</v>
      </c>
      <c r="E24" s="10">
        <f>358698522.72/10^6</f>
        <v>358.69852272000003</v>
      </c>
      <c r="F24" s="10">
        <f>278027722.11/10^6</f>
        <v>278.02772211000001</v>
      </c>
      <c r="G24" s="10">
        <f>241611535.98/10^6</f>
        <v>241.61153597999999</v>
      </c>
      <c r="H24" s="10">
        <f>202967852.8/10^6</f>
        <v>202.9678528</v>
      </c>
      <c r="I24" s="15">
        <f t="shared" si="0"/>
        <v>-9.3368700632509238E-2</v>
      </c>
    </row>
    <row r="25" spans="1:9" ht="14.5" x14ac:dyDescent="0.3">
      <c r="A25" s="2"/>
      <c r="B25" s="2"/>
      <c r="C25" s="2" t="s">
        <v>22</v>
      </c>
      <c r="D25" s="10">
        <f>220491891.35/10^6</f>
        <v>220.49189135</v>
      </c>
      <c r="E25" s="10">
        <f>284993432.92/10^6</f>
        <v>284.99343292000003</v>
      </c>
      <c r="F25" s="10">
        <f>208930204.65/10^6</f>
        <v>208.93020465000001</v>
      </c>
      <c r="G25" s="10">
        <f>173994731.04/10^6</f>
        <v>173.99473104</v>
      </c>
      <c r="H25" s="10">
        <f>164531882.56/10^6</f>
        <v>164.53188256000001</v>
      </c>
      <c r="I25" s="15"/>
    </row>
    <row r="26" spans="1:9" ht="14.5" x14ac:dyDescent="0.3">
      <c r="A26" s="2"/>
      <c r="B26" s="2"/>
      <c r="C26" s="2" t="s">
        <v>23</v>
      </c>
      <c r="D26" s="10">
        <f>47440036.07/10^6</f>
        <v>47.440036069999998</v>
      </c>
      <c r="E26" s="10">
        <f>51897614.98/10^6</f>
        <v>51.89761498</v>
      </c>
      <c r="F26" s="10">
        <f>43826435.43/10^6</f>
        <v>43.826435429999997</v>
      </c>
      <c r="G26" s="10">
        <f>57443772.26/10^6</f>
        <v>57.443772259999996</v>
      </c>
      <c r="H26" s="10">
        <f>30701041.44/10^6</f>
        <v>30.701041440000001</v>
      </c>
      <c r="I26" s="15"/>
    </row>
    <row r="27" spans="1:9" ht="14.5" x14ac:dyDescent="0.3">
      <c r="A27" s="2"/>
      <c r="B27" s="2"/>
      <c r="C27" s="2" t="s">
        <v>24</v>
      </c>
      <c r="D27" s="10">
        <f>53582342.36/10^6</f>
        <v>53.582342359999998</v>
      </c>
      <c r="E27" s="10">
        <f>35333237.16/10^6</f>
        <v>35.333237159999996</v>
      </c>
      <c r="F27" s="10">
        <f>30619498.31/10^6</f>
        <v>30.619498309999997</v>
      </c>
      <c r="G27" s="10">
        <f>17952974.93/10^6</f>
        <v>17.95297493</v>
      </c>
      <c r="H27" s="10">
        <f>15956877.14/10^6</f>
        <v>15.956877140000001</v>
      </c>
      <c r="I27" s="15"/>
    </row>
    <row r="28" spans="1:9" ht="14.5" x14ac:dyDescent="0.3">
      <c r="A28" s="2"/>
      <c r="B28" s="2"/>
      <c r="C28" s="2" t="s">
        <v>25</v>
      </c>
      <c r="D28" s="10">
        <f>8583225.87/10^6</f>
        <v>8.5832258699999997</v>
      </c>
      <c r="E28" s="10">
        <f>21737123.14/10^6</f>
        <v>21.737123140000001</v>
      </c>
      <c r="F28" s="10">
        <f>20970543.77/10^6</f>
        <v>20.970543769999999</v>
      </c>
      <c r="G28" s="10">
        <f>12817116.8/10^6</f>
        <v>12.817116800000001</v>
      </c>
      <c r="H28" s="10">
        <f>8388737.63/10^6</f>
        <v>8.3887376300000014</v>
      </c>
      <c r="I28" s="15"/>
    </row>
    <row r="29" spans="1:9" ht="14.5" x14ac:dyDescent="0.3">
      <c r="A29" s="2"/>
      <c r="B29" s="2"/>
      <c r="C29" s="2" t="s">
        <v>26</v>
      </c>
      <c r="D29" s="10">
        <f>667469/10^6</f>
        <v>0.66746899999999998</v>
      </c>
      <c r="E29" s="10">
        <f>5369021.53/10^6</f>
        <v>5.3690215300000004</v>
      </c>
      <c r="F29" s="10">
        <f>21214182.5/10^6</f>
        <v>21.2141825</v>
      </c>
      <c r="G29" s="10">
        <f>13486663.73/10^6</f>
        <v>13.48666373</v>
      </c>
      <c r="H29" s="10">
        <f>7288678.96/10^6</f>
        <v>7.2886789600000004</v>
      </c>
      <c r="I29" s="15"/>
    </row>
    <row r="30" spans="1:9" ht="14.5" x14ac:dyDescent="0.3">
      <c r="A30" s="2"/>
      <c r="B30" s="2"/>
      <c r="C30" s="2" t="s">
        <v>27</v>
      </c>
      <c r="D30" s="10">
        <f>2123946.19/10^6</f>
        <v>2.1239461899999998</v>
      </c>
      <c r="E30" s="10">
        <f>3448125.08/10^6</f>
        <v>3.4481250800000001</v>
      </c>
      <c r="F30" s="10">
        <f>7661829.11/10^6</f>
        <v>7.6618291100000002</v>
      </c>
      <c r="G30" s="10">
        <f>23179062.76/10^6</f>
        <v>23.179062760000001</v>
      </c>
      <c r="H30" s="10">
        <f>29215467.11/10^6</f>
        <v>29.215467109999999</v>
      </c>
      <c r="I30" s="15"/>
    </row>
    <row r="31" spans="1:9" ht="14.5" x14ac:dyDescent="0.3">
      <c r="A31" s="2"/>
      <c r="B31" s="2" t="s">
        <v>34</v>
      </c>
      <c r="C31" s="2"/>
      <c r="D31" s="10">
        <f>9815526.01/10^6</f>
        <v>9.8155260099999992</v>
      </c>
      <c r="E31" s="10">
        <f>20748765.04/10^6</f>
        <v>20.748765039999999</v>
      </c>
      <c r="F31" s="10">
        <f>13426698.31/10^6</f>
        <v>13.426698310000001</v>
      </c>
      <c r="G31" s="10">
        <f>13597881.85/10^6</f>
        <v>13.59788185</v>
      </c>
      <c r="H31" s="10">
        <f>20535460.54/10^6</f>
        <v>20.535460539999999</v>
      </c>
      <c r="I31" s="15">
        <f t="shared" si="0"/>
        <v>0.2026734320918282</v>
      </c>
    </row>
    <row r="32" spans="1:9" ht="14.5" x14ac:dyDescent="0.3">
      <c r="A32" s="2"/>
      <c r="B32" s="2" t="s">
        <v>35</v>
      </c>
      <c r="C32" s="2"/>
      <c r="D32" s="10">
        <f>16522807.51/10^6</f>
        <v>16.52280751</v>
      </c>
      <c r="E32" s="10">
        <f>21722138.17/10^6</f>
        <v>21.722138170000001</v>
      </c>
      <c r="F32" s="10">
        <f>36764028.16/10^6</f>
        <v>36.764028159999995</v>
      </c>
      <c r="G32" s="10">
        <f>25540102.19/10^6</f>
        <v>25.540102190000002</v>
      </c>
      <c r="H32" s="10">
        <f>25004616.81/10^6</f>
        <v>25.004616809999998</v>
      </c>
      <c r="I32" s="15">
        <f t="shared" si="0"/>
        <v>0.10913418241327832</v>
      </c>
    </row>
    <row r="33" spans="1:9" ht="14.5" x14ac:dyDescent="0.3">
      <c r="A33" s="2"/>
      <c r="B33" s="2" t="s">
        <v>28</v>
      </c>
      <c r="C33" s="2"/>
      <c r="D33" s="10">
        <f>124679839.68/10^6</f>
        <v>124.67983968</v>
      </c>
      <c r="E33" s="10">
        <f>151733740.28/10^6</f>
        <v>151.73374028000001</v>
      </c>
      <c r="F33" s="10">
        <f>153779827.73/10^6</f>
        <v>153.77982772999999</v>
      </c>
      <c r="G33" s="10">
        <f>241657199.05/10^6</f>
        <v>241.65719905</v>
      </c>
      <c r="H33" s="10">
        <f>351654159.68/10^6</f>
        <v>351.65415968000002</v>
      </c>
      <c r="I33" s="15">
        <f t="shared" si="0"/>
        <v>0.29592503859635833</v>
      </c>
    </row>
    <row r="34" spans="1:9" ht="14.5" x14ac:dyDescent="0.3">
      <c r="A34" s="2"/>
      <c r="B34" s="2"/>
      <c r="C34" s="2" t="s">
        <v>29</v>
      </c>
      <c r="D34" s="10">
        <f>690657.94/10^6</f>
        <v>0.69065793999999991</v>
      </c>
      <c r="E34" s="10">
        <f>3138726.22/10^6</f>
        <v>3.1387262200000001</v>
      </c>
      <c r="F34" s="10">
        <f>3473272.53/10^6</f>
        <v>3.4732725299999996</v>
      </c>
      <c r="G34" s="10">
        <f>7954783.42/10^6</f>
        <v>7.95478342</v>
      </c>
      <c r="H34" s="10">
        <f>10543147.17/10^6</f>
        <v>10.543147169999999</v>
      </c>
      <c r="I34" s="15"/>
    </row>
    <row r="35" spans="1:9" ht="14.5" x14ac:dyDescent="0.3">
      <c r="A35" s="2"/>
      <c r="B35" s="2" t="s">
        <v>36</v>
      </c>
      <c r="C35" s="2"/>
      <c r="D35" s="10"/>
      <c r="E35" s="10">
        <f>15257687.5/10^6</f>
        <v>15.257687499999999</v>
      </c>
      <c r="F35" s="10">
        <f>3699365.22/10^6</f>
        <v>3.6993652200000002</v>
      </c>
      <c r="G35" s="10">
        <f>22592265.95/10^6</f>
        <v>22.592265949999998</v>
      </c>
      <c r="H35" s="10">
        <f>14415488.61/10^6</f>
        <v>14.415488609999999</v>
      </c>
      <c r="I35" s="15">
        <f>POWER(H35/E35,1/3)-1</f>
        <v>-1.8748763063268004E-2</v>
      </c>
    </row>
    <row r="36" spans="1:9" ht="14.5" x14ac:dyDescent="0.3">
      <c r="A36" s="2"/>
      <c r="B36" s="3" t="s">
        <v>32</v>
      </c>
      <c r="C36" s="3"/>
      <c r="D36" s="11">
        <f>667271951.49/10^6</f>
        <v>667.27195148999999</v>
      </c>
      <c r="E36" s="11">
        <f>791467532.97/10^6</f>
        <v>791.46753296999998</v>
      </c>
      <c r="F36" s="11">
        <f>740926354.63/10^6</f>
        <v>740.92635462999999</v>
      </c>
      <c r="G36" s="11">
        <f>815313449.71/10^6</f>
        <v>815.31344970999999</v>
      </c>
      <c r="H36" s="11">
        <f>915920681/10^6</f>
        <v>915.92068099999995</v>
      </c>
      <c r="I36" s="17">
        <f t="shared" si="0"/>
        <v>8.2402405755706232E-2</v>
      </c>
    </row>
    <row r="37" spans="1:9" ht="14.5" x14ac:dyDescent="0.3">
      <c r="A37" s="2"/>
      <c r="B37" s="9" t="s">
        <v>37</v>
      </c>
      <c r="C37" s="9"/>
      <c r="D37" s="13">
        <f>427669430.21/10^6</f>
        <v>427.66943020999997</v>
      </c>
      <c r="E37" s="13">
        <f>389851193.94/10^6</f>
        <v>389.85119393999997</v>
      </c>
      <c r="F37" s="13">
        <f>650346641.14/10^6</f>
        <v>650.34664113999997</v>
      </c>
      <c r="G37" s="13">
        <f>557896561.17/10^6</f>
        <v>557.89656116999993</v>
      </c>
      <c r="H37" s="13">
        <f>581262808.78/10^6</f>
        <v>581.26280878</v>
      </c>
      <c r="I37" s="15">
        <f t="shared" si="0"/>
        <v>7.9732271729909154E-2</v>
      </c>
    </row>
    <row r="38" spans="1:9" ht="14.5" x14ac:dyDescent="0.3">
      <c r="A38" s="2"/>
      <c r="B38" s="9" t="s">
        <v>38</v>
      </c>
      <c r="C38" s="9"/>
      <c r="D38" s="13">
        <f>267041161.55/10^6</f>
        <v>267.04116155000003</v>
      </c>
      <c r="E38" s="13">
        <f>261159269.6/10^6</f>
        <v>261.15926960000002</v>
      </c>
      <c r="F38" s="13">
        <f>233783402.04/10^6</f>
        <v>233.78340204</v>
      </c>
      <c r="G38" s="13">
        <f>181490039.52/10^6</f>
        <v>181.49003952000001</v>
      </c>
      <c r="H38" s="13">
        <f>152814780.95/10^6</f>
        <v>152.81478095</v>
      </c>
      <c r="I38" s="15">
        <f t="shared" si="0"/>
        <v>-0.13024529111871141</v>
      </c>
    </row>
    <row r="39" spans="1:9" ht="14.5" x14ac:dyDescent="0.3">
      <c r="A39" s="2"/>
      <c r="B39" s="9"/>
      <c r="C39" s="9" t="s">
        <v>49</v>
      </c>
      <c r="D39" s="13"/>
      <c r="E39" s="13"/>
      <c r="F39" s="13"/>
      <c r="G39" s="13">
        <f>548010/10^6</f>
        <v>0.54801</v>
      </c>
      <c r="H39" s="13"/>
      <c r="I39" s="15"/>
    </row>
    <row r="40" spans="1:9" ht="14.5" x14ac:dyDescent="0.3">
      <c r="A40" s="2"/>
      <c r="B40" s="2" t="s">
        <v>30</v>
      </c>
      <c r="C40" s="2"/>
      <c r="D40" s="10">
        <f>131957313.86/10^6</f>
        <v>131.95731386</v>
      </c>
      <c r="E40" s="10">
        <f>150241574.98/10^6</f>
        <v>150.24157498</v>
      </c>
      <c r="F40" s="10">
        <f>174943366.72/10^6</f>
        <v>174.94336672</v>
      </c>
      <c r="G40" s="10">
        <f>164255856.29/10^6</f>
        <v>164.25585629</v>
      </c>
      <c r="H40" s="10">
        <f>145680201.88/10^6</f>
        <v>145.68020188</v>
      </c>
      <c r="I40" s="15">
        <f t="shared" si="0"/>
        <v>2.5042251471916188E-2</v>
      </c>
    </row>
    <row r="41" spans="1:9" ht="14.5" x14ac:dyDescent="0.3">
      <c r="A41" s="2"/>
      <c r="B41" s="2"/>
      <c r="C41" s="2" t="s">
        <v>17</v>
      </c>
      <c r="D41" s="10">
        <v>52.5</v>
      </c>
      <c r="E41" s="10">
        <v>20.5</v>
      </c>
      <c r="F41" s="10">
        <v>32.6</v>
      </c>
      <c r="G41" s="10">
        <v>11.4</v>
      </c>
      <c r="H41" s="10">
        <v>12</v>
      </c>
      <c r="I41" s="15">
        <f t="shared" si="0"/>
        <v>-0.30855843071611799</v>
      </c>
    </row>
    <row r="42" spans="1:9" ht="14.5" x14ac:dyDescent="0.3">
      <c r="B42" s="2" t="s">
        <v>39</v>
      </c>
      <c r="D42" s="10">
        <f>37236705.74/10^6</f>
        <v>37.236705740000005</v>
      </c>
      <c r="E42" s="10">
        <f>27248223.37/10^6</f>
        <v>27.248223370000002</v>
      </c>
      <c r="F42" s="10">
        <f>9948977.64/10^6</f>
        <v>9.9489776400000007</v>
      </c>
      <c r="G42" s="10">
        <f>5698978.23/10^6</f>
        <v>5.6989782300000007</v>
      </c>
      <c r="H42" s="10">
        <f>10947184.43/10^6</f>
        <v>10.94718443</v>
      </c>
      <c r="I42" s="15">
        <f t="shared" si="0"/>
        <v>-0.2636525358892593</v>
      </c>
    </row>
    <row r="43" spans="1:9" ht="14.5" x14ac:dyDescent="0.3">
      <c r="B43" s="2" t="s">
        <v>40</v>
      </c>
      <c r="D43" s="10">
        <f>42049563.07/10^6</f>
        <v>42.049563069999998</v>
      </c>
      <c r="E43" s="10">
        <f>93178614.17/10^6</f>
        <v>93.178614170000003</v>
      </c>
      <c r="F43" s="10">
        <f>57158813.09/10^6</f>
        <v>57.158813090000002</v>
      </c>
      <c r="G43" s="10">
        <f>57158813.09/10^6</f>
        <v>57.158813090000002</v>
      </c>
      <c r="H43" s="10">
        <f>57158813.09/10^6</f>
        <v>57.158813090000002</v>
      </c>
      <c r="I43" s="15">
        <f t="shared" si="0"/>
        <v>7.9767940485784727E-2</v>
      </c>
    </row>
    <row r="44" spans="1:9" ht="14.5" x14ac:dyDescent="0.3">
      <c r="B44" s="3" t="s">
        <v>41</v>
      </c>
      <c r="C44" s="4"/>
      <c r="D44" s="11">
        <f>1575547361.52/10^6</f>
        <v>1575.5473615199999</v>
      </c>
      <c r="E44" s="11">
        <f>1735450760.72/10^6</f>
        <v>1735.4507607200001</v>
      </c>
      <c r="F44" s="11">
        <f>1880593827.15/10^6</f>
        <v>1880.5938271500002</v>
      </c>
      <c r="G44" s="11">
        <f>2133208927.09/10^6</f>
        <v>2133.2089270900001</v>
      </c>
      <c r="H44" s="11">
        <f>2262630540.22/10^6</f>
        <v>2262.6305402199996</v>
      </c>
      <c r="I44" s="17">
        <f t="shared" si="0"/>
        <v>9.4701077383025467E-2</v>
      </c>
    </row>
    <row r="45" spans="1:9" ht="14.5" x14ac:dyDescent="0.3">
      <c r="B45" s="2" t="s">
        <v>42</v>
      </c>
      <c r="D45" s="10">
        <v>0.8</v>
      </c>
      <c r="E45" s="10">
        <v>14.2</v>
      </c>
      <c r="F45" s="10">
        <v>21.7</v>
      </c>
      <c r="G45" s="10">
        <v>31.3</v>
      </c>
      <c r="H45" s="10">
        <v>65.900000000000006</v>
      </c>
      <c r="I45" s="15">
        <f t="shared" si="0"/>
        <v>2.0126512294548258</v>
      </c>
    </row>
    <row r="46" spans="1:9" ht="14.5" x14ac:dyDescent="0.3">
      <c r="A46" s="2"/>
      <c r="B46" s="2"/>
      <c r="C46" s="2" t="s">
        <v>43</v>
      </c>
      <c r="D46" s="10"/>
      <c r="E46" s="10">
        <v>8.6999999999999993</v>
      </c>
      <c r="F46" s="10">
        <v>11.1</v>
      </c>
      <c r="G46" s="10">
        <v>20.7</v>
      </c>
      <c r="H46" s="10">
        <v>61.3</v>
      </c>
      <c r="I46" s="15">
        <f>POWER(H46/E46,1/3)-1</f>
        <v>0.9171101827995658</v>
      </c>
    </row>
    <row r="47" spans="1:9" ht="14.5" x14ac:dyDescent="0.3">
      <c r="A47" s="2"/>
      <c r="B47" s="2"/>
      <c r="C47" s="2" t="s">
        <v>44</v>
      </c>
      <c r="D47" s="10"/>
      <c r="E47" s="10">
        <v>0.9</v>
      </c>
      <c r="F47" s="10">
        <v>5.9</v>
      </c>
      <c r="G47" s="10">
        <v>1.1000000000000001</v>
      </c>
      <c r="H47" s="10">
        <v>3.1</v>
      </c>
      <c r="I47" s="15">
        <f>POWER(H47/E47,1/3)-1</f>
        <v>0.51021829869449764</v>
      </c>
    </row>
    <row r="48" spans="1:9" ht="14.5" x14ac:dyDescent="0.3">
      <c r="A48" s="2"/>
      <c r="B48" s="3" t="s">
        <v>45</v>
      </c>
      <c r="C48" s="3"/>
      <c r="D48" s="11">
        <f>133532552.25/10^6</f>
        <v>133.53255225000001</v>
      </c>
      <c r="E48" s="11">
        <f>213725012.18/10^6</f>
        <v>213.72501217999999</v>
      </c>
      <c r="F48" s="11">
        <f>269650469.63/10^6</f>
        <v>269.65046962999998</v>
      </c>
      <c r="G48" s="11">
        <f>496364877.38/10^6</f>
        <v>496.36487738</v>
      </c>
      <c r="H48" s="11">
        <f>592104198.82/10^6</f>
        <v>592.10419882000008</v>
      </c>
      <c r="I48" s="17">
        <f t="shared" si="0"/>
        <v>0.45111806183108905</v>
      </c>
    </row>
    <row r="49" spans="1:9" ht="14.5" x14ac:dyDescent="0.3">
      <c r="A49" s="2"/>
      <c r="B49" s="3" t="s">
        <v>70</v>
      </c>
      <c r="C49" s="3"/>
      <c r="D49" s="11">
        <f>D44-D48</f>
        <v>1442.0148092699999</v>
      </c>
      <c r="E49" s="11">
        <f t="shared" ref="E49:H49" si="3">E44-E48</f>
        <v>1521.72574854</v>
      </c>
      <c r="F49" s="11">
        <f t="shared" si="3"/>
        <v>1610.9433575200001</v>
      </c>
      <c r="G49" s="11">
        <f t="shared" si="3"/>
        <v>1636.84404971</v>
      </c>
      <c r="H49" s="11">
        <f t="shared" si="3"/>
        <v>1670.5263413999996</v>
      </c>
      <c r="I49" s="17">
        <f t="shared" si="0"/>
        <v>3.7458902847905318E-2</v>
      </c>
    </row>
    <row r="50" spans="1:9" ht="14.5" x14ac:dyDescent="0.3">
      <c r="A50" s="5" t="s">
        <v>46</v>
      </c>
      <c r="B50" s="5"/>
      <c r="C50" s="5"/>
      <c r="D50" s="12"/>
      <c r="E50" s="12"/>
      <c r="F50" s="12"/>
      <c r="G50" s="12"/>
      <c r="H50" s="12"/>
      <c r="I50" s="18"/>
    </row>
    <row r="51" spans="1:9" ht="14.5" x14ac:dyDescent="0.3">
      <c r="A51" s="2"/>
      <c r="B51" s="2" t="s">
        <v>47</v>
      </c>
      <c r="C51" s="2"/>
      <c r="D51" s="10"/>
      <c r="E51" s="10"/>
      <c r="F51" s="10"/>
      <c r="G51" s="10"/>
      <c r="H51" s="10"/>
      <c r="I51" s="19"/>
    </row>
    <row r="52" spans="1:9" ht="14.5" x14ac:dyDescent="0.3">
      <c r="A52" s="2"/>
      <c r="B52" s="2" t="s">
        <v>48</v>
      </c>
      <c r="C52" s="2"/>
      <c r="D52" s="10">
        <f>57651547.58/10^6</f>
        <v>57.651547579999999</v>
      </c>
      <c r="E52" s="10">
        <f>27603265.23/10^6</f>
        <v>27.603265230000002</v>
      </c>
      <c r="F52" s="10">
        <f>42051679.09/10^6</f>
        <v>42.05167909</v>
      </c>
      <c r="G52" s="10">
        <f>-16564701.73/10^6</f>
        <v>-16.564701729999999</v>
      </c>
      <c r="H52" s="10">
        <f>-18284428.06/10^6</f>
        <v>-18.28442806</v>
      </c>
      <c r="I52" s="19"/>
    </row>
    <row r="53" spans="1:9" ht="14.5" x14ac:dyDescent="0.3">
      <c r="B53" s="2" t="s">
        <v>67</v>
      </c>
      <c r="D53" s="10"/>
      <c r="E53" s="10"/>
      <c r="F53" s="10"/>
      <c r="G53" s="10"/>
      <c r="H53" s="10"/>
      <c r="I53" s="19"/>
    </row>
    <row r="54" spans="1:9" ht="14.5" x14ac:dyDescent="0.3">
      <c r="B54" s="2" t="s">
        <v>48</v>
      </c>
      <c r="D54" s="10">
        <f>-87682236.03/10^6</f>
        <v>-87.682236029999999</v>
      </c>
      <c r="E54" s="10">
        <f>-1923407.2/10^6</f>
        <v>-1.9234072</v>
      </c>
      <c r="F54" s="10">
        <f>-15001584.51/10^6</f>
        <v>-15.001584509999999</v>
      </c>
      <c r="G54" s="10">
        <f>-277468802.65/10^6</f>
        <v>-277.46880264999999</v>
      </c>
      <c r="H54" s="10">
        <f>86925480.622/10^6</f>
        <v>86.925480621999995</v>
      </c>
      <c r="I54" s="19"/>
    </row>
    <row r="55" spans="1:9" ht="14.5" x14ac:dyDescent="0.3">
      <c r="B55" s="2"/>
      <c r="C55" s="2" t="s">
        <v>73</v>
      </c>
      <c r="D55" s="10"/>
      <c r="E55" s="10"/>
      <c r="F55" s="10"/>
      <c r="G55" s="10"/>
      <c r="H55" s="10"/>
      <c r="I55" s="19"/>
    </row>
    <row r="56" spans="1:9" ht="14.5" x14ac:dyDescent="0.3">
      <c r="B56" s="2"/>
      <c r="C56" s="2" t="s">
        <v>74</v>
      </c>
      <c r="D56" s="10">
        <f>152917.32/10^6</f>
        <v>0.15291732</v>
      </c>
      <c r="E56" s="10">
        <f>745562.61/10^6</f>
        <v>0.74556261000000001</v>
      </c>
      <c r="F56" s="10"/>
      <c r="G56" s="10"/>
      <c r="H56" s="10">
        <f>30848683.34/10^6</f>
        <v>30.848683340000001</v>
      </c>
      <c r="I56" s="19"/>
    </row>
    <row r="57" spans="1:9" ht="14.5" x14ac:dyDescent="0.3">
      <c r="B57" s="2"/>
      <c r="C57" s="2" t="s">
        <v>75</v>
      </c>
      <c r="D57" s="10"/>
      <c r="E57" s="10"/>
      <c r="F57" s="10"/>
      <c r="G57" s="10"/>
      <c r="H57" s="10"/>
      <c r="I57" s="19"/>
    </row>
    <row r="58" spans="1:9" ht="14.5" x14ac:dyDescent="0.3">
      <c r="B58" s="2"/>
      <c r="C58" s="2" t="s">
        <v>76</v>
      </c>
      <c r="D58" s="10">
        <f>28835153.35/10^6</f>
        <v>28.835153350000002</v>
      </c>
      <c r="E58" s="10">
        <f>26607070.55/10^6</f>
        <v>26.60707055</v>
      </c>
      <c r="F58" s="10">
        <f>9007670.23/10^6</f>
        <v>9.0076702300000004</v>
      </c>
      <c r="G58" s="10">
        <f>8887555.62/10^6</f>
        <v>8.8875556199999988</v>
      </c>
      <c r="H58" s="10">
        <f>39552230.62/10^6</f>
        <v>39.552230619999996</v>
      </c>
      <c r="I58" s="19"/>
    </row>
    <row r="59" spans="1:9" ht="14.5" x14ac:dyDescent="0.3">
      <c r="B59" s="2" t="s">
        <v>68</v>
      </c>
      <c r="D59" s="10"/>
      <c r="E59" s="10"/>
      <c r="F59" s="10"/>
      <c r="G59" s="10"/>
      <c r="H59" s="10"/>
      <c r="I59" s="19"/>
    </row>
    <row r="60" spans="1:9" ht="14.5" x14ac:dyDescent="0.3">
      <c r="B60" s="2" t="s">
        <v>48</v>
      </c>
      <c r="D60" s="10">
        <f>-253423347.43/10^6</f>
        <v>-253.42334743000001</v>
      </c>
      <c r="E60" s="10">
        <f>-8578523.73/10^6</f>
        <v>-8.5785237300000006</v>
      </c>
      <c r="F60" s="10">
        <f>10448403.61/10^6</f>
        <v>10.44840361</v>
      </c>
      <c r="G60" s="10">
        <f>209313712.89/10^6</f>
        <v>209.31371288999998</v>
      </c>
      <c r="H60" s="10">
        <f>5337613.19/10^6</f>
        <v>5.3376131900000008</v>
      </c>
      <c r="I60" s="19"/>
    </row>
  </sheetData>
  <phoneticPr fontId="2" type="noConversion"/>
  <conditionalFormatting sqref="I6:I48">
    <cfRule type="cellIs" dxfId="12" priority="2" operator="lessThan">
      <formula>0</formula>
    </cfRule>
  </conditionalFormatting>
  <conditionalFormatting sqref="I49:I60">
    <cfRule type="cellIs" dxfId="1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B7E4-25D6-4415-A9EF-AC917DBB9D63}">
  <sheetPr>
    <tabColor theme="0"/>
  </sheetPr>
  <dimension ref="A1"/>
  <sheetViews>
    <sheetView workbookViewId="0">
      <selection activeCell="A2" sqref="A2"/>
    </sheetView>
  </sheetViews>
  <sheetFormatPr defaultRowHeight="14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6C80-F5C4-4849-BC96-D7D8F42514A6}">
  <dimension ref="A4:K17"/>
  <sheetViews>
    <sheetView showGridLines="0" topLeftCell="B1" workbookViewId="0">
      <selection activeCell="D17" sqref="D17"/>
    </sheetView>
  </sheetViews>
  <sheetFormatPr defaultRowHeight="14" x14ac:dyDescent="0.3"/>
  <cols>
    <col min="3" max="3" width="14.83203125" customWidth="1"/>
  </cols>
  <sheetData>
    <row r="4" spans="1:11" ht="14.5" x14ac:dyDescent="0.3">
      <c r="A4" s="2"/>
      <c r="B4" s="2"/>
      <c r="C4" s="2"/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14" t="s">
        <v>50</v>
      </c>
    </row>
    <row r="5" spans="1:11" ht="14.5" x14ac:dyDescent="0.3">
      <c r="A5" s="5" t="s">
        <v>3</v>
      </c>
      <c r="B5" s="5"/>
      <c r="C5" s="5"/>
      <c r="D5" s="6"/>
      <c r="E5" s="6"/>
      <c r="F5" s="6"/>
      <c r="G5" s="6"/>
      <c r="H5" s="6"/>
      <c r="I5" s="6"/>
    </row>
    <row r="6" spans="1:11" ht="14.5" x14ac:dyDescent="0.3">
      <c r="A6" s="2"/>
      <c r="B6" s="2" t="s">
        <v>4</v>
      </c>
      <c r="C6" s="2"/>
      <c r="D6" s="10">
        <f>541120086.93/10^6</f>
        <v>541.12008692999996</v>
      </c>
      <c r="E6" s="10">
        <f>642085984.14/10^6</f>
        <v>642.08598413999994</v>
      </c>
      <c r="F6" s="10">
        <f>507283135.69/10^6</f>
        <v>507.28313568999999</v>
      </c>
      <c r="G6" s="10">
        <f>486470680.99/10^6</f>
        <v>486.47068099000001</v>
      </c>
      <c r="H6" s="10">
        <f>508047408.59/10^6</f>
        <v>508.04740858999997</v>
      </c>
      <c r="I6" s="15">
        <v>-1.5642972373999142E-2</v>
      </c>
    </row>
    <row r="7" spans="1:11" ht="14.5" x14ac:dyDescent="0.3">
      <c r="A7" s="2"/>
      <c r="B7" s="2"/>
      <c r="C7" s="2" t="s">
        <v>5</v>
      </c>
      <c r="D7" s="10">
        <f>176766164.31/10^6</f>
        <v>176.76616430999999</v>
      </c>
      <c r="E7" s="10">
        <f>172515900.2/10^6</f>
        <v>172.51590019999998</v>
      </c>
      <c r="F7" s="10">
        <f>170694830.49/10^6</f>
        <v>170.69483049000002</v>
      </c>
      <c r="G7" s="10">
        <f>208930709.89/10^6</f>
        <v>208.93070988999997</v>
      </c>
      <c r="H7" s="10">
        <f>149837947.45/10^6</f>
        <v>149.83794745</v>
      </c>
      <c r="I7" s="15">
        <v>-4.0476381532833505E-2</v>
      </c>
    </row>
    <row r="8" spans="1:11" ht="14.5" x14ac:dyDescent="0.3">
      <c r="A8" s="2"/>
      <c r="B8" s="2"/>
      <c r="C8" s="2" t="s">
        <v>6</v>
      </c>
      <c r="D8" s="10">
        <f>90966670.82/10^6</f>
        <v>90.96667081999999</v>
      </c>
      <c r="E8" s="10">
        <f>147911663.61/10^6</f>
        <v>147.91166361000001</v>
      </c>
      <c r="F8" s="10">
        <f>160669499.35/10^6</f>
        <v>160.66949935</v>
      </c>
      <c r="G8" s="10">
        <f>219131998.83/10^6</f>
        <v>219.13199883000001</v>
      </c>
      <c r="H8" s="10">
        <f>256355615.56/10^6</f>
        <v>256.35561555999999</v>
      </c>
      <c r="I8" s="15">
        <v>0.29565726220465116</v>
      </c>
      <c r="K8" s="2" t="s">
        <v>57</v>
      </c>
    </row>
    <row r="9" spans="1:11" ht="14.5" x14ac:dyDescent="0.3">
      <c r="A9" s="2"/>
      <c r="B9" s="2"/>
      <c r="C9" s="2" t="s">
        <v>7</v>
      </c>
      <c r="D9" s="10">
        <f>9649945.05/10^6</f>
        <v>9.6499450500000012</v>
      </c>
      <c r="E9" s="10">
        <f>9248543.49/10^6</f>
        <v>9.2485434899999994</v>
      </c>
      <c r="F9" s="10">
        <f>10255341.99/10^6</f>
        <v>10.25534199</v>
      </c>
      <c r="G9" s="10">
        <f>3113198.91/10^6</f>
        <v>3.1131989099999999</v>
      </c>
      <c r="H9" s="10">
        <f>2292241.8/10^6</f>
        <v>2.2922417999999998</v>
      </c>
      <c r="I9" s="15">
        <v>-0.30187386445150821</v>
      </c>
      <c r="K9" s="2"/>
    </row>
    <row r="10" spans="1:11" ht="14.5" x14ac:dyDescent="0.3">
      <c r="A10" s="2"/>
      <c r="B10" s="2"/>
      <c r="C10" s="2" t="s">
        <v>8</v>
      </c>
      <c r="D10" s="10">
        <f>251801879.45/10^6</f>
        <v>251.80187945</v>
      </c>
      <c r="E10" s="10">
        <f>293612868.65/10^6</f>
        <v>293.61286865</v>
      </c>
      <c r="F10" s="10">
        <f>152310180.03/10^6</f>
        <v>152.31018003</v>
      </c>
      <c r="G10" s="10">
        <f>46249641/10^6</f>
        <v>46.249640999999997</v>
      </c>
      <c r="H10" s="10">
        <f>75045193.58/10^6</f>
        <v>75.045193580000003</v>
      </c>
      <c r="I10" s="15">
        <v>-0.26113349575144518</v>
      </c>
      <c r="K10" s="2" t="s">
        <v>52</v>
      </c>
    </row>
    <row r="11" spans="1:11" ht="14.5" x14ac:dyDescent="0.3">
      <c r="A11" s="2"/>
      <c r="B11" s="2"/>
      <c r="C11" s="2" t="s">
        <v>9</v>
      </c>
      <c r="D11" s="10">
        <f>D6-D7-D8-D9-D10</f>
        <v>11.935427299999958</v>
      </c>
      <c r="E11" s="10">
        <f t="shared" ref="E11:G11" si="0">E6-E7-E8-E9-E10</f>
        <v>18.797008189999985</v>
      </c>
      <c r="F11" s="10">
        <f t="shared" si="0"/>
        <v>13.353283829999981</v>
      </c>
      <c r="G11" s="10">
        <f t="shared" si="0"/>
        <v>9.0451323599999895</v>
      </c>
      <c r="H11" s="10">
        <f>H6-H7-H8-H9-H10</f>
        <v>24.516410199999982</v>
      </c>
      <c r="I11" s="15">
        <v>0.19716697210674461</v>
      </c>
      <c r="K11" s="2"/>
    </row>
    <row r="12" spans="1:11" ht="14.5" x14ac:dyDescent="0.3">
      <c r="A12" s="2"/>
      <c r="B12" s="2" t="s">
        <v>10</v>
      </c>
      <c r="C12" s="2"/>
      <c r="D12" s="10">
        <f>373343279.5/10^6</f>
        <v>373.34327949999999</v>
      </c>
      <c r="E12" s="10">
        <f>440938394.02/10^6</f>
        <v>440.93839401999998</v>
      </c>
      <c r="F12" s="10">
        <f>311131554.07/10^6</f>
        <v>311.13155406999999</v>
      </c>
      <c r="G12" s="10">
        <f>264885302.64/10^6</f>
        <v>264.88530263999996</v>
      </c>
      <c r="H12" s="10">
        <f>294970639.97/10^6</f>
        <v>294.97063997000004</v>
      </c>
      <c r="I12" s="15">
        <v>-5.7204256553721744E-2</v>
      </c>
      <c r="K12" s="2"/>
    </row>
    <row r="13" spans="1:11" ht="14.5" x14ac:dyDescent="0.3">
      <c r="A13" s="2"/>
      <c r="B13" s="3" t="s">
        <v>12</v>
      </c>
      <c r="C13" s="3"/>
      <c r="D13" s="11">
        <f>D6-D12</f>
        <v>167.77680742999996</v>
      </c>
      <c r="E13" s="11">
        <f t="shared" ref="E13:H13" si="1">E6-E12</f>
        <v>201.14759011999996</v>
      </c>
      <c r="F13" s="11">
        <f t="shared" si="1"/>
        <v>196.15158162</v>
      </c>
      <c r="G13" s="11">
        <f t="shared" si="1"/>
        <v>221.58537835000004</v>
      </c>
      <c r="H13" s="11">
        <f t="shared" si="1"/>
        <v>213.07676861999994</v>
      </c>
      <c r="I13" s="17">
        <v>6.1575883843514978E-2</v>
      </c>
      <c r="K13" s="2" t="s">
        <v>53</v>
      </c>
    </row>
    <row r="15" spans="1:11" ht="14.5" x14ac:dyDescent="0.3">
      <c r="D15" s="2" t="s">
        <v>79</v>
      </c>
    </row>
    <row r="16" spans="1:11" ht="14.5" x14ac:dyDescent="0.3">
      <c r="D16" s="2" t="s">
        <v>80</v>
      </c>
    </row>
    <row r="17" spans="4:4" ht="14.5" x14ac:dyDescent="0.3">
      <c r="D17" s="2" t="s">
        <v>81</v>
      </c>
    </row>
  </sheetData>
  <phoneticPr fontId="2" type="noConversion"/>
  <conditionalFormatting sqref="I6:I13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4144-723F-4B2B-8526-E22B81EDBAB1}">
  <dimension ref="A4:Q20"/>
  <sheetViews>
    <sheetView showGridLines="0" workbookViewId="0">
      <selection activeCell="K14" sqref="K14"/>
    </sheetView>
  </sheetViews>
  <sheetFormatPr defaultRowHeight="14" x14ac:dyDescent="0.3"/>
  <cols>
    <col min="3" max="3" width="11.83203125" customWidth="1"/>
  </cols>
  <sheetData>
    <row r="4" spans="1:17" ht="14.5" x14ac:dyDescent="0.3">
      <c r="A4" s="2"/>
      <c r="B4" s="2"/>
      <c r="C4" s="2"/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14" t="s">
        <v>50</v>
      </c>
    </row>
    <row r="5" spans="1:17" ht="14.5" x14ac:dyDescent="0.3">
      <c r="A5" s="5" t="s">
        <v>3</v>
      </c>
      <c r="B5" s="5"/>
      <c r="C5" s="5"/>
      <c r="D5" s="6"/>
      <c r="E5" s="6"/>
      <c r="F5" s="6"/>
      <c r="G5" s="6"/>
      <c r="H5" s="6"/>
      <c r="I5" s="6"/>
      <c r="K5" s="9"/>
      <c r="L5" s="9"/>
      <c r="M5" s="13"/>
      <c r="N5" s="13"/>
      <c r="O5" s="13"/>
      <c r="P5" s="13"/>
      <c r="Q5" s="13"/>
    </row>
    <row r="6" spans="1:17" s="7" customFormat="1" ht="14.5" x14ac:dyDescent="0.3">
      <c r="A6" s="9"/>
      <c r="B6" s="3" t="s">
        <v>11</v>
      </c>
      <c r="C6" s="3"/>
      <c r="D6" s="4">
        <v>167.77680742999996</v>
      </c>
      <c r="E6" s="4">
        <v>201.14759011999996</v>
      </c>
      <c r="F6" s="4">
        <v>196.15158162</v>
      </c>
      <c r="G6" s="4">
        <v>221.58537835000004</v>
      </c>
      <c r="H6" s="4">
        <v>213.07676861999994</v>
      </c>
      <c r="I6" s="17">
        <v>6.1575883843514978E-2</v>
      </c>
      <c r="K6" s="9"/>
      <c r="L6" s="9"/>
      <c r="M6" s="13"/>
      <c r="N6" s="13"/>
      <c r="O6" s="13"/>
      <c r="P6" s="13"/>
      <c r="Q6" s="13"/>
    </row>
    <row r="7" spans="1:17" ht="14.5" x14ac:dyDescent="0.3">
      <c r="A7" s="2"/>
      <c r="B7" s="2" t="s">
        <v>13</v>
      </c>
      <c r="C7" s="2"/>
      <c r="D7" s="10">
        <f>67386082.87/10^6</f>
        <v>67.38608287000001</v>
      </c>
      <c r="E7" s="10">
        <f>70764781.75/10^6</f>
        <v>70.764781749999997</v>
      </c>
      <c r="F7" s="10">
        <f>79849121.12/10^6</f>
        <v>79.849121120000007</v>
      </c>
      <c r="G7" s="10">
        <f>74587529/10^6</f>
        <v>74.587529000000004</v>
      </c>
      <c r="H7" s="10">
        <f>81155143.55/10^6</f>
        <v>81.155143549999991</v>
      </c>
      <c r="I7" s="15">
        <v>4.7578217898258224E-2</v>
      </c>
    </row>
    <row r="8" spans="1:17" ht="14.5" x14ac:dyDescent="0.3">
      <c r="A8" s="2"/>
      <c r="B8" s="2" t="s">
        <v>14</v>
      </c>
      <c r="C8" s="2"/>
      <c r="D8" s="10">
        <f>101756917.29/10^6</f>
        <v>101.75691729</v>
      </c>
      <c r="E8" s="10">
        <f>109701754.79/10^6</f>
        <v>109.70175479000001</v>
      </c>
      <c r="F8" s="10">
        <f>141256434.42/10^6</f>
        <v>141.25643441999998</v>
      </c>
      <c r="G8" s="10">
        <f>172506484.77/10^6</f>
        <v>172.50648477000001</v>
      </c>
      <c r="H8" s="10">
        <f>147455005.14/10^6</f>
        <v>147.45500514</v>
      </c>
      <c r="I8" s="15">
        <v>9.7169924463139656E-2</v>
      </c>
      <c r="K8" s="2" t="s">
        <v>51</v>
      </c>
    </row>
    <row r="9" spans="1:17" ht="14.5" x14ac:dyDescent="0.3">
      <c r="A9" s="2"/>
      <c r="B9" s="2"/>
      <c r="C9" s="2" t="s">
        <v>16</v>
      </c>
      <c r="D9" s="16">
        <f>3648244.03/10^6</f>
        <v>3.6482440299999999</v>
      </c>
      <c r="E9" s="10">
        <f>4143131.21/10^6</f>
        <v>4.14313121</v>
      </c>
      <c r="F9" s="10">
        <f>4430805.26/10^6</f>
        <v>4.4308052599999996</v>
      </c>
      <c r="G9" s="10">
        <f>3735226.46/10^6</f>
        <v>3.7352264599999998</v>
      </c>
      <c r="H9" s="10">
        <f>3870016.7/10^6</f>
        <v>3.8700167000000003</v>
      </c>
      <c r="I9" s="15">
        <f>POWER(H9/E9,1/4)-1</f>
        <v>-1.6903753509460495E-2</v>
      </c>
      <c r="K9" s="2"/>
    </row>
    <row r="10" spans="1:17" ht="14.5" x14ac:dyDescent="0.3">
      <c r="A10" s="2"/>
      <c r="B10" s="2"/>
      <c r="C10" s="2" t="s">
        <v>17</v>
      </c>
      <c r="D10" s="10">
        <f>38420681.01/10^6</f>
        <v>38.420681009999996</v>
      </c>
      <c r="E10" s="10">
        <f>35038746.52/10^6</f>
        <v>35.038746520000004</v>
      </c>
      <c r="F10" s="10">
        <f>52604444.96/10^6</f>
        <v>52.604444960000002</v>
      </c>
      <c r="G10" s="10">
        <f>52751755.76/10^6</f>
        <v>52.751755759999995</v>
      </c>
      <c r="H10" s="10">
        <f>49553689.15/10^6</f>
        <v>49.553689149999997</v>
      </c>
      <c r="I10" s="15">
        <f t="shared" ref="I10" si="0">POWER(H10/D10,1/4)-1</f>
        <v>6.5682252916817951E-2</v>
      </c>
      <c r="K10" s="2"/>
    </row>
    <row r="11" spans="1:17" ht="14.5" x14ac:dyDescent="0.3">
      <c r="A11" s="2"/>
      <c r="B11" s="2" t="s">
        <v>15</v>
      </c>
      <c r="C11" s="2"/>
      <c r="D11" s="10">
        <f>2319147.27/10^6</f>
        <v>2.3191472700000002</v>
      </c>
      <c r="E11" s="10">
        <f>2276890.04/10^6</f>
        <v>2.2768900400000001</v>
      </c>
      <c r="F11" s="10">
        <f>422294.24/10^6</f>
        <v>0.42229423999999999</v>
      </c>
      <c r="G11" s="10">
        <f>-944578.49/10^6</f>
        <v>-0.94457848999999994</v>
      </c>
      <c r="H11" s="10">
        <f>13294995.01/10^6</f>
        <v>13.294995009999999</v>
      </c>
      <c r="I11" s="15">
        <v>0.54735500023311268</v>
      </c>
      <c r="K11" s="2" t="s">
        <v>86</v>
      </c>
    </row>
    <row r="12" spans="1:17" ht="14.5" x14ac:dyDescent="0.3">
      <c r="A12" s="2"/>
      <c r="B12" s="2" t="s">
        <v>18</v>
      </c>
      <c r="C12" s="2"/>
      <c r="D12" s="10">
        <f>7595348.38/10^6</f>
        <v>7.5953483799999999</v>
      </c>
      <c r="E12" s="10">
        <f>16553372.56/10^6</f>
        <v>16.55337256</v>
      </c>
      <c r="F12" s="10">
        <f>36770924.42/10^6</f>
        <v>36.77092442</v>
      </c>
      <c r="G12" s="10">
        <f>20382127.45/10^6</f>
        <v>20.382127449999999</v>
      </c>
      <c r="H12" s="10">
        <f>29525849.7/10^6</f>
        <v>29.525849699999998</v>
      </c>
      <c r="I12" s="15">
        <v>0.40415055674854039</v>
      </c>
      <c r="K12" s="2"/>
    </row>
    <row r="13" spans="1:17" ht="14.5" x14ac:dyDescent="0.3">
      <c r="A13" s="2"/>
      <c r="B13" s="3" t="s">
        <v>19</v>
      </c>
      <c r="C13" s="3"/>
      <c r="D13" s="11">
        <f>47665687.97/10^6</f>
        <v>47.66568797</v>
      </c>
      <c r="E13" s="11">
        <f>54885400.04/10^6</f>
        <v>54.88540004</v>
      </c>
      <c r="F13" s="11">
        <f>12520609/10^6</f>
        <v>12.520609</v>
      </c>
      <c r="G13" s="11">
        <f>38024577/10^6</f>
        <v>38.024577000000001</v>
      </c>
      <c r="H13" s="11">
        <f>1687503.69/10^6</f>
        <v>1.68750369</v>
      </c>
      <c r="I13" s="15">
        <v>-0.56622979631872838</v>
      </c>
      <c r="K13" s="2" t="s">
        <v>54</v>
      </c>
    </row>
    <row r="14" spans="1:17" ht="14.5" x14ac:dyDescent="0.3">
      <c r="A14" s="2"/>
      <c r="B14" s="9"/>
      <c r="C14" s="9"/>
      <c r="D14" s="13"/>
      <c r="E14" s="13"/>
      <c r="F14" s="21" t="s">
        <v>55</v>
      </c>
      <c r="G14" s="21"/>
      <c r="H14" s="21" t="s">
        <v>56</v>
      </c>
      <c r="I14" s="2"/>
    </row>
    <row r="15" spans="1:17" ht="14.5" x14ac:dyDescent="0.3">
      <c r="F15" s="2" t="s">
        <v>58</v>
      </c>
      <c r="G15" s="2"/>
      <c r="H15" s="2" t="s">
        <v>59</v>
      </c>
      <c r="I15" s="2"/>
    </row>
    <row r="18" spans="7:7" ht="14.5" x14ac:dyDescent="0.3">
      <c r="G18" s="2" t="s">
        <v>82</v>
      </c>
    </row>
    <row r="19" spans="7:7" ht="14.5" x14ac:dyDescent="0.3">
      <c r="G19" s="2" t="s">
        <v>83</v>
      </c>
    </row>
    <row r="20" spans="7:7" ht="14.5" x14ac:dyDescent="0.3">
      <c r="G20" s="2"/>
    </row>
  </sheetData>
  <phoneticPr fontId="2" type="noConversion"/>
  <conditionalFormatting sqref="I13">
    <cfRule type="cellIs" dxfId="9" priority="3" operator="lessThan">
      <formula>0</formula>
    </cfRule>
  </conditionalFormatting>
  <conditionalFormatting sqref="I6">
    <cfRule type="cellIs" dxfId="8" priority="2" operator="lessThan">
      <formula>0</formula>
    </cfRule>
  </conditionalFormatting>
  <conditionalFormatting sqref="I9:I10">
    <cfRule type="cellIs" dxfId="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A0E0-6506-4CE1-90D0-9D8B565C18FB}">
  <dimension ref="A4:K23"/>
  <sheetViews>
    <sheetView showGridLines="0" workbookViewId="0">
      <selection activeCell="H4" sqref="A4:H17"/>
    </sheetView>
  </sheetViews>
  <sheetFormatPr defaultRowHeight="14" x14ac:dyDescent="0.3"/>
  <sheetData>
    <row r="4" spans="1:11" ht="14.5" x14ac:dyDescent="0.3">
      <c r="A4" s="2"/>
      <c r="B4" s="2"/>
      <c r="C4" s="2"/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14" t="s">
        <v>50</v>
      </c>
    </row>
    <row r="5" spans="1:11" ht="14.5" x14ac:dyDescent="0.3">
      <c r="A5" s="5" t="s">
        <v>20</v>
      </c>
      <c r="B5" s="5"/>
      <c r="C5" s="5"/>
      <c r="D5" s="12"/>
      <c r="E5" s="12"/>
      <c r="F5" s="12"/>
      <c r="G5" s="12"/>
      <c r="H5" s="12"/>
      <c r="I5" s="18"/>
    </row>
    <row r="6" spans="1:11" ht="14.5" x14ac:dyDescent="0.3">
      <c r="A6" s="9"/>
      <c r="B6" s="9" t="s">
        <v>31</v>
      </c>
      <c r="C6" s="9"/>
      <c r="D6" s="13">
        <f>200226285.12/10^6</f>
        <v>200.22628512</v>
      </c>
      <c r="E6" s="13">
        <f>211597007.46/10^6</f>
        <v>211.59700746000001</v>
      </c>
      <c r="F6" s="13">
        <f>249366713.1/10^6</f>
        <v>249.3667131</v>
      </c>
      <c r="G6" s="13">
        <f>257144283.24/10^6</f>
        <v>257.14428323999999</v>
      </c>
      <c r="H6" s="13">
        <f>277242923.29/10^6</f>
        <v>277.24292329000002</v>
      </c>
      <c r="I6" s="15">
        <f t="shared" ref="I6:I21" si="0">POWER(H6/D6,1/4)-1</f>
        <v>8.4762953591836832E-2</v>
      </c>
      <c r="K6" s="2" t="s">
        <v>61</v>
      </c>
    </row>
    <row r="7" spans="1:11" ht="14.5" x14ac:dyDescent="0.3">
      <c r="A7" s="9"/>
      <c r="B7" s="9" t="s">
        <v>33</v>
      </c>
      <c r="C7" s="9"/>
      <c r="D7" s="13">
        <f>6393382.6/10^6</f>
        <v>6.3933825999999998</v>
      </c>
      <c r="E7" s="13">
        <f>11709671.8/10^6</f>
        <v>11.709671800000001</v>
      </c>
      <c r="F7" s="13">
        <f>9114181.45/10^6</f>
        <v>9.1141814499999985</v>
      </c>
      <c r="G7" s="13">
        <f>5862000/10^6</f>
        <v>5.8620000000000001</v>
      </c>
      <c r="H7" s="13">
        <f>6373879.27/10^6</f>
        <v>6.3738792699999998</v>
      </c>
      <c r="I7" s="15">
        <f t="shared" si="0"/>
        <v>-7.6351135070484855E-4</v>
      </c>
      <c r="K7" s="2"/>
    </row>
    <row r="8" spans="1:11" ht="14.5" x14ac:dyDescent="0.3">
      <c r="A8" s="2"/>
      <c r="B8" s="2" t="s">
        <v>21</v>
      </c>
      <c r="C8" s="2"/>
      <c r="D8" s="10">
        <f>300403110.57/10^6</f>
        <v>300.40311056999997</v>
      </c>
      <c r="E8" s="10">
        <f>358698522.72/10^6</f>
        <v>358.69852272000003</v>
      </c>
      <c r="F8" s="10">
        <f>278027722.11/10^6</f>
        <v>278.02772211000001</v>
      </c>
      <c r="G8" s="10">
        <f>241611535.98/10^6</f>
        <v>241.61153597999999</v>
      </c>
      <c r="H8" s="10">
        <f>202967852.8/10^6</f>
        <v>202.9678528</v>
      </c>
      <c r="I8" s="15">
        <f t="shared" si="0"/>
        <v>-9.3368700632509238E-2</v>
      </c>
      <c r="K8" s="2" t="s">
        <v>62</v>
      </c>
    </row>
    <row r="9" spans="1:11" ht="14.5" x14ac:dyDescent="0.3">
      <c r="A9" s="2"/>
      <c r="B9" s="2"/>
      <c r="C9" s="2" t="s">
        <v>22</v>
      </c>
      <c r="D9" s="10">
        <f>220491891.35/10^6</f>
        <v>220.49189135</v>
      </c>
      <c r="E9" s="10">
        <f>284993432.92/10^6</f>
        <v>284.99343292000003</v>
      </c>
      <c r="F9" s="10">
        <f>208930204.65/10^6</f>
        <v>208.93020465000001</v>
      </c>
      <c r="G9" s="10">
        <f>173994731.04/10^6</f>
        <v>173.99473104</v>
      </c>
      <c r="H9" s="10">
        <f>164531882.56/10^6</f>
        <v>164.53188256000001</v>
      </c>
      <c r="I9" s="15"/>
      <c r="K9" s="2" t="s">
        <v>84</v>
      </c>
    </row>
    <row r="10" spans="1:11" ht="14.5" x14ac:dyDescent="0.3">
      <c r="A10" s="2"/>
      <c r="B10" s="2"/>
      <c r="C10" s="2" t="s">
        <v>23</v>
      </c>
      <c r="D10" s="10">
        <f>47440036.07/10^6</f>
        <v>47.440036069999998</v>
      </c>
      <c r="E10" s="10">
        <f>51897614.98/10^6</f>
        <v>51.89761498</v>
      </c>
      <c r="F10" s="10">
        <f>43826435.43/10^6</f>
        <v>43.826435429999997</v>
      </c>
      <c r="G10" s="10">
        <f>57443772.26/10^6</f>
        <v>57.443772259999996</v>
      </c>
      <c r="H10" s="10">
        <f>30701041.44/10^6</f>
        <v>30.701041440000001</v>
      </c>
      <c r="I10" s="15"/>
      <c r="K10" s="2"/>
    </row>
    <row r="11" spans="1:11" ht="14.5" x14ac:dyDescent="0.3">
      <c r="A11" s="2"/>
      <c r="B11" s="2"/>
      <c r="C11" s="2" t="s">
        <v>24</v>
      </c>
      <c r="D11" s="10">
        <f>53582342.36/10^6</f>
        <v>53.582342359999998</v>
      </c>
      <c r="E11" s="10">
        <f>35333237.16/10^6</f>
        <v>35.333237159999996</v>
      </c>
      <c r="F11" s="10">
        <f>30619498.31/10^6</f>
        <v>30.619498309999997</v>
      </c>
      <c r="G11" s="10">
        <f>17952974.93/10^6</f>
        <v>17.95297493</v>
      </c>
      <c r="H11" s="10">
        <f>15956877.14/10^6</f>
        <v>15.956877140000001</v>
      </c>
      <c r="I11" s="15"/>
      <c r="K11" s="2"/>
    </row>
    <row r="12" spans="1:11" ht="14.5" x14ac:dyDescent="0.3">
      <c r="A12" s="2"/>
      <c r="B12" s="2"/>
      <c r="C12" s="2" t="s">
        <v>25</v>
      </c>
      <c r="D12" s="10">
        <f>8583225.87/10^6</f>
        <v>8.5832258699999997</v>
      </c>
      <c r="E12" s="10">
        <f>21737123.14/10^6</f>
        <v>21.737123140000001</v>
      </c>
      <c r="F12" s="10">
        <f>20970543.77/10^6</f>
        <v>20.970543769999999</v>
      </c>
      <c r="G12" s="10">
        <f>12817116.8/10^6</f>
        <v>12.817116800000001</v>
      </c>
      <c r="H12" s="10">
        <f>8388737.63/10^6</f>
        <v>8.3887376300000014</v>
      </c>
      <c r="I12" s="15"/>
      <c r="K12" s="2"/>
    </row>
    <row r="13" spans="1:11" ht="14.5" x14ac:dyDescent="0.3">
      <c r="A13" s="2"/>
      <c r="B13" s="2"/>
      <c r="C13" s="2" t="s">
        <v>26</v>
      </c>
      <c r="D13" s="10">
        <f>667469/10^6</f>
        <v>0.66746899999999998</v>
      </c>
      <c r="E13" s="10">
        <f>5369021.53/10^6</f>
        <v>5.3690215300000004</v>
      </c>
      <c r="F13" s="10">
        <f>21214182.5/10^6</f>
        <v>21.2141825</v>
      </c>
      <c r="G13" s="10">
        <f>13486663.73/10^6</f>
        <v>13.48666373</v>
      </c>
      <c r="H13" s="10">
        <f>7288678.96/10^6</f>
        <v>7.2886789600000004</v>
      </c>
      <c r="I13" s="15"/>
      <c r="K13" s="2"/>
    </row>
    <row r="14" spans="1:11" ht="14.5" x14ac:dyDescent="0.3">
      <c r="A14" s="2"/>
      <c r="B14" s="2"/>
      <c r="C14" s="2" t="s">
        <v>27</v>
      </c>
      <c r="D14" s="10">
        <f>2123946.19/10^6</f>
        <v>2.1239461899999998</v>
      </c>
      <c r="E14" s="10">
        <f>3448125.08/10^6</f>
        <v>3.4481250800000001</v>
      </c>
      <c r="F14" s="10">
        <f>7661829.11/10^6</f>
        <v>7.6618291100000002</v>
      </c>
      <c r="G14" s="10">
        <f>23179062.76/10^6</f>
        <v>23.179062760000001</v>
      </c>
      <c r="H14" s="10">
        <f>29215467.11/10^6</f>
        <v>29.215467109999999</v>
      </c>
      <c r="I14" s="15"/>
      <c r="K14" s="2"/>
    </row>
    <row r="15" spans="1:11" ht="14.5" x14ac:dyDescent="0.3">
      <c r="A15" s="2"/>
      <c r="B15" s="2" t="s">
        <v>34</v>
      </c>
      <c r="C15" s="2"/>
      <c r="D15" s="10">
        <f>9815526.01/10^6</f>
        <v>9.8155260099999992</v>
      </c>
      <c r="E15" s="10">
        <f>20748765.04/10^6</f>
        <v>20.748765039999999</v>
      </c>
      <c r="F15" s="10">
        <f>13426698.31/10^6</f>
        <v>13.426698310000001</v>
      </c>
      <c r="G15" s="10">
        <f>13597881.85/10^6</f>
        <v>13.59788185</v>
      </c>
      <c r="H15" s="10">
        <f>20535460.54/10^6</f>
        <v>20.535460539999999</v>
      </c>
      <c r="I15" s="15">
        <f t="shared" si="0"/>
        <v>0.2026734320918282</v>
      </c>
      <c r="K15" s="2" t="s">
        <v>63</v>
      </c>
    </row>
    <row r="16" spans="1:11" ht="14.5" x14ac:dyDescent="0.3">
      <c r="A16" s="2"/>
      <c r="B16" s="2" t="s">
        <v>35</v>
      </c>
      <c r="C16" s="2"/>
      <c r="D16" s="10">
        <f>16522807.51/10^6</f>
        <v>16.52280751</v>
      </c>
      <c r="E16" s="10">
        <f>21722138.17/10^6</f>
        <v>21.722138170000001</v>
      </c>
      <c r="F16" s="10">
        <f>36764028.16/10^6</f>
        <v>36.764028159999995</v>
      </c>
      <c r="G16" s="10">
        <f>25540102.19/10^6</f>
        <v>25.540102190000002</v>
      </c>
      <c r="H16" s="10">
        <f>25004616.81/10^6</f>
        <v>25.004616809999998</v>
      </c>
      <c r="I16" s="15">
        <f t="shared" si="0"/>
        <v>0.10913418241327832</v>
      </c>
      <c r="K16" s="2" t="s">
        <v>64</v>
      </c>
    </row>
    <row r="17" spans="1:11" ht="14.5" x14ac:dyDescent="0.3">
      <c r="A17" s="2"/>
      <c r="B17" s="2" t="s">
        <v>28</v>
      </c>
      <c r="C17" s="2"/>
      <c r="D17" s="10">
        <f>124679839.68/10^6</f>
        <v>124.67983968</v>
      </c>
      <c r="E17" s="10">
        <f>151733740.28/10^6</f>
        <v>151.73374028000001</v>
      </c>
      <c r="F17" s="10">
        <f>153779827.73/10^6</f>
        <v>153.77982772999999</v>
      </c>
      <c r="G17" s="10">
        <f>241657199.05/10^6</f>
        <v>241.65719905</v>
      </c>
      <c r="H17" s="10">
        <f>351654159.68/10^6</f>
        <v>351.65415968000002</v>
      </c>
      <c r="I17" s="15">
        <f t="shared" si="0"/>
        <v>0.29592503859635833</v>
      </c>
      <c r="K17" s="2" t="s">
        <v>60</v>
      </c>
    </row>
    <row r="18" spans="1:11" ht="14.5" x14ac:dyDescent="0.3">
      <c r="A18" s="2"/>
      <c r="B18" s="2"/>
      <c r="C18" s="2" t="s">
        <v>29</v>
      </c>
      <c r="D18" s="10">
        <f>690657.94/10^6</f>
        <v>0.69065793999999991</v>
      </c>
      <c r="E18" s="10">
        <f>3138726.22/10^6</f>
        <v>3.1387262200000001</v>
      </c>
      <c r="F18" s="10">
        <f>3473272.53/10^6</f>
        <v>3.4732725299999996</v>
      </c>
      <c r="G18" s="10">
        <f>7954783.42/10^6</f>
        <v>7.95478342</v>
      </c>
      <c r="H18" s="10">
        <f>10543147.17/10^6</f>
        <v>10.543147169999999</v>
      </c>
      <c r="I18" s="15"/>
      <c r="K18" s="2" t="s">
        <v>85</v>
      </c>
    </row>
    <row r="19" spans="1:11" ht="14.5" x14ac:dyDescent="0.3">
      <c r="A19" s="2"/>
      <c r="B19" s="2" t="s">
        <v>36</v>
      </c>
      <c r="C19" s="2"/>
      <c r="D19" s="10"/>
      <c r="E19" s="10">
        <f>15257687.5/10^6</f>
        <v>15.257687499999999</v>
      </c>
      <c r="F19" s="10">
        <f>3699365.22/10^6</f>
        <v>3.6993652200000002</v>
      </c>
      <c r="G19" s="10">
        <f>22592265.95/10^6</f>
        <v>22.592265949999998</v>
      </c>
      <c r="H19" s="10">
        <f>14415488.61/10^6</f>
        <v>14.415488609999999</v>
      </c>
      <c r="I19" s="15">
        <f>POWER(H19/E19,1/3)-1</f>
        <v>-1.8748763063268004E-2</v>
      </c>
      <c r="K19" s="2" t="s">
        <v>65</v>
      </c>
    </row>
    <row r="20" spans="1:11" ht="14.5" x14ac:dyDescent="0.3">
      <c r="A20" s="2"/>
      <c r="B20" s="3" t="s">
        <v>32</v>
      </c>
      <c r="C20" s="3"/>
      <c r="D20" s="11">
        <f>667271951.49/10^6</f>
        <v>667.27195148999999</v>
      </c>
      <c r="E20" s="11">
        <f>791467532.97/10^6</f>
        <v>791.46753296999998</v>
      </c>
      <c r="F20" s="11">
        <f>740926354.63/10^6</f>
        <v>740.92635462999999</v>
      </c>
      <c r="G20" s="11">
        <f>815313449.71/10^6</f>
        <v>815.31344970999999</v>
      </c>
      <c r="H20" s="11">
        <f>915920681/10^6</f>
        <v>915.92068099999995</v>
      </c>
      <c r="I20" s="17">
        <f t="shared" si="0"/>
        <v>8.2402405755706232E-2</v>
      </c>
      <c r="K20" s="2"/>
    </row>
    <row r="21" spans="1:11" ht="14.5" x14ac:dyDescent="0.3">
      <c r="B21" s="2" t="s">
        <v>42</v>
      </c>
      <c r="D21" s="10">
        <v>0.8</v>
      </c>
      <c r="E21" s="10">
        <v>14.2</v>
      </c>
      <c r="F21" s="10">
        <v>21.7</v>
      </c>
      <c r="G21" s="10">
        <v>31.3</v>
      </c>
      <c r="H21" s="10">
        <v>65.900000000000006</v>
      </c>
      <c r="I21" s="15">
        <f t="shared" si="0"/>
        <v>2.0126512294548258</v>
      </c>
      <c r="K21" s="2" t="s">
        <v>72</v>
      </c>
    </row>
    <row r="22" spans="1:11" ht="14.5" x14ac:dyDescent="0.3">
      <c r="B22" s="2"/>
      <c r="C22" s="2" t="s">
        <v>43</v>
      </c>
      <c r="D22" s="10"/>
      <c r="E22" s="10">
        <v>8.6999999999999993</v>
      </c>
      <c r="F22" s="10">
        <v>11.1</v>
      </c>
      <c r="G22" s="10">
        <v>20.7</v>
      </c>
      <c r="H22" s="10">
        <v>61.3</v>
      </c>
      <c r="I22" s="15">
        <f>POWER(H22/E22,1/3)-1</f>
        <v>0.9171101827995658</v>
      </c>
      <c r="K22" s="2" t="s">
        <v>66</v>
      </c>
    </row>
    <row r="23" spans="1:11" ht="14.5" x14ac:dyDescent="0.3">
      <c r="B23" s="2"/>
      <c r="C23" s="2" t="s">
        <v>44</v>
      </c>
      <c r="D23" s="10"/>
      <c r="E23" s="10">
        <v>0.9</v>
      </c>
      <c r="F23" s="10">
        <v>5.9</v>
      </c>
      <c r="G23" s="10">
        <v>1.1000000000000001</v>
      </c>
      <c r="H23" s="10">
        <v>3.1</v>
      </c>
      <c r="I23" s="15">
        <f>POWER(H23/E23,1/3)-1</f>
        <v>0.51021829869449764</v>
      </c>
    </row>
  </sheetData>
  <phoneticPr fontId="2" type="noConversion"/>
  <conditionalFormatting sqref="I5:I20">
    <cfRule type="cellIs" dxfId="6" priority="2" operator="lessThan">
      <formula>0</formula>
    </cfRule>
  </conditionalFormatting>
  <conditionalFormatting sqref="I21:I23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B007-CA36-4D70-A718-3DB6BC7B55A0}">
  <dimension ref="A3:S24"/>
  <sheetViews>
    <sheetView showGridLines="0" topLeftCell="I1" workbookViewId="0">
      <selection activeCell="L12" sqref="L12:S15"/>
    </sheetView>
  </sheetViews>
  <sheetFormatPr defaultRowHeight="14" x14ac:dyDescent="0.3"/>
  <cols>
    <col min="3" max="3" width="16.4140625" customWidth="1"/>
  </cols>
  <sheetData>
    <row r="3" spans="1:19" ht="14.5" x14ac:dyDescent="0.3">
      <c r="D3" s="1">
        <v>2013</v>
      </c>
      <c r="E3" s="8">
        <v>2014</v>
      </c>
      <c r="F3" s="1">
        <v>2015</v>
      </c>
      <c r="G3" s="1">
        <v>2016</v>
      </c>
      <c r="H3" s="1">
        <v>2017</v>
      </c>
      <c r="I3" s="14" t="s">
        <v>50</v>
      </c>
    </row>
    <row r="4" spans="1:19" ht="14.5" x14ac:dyDescent="0.3">
      <c r="A4" s="5" t="s">
        <v>20</v>
      </c>
      <c r="B4" s="5"/>
      <c r="C4" s="5"/>
      <c r="D4" s="12"/>
      <c r="E4" s="12"/>
      <c r="F4" s="12"/>
      <c r="G4" s="12"/>
      <c r="H4" s="12"/>
      <c r="I4" s="18"/>
    </row>
    <row r="5" spans="1:19" ht="14.5" x14ac:dyDescent="0.3">
      <c r="B5" s="9" t="s">
        <v>37</v>
      </c>
      <c r="C5" s="9"/>
      <c r="D5" s="13">
        <f>427669430.21/10^6</f>
        <v>427.66943020999997</v>
      </c>
      <c r="E5" s="13">
        <f>389851193.94/10^6</f>
        <v>389.85119393999997</v>
      </c>
      <c r="F5" s="13">
        <f>650346641.14/10^6</f>
        <v>650.34664113999997</v>
      </c>
      <c r="G5" s="13">
        <f>557896561.17/10^6</f>
        <v>557.89656116999993</v>
      </c>
      <c r="H5" s="13">
        <f>581262808.78/10^6</f>
        <v>581.26280878</v>
      </c>
      <c r="I5" s="15">
        <f t="shared" ref="I5:I17" si="0">POWER(H5/D5,1/4)-1</f>
        <v>7.9732271729909154E-2</v>
      </c>
    </row>
    <row r="6" spans="1:19" ht="14.5" x14ac:dyDescent="0.3">
      <c r="B6" s="9" t="s">
        <v>38</v>
      </c>
      <c r="C6" s="9"/>
      <c r="D6" s="13">
        <f>267041161.55/10^6</f>
        <v>267.04116155000003</v>
      </c>
      <c r="E6" s="13">
        <f>261159269.6/10^6</f>
        <v>261.15926960000002</v>
      </c>
      <c r="F6" s="13">
        <f>233783402.04/10^6</f>
        <v>233.78340204</v>
      </c>
      <c r="G6" s="13">
        <f>181490039.52/10^6</f>
        <v>181.49003952000001</v>
      </c>
      <c r="H6" s="13">
        <f>152814780.95/10^6</f>
        <v>152.81478095</v>
      </c>
      <c r="I6" s="15">
        <f t="shared" si="0"/>
        <v>-0.13024529111871141</v>
      </c>
    </row>
    <row r="7" spans="1:19" ht="14.5" x14ac:dyDescent="0.3">
      <c r="B7" s="9"/>
      <c r="C7" s="9" t="s">
        <v>49</v>
      </c>
      <c r="D7" s="13"/>
      <c r="E7" s="13"/>
      <c r="F7" s="13"/>
      <c r="G7" s="13">
        <f>548010/10^6</f>
        <v>0.54801</v>
      </c>
      <c r="H7" s="13"/>
      <c r="I7" s="15"/>
    </row>
    <row r="8" spans="1:19" ht="14.5" x14ac:dyDescent="0.3">
      <c r="B8" s="2" t="s">
        <v>30</v>
      </c>
      <c r="C8" s="2"/>
      <c r="D8" s="10">
        <f>131957313.86/10^6</f>
        <v>131.95731386</v>
      </c>
      <c r="E8" s="10">
        <f>150241574.98/10^6</f>
        <v>150.24157498</v>
      </c>
      <c r="F8" s="10">
        <f>174943366.72/10^6</f>
        <v>174.94336672</v>
      </c>
      <c r="G8" s="10">
        <f>164255856.29/10^6</f>
        <v>164.25585629</v>
      </c>
      <c r="H8" s="10">
        <f>145680201.88/10^6</f>
        <v>145.68020188</v>
      </c>
      <c r="I8" s="15">
        <f t="shared" si="0"/>
        <v>2.5042251471916188E-2</v>
      </c>
    </row>
    <row r="9" spans="1:19" ht="14.5" x14ac:dyDescent="0.3">
      <c r="B9" s="2"/>
      <c r="C9" s="2" t="s">
        <v>17</v>
      </c>
      <c r="D9" s="10">
        <v>52.5</v>
      </c>
      <c r="E9" s="10">
        <v>20.5</v>
      </c>
      <c r="F9" s="10">
        <v>32.6</v>
      </c>
      <c r="G9" s="10">
        <v>11.4</v>
      </c>
      <c r="H9" s="10">
        <v>12</v>
      </c>
      <c r="I9" s="15">
        <f t="shared" si="0"/>
        <v>-0.30855843071611799</v>
      </c>
    </row>
    <row r="10" spans="1:19" ht="14.5" x14ac:dyDescent="0.3">
      <c r="B10" s="2" t="s">
        <v>39</v>
      </c>
      <c r="D10" s="10">
        <f>37236705.74/10^6</f>
        <v>37.236705740000005</v>
      </c>
      <c r="E10" s="10">
        <f>27248223.37/10^6</f>
        <v>27.248223370000002</v>
      </c>
      <c r="F10" s="10">
        <f>9948977.64/10^6</f>
        <v>9.9489776400000007</v>
      </c>
      <c r="G10" s="10">
        <f>5698978.23/10^6</f>
        <v>5.6989782300000007</v>
      </c>
      <c r="H10" s="10">
        <f>10947184.43/10^6</f>
        <v>10.94718443</v>
      </c>
      <c r="I10" s="15">
        <f t="shared" si="0"/>
        <v>-0.2636525358892593</v>
      </c>
    </row>
    <row r="11" spans="1:19" ht="14.5" x14ac:dyDescent="0.3">
      <c r="B11" s="2" t="s">
        <v>40</v>
      </c>
      <c r="D11" s="10">
        <f>42049563.07/10^6</f>
        <v>42.049563069999998</v>
      </c>
      <c r="E11" s="10">
        <f>93178614.17/10^6</f>
        <v>93.178614170000003</v>
      </c>
      <c r="F11" s="10">
        <f>57158813.09/10^6</f>
        <v>57.158813090000002</v>
      </c>
      <c r="G11" s="10">
        <f>57158813.09/10^6</f>
        <v>57.158813090000002</v>
      </c>
      <c r="H11" s="10">
        <f>57158813.09/10^6</f>
        <v>57.158813090000002</v>
      </c>
      <c r="I11" s="15">
        <f t="shared" si="0"/>
        <v>7.9767940485784727E-2</v>
      </c>
    </row>
    <row r="12" spans="1:19" ht="14.5" x14ac:dyDescent="0.3">
      <c r="B12" s="3" t="s">
        <v>41</v>
      </c>
      <c r="C12" s="4"/>
      <c r="D12" s="11">
        <f>1575547361.52/10^6</f>
        <v>1575.5473615199999</v>
      </c>
      <c r="E12" s="11">
        <f>1735450760.72/10^6</f>
        <v>1735.4507607200001</v>
      </c>
      <c r="F12" s="11">
        <f>1880593827.15/10^6</f>
        <v>1880.5938271500002</v>
      </c>
      <c r="G12" s="11">
        <f>2133208927.09/10^6</f>
        <v>2133.2089270900001</v>
      </c>
      <c r="H12" s="11">
        <f>2262630540.22/10^6</f>
        <v>2262.6305402199996</v>
      </c>
      <c r="I12" s="17">
        <f t="shared" si="0"/>
        <v>9.4701077383025467E-2</v>
      </c>
      <c r="N12" s="1">
        <v>2013</v>
      </c>
      <c r="O12" s="8">
        <v>2014</v>
      </c>
      <c r="P12" s="1">
        <v>2015</v>
      </c>
      <c r="Q12" s="1">
        <v>2016</v>
      </c>
      <c r="R12" s="1">
        <v>2017</v>
      </c>
      <c r="S12" s="14" t="s">
        <v>50</v>
      </c>
    </row>
    <row r="13" spans="1:19" ht="14.5" x14ac:dyDescent="0.3">
      <c r="B13" s="2" t="s">
        <v>42</v>
      </c>
      <c r="D13" s="10">
        <v>0.8</v>
      </c>
      <c r="E13" s="10">
        <v>14.2</v>
      </c>
      <c r="F13" s="10">
        <v>21.7</v>
      </c>
      <c r="G13" s="10">
        <v>31.3</v>
      </c>
      <c r="H13" s="10">
        <v>65.900000000000006</v>
      </c>
      <c r="I13" s="15">
        <f t="shared" si="0"/>
        <v>2.0126512294548258</v>
      </c>
      <c r="L13" s="2" t="s">
        <v>42</v>
      </c>
      <c r="N13" s="10">
        <v>0.8</v>
      </c>
      <c r="O13" s="10">
        <v>14.2</v>
      </c>
      <c r="P13" s="10">
        <v>21.7</v>
      </c>
      <c r="Q13" s="10">
        <v>31.3</v>
      </c>
      <c r="R13" s="10">
        <v>65.900000000000006</v>
      </c>
      <c r="S13" s="15">
        <f t="shared" ref="S13:S15" si="1">POWER(R13/N13,1/4)-1</f>
        <v>2.0126512294548258</v>
      </c>
    </row>
    <row r="14" spans="1:19" ht="14.5" x14ac:dyDescent="0.3">
      <c r="B14" s="2"/>
      <c r="C14" s="2" t="s">
        <v>43</v>
      </c>
      <c r="D14" s="10"/>
      <c r="E14" s="10">
        <v>8.6999999999999993</v>
      </c>
      <c r="F14" s="10">
        <v>11.1</v>
      </c>
      <c r="G14" s="10">
        <v>20.7</v>
      </c>
      <c r="H14" s="10">
        <v>61.3</v>
      </c>
      <c r="I14" s="15">
        <f>POWER(H14/E14,1/3)-1</f>
        <v>0.9171101827995658</v>
      </c>
      <c r="L14" s="2"/>
      <c r="M14" s="2" t="s">
        <v>43</v>
      </c>
      <c r="N14" s="10"/>
      <c r="O14" s="10">
        <v>8.6999999999999993</v>
      </c>
      <c r="P14" s="10">
        <v>11.1</v>
      </c>
      <c r="Q14" s="10">
        <v>20.7</v>
      </c>
      <c r="R14" s="10">
        <v>61.3</v>
      </c>
      <c r="S14" s="15">
        <f>POWER(R14/O14,1/3)-1</f>
        <v>0.9171101827995658</v>
      </c>
    </row>
    <row r="15" spans="1:19" ht="14.5" x14ac:dyDescent="0.3">
      <c r="B15" s="2"/>
      <c r="C15" s="2" t="s">
        <v>44</v>
      </c>
      <c r="D15" s="10"/>
      <c r="E15" s="10">
        <v>0.9</v>
      </c>
      <c r="F15" s="10">
        <v>5.9</v>
      </c>
      <c r="G15" s="10">
        <v>1.1000000000000001</v>
      </c>
      <c r="H15" s="10">
        <v>3.1</v>
      </c>
      <c r="I15" s="15">
        <f>POWER(H15/E15,1/3)-1</f>
        <v>0.51021829869449764</v>
      </c>
      <c r="L15" s="2"/>
      <c r="M15" s="2" t="s">
        <v>44</v>
      </c>
      <c r="N15" s="10"/>
      <c r="O15" s="10">
        <v>0.9</v>
      </c>
      <c r="P15" s="10">
        <v>5.9</v>
      </c>
      <c r="Q15" s="10">
        <v>1.1000000000000001</v>
      </c>
      <c r="R15" s="10">
        <v>3.1</v>
      </c>
      <c r="S15" s="15">
        <f>POWER(R15/O15,1/3)-1</f>
        <v>0.51021829869449764</v>
      </c>
    </row>
    <row r="16" spans="1:19" ht="14.5" x14ac:dyDescent="0.3">
      <c r="B16" s="3" t="s">
        <v>45</v>
      </c>
      <c r="C16" s="3"/>
      <c r="D16" s="11">
        <f>133532552.25/10^6</f>
        <v>133.53255225000001</v>
      </c>
      <c r="E16" s="11">
        <f>213725012.18/10^6</f>
        <v>213.72501217999999</v>
      </c>
      <c r="F16" s="11">
        <f>269650469.63/10^6</f>
        <v>269.65046962999998</v>
      </c>
      <c r="G16" s="11">
        <f>496364877.38/10^6</f>
        <v>496.36487738</v>
      </c>
      <c r="H16" s="11">
        <f>592104198.82/10^6</f>
        <v>592.10419882000008</v>
      </c>
      <c r="I16" s="17">
        <f t="shared" si="0"/>
        <v>0.45111806183108905</v>
      </c>
    </row>
    <row r="17" spans="1:10" ht="14.5" x14ac:dyDescent="0.3">
      <c r="B17" s="3" t="s">
        <v>70</v>
      </c>
      <c r="C17" s="3"/>
      <c r="D17" s="11">
        <f>D12-D16</f>
        <v>1442.0148092699999</v>
      </c>
      <c r="E17" s="11">
        <f t="shared" ref="E17:H17" si="2">E12-E16</f>
        <v>1521.72574854</v>
      </c>
      <c r="F17" s="11">
        <f t="shared" si="2"/>
        <v>1610.9433575200001</v>
      </c>
      <c r="G17" s="11">
        <f t="shared" si="2"/>
        <v>1636.84404971</v>
      </c>
      <c r="H17" s="11">
        <f t="shared" si="2"/>
        <v>1670.5263413999996</v>
      </c>
      <c r="I17" s="17">
        <f t="shared" si="0"/>
        <v>3.7458902847905318E-2</v>
      </c>
    </row>
    <row r="18" spans="1:10" ht="14.5" x14ac:dyDescent="0.3">
      <c r="B18" s="2" t="s">
        <v>69</v>
      </c>
      <c r="D18" s="15">
        <f>D16/D12</f>
        <v>8.4753118510620506E-2</v>
      </c>
      <c r="E18" s="15">
        <f t="shared" ref="E18:H18" si="3">E16/E12</f>
        <v>0.12315244950616186</v>
      </c>
      <c r="F18" s="15">
        <f t="shared" si="3"/>
        <v>0.14338581023561559</v>
      </c>
      <c r="G18" s="15">
        <f t="shared" si="3"/>
        <v>0.23268460537389191</v>
      </c>
      <c r="H18" s="15">
        <f t="shared" si="3"/>
        <v>0.26168841456653757</v>
      </c>
      <c r="J18" s="2" t="s">
        <v>71</v>
      </c>
    </row>
    <row r="19" spans="1:10" ht="14.5" x14ac:dyDescent="0.3">
      <c r="A19" s="9"/>
      <c r="B19" s="9"/>
      <c r="C19" s="9"/>
      <c r="D19" s="7"/>
      <c r="E19" s="7"/>
      <c r="F19" s="7"/>
      <c r="G19" s="7"/>
      <c r="H19" s="7"/>
      <c r="I19" s="7"/>
      <c r="J19" s="2"/>
    </row>
    <row r="20" spans="1:10" ht="14.5" x14ac:dyDescent="0.3">
      <c r="B20" s="2"/>
      <c r="C20" s="2"/>
      <c r="D20" s="10"/>
      <c r="E20" s="10"/>
      <c r="F20" s="10"/>
      <c r="G20" s="10"/>
      <c r="H20" s="10"/>
      <c r="I20" s="15"/>
      <c r="J20" s="2"/>
    </row>
    <row r="21" spans="1:10" ht="14.5" x14ac:dyDescent="0.3">
      <c r="B21" s="2"/>
      <c r="C21" s="2"/>
      <c r="D21" s="16"/>
      <c r="E21" s="10"/>
      <c r="F21" s="10"/>
      <c r="G21" s="10"/>
      <c r="H21" s="10"/>
      <c r="I21" s="15"/>
      <c r="J21" s="2"/>
    </row>
    <row r="22" spans="1:10" ht="14.5" x14ac:dyDescent="0.3">
      <c r="B22" s="2"/>
      <c r="C22" s="2"/>
      <c r="D22" s="10"/>
      <c r="E22" s="10"/>
      <c r="F22" s="10"/>
      <c r="G22" s="10"/>
      <c r="H22" s="10"/>
      <c r="I22" s="15"/>
      <c r="J22" s="2"/>
    </row>
    <row r="23" spans="1:10" ht="14.5" x14ac:dyDescent="0.3">
      <c r="J23" s="2"/>
    </row>
    <row r="24" spans="1:10" ht="14.5" x14ac:dyDescent="0.3">
      <c r="C24" s="2"/>
      <c r="D24" s="15"/>
      <c r="E24" s="15"/>
      <c r="F24" s="15"/>
      <c r="G24" s="15"/>
      <c r="H24" s="15"/>
      <c r="J24" s="2"/>
    </row>
  </sheetData>
  <phoneticPr fontId="2" type="noConversion"/>
  <conditionalFormatting sqref="I4">
    <cfRule type="cellIs" dxfId="4" priority="3" operator="lessThan">
      <formula>0</formula>
    </cfRule>
  </conditionalFormatting>
  <conditionalFormatting sqref="I5:I17">
    <cfRule type="cellIs" dxfId="3" priority="4" operator="lessThan">
      <formula>0</formula>
    </cfRule>
  </conditionalFormatting>
  <conditionalFormatting sqref="I20:I22">
    <cfRule type="cellIs" dxfId="2" priority="2" operator="lessThan">
      <formula>0</formula>
    </cfRule>
  </conditionalFormatting>
  <conditionalFormatting sqref="S13:S15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74C4-A57E-46BE-9D8F-069ACA38EF5B}">
  <dimension ref="A2:I17"/>
  <sheetViews>
    <sheetView showGridLines="0" tabSelected="1" workbookViewId="0">
      <selection activeCell="H17" sqref="A4:H17"/>
    </sheetView>
  </sheetViews>
  <sheetFormatPr defaultRowHeight="14" x14ac:dyDescent="0.3"/>
  <sheetData>
    <row r="2" spans="1:9" x14ac:dyDescent="0.3">
      <c r="I2" s="7"/>
    </row>
    <row r="3" spans="1:9" x14ac:dyDescent="0.3">
      <c r="I3" s="7"/>
    </row>
    <row r="4" spans="1:9" ht="14.5" x14ac:dyDescent="0.3">
      <c r="D4" s="1">
        <v>2013</v>
      </c>
      <c r="E4" s="8">
        <v>2014</v>
      </c>
      <c r="F4" s="1">
        <v>2015</v>
      </c>
      <c r="G4" s="1">
        <v>2016</v>
      </c>
      <c r="H4" s="1">
        <v>2017</v>
      </c>
      <c r="I4" s="20"/>
    </row>
    <row r="5" spans="1:9" ht="14.5" x14ac:dyDescent="0.3">
      <c r="A5" s="5" t="s">
        <v>46</v>
      </c>
      <c r="B5" s="5"/>
      <c r="C5" s="5"/>
      <c r="D5" s="12"/>
      <c r="E5" s="12"/>
      <c r="F5" s="12"/>
      <c r="G5" s="12"/>
      <c r="H5" s="12"/>
      <c r="I5" s="19"/>
    </row>
    <row r="6" spans="1:9" ht="14.5" x14ac:dyDescent="0.3">
      <c r="A6" s="2"/>
      <c r="B6" s="2" t="s">
        <v>47</v>
      </c>
      <c r="C6" s="2"/>
      <c r="D6" s="10"/>
      <c r="E6" s="10"/>
      <c r="F6" s="10"/>
      <c r="G6" s="10"/>
      <c r="H6" s="10"/>
      <c r="I6" s="19"/>
    </row>
    <row r="7" spans="1:9" ht="14.5" x14ac:dyDescent="0.3">
      <c r="A7" s="2"/>
      <c r="B7" s="2" t="s">
        <v>48</v>
      </c>
      <c r="C7" s="2"/>
      <c r="D7" s="10">
        <f>57651547.58/10^6</f>
        <v>57.651547579999999</v>
      </c>
      <c r="E7" s="10">
        <f>27603265.23/10^6</f>
        <v>27.603265230000002</v>
      </c>
      <c r="F7" s="10">
        <f>42051679.09/10^6</f>
        <v>42.05167909</v>
      </c>
      <c r="G7" s="10">
        <f>-16564701.73/10^6</f>
        <v>-16.564701729999999</v>
      </c>
      <c r="H7" s="10">
        <f>-18284428.06/10^6</f>
        <v>-18.28442806</v>
      </c>
      <c r="I7" s="19"/>
    </row>
    <row r="8" spans="1:9" ht="14.5" x14ac:dyDescent="0.3">
      <c r="B8" s="2" t="s">
        <v>67</v>
      </c>
      <c r="D8" s="10"/>
      <c r="E8" s="10"/>
      <c r="F8" s="10"/>
      <c r="G8" s="10"/>
      <c r="H8" s="10"/>
      <c r="I8" s="19"/>
    </row>
    <row r="9" spans="1:9" ht="14.5" x14ac:dyDescent="0.3">
      <c r="B9" s="2" t="s">
        <v>48</v>
      </c>
      <c r="D9" s="10">
        <f>-87682236.03/10^6</f>
        <v>-87.682236029999999</v>
      </c>
      <c r="E9" s="10">
        <f>-1923407.2/10^6</f>
        <v>-1.9234072</v>
      </c>
      <c r="F9" s="10">
        <f>-15001584.51/10^6</f>
        <v>-15.001584509999999</v>
      </c>
      <c r="G9" s="10">
        <f>-277468802.65/10^6</f>
        <v>-277.46880264999999</v>
      </c>
      <c r="H9" s="10">
        <f>86925480.622/10^6</f>
        <v>86.925480621999995</v>
      </c>
      <c r="I9" s="19"/>
    </row>
    <row r="10" spans="1:9" ht="14.5" x14ac:dyDescent="0.3">
      <c r="B10" s="2"/>
      <c r="C10" s="2" t="s">
        <v>73</v>
      </c>
      <c r="D10" s="10"/>
      <c r="E10" s="10"/>
      <c r="F10" s="10"/>
      <c r="G10" s="10"/>
      <c r="H10" s="10"/>
      <c r="I10" s="19"/>
    </row>
    <row r="11" spans="1:9" ht="14.5" x14ac:dyDescent="0.3">
      <c r="B11" s="2"/>
      <c r="C11" s="2" t="s">
        <v>74</v>
      </c>
      <c r="D11" s="10">
        <f>152917.32/10^6</f>
        <v>0.15291732</v>
      </c>
      <c r="E11" s="10">
        <f>745562.61/10^6</f>
        <v>0.74556261000000001</v>
      </c>
      <c r="F11" s="10"/>
      <c r="G11" s="10"/>
      <c r="H11" s="10">
        <f>30848683.34/10^6</f>
        <v>30.848683340000001</v>
      </c>
      <c r="I11" s="19"/>
    </row>
    <row r="12" spans="1:9" ht="14.5" x14ac:dyDescent="0.3">
      <c r="B12" s="2"/>
      <c r="C12" s="2" t="s">
        <v>75</v>
      </c>
      <c r="D12" s="10"/>
      <c r="E12" s="10"/>
      <c r="F12" s="10"/>
      <c r="G12" s="10"/>
      <c r="H12" s="10"/>
      <c r="I12" s="19"/>
    </row>
    <row r="13" spans="1:9" ht="14.5" x14ac:dyDescent="0.3">
      <c r="B13" s="2"/>
      <c r="C13" s="2" t="s">
        <v>76</v>
      </c>
      <c r="D13" s="10">
        <f>28835153.35/10^6</f>
        <v>28.835153350000002</v>
      </c>
      <c r="E13" s="10">
        <f>26607070.55/10^6</f>
        <v>26.60707055</v>
      </c>
      <c r="F13" s="10">
        <f>9007670.23/10^6</f>
        <v>9.0076702300000004</v>
      </c>
      <c r="G13" s="10">
        <f>8887555.62/10^6</f>
        <v>8.8875556199999988</v>
      </c>
      <c r="H13" s="10">
        <f>39552230.62/10^6</f>
        <v>39.552230619999996</v>
      </c>
      <c r="I13" s="19"/>
    </row>
    <row r="14" spans="1:9" ht="14.5" x14ac:dyDescent="0.3">
      <c r="B14" s="2" t="s">
        <v>68</v>
      </c>
      <c r="D14" s="10"/>
      <c r="E14" s="10"/>
      <c r="F14" s="10"/>
      <c r="G14" s="10"/>
      <c r="H14" s="10"/>
      <c r="I14" s="19"/>
    </row>
    <row r="15" spans="1:9" ht="14.5" x14ac:dyDescent="0.3">
      <c r="B15" s="2" t="s">
        <v>48</v>
      </c>
      <c r="D15" s="10">
        <f>-253423347.43/10^6</f>
        <v>-253.42334743000001</v>
      </c>
      <c r="E15" s="10">
        <f>-8578523.73/10^6</f>
        <v>-8.5785237300000006</v>
      </c>
      <c r="F15" s="10">
        <f>10448403.61/10^6</f>
        <v>10.44840361</v>
      </c>
      <c r="G15" s="10">
        <f>209313712.89/10^6</f>
        <v>209.31371288999998</v>
      </c>
      <c r="H15" s="10">
        <f>5337613.19/10^6</f>
        <v>5.3376131900000008</v>
      </c>
      <c r="I15" s="19"/>
    </row>
    <row r="17" spans="2:9" ht="14.5" x14ac:dyDescent="0.3">
      <c r="B17" s="3" t="s">
        <v>77</v>
      </c>
      <c r="C17" s="4"/>
      <c r="D17" s="11">
        <f>D7-D13+D11</f>
        <v>28.969311549999997</v>
      </c>
      <c r="E17" s="11">
        <f t="shared" ref="E17:H17" si="0">E7-E13+E11</f>
        <v>1.741757290000002</v>
      </c>
      <c r="F17" s="11">
        <f t="shared" si="0"/>
        <v>33.044008859999998</v>
      </c>
      <c r="G17" s="11">
        <f t="shared" si="0"/>
        <v>-25.452257349999996</v>
      </c>
      <c r="H17" s="11">
        <f t="shared" si="0"/>
        <v>-26.987975339999998</v>
      </c>
      <c r="I17" s="2" t="s">
        <v>78</v>
      </c>
    </row>
  </sheetData>
  <phoneticPr fontId="2" type="noConversion"/>
  <conditionalFormatting sqref="I5:I15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Benchmark</vt:lpstr>
      <vt:lpstr>——&gt;</vt:lpstr>
      <vt:lpstr>营收毛利</vt:lpstr>
      <vt:lpstr>费用净利</vt:lpstr>
      <vt:lpstr>流动资产和应付</vt:lpstr>
      <vt:lpstr>非流资产和负债、权益</vt:lpstr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2018-10-06T12:45:38Z</dcterms:modified>
</cp:coreProperties>
</file>