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extension and finance team/"/>
    </mc:Choice>
  </mc:AlternateContent>
  <xr:revisionPtr revIDLastSave="20" documentId="8_{2292A49A-CCC0-4FC6-845C-385087291A88}" xr6:coauthVersionLast="47" xr6:coauthVersionMax="47" xr10:uidLastSave="{19B34500-6D34-49D0-9115-372E18BCCC45}"/>
  <bookViews>
    <workbookView xWindow="-110" yWindow="-110" windowWidth="19420" windowHeight="10420" firstSheet="9" activeTab="13" xr2:uid="{172C6F1B-DE4F-4E9E-A5C7-5344284F0D4D}"/>
  </bookViews>
  <sheets>
    <sheet name="BJ (R. Bathalon)" sheetId="3" r:id="rId1"/>
    <sheet name="Choiniere" sheetId="4" r:id="rId2"/>
    <sheet name="Corse Farm" sheetId="5" r:id="rId3"/>
    <sheet name="Donegan" sheetId="6" r:id="rId4"/>
    <sheet name="Glennview" sheetId="12" r:id="rId5"/>
    <sheet name="Hall and Breen" sheetId="9" r:id="rId6"/>
    <sheet name="Holyoke" sheetId="7" r:id="rId7"/>
    <sheet name="Hoyt Hill" sheetId="15" r:id="rId8"/>
    <sheet name="MacBain Homestead" sheetId="13" r:id="rId9"/>
    <sheet name="Mollybrook" sheetId="8" r:id="rId10"/>
    <sheet name="Oughta-Be" sheetId="14" r:id="rId11"/>
    <sheet name="Paddlebridge (A. Bathalon)" sheetId="2" r:id="rId12"/>
    <sheet name="Stony Pond" sheetId="11" r:id="rId13"/>
    <sheet name="Swallowdale" sheetId="10" r:id="rId14"/>
  </sheets>
  <definedNames>
    <definedName name="_xlnm.Print_Area" localSheetId="2">'Corse Farm'!$A$1:$H$110</definedName>
    <definedName name="_xlnm.Print_Area" localSheetId="9">Mollybrook!$A$1:$Q$106</definedName>
    <definedName name="_xlnm.Print_Area" localSheetId="10">'Oughta-Be'!$A$1:$Q$104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 i="15" l="1"/>
  <c r="K13" i="15" s="1"/>
  <c r="N13" i="15" s="1"/>
  <c r="I42" i="15"/>
  <c r="K11" i="15" s="1"/>
  <c r="N11" i="15" s="1"/>
  <c r="N18" i="15" s="1"/>
  <c r="I40" i="15"/>
  <c r="I39" i="15"/>
  <c r="E32" i="15"/>
  <c r="D32" i="15"/>
  <c r="I26" i="15" s="1"/>
  <c r="K7" i="15" s="1"/>
  <c r="N7" i="15" s="1"/>
  <c r="I19" i="15"/>
  <c r="N6" i="15" s="1"/>
  <c r="K15" i="15"/>
  <c r="K12" i="15"/>
  <c r="N12" i="15" s="1"/>
  <c r="K10" i="15"/>
  <c r="N10" i="15" s="1"/>
  <c r="N9" i="15"/>
  <c r="K9" i="15"/>
  <c r="K8" i="15"/>
  <c r="N8" i="15" s="1"/>
  <c r="K5" i="15"/>
  <c r="N15" i="15" s="1"/>
  <c r="N14" i="15" l="1"/>
  <c r="N17" i="15" s="1"/>
  <c r="I43" i="14" l="1"/>
  <c r="K12" i="14" s="1"/>
  <c r="N12" i="14" s="1"/>
  <c r="I42" i="14"/>
  <c r="K11" i="14" s="1"/>
  <c r="N11" i="14" s="1"/>
  <c r="N18" i="14" s="1"/>
  <c r="I39" i="14"/>
  <c r="I26" i="14"/>
  <c r="K13" i="14"/>
  <c r="N13" i="14" s="1"/>
  <c r="K10" i="14"/>
  <c r="N10" i="14" s="1"/>
  <c r="K9" i="14"/>
  <c r="N9" i="14" s="1"/>
  <c r="N8" i="14"/>
  <c r="K8" i="14"/>
  <c r="K7" i="14"/>
  <c r="N7" i="14" s="1"/>
  <c r="K5" i="14"/>
  <c r="N14" i="14" s="1"/>
  <c r="N17" i="14" l="1"/>
  <c r="I41" i="13" l="1"/>
  <c r="K13" i="13" s="1"/>
  <c r="N13" i="13" s="1"/>
  <c r="I40" i="13"/>
  <c r="I39" i="13"/>
  <c r="K11" i="13" s="1"/>
  <c r="N11" i="13" s="1"/>
  <c r="I20" i="13"/>
  <c r="K14" i="13"/>
  <c r="N14" i="13" s="1"/>
  <c r="K12" i="13"/>
  <c r="N12" i="13" s="1"/>
  <c r="K10" i="13"/>
  <c r="N10" i="13" s="1"/>
  <c r="K9" i="13"/>
  <c r="N9" i="13" s="1"/>
  <c r="K8" i="13"/>
  <c r="N8" i="13" s="1"/>
  <c r="N7" i="13"/>
  <c r="K7" i="13"/>
  <c r="K6" i="13"/>
  <c r="N15" i="13" s="1"/>
  <c r="J25" i="12"/>
  <c r="K7" i="12" s="1"/>
  <c r="N7" i="12" s="1"/>
  <c r="J24" i="12"/>
  <c r="N15" i="12"/>
  <c r="N14" i="12"/>
  <c r="N13" i="12"/>
  <c r="K12" i="12"/>
  <c r="N12" i="12" s="1"/>
  <c r="N19" i="12" s="1"/>
  <c r="N11" i="12"/>
  <c r="K10" i="12"/>
  <c r="N10" i="12" s="1"/>
  <c r="N9" i="12"/>
  <c r="P8" i="12"/>
  <c r="K8" i="12"/>
  <c r="N8" i="12" s="1"/>
  <c r="N18" i="13" l="1"/>
  <c r="N19" i="13"/>
  <c r="N18" i="12"/>
  <c r="F32" i="11" l="1"/>
  <c r="L15" i="11"/>
  <c r="L11" i="11"/>
  <c r="L9" i="11"/>
  <c r="L10" i="11" s="1"/>
  <c r="L8" i="11"/>
  <c r="L7" i="11"/>
  <c r="K45" i="10" l="1"/>
  <c r="H45" i="10"/>
  <c r="J43" i="10"/>
  <c r="K43" i="10" s="1"/>
  <c r="O16" i="10"/>
  <c r="O15" i="10"/>
  <c r="O14" i="10"/>
  <c r="L14" i="10"/>
  <c r="O13" i="10"/>
  <c r="L12" i="10"/>
  <c r="O12" i="10" s="1"/>
  <c r="L10" i="10"/>
  <c r="L11" i="10" s="1"/>
  <c r="O11" i="10" s="1"/>
  <c r="L8" i="10"/>
  <c r="O8" i="10" s="1"/>
  <c r="O18" i="10" s="1"/>
  <c r="O7" i="10"/>
  <c r="L9" i="10" l="1"/>
  <c r="O9" i="10" s="1"/>
  <c r="O19" i="10" s="1"/>
  <c r="O10" i="10"/>
  <c r="L41" i="9" l="1"/>
  <c r="L12" i="9" s="1"/>
  <c r="K41" i="9"/>
  <c r="L9" i="9" s="1"/>
  <c r="L40" i="9"/>
  <c r="L14" i="9" s="1"/>
  <c r="O14" i="9" s="1"/>
  <c r="K40" i="9"/>
  <c r="L26" i="9"/>
  <c r="L25" i="9"/>
  <c r="K23" i="9"/>
  <c r="K22" i="9"/>
  <c r="K24" i="9" s="1"/>
  <c r="L24" i="9" s="1"/>
  <c r="L7" i="9" s="1"/>
  <c r="O7" i="9" s="1"/>
  <c r="L16" i="9"/>
  <c r="O16" i="9" s="1"/>
  <c r="O15" i="9"/>
  <c r="O11" i="9"/>
  <c r="O8" i="9"/>
  <c r="O9" i="9" l="1"/>
  <c r="L10" i="9"/>
  <c r="O10" i="9" s="1"/>
  <c r="O12" i="9"/>
  <c r="L13" i="9"/>
  <c r="O13" i="9" s="1"/>
  <c r="O18" i="9"/>
  <c r="O19" i="9" l="1"/>
  <c r="K43" i="8"/>
  <c r="L40" i="8"/>
  <c r="K40" i="8"/>
  <c r="I20" i="8"/>
  <c r="L16" i="8"/>
  <c r="O16" i="8" s="1"/>
  <c r="O15" i="8"/>
  <c r="L13" i="8"/>
  <c r="L14" i="8" s="1"/>
  <c r="O14" i="8" s="1"/>
  <c r="O12" i="8"/>
  <c r="L11" i="8"/>
  <c r="O11" i="8" s="1"/>
  <c r="O18" i="8" s="1"/>
  <c r="O10" i="8"/>
  <c r="L9" i="8"/>
  <c r="O9" i="8" s="1"/>
  <c r="O19" i="8" s="1"/>
  <c r="O8" i="8"/>
  <c r="O7" i="8"/>
  <c r="O13" i="8" l="1"/>
  <c r="J48" i="7" l="1"/>
  <c r="J23" i="7"/>
  <c r="J21" i="7"/>
  <c r="O16" i="7"/>
  <c r="O15" i="7"/>
  <c r="L14" i="7"/>
  <c r="O14" i="7" s="1"/>
  <c r="L12" i="7"/>
  <c r="O12" i="7" s="1"/>
  <c r="L10" i="7"/>
  <c r="O10" i="7" s="1"/>
  <c r="O9" i="7"/>
  <c r="O19" i="7" s="1"/>
  <c r="L9" i="7"/>
  <c r="L8" i="7"/>
  <c r="O8" i="7" s="1"/>
  <c r="O7" i="7"/>
  <c r="A4" i="7"/>
  <c r="A5" i="7" s="1"/>
  <c r="A6" i="7" s="1"/>
  <c r="A7" i="7" s="1"/>
  <c r="A8" i="7" s="1"/>
  <c r="A9" i="7" s="1"/>
  <c r="A10" i="7" s="1"/>
  <c r="A11" i="7" s="1"/>
  <c r="A12" i="7" s="1"/>
  <c r="A13" i="7" s="1"/>
  <c r="A14" i="7" s="1"/>
  <c r="A15" i="7" s="1"/>
  <c r="A16" i="7" s="1"/>
  <c r="A17" i="7" s="1"/>
  <c r="A18" i="7" s="1"/>
  <c r="A19" i="7" s="1"/>
  <c r="A20" i="7" s="1"/>
  <c r="A21" i="7" s="1"/>
  <c r="A22" i="7" s="1"/>
  <c r="A23" i="7" s="1"/>
  <c r="O18" i="7" l="1"/>
  <c r="L13" i="7"/>
  <c r="O13" i="7" s="1"/>
  <c r="L11" i="7"/>
  <c r="O11" i="7" s="1"/>
  <c r="F39" i="6" l="1"/>
  <c r="L11" i="6" s="1"/>
  <c r="O11" i="6" s="1"/>
  <c r="E39" i="6"/>
  <c r="F29" i="6"/>
  <c r="F28" i="6"/>
  <c r="L16" i="6"/>
  <c r="O16" i="6" s="1"/>
  <c r="O15" i="6"/>
  <c r="O14" i="6"/>
  <c r="O13" i="6"/>
  <c r="O12" i="6"/>
  <c r="L10" i="6"/>
  <c r="O10" i="6" s="1"/>
  <c r="O9" i="6"/>
  <c r="O19" i="6" s="1"/>
  <c r="L8" i="6"/>
  <c r="O8" i="6" s="1"/>
  <c r="O7" i="6"/>
  <c r="O18" i="6" l="1"/>
  <c r="K45" i="5" l="1"/>
  <c r="L14" i="5" s="1"/>
  <c r="O14" i="5" s="1"/>
  <c r="J45" i="5"/>
  <c r="K43" i="5"/>
  <c r="I43" i="5"/>
  <c r="I42" i="5"/>
  <c r="I41" i="5"/>
  <c r="K41" i="5" s="1"/>
  <c r="I40" i="5"/>
  <c r="I20" i="5"/>
  <c r="O16" i="5"/>
  <c r="O15" i="5"/>
  <c r="O13" i="5"/>
  <c r="L12" i="5"/>
  <c r="O11" i="5"/>
  <c r="O10" i="5"/>
  <c r="L9" i="5"/>
  <c r="O9" i="5" s="1"/>
  <c r="O19" i="5" s="1"/>
  <c r="O8" i="5"/>
  <c r="O18" i="5" s="1"/>
  <c r="O7" i="5"/>
  <c r="I50" i="4" l="1"/>
  <c r="D45" i="4"/>
  <c r="D44" i="4"/>
  <c r="H43" i="4"/>
  <c r="M42" i="4"/>
  <c r="I41" i="4"/>
  <c r="L38" i="4"/>
  <c r="K37" i="4"/>
  <c r="L37" i="4" s="1"/>
  <c r="M38" i="4" s="1"/>
  <c r="J29" i="4"/>
  <c r="O16" i="4"/>
  <c r="O15" i="4"/>
  <c r="L14" i="4"/>
  <c r="O14" i="4" s="1"/>
  <c r="O13" i="4"/>
  <c r="O11" i="4"/>
  <c r="L10" i="4"/>
  <c r="O10" i="4" s="1"/>
  <c r="O9" i="4"/>
  <c r="O19" i="4" s="1"/>
  <c r="O8" i="4"/>
  <c r="O18" i="4" s="1"/>
  <c r="O7" i="4"/>
  <c r="J41" i="3" l="1"/>
  <c r="O16" i="3"/>
  <c r="O15" i="3"/>
  <c r="L14" i="3"/>
  <c r="O14" i="3" s="1"/>
  <c r="L13" i="3"/>
  <c r="O13" i="3" s="1"/>
  <c r="L12" i="3"/>
  <c r="O12" i="3" s="1"/>
  <c r="L10" i="3"/>
  <c r="L11" i="3" s="1"/>
  <c r="O11" i="3" s="1"/>
  <c r="O18" i="3" s="1"/>
  <c r="L9" i="3"/>
  <c r="O9" i="3" s="1"/>
  <c r="O19" i="3" s="1"/>
  <c r="O8" i="3"/>
  <c r="O7" i="3"/>
  <c r="L7" i="3"/>
  <c r="O10" i="3" l="1"/>
  <c r="K39" i="2"/>
  <c r="I34" i="2"/>
  <c r="I32" i="2"/>
  <c r="I22" i="2"/>
  <c r="O16" i="2"/>
  <c r="O15" i="2"/>
  <c r="O14" i="2"/>
  <c r="O13" i="2"/>
  <c r="O12" i="2"/>
  <c r="O10" i="2"/>
  <c r="O9" i="2"/>
  <c r="O19" i="2" s="1"/>
  <c r="O8" i="2"/>
  <c r="O18" i="2" s="1"/>
  <c r="O7" i="2"/>
</calcChain>
</file>

<file path=xl/sharedStrings.xml><?xml version="1.0" encoding="utf-8"?>
<sst xmlns="http://schemas.openxmlformats.org/spreadsheetml/2006/main" count="3690" uniqueCount="1017">
  <si>
    <t>Cells that are in orange are information we have already collected - to be filled in prior to interview</t>
  </si>
  <si>
    <t>page 1</t>
  </si>
  <si>
    <t>Demographic information</t>
  </si>
  <si>
    <t>Farm Name</t>
  </si>
  <si>
    <t>Paddlebridge Holsteins, Karen and Allen Bathalon</t>
  </si>
  <si>
    <t>Farm address</t>
  </si>
  <si>
    <t>3785 River Road, North Troy, VT, 05859</t>
  </si>
  <si>
    <t>SUMMARY CALCULATIONS</t>
  </si>
  <si>
    <t>Farm phone &amp; email</t>
  </si>
  <si>
    <t>802-988-2900, k-the-milkmaid@hotmail.com</t>
  </si>
  <si>
    <t>Bedding numbers</t>
  </si>
  <si>
    <t>number of lactating cows / dry cows</t>
  </si>
  <si>
    <t>51 lactating, 5 dry</t>
  </si>
  <si>
    <t># cows</t>
  </si>
  <si>
    <t>type of housing</t>
  </si>
  <si>
    <t xml:space="preserve">Tiestall 60 stallss </t>
  </si>
  <si>
    <t>Sq ft housing</t>
  </si>
  <si>
    <t>sq ft/cow</t>
  </si>
  <si>
    <t>How long has the current WINTER bedding system been in use for LACTATING cows</t>
  </si>
  <si>
    <t>bedding cost/yr</t>
  </si>
  <si>
    <t>bedding cost/cow</t>
  </si>
  <si>
    <t>Type of Bedding</t>
  </si>
  <si>
    <t>Sawdust</t>
  </si>
  <si>
    <t>bedding labor hrs</t>
  </si>
  <si>
    <t>bedding labor hrs/cow</t>
  </si>
  <si>
    <t>How is the pack maintained (till or aerated or static?)</t>
  </si>
  <si>
    <t>NA</t>
  </si>
  <si>
    <t>equipment hrs (bedding)</t>
  </si>
  <si>
    <t>tractor hrs/cow</t>
  </si>
  <si>
    <t>Bedding depth</t>
  </si>
  <si>
    <t>2-3 inches sawdust on rubber matts Mayo Mats</t>
  </si>
  <si>
    <t>fuel usage (bedding)</t>
  </si>
  <si>
    <t>see below</t>
  </si>
  <si>
    <t>bedding fuel cost/cow</t>
  </si>
  <si>
    <t>Frequency bedding is maintained (cleaned or tilled)</t>
  </si>
  <si>
    <t>All the time in the barn, mainly two times a day (8 hours monitoring it constantly)</t>
  </si>
  <si>
    <t>Manure/pack labor hrs</t>
  </si>
  <si>
    <t>manure labor hrs/cow</t>
  </si>
  <si>
    <t>Frequency new material is added (estimate of amount of material added per unit time)</t>
  </si>
  <si>
    <t>Twice a day</t>
  </si>
  <si>
    <t>Manure/pack moving/spreading TRACTOR hrs</t>
  </si>
  <si>
    <t>Tractor hrs/cow (manure)</t>
  </si>
  <si>
    <t>What factors do you monitor for bedding (temperature? moisture?)</t>
  </si>
  <si>
    <t>fuel usage (manure)</t>
  </si>
  <si>
    <t xml:space="preserve"> </t>
  </si>
  <si>
    <t>fuel usage cost/cow (manure)</t>
  </si>
  <si>
    <t>estimate of composition of materials used for bedding</t>
  </si>
  <si>
    <t>All shavings/sawdust</t>
  </si>
  <si>
    <t>cost/gallon for fuel</t>
  </si>
  <si>
    <t>other costs/cow</t>
  </si>
  <si>
    <t>initial construction of pack materials and process</t>
  </si>
  <si>
    <t>custom hire pack/manure cost</t>
  </si>
  <si>
    <t>custom manure/pack cost/cow</t>
  </si>
  <si>
    <t>fed on pack y/n</t>
  </si>
  <si>
    <t>was hygiene/mastitis affected</t>
  </si>
  <si>
    <t>Other costs</t>
  </si>
  <si>
    <t>lime</t>
  </si>
  <si>
    <t>total cost/cow</t>
  </si>
  <si>
    <t>Year lactating cow winter housing facility built</t>
  </si>
  <si>
    <t>total labor/cow</t>
  </si>
  <si>
    <t>How many sq feet of housing for the lactating cows</t>
  </si>
  <si>
    <t>not measured</t>
  </si>
  <si>
    <t>how many cows does the lactating housing facility hold (# stalls or # cows)</t>
  </si>
  <si>
    <t>60 stalls, 55 lactating cows</t>
  </si>
  <si>
    <t>Stalls  are 4 feet wide and 70 inches long</t>
  </si>
  <si>
    <t xml:space="preserve">Though 12 of the stalls are 3 1/2 feet wide.  </t>
  </si>
  <si>
    <t xml:space="preserve">they have holsteins </t>
  </si>
  <si>
    <t xml:space="preserve">other details collected </t>
  </si>
  <si>
    <t>page 2</t>
  </si>
  <si>
    <t>for pack we have sq feet per cow (size of pen and # animals on it, plus breed), estimated depth of pack currently, measurement for temp of pack; for stalls we have stall width, body length, total length, brisket board y/n, freestall we have cows/stall; description of outdoor turnout (surface material, stocking density, size, how often cleaned, took a picture)</t>
  </si>
  <si>
    <t>date of observation: 4/29/2019. Tunnel and cross ventilation present. Stalls 41-49" x 86", not uniform size, unlimited headspace, brisket board present, gutter present. Outdoor area description: heifers currently using ; light coat of manure 0-2 inches</t>
  </si>
  <si>
    <t>ECONOMIC RELATED QUESTIONS SARAH/BRIAN WILL ASK</t>
  </si>
  <si>
    <t>BEDDING QUANTITY</t>
  </si>
  <si>
    <t>unit</t>
  </si>
  <si>
    <t xml:space="preserve">Quantity </t>
  </si>
  <si>
    <t>Cost per unit</t>
  </si>
  <si>
    <t>Annual cost</t>
  </si>
  <si>
    <t>purchased or made</t>
  </si>
  <si>
    <t>note on costs (actual or estimated)</t>
  </si>
  <si>
    <t>straw bales</t>
  </si>
  <si>
    <t>bale</t>
  </si>
  <si>
    <t>dry round bales</t>
  </si>
  <si>
    <t>processed bales</t>
  </si>
  <si>
    <t>wood chips</t>
  </si>
  <si>
    <t>ton</t>
  </si>
  <si>
    <t>wood shavings</t>
  </si>
  <si>
    <t>in summer the cows stay indoors dayttime and graze att night.  So use 1/2 as much in summer</t>
  </si>
  <si>
    <t xml:space="preserve">buying in tractor trailer loads.  Not totally dry but they ask for hardwood.  </t>
  </si>
  <si>
    <t xml:space="preserve">20 to 22 truck loads per year.  Also use this in the 3 sided pack barn  for heifers and in the tie stall heifer barn.     Estimates that 18 loads go to cows. Rest to youngstock.   Younstock are on  pasture all summer.  </t>
  </si>
  <si>
    <t>1200 cost per load</t>
  </si>
  <si>
    <t>Sand</t>
  </si>
  <si>
    <t>Conditioners (lime, rock phosphate)</t>
  </si>
  <si>
    <t>lbs/ton</t>
  </si>
  <si>
    <t xml:space="preserve">in past years they used it regularly.  Used one load of lime in the last year.  </t>
  </si>
  <si>
    <t xml:space="preserve">450 for 12 tons. </t>
  </si>
  <si>
    <t xml:space="preserve">est they used 5 loads in last year </t>
  </si>
  <si>
    <t xml:space="preserve">LABOR/MANAGEMENT COST </t>
  </si>
  <si>
    <t>page 3</t>
  </si>
  <si>
    <t>Management cost of bedding &amp; cultivating &amp; emptying the pack or cleaning stalls or scraping manure or moving manure or turning/composting manure/compost and spreading manure?  Include custom hire  costs.</t>
  </si>
  <si>
    <t>type of equipment</t>
  </si>
  <si>
    <t>use</t>
  </si>
  <si>
    <t>hours used</t>
  </si>
  <si>
    <t>fuel quantity used</t>
  </si>
  <si>
    <t>Annual Fuel Cost</t>
  </si>
  <si>
    <t>hourly non fuel operating cost</t>
  </si>
  <si>
    <t>Annual non fuel operating cost</t>
  </si>
  <si>
    <t>Sawdust cart</t>
  </si>
  <si>
    <t xml:space="preserve">1 1/2 hrs/day both of them together </t>
  </si>
  <si>
    <t>bedding labor</t>
  </si>
  <si>
    <t xml:space="preserve">Tractor to unload each truckload delivery.  Takes about 10 minutes. </t>
  </si>
  <si>
    <t>bedding equip time</t>
  </si>
  <si>
    <t xml:space="preserve">Manure is solid stack with liquid separation. </t>
  </si>
  <si>
    <t>manure liquid is spread custom.  Solids are spread themselves</t>
  </si>
  <si>
    <t>they pay a fixed custom rate for hay making and manure spreading of liquids.</t>
  </si>
  <si>
    <t>they use their own liq pump and tractor but custom operators liq spreader.  Estimate 3 days per year running tractor to agitate pit</t>
  </si>
  <si>
    <t>9000 custom cost for manure  spreading</t>
  </si>
  <si>
    <t>manure moving labor</t>
  </si>
  <si>
    <t>est that they spread solids 8 to 10 days per year.  6 hrs per day</t>
  </si>
  <si>
    <t>manure moving equp time</t>
  </si>
  <si>
    <t xml:space="preserve">Some of this manure is pack manure from the heifer barns </t>
  </si>
  <si>
    <t>6000 per year for fuel bill - est around 1/2 is moving manure/bedding</t>
  </si>
  <si>
    <t>Notes:</t>
  </si>
  <si>
    <t>BUILDING AND EQUIPMENT COSTS</t>
  </si>
  <si>
    <t>page 4</t>
  </si>
  <si>
    <t>Type of Equipment</t>
  </si>
  <si>
    <t>cost</t>
  </si>
  <si>
    <t>year built or purchased</t>
  </si>
  <si>
    <t>% use in pack/compost pack</t>
  </si>
  <si>
    <t>yrs ammortized</t>
  </si>
  <si>
    <t>Any grant funds or cost share</t>
  </si>
  <si>
    <t>annual cost</t>
  </si>
  <si>
    <t xml:space="preserve"> ONLY  DO THIS SECTION IF THE BUILDING IS NEWISH Cost to build the barn</t>
  </si>
  <si>
    <t xml:space="preserve">Did you buy any equipment to manage bedding in this barn </t>
  </si>
  <si>
    <t>if so what were those costs and how long have you had that equipment</t>
  </si>
  <si>
    <t>ADDITIONAL  INCOME/COST QUESTIONS</t>
  </si>
  <si>
    <t xml:space="preserve">  </t>
  </si>
  <si>
    <t>page 5</t>
  </si>
  <si>
    <t>Have you changed the type of bedding or management of the bedding/housing in the last few years.  If so how and over what time frame?</t>
  </si>
  <si>
    <t xml:space="preserve">no  recent changes.  Though some years they use more lime in the bedding.  </t>
  </si>
  <si>
    <t>Have you observed any change in SCC in the herd since changing housing type or bedding type?</t>
  </si>
  <si>
    <t>were at 140K to 220K SCC but now back down to under 80000.  Did some culling</t>
  </si>
  <si>
    <t>if so, has that resulted in any increase in milk quality premiums</t>
  </si>
  <si>
    <t xml:space="preserve">ship  to Organic  Valley.  Had to cull cows recently to get SCC lower.    </t>
  </si>
  <si>
    <t>how has the cull rate changed</t>
  </si>
  <si>
    <t>are there other management changes that milk quality or cull  rate changes may be attributed</t>
  </si>
  <si>
    <t xml:space="preserve">they are wondering if they need to have someone come in and do an assessment on their milking system </t>
  </si>
  <si>
    <t>Are there avoided costs (costs you DON'T have now) as a result of the housing or bedding type you have now (Ex gutter cleaner repair, manure handling, stall  repairs/mattresses)</t>
  </si>
  <si>
    <t>Do you have any income from sale of bedding,manure or compost</t>
  </si>
  <si>
    <t xml:space="preserve">no sales  </t>
  </si>
  <si>
    <t>if so how much material and income</t>
  </si>
  <si>
    <t>How has your manure storage, handling and spreading changed</t>
  </si>
  <si>
    <t xml:space="preserve">no recent changes - pit for over 15 years  </t>
  </si>
  <si>
    <t>Any change in forage yield or forage quality or soil health due to changes to manure/compost type spread as a result of the housing/bedding system used</t>
  </si>
  <si>
    <t>if yes, are there other management  changes that contributed</t>
  </si>
  <si>
    <t>How has labor changed</t>
  </si>
  <si>
    <t>How have energy costs changed</t>
  </si>
  <si>
    <t>page 6</t>
  </si>
  <si>
    <t>ADDITIONAL QUESTIONS WHICH  SEEM LESS DIRECTLY RELATED TO ECONOMICS WE THINK WE CAN MEASURE - AND THESE MAY BE DATA WE CAN GET FROM THE SURVEY</t>
  </si>
  <si>
    <t>What is your milk buyers SCC premium</t>
  </si>
  <si>
    <t>Was any cull rate change related to mastitis</t>
  </si>
  <si>
    <t xml:space="preserve">Was any cull  rate change due to lameness </t>
  </si>
  <si>
    <t xml:space="preserve">none recently.  Feet were trimmed every 6 months as usual.  </t>
  </si>
  <si>
    <t>Any other housing or bedding related changes in cull rate</t>
  </si>
  <si>
    <t>Other notes on changes in health or management</t>
  </si>
  <si>
    <t>Any change in vet bills</t>
  </si>
  <si>
    <t>Any change in hoof health or other health</t>
  </si>
  <si>
    <t>lameness</t>
  </si>
  <si>
    <t>hock lesions</t>
  </si>
  <si>
    <t xml:space="preserve">some swollen hocks - she wonders if it is due to green sawdust.  </t>
  </si>
  <si>
    <t>respiratory health</t>
  </si>
  <si>
    <t xml:space="preserve">they vaccinate and it is a cold well  ventilated </t>
  </si>
  <si>
    <t>hygiene</t>
  </si>
  <si>
    <t>Note: contained in Caitlins audio files shown in columns BD and BE</t>
  </si>
  <si>
    <t>Any change in milk production</t>
  </si>
  <si>
    <t>should also listen to files in column DM</t>
  </si>
  <si>
    <t>Any other changes?</t>
  </si>
  <si>
    <t>page 7</t>
  </si>
  <si>
    <t>Are you certified by any animal welfare program</t>
  </si>
  <si>
    <t>What made you choose this type of housing</t>
  </si>
  <si>
    <t xml:space="preserve">the tiestall was there when they got there. </t>
  </si>
  <si>
    <t>What would you choose to do if making the decision now?</t>
  </si>
  <si>
    <t xml:space="preserve">She likes the tie stall.  He would do  a  tie stall that is tail to tail if starting over.  </t>
  </si>
  <si>
    <t>Did animal welfare standards or concerns about any new requirements impact your choice of type of housing</t>
  </si>
  <si>
    <t>Do you use DHIA or Dairy One.  If so how often</t>
  </si>
  <si>
    <t>Yes, test monthly</t>
  </si>
  <si>
    <t>How do you use the results?</t>
  </si>
  <si>
    <t>SCC but also breeding and herd records and herd registration info.</t>
  </si>
  <si>
    <t xml:space="preserve">Was the change to this housing system due at least in part to water quality regulations </t>
  </si>
  <si>
    <t>How has air quality in the housing changed (odors or an ammonia level tests?)</t>
  </si>
  <si>
    <t>What are your observations on cow comfort and natural behaviours</t>
  </si>
  <si>
    <t>BJ Family Farms, Robert and Jo Bathalon</t>
  </si>
  <si>
    <t>3809 VT Rte. 100, Westfield, VT, 05874</t>
  </si>
  <si>
    <t>802-744-6131, bobandjo84@comcast.net</t>
  </si>
  <si>
    <t>54 lactating, 7 dry  (currently 60 and 8)</t>
  </si>
  <si>
    <t>Tiestall</t>
  </si>
  <si>
    <t>1970 section is where the milkers are housed.  2005 heifer addition</t>
  </si>
  <si>
    <t>Shavings/sawdust</t>
  </si>
  <si>
    <t>tractor hrs (bedding)</t>
  </si>
  <si>
    <t>1-2 inches</t>
  </si>
  <si>
    <t>Stalls scraped 4-5 times a day</t>
  </si>
  <si>
    <t xml:space="preserve">stalls 48" width  x 68" length to brisket board, unlimited head space </t>
  </si>
  <si>
    <t>60 stalls, 55 cows</t>
  </si>
  <si>
    <t>no trainers in stalls, outdoor pen was cleaned concrete surface, manure and waste feed had been scraped into pile, date of observation was 4/22/2019</t>
  </si>
  <si>
    <t>tractor trailer truck about 1 load/month every 5 to 6 weeks.  About every 8 wks in summer.  Est 80 to 100 cu yards</t>
  </si>
  <si>
    <t>12/4 thru early nov of this yr.  $12,600</t>
  </si>
  <si>
    <t>it is a mix of shavings and sawdust</t>
  </si>
  <si>
    <t>none used</t>
  </si>
  <si>
    <t>Sawdust cart &amp; Shovel</t>
  </si>
  <si>
    <t>20 min per time to scrape per day</t>
  </si>
  <si>
    <t>push sawdust into shed with tractor.  Then use it to load the sawdust carts</t>
  </si>
  <si>
    <t>34 hrs solids</t>
  </si>
  <si>
    <t xml:space="preserve">sawdust cart loaded once per day </t>
  </si>
  <si>
    <t>20 minutes of tractor time per day</t>
  </si>
  <si>
    <t>under 1 gallon per hour</t>
  </si>
  <si>
    <t>hours for 82 loads</t>
  </si>
  <si>
    <t>manure goes to pit via gravity</t>
  </si>
  <si>
    <t>liquid spreading with their own tank on the pasture.  82 total loads. Can do 4 loads per hour if close but average is about 2 1/2 loads per hour. Tracttor is 90 horse.  Est 1 1/2 gal/hr</t>
  </si>
  <si>
    <t>1 hr average time to agitate the pit.  Done 4 to 5 times each year. Tractor powered pump. Est using 1 to 2 gal/hour</t>
  </si>
  <si>
    <t xml:space="preserve">manure spreading of liquid is mostly done by custom.  Solid (heifer manure) is spread with their own equipment. </t>
  </si>
  <si>
    <t>solid manure spreading is about 3 loads per hour.  So 34 hours per year for 103 loads.  Est under 1 gal/hour using smaller tractors.  Tractor they are loading with is only run when loading.  Est 30 gal total</t>
  </si>
  <si>
    <t>Tank spreader 2400gal for liquid &amp; rear discharge spreader for solid manure.  Liq one since 1987 when pit went in. Solid one purch in 1995</t>
  </si>
  <si>
    <t>offroad diesel cost 1.95/gal</t>
  </si>
  <si>
    <t xml:space="preserve">custom spreading cost for the rest of the liquid manure $180/hr. </t>
  </si>
  <si>
    <t xml:space="preserve">Notes: $5490 cost for custom hire for spreading.  Gutter cleaner runs on electricity.  Runs once per day in summer for about 10 min.  In Winter runs twice per day. </t>
  </si>
  <si>
    <t>no recent changes.  Planning new barnyard/pit in 2021</t>
  </si>
  <si>
    <t xml:space="preserve">SCC has been running under 100K recently.  </t>
  </si>
  <si>
    <t>Organic Valley premiums - see chart</t>
  </si>
  <si>
    <t>Started doing annual hoof trimming about  10 yrs ago</t>
  </si>
  <si>
    <t xml:space="preserve">Vet bill is lower since they went organic and started feeding less grain.  In 2002.  Less lameness.  Less D.A. </t>
  </si>
  <si>
    <t>F.A.R.M animal welfare through OV</t>
  </si>
  <si>
    <t>His dad made the choice.</t>
  </si>
  <si>
    <t>he does like the tie stall but thinks loose housing and milking parlor would be easiest.   Most likely a freestall</t>
  </si>
  <si>
    <t xml:space="preserve">likes the SCC on individual cows to keep cows out of tank and get higher premium.  Less interest in individual milk info per cow </t>
  </si>
  <si>
    <t xml:space="preserve">about to put in new ODA and pit to meet WQ regs </t>
  </si>
  <si>
    <t xml:space="preserve">air quality in  barn is generally good.  </t>
  </si>
  <si>
    <t xml:space="preserve">seldom has hock issues.  Has rubber matts down on the stalls.  </t>
  </si>
  <si>
    <t>Choiniere Family Farm, Guy and Matt Choiniere</t>
  </si>
  <si>
    <t xml:space="preserve">2465 Gore Road, Highgate, VT 05459
</t>
  </si>
  <si>
    <t xml:space="preserve">802-868-2131, choinierefamilyfarm@gmail.com
</t>
  </si>
  <si>
    <t xml:space="preserve">guy suggests we do a % of costs not just cost per cow </t>
  </si>
  <si>
    <t xml:space="preserve">72 lactating, 10 dry.  Dry cows were separate all summer. For winter:  One hoop is now all youngstock.  Low group includes some dry cows (40 head)  is in one hoop and in high group (50 total head) - includes heifers ready to breed and close up heifers.  Switch between barns so low group cleans up left over hay. </t>
  </si>
  <si>
    <t>bedded pack / tie-stall</t>
  </si>
  <si>
    <t>2004 for bedded pack (started switching milking/dry between barns 4 years ago)</t>
  </si>
  <si>
    <t>Sawdust/Woodchips/Straw/Hay</t>
  </si>
  <si>
    <t xml:space="preserve">Top 4 inches tilled/aerated </t>
  </si>
  <si>
    <t>bedded pack = 4 feet at time of visit</t>
  </si>
  <si>
    <t>tilled every 48 hours</t>
  </si>
  <si>
    <t>5 yards of woodchips, 1500 pounds of hay every 48 hours (2 barns, 1 barn gets done each day). Cows maybe eat 20% of hay put down for bedding.</t>
  </si>
  <si>
    <t xml:space="preserve">temperature; moisture level: visual check of surface and what cows look like, every day; density: visually how it looks, how it feels when you step on it
</t>
  </si>
  <si>
    <t>This may be addressed in audio file below, need to check my written notes from paper copy at UVM</t>
  </si>
  <si>
    <t>audio file choiniere_14_q_i.wav</t>
  </si>
  <si>
    <t>Yes</t>
  </si>
  <si>
    <t>audio file choiniere_14_s_i.wav</t>
  </si>
  <si>
    <t>2004 bigger solar barn, 2014 smaller solar barn (no age given for tiestall)</t>
  </si>
  <si>
    <t>6549 per bedded pack barn 7200 sq feet in one hoop and 6000 in the other barn = 13200</t>
  </si>
  <si>
    <t>50-55 cows on each pack on average at any given time (complex system of rotating cows across 3 barns)</t>
  </si>
  <si>
    <t>approx. 125 sq ft per cow.  breed holstein cross. depth of pack = 4 ft, avg temp of bedding at 16" = 65 F. Date of measurements= 4/3/2019. no data collected on tie stall barn</t>
  </si>
  <si>
    <t>in summer they only use wood chips NO hay is used in  summer</t>
  </si>
  <si>
    <t xml:space="preserve">1500  lb round bale per day - so each barn gets a bale every  other day  </t>
  </si>
  <si>
    <t>sellin g for $60 per balee</t>
  </si>
  <si>
    <t>make themselves. Have 200 bales used in the cow barns</t>
  </si>
  <si>
    <t xml:space="preserve">note that the cows also eat some of it.  Guy estimates 20% is eaten. </t>
  </si>
  <si>
    <t>yes the bales are processed</t>
  </si>
  <si>
    <t>10 yards per day and 8 yards  per day.  Average of 9 yards per day for mature cows.  This is combined wood chips and  sawdust depending on weathere.  About 25% sawdust to wood chips</t>
  </si>
  <si>
    <t xml:space="preserve">Wood Chips </t>
  </si>
  <si>
    <t>30 loads per year of wood chips per year.  20 yard trucks = 600 yards  of wood chips</t>
  </si>
  <si>
    <t xml:space="preserve">combination of hard wood and soft wood. </t>
  </si>
  <si>
    <t xml:space="preserve">4 loads at 18 yards each = 72 yards.  May buy in more </t>
  </si>
  <si>
    <t>boron, zinc, sulfur, manganese - trace minerals 400 lbs per year</t>
  </si>
  <si>
    <t xml:space="preserve">100 lbs of each goes on each year. </t>
  </si>
  <si>
    <t>have not been regularly using  rock phos.</t>
  </si>
  <si>
    <t>"what % of income is going to the pack" would be a useful number to look at</t>
  </si>
  <si>
    <t xml:space="preserve">Cow barns are bedded every other day.  Once barn each day. </t>
  </si>
  <si>
    <t xml:space="preserve">LP </t>
  </si>
  <si>
    <t>deisil</t>
  </si>
  <si>
    <t>hand work to  spread the hay out around the edges of the barn next to the walls.  Total of 2 hours per day to do the bedding and feeding including hand work  time</t>
  </si>
  <si>
    <t>gas</t>
  </si>
  <si>
    <t>Manitou runs for about 1 hour per day with either bucket or clamp</t>
  </si>
  <si>
    <t>LP truck delivers 10 to 15 gal propane per week.   Manitou gets 10 gal deisil per wk.</t>
  </si>
  <si>
    <t xml:space="preserve">is used for both feeding and bedding.  Is about 7 hrs in cow barns.  Est 7  gal per week.  </t>
  </si>
  <si>
    <t xml:space="preserve">Shredding tractor runs about 1 hour per day </t>
  </si>
  <si>
    <t>1.75 for deisil</t>
  </si>
  <si>
    <t xml:space="preserve">30 weeks at this.  Then less in summer.  Est total of 40 weeks. </t>
  </si>
  <si>
    <t>gal/yr</t>
  </si>
  <si>
    <t>shredding tractor is winter only - runs on LP.</t>
  </si>
  <si>
    <t>1.99 per gal for LP</t>
  </si>
  <si>
    <t xml:space="preserve">Pack barn cleanout is hired.  Domina with backhoe and 2 trucks works with Guys 2 manure spreaders. </t>
  </si>
  <si>
    <t>1000 each for the 2 trucks</t>
  </si>
  <si>
    <t>$3272 to Domina</t>
  </si>
  <si>
    <t xml:space="preserve">spread directly on  pastures during cleanout and stack the rest to spread later on the hay fields </t>
  </si>
  <si>
    <t>9 to 4 each day for 3 days</t>
  </si>
  <si>
    <t>one tractor is 4 gal/hr and  other is 3 gal/hr</t>
  </si>
  <si>
    <t>all diesil</t>
  </si>
  <si>
    <t xml:space="preserve">spreading  on hay field witth  Manitou and 2 tractors with spreader.  6 days at 5 hrs/day so 30 hours total.  </t>
  </si>
  <si>
    <t>manittou is 2 gal/hr.  Tracttors are 4 gal and 3 gal/hr</t>
  </si>
  <si>
    <t xml:space="preserve">Notes: Bringing in some off farm liquid manure. In process of putting in a parlor.  May be adding more water and less manure.  All manure  spreading of liquid is done custom.  Haven't paid the last bill in 2020 so not yet a complete cost.  </t>
  </si>
  <si>
    <t>around $10,000 yr.</t>
  </si>
  <si>
    <t>was lower this  year due to drought</t>
  </si>
  <si>
    <t>9988 and that includes buying in 25 loads at $70/load - guy will find the cost for purchased</t>
  </si>
  <si>
    <t xml:space="preserve">Guy provides fuel for agitating tractor which runs 55 gal per year. </t>
  </si>
  <si>
    <t xml:space="preserve">liq spreading cost </t>
  </si>
  <si>
    <t>2014 yr last hoop was built</t>
  </si>
  <si>
    <t xml:space="preserve">now using some Sawdust to keep the pack dryer.  No longer using rock phos in the pack. </t>
  </si>
  <si>
    <t xml:space="preserve">didn't observe a change.  </t>
  </si>
  <si>
    <t>organic valley quality premiums</t>
  </si>
  <si>
    <t xml:space="preserve">Manure is very liquid right now as cows are making a lot of milk so hard to keep them as clean as he'd like to.  </t>
  </si>
  <si>
    <t xml:space="preserve">no sales.  Are importing some heifer pack from another farm which is spread on Trembley land </t>
  </si>
  <si>
    <t xml:space="preserve">have started buying in liq manure </t>
  </si>
  <si>
    <t xml:space="preserve">likes to have liquid on the hay fields.  Would  not want to add just pack to them.  Need the Nitrogen from the liquid manure on the hay crops </t>
  </si>
  <si>
    <t xml:space="preserve">only adding his own pack/compost to his fields and is seeing increasing K levels in soil. </t>
  </si>
  <si>
    <t xml:space="preserve">wonders if wood in pack may be a problem in long term. </t>
  </si>
  <si>
    <t>pastures only get  pack manure and grazing.  Hay fields also get liquid manure</t>
  </si>
  <si>
    <t xml:space="preserve">young pack is when they have higher chance of problems. </t>
  </si>
  <si>
    <t>milk production is higher now than previously.  The cows make more milk in winter.  Walking less and more time eating and laying  down and milk has gone up.  Less time in tie stall</t>
  </si>
  <si>
    <t xml:space="preserve">no changes recently.  Attributes most issues to heifers sucking on each other. </t>
  </si>
  <si>
    <t xml:space="preserve">all the culls go through the store on farm.  Most culls are due to milk quality.  Seldom lameness.  Also culling cows over the age of 10 which don't do as weell on pasture due to long walking distance. </t>
  </si>
  <si>
    <t>no changes recently.  Mosttly dehorning and preg checks</t>
  </si>
  <si>
    <t xml:space="preserve">rarely since calves are raised on moms.  Had issues previously when in the tie stall. </t>
  </si>
  <si>
    <t xml:space="preserve">Certified organic and  F.A.R.M and grassfed cert  </t>
  </si>
  <si>
    <t xml:space="preserve">he has some 2 yr old and 1 yr old piles out in the field and would like to know the difference between the 2 piles.  Is there an advantage of waiting anohter year to let wood break down more before spreading?  </t>
  </si>
  <si>
    <t xml:space="preserve">pack is more work and more up front investment but is the best thing long term for grass, feed quality.  Animal welfare of getting them off concrete is a benefit.  Milk won't pay for all the imports to the farm any more, need to get the potential out of the cows.  These barns give you the conditions to get the potential out of the cows.  His cows make more milk in  winter in thesee barns than when the cows are on pastture in summer.  </t>
  </si>
  <si>
    <t xml:space="preserve">But also needs to bring in K and N to mainttain soils in addition to the pack. </t>
  </si>
  <si>
    <t>Yes, monthly</t>
  </si>
  <si>
    <t>Dairy One.  Used primarily for cel count</t>
  </si>
  <si>
    <t>Corse Farm, Leon and Abbie Corse</t>
  </si>
  <si>
    <t>1085 Corse Road, Whitingham, VT 05361</t>
  </si>
  <si>
    <t>802-368-7192, llcorse6@gmail.com</t>
  </si>
  <si>
    <t>50 lactating, 3 dry   As  of dec 2020 54 cows.  Calving april  to halloween</t>
  </si>
  <si>
    <t>freestall</t>
  </si>
  <si>
    <t>25 years (from 2019)</t>
  </si>
  <si>
    <t>Type of  Bedding</t>
  </si>
  <si>
    <t>shavings/sawdust</t>
  </si>
  <si>
    <t>4-6 inches</t>
  </si>
  <si>
    <t>Back of stall scraped three times a day.  Alleys scraped  once per day</t>
  </si>
  <si>
    <t>Once a week</t>
  </si>
  <si>
    <t>All wood shavings/sawdust</t>
  </si>
  <si>
    <t xml:space="preserve">was not measured.  Barn is 59 by 81 long.  Feed alley is 48 feet long.  Access to both sides.  4 feet wide.  They unroll bales into the feed bunk.  Also feed haylage with a self  unloading wagon. </t>
  </si>
  <si>
    <t>45 stalls 49 cows present</t>
  </si>
  <si>
    <t>no mattresses in stalls but have almost no teat injury with deep bedded sawdust</t>
  </si>
  <si>
    <t>for pack we have sq feet per cow (size of pen and # animals on it, plus breed), estimated depth of pack currently, measurement for temp of pack; for stalls we have stall width, body length, total length, brisket board y/n, freestall we have cows/stall; description of outdoor turnout (surface material, took a picture)</t>
  </si>
  <si>
    <t>open ridge vent, one side of barn fully open, stall 46" x 62" 29" head space, brisket board present, outdoor surface concrete scraped clean</t>
  </si>
  <si>
    <t xml:space="preserve">850 to 880 bags per year.  For milkers and heifers.  Est 550 bags go to justt milkers </t>
  </si>
  <si>
    <t>$600 per year</t>
  </si>
  <si>
    <t>shavings weight 40  lbs.  Sawdust is 120</t>
  </si>
  <si>
    <t xml:space="preserve">comes in 55 gal plastic bags from a wood working shop.   11 bags  per load.  Is a mix of shavings and sawdust </t>
  </si>
  <si>
    <t xml:space="preserve">Truck </t>
  </si>
  <si>
    <t>gas and  time to go get sawdust in truck</t>
  </si>
  <si>
    <t>40 min  to get  a  load of sawdust each  time.    18 miles round  trip.  80  loads per year.</t>
  </si>
  <si>
    <t>15 MPG x 80 trips x 18 miles</t>
  </si>
  <si>
    <t>hrs/yr driving to get bedding</t>
  </si>
  <si>
    <t>53 hours</t>
  </si>
  <si>
    <t>gallons fuel for truck</t>
  </si>
  <si>
    <t>2 people  carry the bags to do bedding.  Also 1  hr/day of  stall maintenance and scraping</t>
  </si>
  <si>
    <t>1/2 hour per week</t>
  </si>
  <si>
    <t>manure scraped from freestall to liquid manure storage. Use 67 yr old gas tractor with scraper</t>
  </si>
  <si>
    <t>1 hour per  day  Nov 1 to  June 1.  only 1/2 hour after that by doing  it  every other day</t>
  </si>
  <si>
    <t>8 gallons of  gas per week in  winter.  4 gal in summer</t>
  </si>
  <si>
    <t>2.20/gal for gas in 2020</t>
  </si>
  <si>
    <t>hours</t>
  </si>
  <si>
    <t>gallons gas</t>
  </si>
  <si>
    <t xml:space="preserve">Manure spreading is done by Abbie.   Land is wet so easier to do themselves.   3 pt hitch pump/agitator (houle), Houle 2350 spreader. </t>
  </si>
  <si>
    <t xml:space="preserve">They keep a record of the time they  started spreading to keep track.  </t>
  </si>
  <si>
    <t>190.5 hours of spreading time.</t>
  </si>
  <si>
    <t>per gallon</t>
  </si>
  <si>
    <t xml:space="preserve">2 tractors running </t>
  </si>
  <si>
    <t>190.5 hours of tractor time</t>
  </si>
  <si>
    <t>920 gallons Diesel. $1.85/gallon</t>
  </si>
  <si>
    <t xml:space="preserve">There is some additional cost and labor for heifers.  </t>
  </si>
  <si>
    <t>300+ bags for heifers.  Cleaned 3x/wk nov thru june.  45 minutes.  Add new bedding every 10 days.  Takes one hour in winter.  Only  clean  once per  week in summer since  only young  calves are in there (1/2 hr).  Bedding use  in summer is 4 bags wk in summer. Scraped with the same tractor only in winter.  45 min 3x/wk.  but in summer only 1/2  hr/wk</t>
  </si>
  <si>
    <t>Notes:  landbase has decreased by 15 acres in last few years but have 350+acres so not enough manure to cover it all.  They  buy fertilizer for some of it</t>
  </si>
  <si>
    <t xml:space="preserve">no recent changes </t>
  </si>
  <si>
    <t>typically get quality awards</t>
  </si>
  <si>
    <t>significant premiums</t>
  </si>
  <si>
    <t>no recent changes.  SCC is a big culling  criteria.  About  1/2 of culls is due to SCC</t>
  </si>
  <si>
    <t>They changed post teat dips  about 3 yrs ago to a barrier dip.</t>
  </si>
  <si>
    <t>any changes aree due  to weather</t>
  </si>
  <si>
    <t xml:space="preserve">Organic Valley </t>
  </si>
  <si>
    <t>had a little batch of lameness about 1 yr ago on pasture.  Not related to bedding/housing and has not happened again/recently</t>
  </si>
  <si>
    <t>culling for SCC or repro primarily</t>
  </si>
  <si>
    <t>no recent changes.  Vet comes 2 to 3 times per yr for calving or vaccines</t>
  </si>
  <si>
    <t>Note: contained in Caitlins audio files shown in columns BD and BE (any audio filed named xxx_14_r_i.wav)</t>
  </si>
  <si>
    <t xml:space="preserve">FARM is done by  Agrimark,  OV also does a more stringent inspection yearly.  </t>
  </si>
  <si>
    <t>previous barn held 27 cows tiestall.  Built freestall with parlor in  1978.  burned in  2007 and rebuilt</t>
  </si>
  <si>
    <t xml:space="preserve">Freestall and parlor </t>
  </si>
  <si>
    <t>Mostly monthly, sometimes bi-monthly (extra sample is when they take samples themselves and send in)</t>
  </si>
  <si>
    <t>VT DHIA - SCC mgt and culling</t>
  </si>
  <si>
    <t>Cows freestall is  wide open on one side</t>
  </si>
  <si>
    <t>cows are slipping on the barn floor more so may add grooves  in opposite direction</t>
  </si>
  <si>
    <t>Donegan family farm, Joe and Emily Donegan</t>
  </si>
  <si>
    <t>1506 Carpenter Road, Charlotte, VT 05445</t>
  </si>
  <si>
    <t>802-777-9529, joesephrusselldonegan@gmail.com</t>
  </si>
  <si>
    <t>Bedded pack group 43 mature,  average 30ish lactating, 10ish dry or bred heifers, (includes 10 in tiestall for 50 days), separately housed 20 bred heifers and open dry cows (10 in tiestall for 50 days)</t>
  </si>
  <si>
    <t>bedded pack</t>
  </si>
  <si>
    <t>2018 4.5 months (I think there was a change in exactly how managed sawdust 4.5 months before May 2019; worth clarifying) 5.5 months Nov 11, 2019 to May 1, 2020</t>
  </si>
  <si>
    <t>Sawdust (bulk kiln dried) in tiestall (1-2") - 2019 all hay for bedded pack (combination on-farm and purchased), processed roundbales</t>
  </si>
  <si>
    <t>2018 -top 12 inches tilled, 2019 static</t>
  </si>
  <si>
    <t>4 feet on date of visit, 2019 - 3 feet of depth</t>
  </si>
  <si>
    <t>2018- tilled 2x day, 2019- no tillage in packs - tiestall cleaned 2x/day, and fresh dusting, clean-out planned in late November</t>
  </si>
  <si>
    <t>2018- Semi-load every 10 days, 2019- daily 1 up to 3 roundbales. 1.7 bales average (including group of 20 which got 2-3 bales/week) (289 bales - 96 of which purchased @ $35/bale, approx. 900 lbs.) est. 50 bales from 2018 carried over of self-made hay - assumes $40/bale cost for producing hay</t>
  </si>
  <si>
    <t>moisture: visual assessment 3x day, how it responds to tilling; density: similar assessment to moisture level - 2019 - had to be responsive to weather conditions - hay pack was less predictable and a labor challenge.  Windchill risk nights would require moving feed wagon into bedded pack, manure could be stiff in cold weather, would get sloppy during thaws.  Weather more predictable in mid-winter, more of a challenge for bedding in spring/transition season.  Open air pole barn was for group of 20 seemed to have more passive drying</t>
  </si>
  <si>
    <t>2018- all sawdust for lactating cows (mattresses and sawdust in tiestall), 2019 all hay in bedded pack, purchased $3600 of sawdust for tiestall - only used 10%, woodchips from tree service used minimally - 10 CY all winter?</t>
  </si>
  <si>
    <t>audio file donegan_14_q_i.wav</t>
  </si>
  <si>
    <t>yes, 2019- partially - majority of days fed outside, but fed inside on harsher days (25% or less)</t>
  </si>
  <si>
    <t>audio file donegan_14_s_i.wav, 2019- feels like hay bedding could be attributed to spring mastitis cases</t>
  </si>
  <si>
    <t>bedded pack barn built 2015</t>
  </si>
  <si>
    <t>housing type</t>
  </si>
  <si>
    <t>estimated average 47 cows/pack at a time, 2019 - see line 6</t>
  </si>
  <si>
    <t>bedding type(s)</t>
  </si>
  <si>
    <t>owned equipment for manure spreading?</t>
  </si>
  <si>
    <t>feels like area per cow was too small when not feeding outside and cultivating pack was less effective releasing moisture</t>
  </si>
  <si>
    <t>101 sq ft /cow in pack barn, had been bedded 4 days prior, tilled 8 hours prior, average temp 42C, date of observation 4/10/2019</t>
  </si>
  <si>
    <t>See line 13</t>
  </si>
  <si>
    <t>purchased</t>
  </si>
  <si>
    <t>cy</t>
  </si>
  <si>
    <t>free</t>
  </si>
  <si>
    <t>estimate</t>
  </si>
  <si>
    <t>dropped off from tree services</t>
  </si>
  <si>
    <t>est.80-100 CY</t>
  </si>
  <si>
    <t>Joe said the "best bedding he had in the past was dry hay made from sedges and cat tails and  rushes"</t>
  </si>
  <si>
    <t>2wd tractor, then hand spreading.  Bedding done daily</t>
  </si>
  <si>
    <t>moving bales</t>
  </si>
  <si>
    <t>45 min to 1 hr (15-30 min tractor time)</t>
  </si>
  <si>
    <t>75 hp tractor JD</t>
  </si>
  <si>
    <t>est 2 gal/hr?</t>
  </si>
  <si>
    <t>tiestall - sawdust 20 minutes/day</t>
  </si>
  <si>
    <t>est 232 hrs/winter to bed?</t>
  </si>
  <si>
    <t>run gutter cleaner 1x/day</t>
  </si>
  <si>
    <t>??? Cost to run ?</t>
  </si>
  <si>
    <t xml:space="preserve">2021 - will use skidsteer with forks </t>
  </si>
  <si>
    <t>to turn solid pack stack in dry soil conditions</t>
  </si>
  <si>
    <t xml:space="preserve">TBD </t>
  </si>
  <si>
    <t>spreading with rear discharge spreader</t>
  </si>
  <si>
    <t>2018/19 - hired UVM spreader</t>
  </si>
  <si>
    <t>Notes:  SF called after the  visit to ask about pack clean out and spreading  cost.  Bill ranged from $3000 to $6000/yr for custom spreading including fuel.  Rental of excavator for pack cleanout was 1500/wk but only took 2 tto 3 days.</t>
  </si>
  <si>
    <t>NRCS</t>
  </si>
  <si>
    <t>pitchfork</t>
  </si>
  <si>
    <t>yes see above</t>
  </si>
  <si>
    <t>see above- other nuance is seasonal dry off of herd, has changed year to year - believe time of year for calving is the biggest factor.  Only culled a cow for acute mastitis until after having bedding pack</t>
  </si>
  <si>
    <t>Can't associate practices with milk quality - changed to grass only also in 2015.  Observes cows eat more in bedded pack or feed wagon - inspires competitive eating social behavior</t>
  </si>
  <si>
    <t>Culling is more so around fertility (unsuccessful getting bred) - and 2. staphorius - culls those animals coming into fly season</t>
  </si>
  <si>
    <t>see line 67 - fresh cows seemed to have the most issues.  Late lactaction cows would not have issues during summer - calving in summer seemed to be the other factor</t>
  </si>
  <si>
    <t>tiestalls with sawdust on mats - cows had least issues drying off in that setting</t>
  </si>
  <si>
    <t>more dry cow mastitis when grazing stockpiled grass during drying off (November)</t>
  </si>
  <si>
    <t>mostly more expensive</t>
  </si>
  <si>
    <t>no</t>
  </si>
  <si>
    <t>have had offers for pack and could buy in more fertility</t>
  </si>
  <si>
    <t>see above -changes annually</t>
  </si>
  <si>
    <t>forage yield and quality (especially first cut) could be significantly reduced due to matting and clumping of hay bedding pack getting picked up by rake - likely long term soil health improvements</t>
  </si>
  <si>
    <t>changes in bedding</t>
  </si>
  <si>
    <t>see above</t>
  </si>
  <si>
    <t>more time spreading hay packs versus sawdust</t>
  </si>
  <si>
    <t>Organic Valley - paid versus cell count payment</t>
  </si>
  <si>
    <t>none</t>
  </si>
  <si>
    <t>Easier to see standing heats in the bedded pack, bigger factors may be milking order and milking hygiene, feels like feed wagons are also a benefit versus bale rings due to less risk of injesting dirty pack materials, time of year for drying off and calving</t>
  </si>
  <si>
    <t>biggest driver for vet bills are reactive - uddersol for mastitis treatment - bedded pack doesn't seem directly related</t>
  </si>
  <si>
    <t>F.A.R.M</t>
  </si>
  <si>
    <t>Tiestall seems most labor efficient and good for cows when well ventilated</t>
  </si>
  <si>
    <t>Test 5-8 times/year. Start milking in March. For the first 6 months of milking, test everyone every month. Don't have a lot of the normal data associated with DHIA- only bare-bones. Cow ID, milk weight at testing, SCC, butter fat, protein, solids. Don't know how to get "daily" milk weight because they milk every 16 hours. Don't have DIM.</t>
  </si>
  <si>
    <t>Bedded pack housing from NRCS has water quality connections but its not the limiting factor</t>
  </si>
  <si>
    <t>Good in both tie stall and bedded pack - respiratory issues limited to calves</t>
  </si>
  <si>
    <t>In person interview with Jack and Heather Brigham</t>
  </si>
  <si>
    <t>Holyoke Farm, Jack Brigham &amp; Heather Brigham</t>
  </si>
  <si>
    <t>85 Holyoke Farm Drive, St. Albans, VT 05478</t>
  </si>
  <si>
    <t>802-752-7169, holyokefarm@gmail.com</t>
  </si>
  <si>
    <t>58 lactating, 10 dry (sold cows on july 24), quit shipping milk in October, 7 milkers now for selling raw milk</t>
  </si>
  <si>
    <t>barn built 1994 (so at least since then)</t>
  </si>
  <si>
    <t>1 inch estimated</t>
  </si>
  <si>
    <t>Back of stall scraped twice a day (sometimes 3 times)</t>
  </si>
  <si>
    <t>1.5 gph</t>
  </si>
  <si>
    <t>stall width x body length (in) 37 x 63, head space = 24", total length = 87" - alleys are 10' x 95' and 8' x 95'</t>
  </si>
  <si>
    <t>##total square feet was not collected for free stalls, this was an oversight</t>
  </si>
  <si>
    <t>69 stalls, 57 cows = 0.83 cows/stall</t>
  </si>
  <si>
    <t>Additional info on freestall collected 11/11/2020:  69 stalls were used for milkers. In addition to stalls, cow alleys which are scraped with cable/ally scraper are 10' wide by 95 feet long and 8'long by 95 feet long.   Dry cows in separate area in freestall</t>
  </si>
  <si>
    <t>stall width x body length (in) 37 x 63, head space = 24", total length = 87". sidewall curtains, open ridge vent, cross vent. Brisket boards. Outdoor pen was earth base, relatively free of manure, muddy. Date of measurements 5/14/2019</t>
  </si>
  <si>
    <t>Drive alley 14' x 200' and includes manger for animals to be fed in but animals don't have access to this area</t>
  </si>
  <si>
    <t>Switched to adding late cut reed canary grass this fall on top of sawdust, expect to use this for the winter and function as a bedded pack if barn freezes hard</t>
  </si>
  <si>
    <t>2773 of bagged sawdust</t>
  </si>
  <si>
    <t>they get a small amount of bagged shavings but used mostly sawdust purchased in bulk loads.  Estimate 15 to 16 cubic per load. 4 + loads/yr.  Tandem truck delivery. $1450/load</t>
  </si>
  <si>
    <t>4 loads, tandem truck, est. 1500 cubic feet,includes some carryover from 2018 - majority used for milkers but two wheelbarrows for calves/day</t>
  </si>
  <si>
    <t>tried one winter with no signficant impact</t>
  </si>
  <si>
    <t>buckets and wheelbarrows</t>
  </si>
  <si>
    <t>.3 gallon/day</t>
  </si>
  <si>
    <t xml:space="preserve">fuel is hauling it to the barn.  Probably  a high estimatte </t>
  </si>
  <si>
    <t>alley scraper</t>
  </si>
  <si>
    <t>6x/day summer, 8x/day winter</t>
  </si>
  <si>
    <t>.2/day</t>
  </si>
  <si>
    <t>electric</t>
  </si>
  <si>
    <t>Maint. Costs est at: $500/cable, $100/turning wheels</t>
  </si>
  <si>
    <t>Knight solid side slinger (2015) and 4450 liquid tank spreader and custom dragline, frac tank fed with underground pipe</t>
  </si>
  <si>
    <t>up to 45 loads/day</t>
  </si>
  <si>
    <t>tractor idles to pump manure at lagoon, 1/gallon/hr - dragline .5 gal/hour</t>
  </si>
  <si>
    <t xml:space="preserve">October - 40 hours </t>
  </si>
  <si>
    <t xml:space="preserve">6-7 hours/day, 200 acres - 6 loads/hour, 1 load/acre for liquid - </t>
  </si>
  <si>
    <t>Liquid drag line</t>
  </si>
  <si>
    <t>July - 20 hours, August 31.5 hours,</t>
  </si>
  <si>
    <t>Frac tank acquired 2019</t>
  </si>
  <si>
    <t>Side slinger</t>
  </si>
  <si>
    <t xml:space="preserve">25 loads in May/ .5 hr/load =12.5 hours, April 12 hours, </t>
  </si>
  <si>
    <t>45 loads on pad, 68 spread on hay piece</t>
  </si>
  <si>
    <t>Liquid tank</t>
  </si>
  <si>
    <t xml:space="preserve">November -24 hours, </t>
  </si>
  <si>
    <t xml:space="preserve">15 hours in May, </t>
  </si>
  <si>
    <t>no custom hire</t>
  </si>
  <si>
    <t>Sarah's notes is that liquid tank hours spreading on pastture was 24 hours.  Side slinger hours were 52 hours</t>
  </si>
  <si>
    <t>Notes: Also skid steer.  Maybe 1/4 hr/day moving sawdust to barn but then it is spread by hand/wheelbarrow</t>
  </si>
  <si>
    <t>Stacking pad (2017)</t>
  </si>
  <si>
    <t>90% state/fed, 10% from Commonwealth Dairy</t>
  </si>
  <si>
    <t>Alley scraper, gravity pipe to lagoon</t>
  </si>
  <si>
    <t>Dragline acquired 2015?</t>
  </si>
  <si>
    <t>Same sawdust going back to 1994 - DuPuis - bagged sawdust from St.Albans Coop</t>
  </si>
  <si>
    <t>no difference from bulk to bagged sawdust</t>
  </si>
  <si>
    <t>Horizon changed quality premiums later in 2019</t>
  </si>
  <si>
    <t>only difference were higher counts in summer vs. winter</t>
  </si>
  <si>
    <t>culls related to high SCC or fertility issues</t>
  </si>
  <si>
    <t>n/a</t>
  </si>
  <si>
    <t>no, all is spread on farm</t>
  </si>
  <si>
    <t>see above notes 2015 and 2017</t>
  </si>
  <si>
    <t>yes forage increased with increasing applications, noticeable less compaction with use of dragline</t>
  </si>
  <si>
    <t>ex field 91 bales improved to 140</t>
  </si>
  <si>
    <t>provides more flexiblity to spread in wetter conditions</t>
  </si>
  <si>
    <t>more set-up time and lower drive speed - net similar on labor</t>
  </si>
  <si>
    <t>some fuel savings, and less travel time over road</t>
  </si>
  <si>
    <t>Tiers 1, 2 and 3 - SCC (below 120,000), Preliminary Incubation (PI), pasteurized criteria - top tier $3/cwt, or $2 or $1/cwt</t>
  </si>
  <si>
    <t xml:space="preserve">Horizon   </t>
  </si>
  <si>
    <t>no change but culling mostly related to SCC and fertility, not treated for mastitis</t>
  </si>
  <si>
    <t>less after transition to organic in 2013</t>
  </si>
  <si>
    <t>yes, between transition to organic and reducing grain, vet bills went down to primarily to clinic, dehorning and less emergency calls</t>
  </si>
  <si>
    <t>$2900 in 2019</t>
  </si>
  <si>
    <t>no major challenges, feeding more forage, less silage seems to be biggest factors</t>
  </si>
  <si>
    <t>no, good ventilation</t>
  </si>
  <si>
    <t>more sawdust, animals stayed cleaner</t>
  </si>
  <si>
    <t xml:space="preserve">had adequate pasture to keep up milk production when grain was cut back - </t>
  </si>
  <si>
    <t>FARM - as required by organic production</t>
  </si>
  <si>
    <t>Recommended by barn builders in 1990's - was common design</t>
  </si>
  <si>
    <t>Bedded pack - due to cow health, more natural environment, safer for animals than freestall settings</t>
  </si>
  <si>
    <t>Yes, monthly - Dairy One</t>
  </si>
  <si>
    <t>Look up high SCC cows or keep their milk out of the tank, check herd average</t>
  </si>
  <si>
    <t xml:space="preserve">no - but it's cold!  </t>
  </si>
  <si>
    <t>animals like to lay down to go outside or up on bedded stalls</t>
  </si>
  <si>
    <t>Molly Brook Farm LLC, Myles Goodrich and Rhonda Miller</t>
  </si>
  <si>
    <t>39 Cow Hill Road, West Danville, VT 05873</t>
  </si>
  <si>
    <t>802-563-2413, mollybrookfarm@gmail.com</t>
  </si>
  <si>
    <t xml:space="preserve">66 lactating, 6 dry.  Right now  there are 75 cows in  the freestall but average is  around 70 cows.  But were at 65 cows in the previous year.   </t>
  </si>
  <si>
    <t>freestall for lactating cows in a hoop building.</t>
  </si>
  <si>
    <t>Since 1995/1998</t>
  </si>
  <si>
    <t>1/2 inch estimated</t>
  </si>
  <si>
    <t xml:space="preserve">Back of stalls scraped 2-3 times a day, alley scraper runs continually </t>
  </si>
  <si>
    <t>Once a week (maybe more as needed)</t>
  </si>
  <si>
    <t>All sawdust bedding.  About 1/3 of total sawdust purchased each year goes  to lactating cows</t>
  </si>
  <si>
    <t>1995/1998</t>
  </si>
  <si>
    <t xml:space="preserve">160 ' long hoop barn.  9600 sq feet. 60 feet wide.   Less the feed alley which may be about 20 feet wide.  </t>
  </si>
  <si>
    <t xml:space="preserve">73 stalls, 57 cows - Dec 2020 info is there are 76 stalls in use.   But there  are a total of over  100 stalls with back ones not  in  use.  </t>
  </si>
  <si>
    <t xml:space="preserve">sidewall and tunnel ventilation present, </t>
  </si>
  <si>
    <t>stalls 39" x 56", 25" headspace, alleyway and brisket board present, description of outdoor turnout area "earth, hard pack, not wet or muddy little use, looks like " date of measurement 5/6/2019</t>
  </si>
  <si>
    <t xml:space="preserve">8 loads  per yr.  53 1/2 ft tractor trailer loads. </t>
  </si>
  <si>
    <t xml:space="preserve">all  kiln dried sawdust bedding.  Adding new bedding once per week and pulling in fresh bedding 3 x per day (at least 2 x/day).  In  summer it is only done twice per day.  Tthere are also matresses under. </t>
  </si>
  <si>
    <t>2300 per load.  18400 per year</t>
  </si>
  <si>
    <t>about 1/3 of the total  bedding they buy goes to the lactating  cow freestall.  Rest to calves and  heifers.  Also parlor gets bedding</t>
  </si>
  <si>
    <t xml:space="preserve">tractor to move it when  delivered into the storage area. </t>
  </si>
  <si>
    <t xml:space="preserve">8 times per year and takes about  1 hour. </t>
  </si>
  <si>
    <t>new holland 4wd</t>
  </si>
  <si>
    <t>hours labor</t>
  </si>
  <si>
    <t xml:space="preserve">same tractor used weekly to move sawdust out to bed the stalls. </t>
  </si>
  <si>
    <t>1 1/4 hours once each week.</t>
  </si>
  <si>
    <t>equip fuel</t>
  </si>
  <si>
    <t>hoe and hand work</t>
  </si>
  <si>
    <t>1 hour per day total per  day</t>
  </si>
  <si>
    <t>manure equip</t>
  </si>
  <si>
    <t xml:space="preserve">2 tractors </t>
  </si>
  <si>
    <t xml:space="preserve">automatic scraper in the freestall. </t>
  </si>
  <si>
    <t>annual repairs every other  year</t>
  </si>
  <si>
    <t>liquid pit - all done them selves</t>
  </si>
  <si>
    <t>2 tractors running during  spreading time.</t>
  </si>
  <si>
    <t xml:space="preserve">usually 6 hours per day on  average.  About 4 1/2 weeks of daily  spreading. 6 days per week. </t>
  </si>
  <si>
    <t xml:space="preserve">note that some manure from the other non lactating  cow barns and milk house waste. </t>
  </si>
  <si>
    <t>mccormic mc 120. plus 145 landini  Legend tractor pulls tank for spreading.</t>
  </si>
  <si>
    <t xml:space="preserve">No recent changes in type of bedding.  But  they had an  employee who  previously wasn't scraping  off all the wet bedding prior to new  bedding.  </t>
  </si>
  <si>
    <t>Since Rhonda is now making  sure wet bedding is scraped off.  SCC has gone down</t>
  </si>
  <si>
    <t xml:space="preserve">always quarter milking if needed. Now don't need to divert as much milk.  Dumping less milk now.  They don'tt feed high S CC milk to calves -  it is dumped </t>
  </si>
  <si>
    <t xml:space="preserve">cull rate was higher.  Was 16% but is now 10%.  Some due to udder health </t>
  </si>
  <si>
    <t>some from the dry cow/heifer barns is sold but none from freesttall Iiquid)</t>
  </si>
  <si>
    <t>no change  to liquid manure system</t>
  </si>
  <si>
    <t>Stonyfield milk quality premiums. Up to $2.60/cwt.</t>
  </si>
  <si>
    <t xml:space="preserve">Very well ventilated barn. </t>
  </si>
  <si>
    <t xml:space="preserve">F.A.R.M. plus VOF inspection </t>
  </si>
  <si>
    <t xml:space="preserve">would keep the same system - </t>
  </si>
  <si>
    <t xml:space="preserve">Cows are registered so also milk production info goes  to their records including milk componants.  Information used for sale of registered Jerseys. </t>
  </si>
  <si>
    <t xml:space="preserve">cows do well in this system.  Don't seem to have health issues.   No hock injury.  Mattresses plus bedding. </t>
  </si>
  <si>
    <t>Hall and Breen Farm, Louis and Justin Hall</t>
  </si>
  <si>
    <t>178 VT-73, Orwell, VT 05760</t>
  </si>
  <si>
    <t>802-989-5883, llhchief@yahoo.com</t>
  </si>
  <si>
    <t>96 lactating, 3 dry</t>
  </si>
  <si>
    <t>since barns were built</t>
  </si>
  <si>
    <t>Use a sawdust shooter- 1/2 to 3 inches</t>
  </si>
  <si>
    <t>Backs of stalls scraped twice a day</t>
  </si>
  <si>
    <t>New bedding added twice a week</t>
  </si>
  <si>
    <t>One barn build in 1965, have a newer one built 2010</t>
  </si>
  <si>
    <t xml:space="preserve">stall width x body length (in) 46 x 60, head space = 28", total length = 88" </t>
  </si>
  <si>
    <t>64 stalls in newer area and 35 in barn where Robots are</t>
  </si>
  <si>
    <t xml:space="preserve"> open ridge vent, tunnel vent. Outdoor pen was rough concrete. Date of measurements 4/15/2019</t>
  </si>
  <si>
    <t>sq ft of stall s pace</t>
  </si>
  <si>
    <t xml:space="preserve">isle space  </t>
  </si>
  <si>
    <t xml:space="preserve">3 loads of DRY sawdust so far this year for total cost of $6150.  GREEN sawdust last year was 12 loads and had total cost of $8750. </t>
  </si>
  <si>
    <t>for bedding</t>
  </si>
  <si>
    <t>for manure moving</t>
  </si>
  <si>
    <t>Sawdust shooter</t>
  </si>
  <si>
    <t xml:space="preserve">moves sawdust from storage shed to barn and beds stalls once to twice each week. </t>
  </si>
  <si>
    <t>1/4 hr</t>
  </si>
  <si>
    <t>tiny amount!   1/8 gallon?</t>
  </si>
  <si>
    <t>fuel use</t>
  </si>
  <si>
    <t>hoe to hand scrape back  of stalls  daily</t>
  </si>
  <si>
    <t>1/2 hr/day</t>
  </si>
  <si>
    <t>labor</t>
  </si>
  <si>
    <t>manure is scraped out of the 2 freestalls into the manure spreader which moves it to the pit which is north up the road a short distance.  2 1/2 loads/day in winter.  1 load per day in grazing season which is mid May to mid September.  Ttakes more time to scrape than to move the manure.  Estimates 1  to 1 1/2 hrs/day in winter, est 1/2 to 3/4 gal fuel.</t>
  </si>
  <si>
    <t xml:space="preserve">MOST manure is custom  spread for them but they  spread about 30 days per year themselves, estimated time per  day is 1/4 to 1/2 hour of  spreading on those  days. </t>
  </si>
  <si>
    <t>custom spread cost</t>
  </si>
  <si>
    <t>YES - changed from greent to kiln  dried sawdust this spring.  Justin has seen SCC drop since making this change and does not  have to keep as many high count cows out of the tank so feels there is a financial benefit from the change</t>
  </si>
  <si>
    <t>less cows need to be kept out  of tank to  maintain low  SCC</t>
  </si>
  <si>
    <t xml:space="preserve">yes  </t>
  </si>
  <si>
    <t>na</t>
  </si>
  <si>
    <t xml:space="preserve">Stonyfield pays a significant premium  for lower SCC  milk </t>
  </si>
  <si>
    <t>yes FARM</t>
  </si>
  <si>
    <t>same system</t>
  </si>
  <si>
    <t>Variable - roughly once every 2 months</t>
  </si>
  <si>
    <t>SCC</t>
  </si>
  <si>
    <t>Swallowdale Farm, Sarah and Mark Russell</t>
  </si>
  <si>
    <t>437 Mount Independence Road, Orwell, VT 05760</t>
  </si>
  <si>
    <t>802-948-2635,  sarahinvermont@yahoo.com</t>
  </si>
  <si>
    <t>77 lactating, 5 dry.  NOTE THAT AS OF 11/21 THEY HAD  SOLD 18 COWS DUE TO DROUGHT AND LOW FORAGE SUPPLY SO NOW HAVE ONLY 56 MILKING COWS</t>
  </si>
  <si>
    <t xml:space="preserve">bedded pack with scraped feeding area and scraped outdoor access area.  </t>
  </si>
  <si>
    <t>10 years</t>
  </si>
  <si>
    <t>Sawdust/Woodchips/Hay</t>
  </si>
  <si>
    <t>static</t>
  </si>
  <si>
    <t>est. 5 feet 4.24.2019</t>
  </si>
  <si>
    <t>PREVIOUS  INFO:   3,000 pounds hay per day added, every other month adding some sawdust 2.5 cubic yards. Add more sawdust in shoulder seasons or rainy warm spells; hay stays same  SEE BELOW FOR NEW INFO UPDATED NOV 2020</t>
  </si>
  <si>
    <t>not for temp; moisture: look at cows, looking at udder hygiene; density: how it feels driving over it with the tractor</t>
  </si>
  <si>
    <t>audio file swallowdale_15_b_iii.wav</t>
  </si>
  <si>
    <t>audio file swallowdale_14_q_i.wav</t>
  </si>
  <si>
    <t>audio file swallowdale_14_s_i.wav</t>
  </si>
  <si>
    <t>5760 sq. ft</t>
  </si>
  <si>
    <t>36 X 160 ft = 5760 sq ft. 75 cows. 77 sq ft/cow</t>
  </si>
  <si>
    <t>turnout pen is concrete and hard pack gravel scraped clean. Avg temp of pack 43 C. Estimated depth = 5 ft. One side and end of barn is open. Date of measurements 4/24/2019</t>
  </si>
  <si>
    <t xml:space="preserve">using 1 cartload of sawdust per day in holdinga area next to parlor and calves.  </t>
  </si>
  <si>
    <t>about 400.  about 2.5 per day.  900 lbs each</t>
  </si>
  <si>
    <t>usually buys 10,000 to 12,000 per yr of bedding hay</t>
  </si>
  <si>
    <t>This yr rented neighbors farm and made late cut RCG hay.  Variation  in # bales used per yr is length of winter.</t>
  </si>
  <si>
    <t xml:space="preserve">note that due to 2020 drought they will not do a  hay pack this coming  winter.  Last year was the usual method but this winter will be a change </t>
  </si>
  <si>
    <t xml:space="preserve">Usually buys 1 to 2 loads at $1350 each as base of pack and to fill low spots in  winter if needed.  </t>
  </si>
  <si>
    <t>Most of it  goes in holding area and calves.  $10/yard and each load is 22 yards</t>
  </si>
  <si>
    <t>8525 TOTAL bedding cost</t>
  </si>
  <si>
    <t>Spreading onto the pack takes about 1  1/2 hours per day.   Only  3/4 of an hour of this is with the tractor running.  Est 3/4 gal fuel per day or less</t>
  </si>
  <si>
    <t>Sawdust requires filling the cart daily which is about 1/4 to  1/2 hr of tractor time - tiny amount of fuel used</t>
  </si>
  <si>
    <t xml:space="preserve">Scraping of  scrape ally is daily (3/4 hr)  and ODA is done 2x/wk (1hr) with tractor.  </t>
  </si>
  <si>
    <t>tractor is 70 horse 4wd and total fuel usage is 15 gal/wk in winter but majority is probably feeding?</t>
  </si>
  <si>
    <t>Pack is cleaned out once per yr by  custom hired dump truck and excavator.  Total of 34 hours</t>
  </si>
  <si>
    <t>7 hrs/week in winter</t>
  </si>
  <si>
    <t xml:space="preserve">Manure/pack spreading is mostly done custom but they do spread some themselves too.  </t>
  </si>
  <si>
    <t>CUSTOM cost in 2019 to  clean out  pack and spread was $31606.</t>
  </si>
  <si>
    <t>no new buildings</t>
  </si>
  <si>
    <t>No changes last  winter but this winter WILL be a big change due to lack of dry hay due to drought.</t>
  </si>
  <si>
    <t>SCC  is very good now.  He observes that high SCC or mastitis issues  usually occur in wet spring or  fall conditions when the p ack is primarily hay</t>
  </si>
  <si>
    <t xml:space="preserve">no  </t>
  </si>
  <si>
    <t xml:space="preserve">he prefers to use the field  stacked manure because it is easier to spread.  </t>
  </si>
  <si>
    <t xml:space="preserve">Mark feels that weather has more influence on yield and quality than manure.  2019 was wet.  2020 was very  dry.  </t>
  </si>
  <si>
    <t>he is putting in a pasture irrigation system now which will use milkhouse waste and run off from the stacking pad and ODA.</t>
  </si>
  <si>
    <t>Organic Valley quality premiums</t>
  </si>
  <si>
    <t>see  notes  on spring/fall  wet hay pack  observations</t>
  </si>
  <si>
    <t>observes that there are more health issues in wet years/poor feed quality/wet hay pack</t>
  </si>
  <si>
    <t>barns are wide open and  well venttilated</t>
  </si>
  <si>
    <t>FARM as is required by most milk  buyers  in VT n ow</t>
  </si>
  <si>
    <t>Was a freestall when they moved there and had to  either repair  freestalls or convert to  pack.</t>
  </si>
  <si>
    <t xml:space="preserve">Pack  is high labor and it is hard to source good bedding hay.  Mark said if he had to start over he'd go to NZ and not have a barn at all.  He is hoping the new wood chip method will be less bedding cost and  less labor. </t>
  </si>
  <si>
    <t>SCC management</t>
  </si>
  <si>
    <t>Stony Pond, Melanie and Tyler Webb</t>
  </si>
  <si>
    <t>336 Emch Road, Fairfield, VT 05450</t>
  </si>
  <si>
    <t>802-782-0933, stonypondfarm@surfglobal.net</t>
  </si>
  <si>
    <t>53 lactating, 17 dry.  In 2020 they  calved in 67 but 53 is a reasonable average.  Heifers get mixed in so total  of about 70 in the group.</t>
  </si>
  <si>
    <t>10 years with last one about  4  years ago.</t>
  </si>
  <si>
    <t> $      341.40 </t>
  </si>
  <si>
    <t>Shavings - mostly  kiln dried sawdust.  They prefer dustt</t>
  </si>
  <si>
    <t>Tilled/aerated top 8 inches</t>
  </si>
  <si>
    <t>2 to 3  feet by spring.</t>
  </si>
  <si>
    <t> $               -   </t>
  </si>
  <si>
    <t>15 loads of shavings/year- 120 cubic yards- one tractor trailer load</t>
  </si>
  <si>
    <t>temperature (compost therm, once every other week, looking for it to be 100-110);  moisture level (visually, daily); density (during tilling, if have skipped and can tell it's more dense)</t>
  </si>
  <si>
    <t>audio file stonypond_15_b_iii.wav</t>
  </si>
  <si>
    <t>audio file stonypond_14_q_i.wav</t>
  </si>
  <si>
    <t>audio file stonypond_14_s_i.wav</t>
  </si>
  <si>
    <t> $      498.37 </t>
  </si>
  <si>
    <t>Barn 1 (attached to milkhouse) 2853 sq ft, Barn 2 1875 sq ft</t>
  </si>
  <si>
    <t>No animals were on pack when we visited. Barn 1 temp 40.2 C, Barn 2 Temp 34 C, estimated depth was not measured</t>
  </si>
  <si>
    <t>12 loads per year</t>
  </si>
  <si>
    <t>1850/load</t>
  </si>
  <si>
    <t xml:space="preserve">  I purchase roughly 12 loads a year at $1850 each. So around 22-24k on bedding and it </t>
  </si>
  <si>
    <t>ranges  from 12 to 15 loads.  130 Cu yards per load</t>
  </si>
  <si>
    <t>some of that goes to the calf barn - est 10 to 15%</t>
  </si>
  <si>
    <t xml:space="preserve">skid steer </t>
  </si>
  <si>
    <t>ripping pack</t>
  </si>
  <si>
    <t>45 to 60 min/day nov thru early May to rip AND  move the sawdust.  Ripping only  takes  25  to 30 min.  Sawedust is moved every other day in small amounts so 5  to 10 every othter day then once per week is longer 45 min  or so.  Estt 10 min/day</t>
  </si>
  <si>
    <t>fuels it ever  10 days.  20 gal tank.  Also feeding out bales  with it and scrape the barnyard and moving sawdust to the pack</t>
  </si>
  <si>
    <t>2.09 winter 1.76 reg</t>
  </si>
  <si>
    <t xml:space="preserve">takes me 45–60 minutes a day to rip twice and lightly bed November - early May. </t>
  </si>
  <si>
    <t>Clean out of three hoops takes two days and costs 2k with one excavator and two trucks.</t>
  </si>
  <si>
    <t>scraping feeding pad is 15 to 20 min which is done about  every other  day if it is thawed.</t>
  </si>
  <si>
    <t xml:space="preserve">bale feeding is quick - 4  bales per day now. </t>
  </si>
  <si>
    <t xml:space="preserve">can top dress a  whole hoop with 3 or  4 buckets </t>
  </si>
  <si>
    <t>spreading with 90 horse  tractor,  skid  steer and spreader</t>
  </si>
  <si>
    <t xml:space="preserve">3 hour increments.  300 bu spreader. 2 loads/acre so 600 bu/acre.  Put 80 loads on per cut. On 3 cuts </t>
  </si>
  <si>
    <t>kubota  9000</t>
  </si>
  <si>
    <t xml:space="preserve">fill  tractor every 20 hrs.  Est  20 gal  tank </t>
  </si>
  <si>
    <t>80 to 100 hrs/yr</t>
  </si>
  <si>
    <t>skid steer stays running but  idled down when not loading</t>
  </si>
  <si>
    <t>Notes:  300 bu spreader - 8 heaping skid steer bucket loads to fill.  13 to 14 cu yards?.  Barnyard scraped manure is directly spread not part of the compost pad spreading.   Spread every few days til  12/15 then stacked around  edges of pad.  Spread right out usually onto  pasture.  About 1 load per day on average accumulates nov thru may.  20 min   per load .</t>
  </si>
  <si>
    <t xml:space="preserve">Irrigation pond - catches any nutrient  run off from barnyard or stacking pad.  Also parlor wash water and creamery wash water is a larger % of the volume than manure run  off.  Small honda pump on the irrigation unit plus large pump at the pond.  2 gal gas tank on honda - is new so not sure on fuel usage yet. 20 paddocks are irrigated and  each are irrigated 3 to 4 times.  So 60 to 80 times.  est 50 gal gas.  Pump at the pond is diesel - 200 gal tank but probably use 150 to 180 gal/yr </t>
  </si>
  <si>
    <t>changed from static pack to ripped pack about 4 to 5 yrs ago.</t>
  </si>
  <si>
    <t xml:space="preserve">bedding more freq during dry off periods now.  </t>
  </si>
  <si>
    <t>organic valley</t>
  </si>
  <si>
    <t xml:space="preserve">had 2 cases of coliform mastitis in spring 2020.  </t>
  </si>
  <si>
    <t>generally  getting quality awards &amp; premiums.</t>
  </si>
  <si>
    <t>repro is still #1 cull reason  since they are  seasonal.  Some teat or  other injure #2.  Staph or other masitis #3</t>
  </si>
  <si>
    <t>Changing from straw static pack to ripped sawdust pack eliminated 4 straw bales per day or $200 per  day.   That was in addittion to sawdust cost which may have been slightly higher or the same.</t>
  </si>
  <si>
    <t xml:space="preserve">in addition clean out now takes  1 day less.  At  least  $1000 savings </t>
  </si>
  <si>
    <t xml:space="preserve">Spreading is also now significantly faster.  As much as twice as fast without  the long fiber material and wet heavy </t>
  </si>
  <si>
    <t>straw bales also took 20 min  each so 1 to 1 1/2 hr/day  spreading previosly with 2 people</t>
  </si>
  <si>
    <t xml:space="preserve">  is noticing more resilience to traffic in fields getting this compost.  Improved soil health/organic matter </t>
  </si>
  <si>
    <t>quality is getting better but not sure it could be attributed to that?  Are also doing 4 cuts now and cut/ted/bale in 24 hrs</t>
  </si>
  <si>
    <t xml:space="preserve">also putting on poultry manure 1 ton/acre.   Some wood ash last year.  </t>
  </si>
  <si>
    <t>less labor now with sawdustt pack</t>
  </si>
  <si>
    <t>Organic valley</t>
  </si>
  <si>
    <t>udder prep and  cleaning is much faster in t he parlor now</t>
  </si>
  <si>
    <t>nothing noted</t>
  </si>
  <si>
    <t>are using  the vet less but not nec.  Related to bedding though</t>
  </si>
  <si>
    <t xml:space="preserve">well ventilated  hoop barns.     Closed herd.   </t>
  </si>
  <si>
    <t>FARM plus milk buyer audit.</t>
  </si>
  <si>
    <t>Always was loose housing in either pack or ripped sawdust pack</t>
  </si>
  <si>
    <t xml:space="preserve">would  stay with pack but would have a feed alley that is scraped.   Likes the light of the hoop barns.  Might look at peaked cover - we cover.   Ideal to re create activity similar to summer pasture in winter housing  </t>
  </si>
  <si>
    <t>Monthly for 10 months of the year (not while cows are dry, usually January 15 to March 10)</t>
  </si>
  <si>
    <t xml:space="preserve">SCC mostly.  Identifying  staff cows to culture or cull.  </t>
  </si>
  <si>
    <t>more related to agronomic reasons.  Wanted to manage manure as solid not in liquid lagoon.   Irrigation  system is $22k invested and it avoids a $5000+ spreading cost/yr</t>
  </si>
  <si>
    <t xml:space="preserve">cows seem to prefer one hoop to the other and  also prefer one area at times.  </t>
  </si>
  <si>
    <t xml:space="preserve">have not lost a cow since going  to  sawdust.  Did have some losses when  using  straw due  to uneven pack surface.   Also waterers not getting buried - easy to access </t>
  </si>
  <si>
    <t>Glennview Farm, Glenn Burkholder</t>
  </si>
  <si>
    <t>1 North Hyde Park Road, Hyde Park, VT 05655</t>
  </si>
  <si>
    <t xml:space="preserve">802-371-7950, </t>
  </si>
  <si>
    <t>65/5 dry cows are in with heifers</t>
  </si>
  <si>
    <t>17 years</t>
  </si>
  <si>
    <t>78% cows</t>
  </si>
  <si>
    <t>Shavings</t>
  </si>
  <si>
    <t>included in manure movin labor below</t>
  </si>
  <si>
    <t>tractor/skidsteer hrs (bedding)</t>
  </si>
  <si>
    <t>1 inch</t>
  </si>
  <si>
    <t>As needed, all day,  8 times a day- manure scraped from back of stall, might add shavings 3x, wheelbarrow and hand tools</t>
  </si>
  <si>
    <t>As need throughout day, 2-3 times a day</t>
  </si>
  <si>
    <t>late 50's</t>
  </si>
  <si>
    <t>not measured 48 by 60</t>
  </si>
  <si>
    <t>65 cows in 65 stalls (new curbs, dividers upgrade in 2011 - was 66 stalls</t>
  </si>
  <si>
    <t>data collection on 4/22/2019. cross ventilated with windows on one side fans on the other, stall width 40.25 in, stall length 58 in, uniform stalls, gutter, no brisket board, no trainers, outdoor surface some light manure, cleaned regularly</t>
  </si>
  <si>
    <t>sq in/stall</t>
  </si>
  <si>
    <t>sq ft/stall</t>
  </si>
  <si>
    <t>est. 100+ CY</t>
  </si>
  <si>
    <t>53' trailer (Sep 20 to May 10- est. 80%)</t>
  </si>
  <si>
    <t>$4523/year</t>
  </si>
  <si>
    <t>78% shavings to dairy barn</t>
  </si>
  <si>
    <t>2 tons in 2020</t>
  </si>
  <si>
    <t>50 lbs/bag- $3.99</t>
  </si>
  <si>
    <t>hydrated lime on the beds, cut bacteria and drying</t>
  </si>
  <si>
    <t>LABOR/MANAGEMENT COST BRIANS NOTES</t>
  </si>
  <si>
    <t>hand spreading wood shavings up  to 8 times per  day.  No trainers so frequently spreading and cleaning</t>
  </si>
  <si>
    <t>shaving</t>
  </si>
  <si>
    <t>$5815 cost last year</t>
  </si>
  <si>
    <t>Skidsteer</t>
  </si>
  <si>
    <t>transfer bedding</t>
  </si>
  <si>
    <t>10 min/day max</t>
  </si>
  <si>
    <t>diesel</t>
  </si>
  <si>
    <t>32 gallons/year</t>
  </si>
  <si>
    <t>also used up  to 50 lbs hydrated lime or 2 ton per year.  Purchases in 50 lb bags.  Around 3.99 per bag</t>
  </si>
  <si>
    <t xml:space="preserve">$320 per year </t>
  </si>
  <si>
    <t xml:space="preserve">manual hoe - </t>
  </si>
  <si>
    <t>cleaning stalls</t>
  </si>
  <si>
    <t>1 hr/day</t>
  </si>
  <si>
    <t>245 hours/year - combined bedding and cleaning stalls</t>
  </si>
  <si>
    <t>Skidsteer used to push shavings into the barn.  Then use a large bucket to spread by hand as needed. Very minimal use of skid steer.  10 min or less per day.  Deisil and very  efficient. Estimate under 2 gal per  week sept to May.  Estimate 32 gal per year</t>
  </si>
  <si>
    <t>gutter cleaner</t>
  </si>
  <si>
    <t>2x/day</t>
  </si>
  <si>
    <t>recently a used chain - avg $100/year</t>
  </si>
  <si>
    <t>1 hr per day bedding?</t>
  </si>
  <si>
    <t>gravity drain to lagoon, designed by NRCS (early 90's)</t>
  </si>
  <si>
    <t xml:space="preserve">gutter runs twice per  day in tie stall. Little repair costs.  Chain lasted 20+ yrs so est 100 cost per year?. </t>
  </si>
  <si>
    <t>Custom - 2 trucks for field sreading</t>
  </si>
  <si>
    <t xml:space="preserve">manure dops into pit and into lagoon with gravity.  Clay  lined pit.  NRCS  back in  1990s. </t>
  </si>
  <si>
    <t>Case IH 100hp</t>
  </si>
  <si>
    <t>agitation</t>
  </si>
  <si>
    <t>50 hours</t>
  </si>
  <si>
    <t>150 gallons</t>
  </si>
  <si>
    <t>diesel - $2.25</t>
  </si>
  <si>
    <t>Spreading is done custom done up to 3 times/yr 4852 cost last year.  Uses own tractor.  Est 150 gal deisil per year at $2.25/gal</t>
  </si>
  <si>
    <t xml:space="preserve">Four factors - PI, standard plate count (includes SCC), </t>
  </si>
  <si>
    <t>$2.50/CWT</t>
  </si>
  <si>
    <t>Updates to stalls resulted in less teat injuries</t>
  </si>
  <si>
    <t>should also listen to files in column DM - focusing on good genetics and good forages</t>
  </si>
  <si>
    <t>Organic Valley - FARM, vet tried to enroll in a different one but didn't join</t>
  </si>
  <si>
    <t>what was there - appreciates close interaction with animals and warm barn on cold day</t>
  </si>
  <si>
    <t>Sees less labor of freestall but likes better hoof health of tiestall</t>
  </si>
  <si>
    <t>Would stick with tiestall - sees concerns from Canada</t>
  </si>
  <si>
    <t>guides individual cow decisions, helps in selling cows, overall herd health, helps with milk quality</t>
  </si>
  <si>
    <t>no changes since 90's</t>
  </si>
  <si>
    <t>happy with air quality</t>
  </si>
  <si>
    <t>Organic requires outdoor access - can still interact both during access and within stalls - very natural</t>
  </si>
  <si>
    <t>MacBain Homestead, Eric Bean</t>
  </si>
  <si>
    <t>4080 Mack Mountain Road, West Danville, VT 05873</t>
  </si>
  <si>
    <t>802-563-2025, mbain4080@gmail.com</t>
  </si>
  <si>
    <t>was 29/3 now milking 39/1 dry - milk year round (40 tiestall)</t>
  </si>
  <si>
    <t>1950's</t>
  </si>
  <si>
    <t>4 inches</t>
  </si>
  <si>
    <t>As needed, 3-4 times a day at least manure scraped from back of stall</t>
  </si>
  <si>
    <t>Once a day (also bedded in summer but less volume)</t>
  </si>
  <si>
    <t>30 cows in 40 stalls</t>
  </si>
  <si>
    <t>data collection 5/6/2019. windows provide ventilation, stall width 47.5 in. stall length 72, unlimited headspace, uniform stalls, gutter, brisket board present, no trainers, concrete: dry, scraped; some residual waste feed</t>
  </si>
  <si>
    <t>mix of shavings &amp; sawdust.  Bedded 3 to 4 times per day.  Adding new material once per day in winter.  Daily bedding  in  summer to but with less</t>
  </si>
  <si>
    <t>$120 per load of sawdust.  45 loads per year</t>
  </si>
  <si>
    <t>$120/load or .30/cf</t>
  </si>
  <si>
    <t>self-pick up, 400 cf, 45 trips/year (weekly in winter)</t>
  </si>
  <si>
    <t>takes 3 hours to get a load.  Dump  truck and trailer is used and he gets it himself.  Takes about 5 gallons deisil per trip.</t>
  </si>
  <si>
    <t>fuel for bedding</t>
  </si>
  <si>
    <t>LABOR/MANAGEMENT COST NOTES FROM BRIAN</t>
  </si>
  <si>
    <t>paying 2.70 for deisil but was 2.50 last year</t>
  </si>
  <si>
    <t>1 hr unloading trailer per load.  1/2 hr to 3/4 to bed the barn.  All this is manual with sawdust cart</t>
  </si>
  <si>
    <t>time for getting bedding moving/bedding</t>
  </si>
  <si>
    <t>also .75 hr/day to scrape  stalls twice per day plus .5 min to run gutter cleaner</t>
  </si>
  <si>
    <t>time for scraping stalls clean of manure</t>
  </si>
  <si>
    <t>Truck and dump trailer</t>
  </si>
  <si>
    <t>bedding transport</t>
  </si>
  <si>
    <t>3 hrs roundtrip</t>
  </si>
  <si>
    <t>5 gallon</t>
  </si>
  <si>
    <t>2.70 (was 2.50)</t>
  </si>
  <si>
    <t>has been same source for 5-6 years, can use smaller truck to dump right into the barn</t>
  </si>
  <si>
    <t>side slinger spreader -  spreads it himself.  Estimates 65 gal fuel per year spreading and loading psreader.  Diesil.</t>
  </si>
  <si>
    <t>hrs per yr loading spreader</t>
  </si>
  <si>
    <t>wheelbarrow</t>
  </si>
  <si>
    <t>bulk handling</t>
  </si>
  <si>
    <t>1/week</t>
  </si>
  <si>
    <t>loader tractor for the spreader too.</t>
  </si>
  <si>
    <t>fuel gal for spreading</t>
  </si>
  <si>
    <t>sawdust cart</t>
  </si>
  <si>
    <t>bedding stall</t>
  </si>
  <si>
    <t>45 min/day</t>
  </si>
  <si>
    <t>Oct-May</t>
  </si>
  <si>
    <t xml:space="preserve">Doesn't  feel like there is an annual repair cost for the manure system.  </t>
  </si>
  <si>
    <t>hoe</t>
  </si>
  <si>
    <t>cleaning stall</t>
  </si>
  <si>
    <t>30 min/day</t>
  </si>
  <si>
    <t>gutter cleaning</t>
  </si>
  <si>
    <t>1x/day</t>
  </si>
  <si>
    <t>30-40 min/day</t>
  </si>
  <si>
    <t>very little maintenance</t>
  </si>
  <si>
    <t>Sideslinger spreader</t>
  </si>
  <si>
    <t>spreading</t>
  </si>
  <si>
    <t>45 hours/year</t>
  </si>
  <si>
    <t>Tractor</t>
  </si>
  <si>
    <t>60-70/year combined</t>
  </si>
  <si>
    <t>diesel/see above</t>
  </si>
  <si>
    <t>Notes: Cement manure storage - stack on cement, separate loader tractor for filling spreader</t>
  </si>
  <si>
    <t xml:space="preserve">  Going organic increased cull rate - due to fertility, dealing with high cell count or mastitic cows</t>
  </si>
  <si>
    <t>yes - small amount for gardeners (less than 5% of total)</t>
  </si>
  <si>
    <t>not lately</t>
  </si>
  <si>
    <t>just related to fuel prices</t>
  </si>
  <si>
    <t>Stonyfield Direct - top premium is $1/CWT for quality, low SCC</t>
  </si>
  <si>
    <t>yes - since you're organic don't have as many tools to treat mastitis</t>
  </si>
  <si>
    <t>no changes to all answers below</t>
  </si>
  <si>
    <t>transitioned to organic in 2015, but didn't have big changes</t>
  </si>
  <si>
    <t>Transitioned to organic in 2015</t>
  </si>
  <si>
    <t xml:space="preserve">FARM plus organic regs </t>
  </si>
  <si>
    <t>FARM through Stonyfield - Jason, no additional</t>
  </si>
  <si>
    <t>Parents or grand parents</t>
  </si>
  <si>
    <t>It was there</t>
  </si>
  <si>
    <t>pretty happy with tie stall</t>
  </si>
  <si>
    <t>Very happy with tiestall</t>
  </si>
  <si>
    <t>no, not yet</t>
  </si>
  <si>
    <t xml:space="preserve">Tracks production SCC and reproduction and guide culling and feeding </t>
  </si>
  <si>
    <t>Gives a way to track cell counts, reproduction and production - guides culling/feeding</t>
  </si>
  <si>
    <t>NA no issues hes been asked to change</t>
  </si>
  <si>
    <t>no changes - left alone</t>
  </si>
  <si>
    <t xml:space="preserve">NA no issues   </t>
  </si>
  <si>
    <t>pleased with air quality, no ammonia</t>
  </si>
  <si>
    <t>As long  as they have bedding to lay in the "seem pretty happy"</t>
  </si>
  <si>
    <t>As long as they have bedding to lay in, they seem pretty happy</t>
  </si>
  <si>
    <t>Oughta-Be Farm, Sonya Roberge</t>
  </si>
  <si>
    <t>32 Whitney Lyman Road, Chelsea, VT 05038</t>
  </si>
  <si>
    <t>802-685-3350, oughtabefarm@yahoo.com</t>
  </si>
  <si>
    <t>64/6 dry cows all in same tie stall</t>
  </si>
  <si>
    <t>17 sq ft/cow in stalls</t>
  </si>
  <si>
    <t>"Always" :)</t>
  </si>
  <si>
    <t>4 times a day</t>
  </si>
  <si>
    <t>4 times a day.</t>
  </si>
  <si>
    <t>1950s-1972 - was two barns then connected 1972</t>
  </si>
  <si>
    <t>avg sq feet per stall</t>
  </si>
  <si>
    <t>64 cows in 73 stalls</t>
  </si>
  <si>
    <t>mostly Jerseys</t>
  </si>
  <si>
    <t>Data collected on 5/8/2019. cross ventilated barn, stall width 38-44 in, stall length 56-63, headspace unlimited, gutter, no trainers outdoor area not noted.</t>
  </si>
  <si>
    <t xml:space="preserve">redid some stalls in 2001 to make them bigger.  Right now there are at least 3 different sizes of stalls </t>
  </si>
  <si>
    <t>bedding cost</t>
  </si>
  <si>
    <t>est 5% to heifers but only part of winter</t>
  </si>
  <si>
    <t xml:space="preserve">getting all shavings now.  </t>
  </si>
  <si>
    <t>comes in 53' long trailer.  116 cu yards per load</t>
  </si>
  <si>
    <t>$1700 per load</t>
  </si>
  <si>
    <t>that included a little bagged shavings when they couldn't get bulk for a little while</t>
  </si>
  <si>
    <t>7 trailer loads plus some bagged shavings</t>
  </si>
  <si>
    <t xml:space="preserve">They clean stalls and move bedding add new bedding 4 times per day.  Then also hoe/clean stalls additional times per day </t>
  </si>
  <si>
    <t>bedding hours</t>
  </si>
  <si>
    <t>sawdust deliveries go directly into sawdust shed which is part of the barn.  Then shovel into a plastic cart to spread in the stalls</t>
  </si>
  <si>
    <t>1/2 hr hoeing manure out of stalls</t>
  </si>
  <si>
    <t>note this labor is both of them</t>
  </si>
  <si>
    <t>gutter cleaner is run twice while they are hoeing in winter but theey only run it once in summer</t>
  </si>
  <si>
    <t>manure/cleaning hours</t>
  </si>
  <si>
    <t xml:space="preserve">Do their own spreading.  Spread with their own tanker truck.  Agitator pump is run by a tractor. </t>
  </si>
  <si>
    <t>equip run time to spread</t>
  </si>
  <si>
    <t xml:space="preserve">Truck runs 95 hrs per yr.  Agitator tractor runs that whole time too. </t>
  </si>
  <si>
    <t>diesil tractor.  Est 1 gal/hr</t>
  </si>
  <si>
    <t>fuel usage to spread manure</t>
  </si>
  <si>
    <t xml:space="preserve">400 gal fuel/yr into truck.  Also diesil </t>
  </si>
  <si>
    <t>2.50per galon</t>
  </si>
  <si>
    <t>only related to occaisional use of bagged shavings</t>
  </si>
  <si>
    <t>milk quality and cull rates are stable</t>
  </si>
  <si>
    <t>changes are mostly related to drought in 2020</t>
  </si>
  <si>
    <t>Bought in water fro milkhouse - 4/5 springs went dry</t>
  </si>
  <si>
    <t>Horizon/Danone - producers have NDA - "significant but complicated"</t>
  </si>
  <si>
    <t>Cull mostly driven by space needs - Staph in Jul/Sep but likely due to fly pressure</t>
  </si>
  <si>
    <t>Culls related to fertility and low production</t>
  </si>
  <si>
    <t>no - new vet - same price better service</t>
  </si>
  <si>
    <t>FARM (AgriMark)</t>
  </si>
  <si>
    <t>What was here - father bought farm in 1952</t>
  </si>
  <si>
    <t>Freestall with a step-up parlor - use sawdust/shavings - would benefit labor (feeding and cleaning) and animal hygiene</t>
  </si>
  <si>
    <t>Anticipate changes to animal housing requirements in future</t>
  </si>
  <si>
    <t>Hot sheet, PCR?, CMT top cows, culture milk to determine issue - major input for decision making</t>
  </si>
  <si>
    <t>No, not yet - had small farm inspection - have to keep calf hutches clean near a small stream</t>
  </si>
  <si>
    <t>Animals do best in summer when they are outside 85-90% - would like them to move more freely, outdoor access is 1989 outdoor barnyard cost-shared by NRCS</t>
  </si>
  <si>
    <t>Hoyt Hill Farm, Amber and Scott Hoyt</t>
  </si>
  <si>
    <t>278 Spring Road, Tunbridge, VT 05077 FARM address is 61 Hoyt Hill Road.  They LIVE at thee spring road address</t>
  </si>
  <si>
    <t>aparry@uwalumni.com, 802-522-0328</t>
  </si>
  <si>
    <t xml:space="preserve">55 lactating, 10 dry  now 59 lactating and 8 dry. </t>
  </si>
  <si>
    <t>Since the 1980's - 1987</t>
  </si>
  <si>
    <t>Shavings/Woodchips (Jessie Lambert) - had green sawdust from Montgomery logging until Nov 2020 - started getting dry shavings Nov 2020 from Dupuis - built new storage for bulk deliveries</t>
  </si>
  <si>
    <t>1/2 inch to 1"</t>
  </si>
  <si>
    <t>6-8 times a day manure scraped from back of stall</t>
  </si>
  <si>
    <t xml:space="preserve">Shavings/Woodchips.  Were previously getting green shavings or a mix of green  and dry but  startted getting ALL  dry shavings from Dupuis in November 2020.  Had to build a structure big enough to be able to get dry  shavings delivered in the amounts they neeeded. </t>
  </si>
  <si>
    <t>Other costs (gutter chain maint and  repair)</t>
  </si>
  <si>
    <t xml:space="preserve">hygiene is better now with dry sawdust.  Better absorbtion of moisture.  Less caking  </t>
  </si>
  <si>
    <t>1988 or 1987 and amber and her husband boughtt  the  farm in 2018</t>
  </si>
  <si>
    <t>note that they also built a new sawdust shed for cost of 6700 in 2020</t>
  </si>
  <si>
    <t>not measured by Tucker and Caitlin.  Stalls estimatted to be 4 x 5?</t>
  </si>
  <si>
    <t>note they  put in stall matts in 2020 - bought from Corey Chapman when he sold out l ast year</t>
  </si>
  <si>
    <t xml:space="preserve">47 cows in 56 stalls is  what Tucker had but Sarah and Brian were told there are a total of 59 stalls in milking barn.  Additional stalls out in the dry cow barn. </t>
  </si>
  <si>
    <t>date of observation : 5/10/2020. Tunnel and cross ventilaton stall width variable 45-48 inches, length 68 inches,  headspace unlimited, brisket board present, trainer not present, outdoor surface area 0-3" manure, wet day, concrete</t>
  </si>
  <si>
    <t xml:space="preserve">Dupuis charges $2150 for 3200 cu feet.  Got one load last fall.  Also can get $1800 per load from another supplier.  Hoping to be able to do 3 bulk trailer loads per year at that price </t>
  </si>
  <si>
    <t>range of possible cost/yr with new all dry</t>
  </si>
  <si>
    <t xml:space="preserve">note that some sawdust goes to heifers.  Probably about 1/3 to heifers and calves </t>
  </si>
  <si>
    <t>had to build a new structure for sawdust storage to get bulk dry sawdust</t>
  </si>
  <si>
    <t>use a tractor to move sawdust to barn.  JD 5065E.  Done daily.  Takes about 5 min per day.  2 gal/hr diesil. 2.85/gallon</t>
  </si>
  <si>
    <t>bedding TRACTOR hours</t>
  </si>
  <si>
    <t>Tractor - JD 5065E</t>
  </si>
  <si>
    <t>transfer shavings</t>
  </si>
  <si>
    <t>.1 hrs/day</t>
  </si>
  <si>
    <t>2 gals/hr</t>
  </si>
  <si>
    <t>$2.85/gal diesel</t>
  </si>
  <si>
    <t xml:space="preserve">Wheelbarrow used to bed stalls.  Does it 4 times per day. Total of 60 min per day </t>
  </si>
  <si>
    <t>6 cf wheelbarrow</t>
  </si>
  <si>
    <t>shavings</t>
  </si>
  <si>
    <t xml:space="preserve">scraping and cleaning is 20 min per day </t>
  </si>
  <si>
    <t xml:space="preserve">6 months on pasture the labor is 1/2 of winter.  </t>
  </si>
  <si>
    <t>cleaning</t>
  </si>
  <si>
    <t>May-Oct - 50% labor/bedding use</t>
  </si>
  <si>
    <t xml:space="preserve">gutter runs for about 10 to 20 minutes while cleaning.  Runs once per day in winter and every  other day in summer </t>
  </si>
  <si>
    <t>1x/day - 10 minute</t>
  </si>
  <si>
    <t>$200/year maintenance est.</t>
  </si>
  <si>
    <t>have both a pit and a stack (what comes out of the barnyard is stacked where they are fed outdoors in winter)</t>
  </si>
  <si>
    <t xml:space="preserve">pit is spread custom but using own tractor and own pump for agitation.  2 gal/hr same as above. Spread twice eachyear.  Takes 2 days.  6 hours each day.  He brings tank truck and tractor witth spreader.  </t>
  </si>
  <si>
    <t>1800 to 2500 per year in cost for custom liq spreading</t>
  </si>
  <si>
    <t>Jessie Lambert - Tractors and 2 tank spreaders</t>
  </si>
  <si>
    <t>1800-2500</t>
  </si>
  <si>
    <t>For stacked manure which is scraped  up from the barnyard where cows are fed:  Scraped 3 times per week.  Takes about 1 hour each time.  Winter only (nov to may).  Ted and Linda spread this manure for them. 3 gal/hr fuel usage 180 loads per year.   Avg 30 min per year.  90 hours per year plus 20 hours running loading tractor.  So 110 total hours  at 3 gal/hr</t>
  </si>
  <si>
    <t>Ted and Linda Hoyt</t>
  </si>
  <si>
    <t>JD tractor and box spreader</t>
  </si>
  <si>
    <t>180 loads at 30 min/load - 90 hours</t>
  </si>
  <si>
    <t>3 gals/hour</t>
  </si>
  <si>
    <t>barter for hay arrangement</t>
  </si>
  <si>
    <t>Plus loader to fill spreader - 20 hours @ 3 gal/hour diesel</t>
  </si>
  <si>
    <t>gal fuel</t>
  </si>
  <si>
    <t>Notes: Feeding dairy cows on barnyard during winter outdoor access, try to scrape around 3x/week from Nov-May, push up into stack</t>
  </si>
  <si>
    <t>hrs labor/yr</t>
  </si>
  <si>
    <t>tractor hours</t>
  </si>
  <si>
    <t>site work for sawdust shed last yeaer</t>
  </si>
  <si>
    <t>building ccost for sawdust shed last year</t>
  </si>
  <si>
    <t xml:space="preserve">Weree getting 280 for 14 yards prior to new shed for green.  Were paying 20 per yard for green.  Now paying 17 per yard for dry.  So significant cost savings AND now can get dry instead of green </t>
  </si>
  <si>
    <t>Notes: Built new shavings storage shed - $5500 for site prep/concrete plus $1200 for lumber and hardware, plus own labor - very worthwhile investment according to Amber - shed allows savings - 14 CY - $280 for green sawdust, on top of improved hygiene</t>
  </si>
  <si>
    <t>harder to observe - have recently culled higher count cows - herd average therefore hasn't changed SCC - older cows seem better</t>
  </si>
  <si>
    <t>recently culled multiple older cows in Oct-Dec</t>
  </si>
  <si>
    <t>Bought mats from Corey Chapman last fall - appears to have improved cow comfort</t>
  </si>
  <si>
    <t>Did new soil tests in 2020 - minor changes to where loads were spread</t>
  </si>
  <si>
    <t>Horizon so lower incentive for low SCC now with their tiered premium paymentt  system</t>
  </si>
  <si>
    <t xml:space="preserve">no changes </t>
  </si>
  <si>
    <t>hoof trimmer came in Dec - says their feet looked the best ever - less abscesses and foot rot - may be due to barnyard cleaning</t>
  </si>
  <si>
    <t>kiln-dried shavings a little dustier - but no coughing or respiratory issues</t>
  </si>
  <si>
    <t>DFA does the FARM notebook SOPs with them</t>
  </si>
  <si>
    <t>was what was there</t>
  </si>
  <si>
    <t>BRIANS NOTES:</t>
  </si>
  <si>
    <t xml:space="preserve">Amber would do a freestall.  If she could afford the bedding she'd do a bedded pack but can't afford that much bedding so would choose a freestall for the lower bedding cost. </t>
  </si>
  <si>
    <t>Horizon - DFA insurers SOP's are in place (FARM) - notebook</t>
  </si>
  <si>
    <t xml:space="preserve">NA </t>
  </si>
  <si>
    <t>that’s what they bought</t>
  </si>
  <si>
    <t xml:space="preserve">Yes, test monthly with  DHIA </t>
  </si>
  <si>
    <t>Freestall (influenced by experience in WI) is most labor efficient - Bedded pack seems the best but expensive to operate, may be able to convert to freestall in coverall barn in the future and add a new parlor - cited Lambert's barn setup</t>
  </si>
  <si>
    <t>culling decisions, management decisions, which milk to divert to calf feeding</t>
  </si>
  <si>
    <t>Amber's experience is animals like to have choice in location and stalls</t>
  </si>
  <si>
    <t>Yes, test monthly DHIA</t>
  </si>
  <si>
    <t>Culling and management decisions (feed raw milk to calves)</t>
  </si>
  <si>
    <t xml:space="preserve">Their cows are fed outdoors 6 to 8 hours daily in the winter in the barnyard and on pasture in summer.  In summer they are only in the barn about 3 or 4 hours. Cows have access to a leanto they can lay in.  May do some work to keep that area dry and clean but not putting bedding in it. Hiefers are managed on a bedded pack.  </t>
  </si>
  <si>
    <t>Animals - can choose to be eating or laying down in pack area - freedom of choice - lean-to shed they can lay down - outside 9 until 3 - mostly standing - animals stay sufficiently 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</si>
</sst>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0.0"/>
  </numFmts>
  <fonts count="14"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2"/>
      <color theme="1"/>
      <name val="Calibri"/>
      <family val="2"/>
      <scheme val="minor"/>
    </font>
    <font>
      <b/>
      <sz val="11"/>
      <color theme="4" tint="-0.499984740745262"/>
      <name val="Calibri"/>
      <family val="2"/>
      <scheme val="minor"/>
    </font>
    <font>
      <b/>
      <sz val="12"/>
      <color theme="1"/>
      <name val="Calibri"/>
      <family val="2"/>
      <scheme val="minor"/>
    </font>
    <font>
      <sz val="12"/>
      <color rgb="FFFF0000"/>
      <name val="Calibri"/>
      <family val="2"/>
      <scheme val="minor"/>
    </font>
    <font>
      <sz val="12"/>
      <color rgb="FF375623"/>
      <name val="Calibri"/>
      <family val="2"/>
      <scheme val="minor"/>
    </font>
    <font>
      <u/>
      <sz val="12"/>
      <color theme="10"/>
      <name val="Calibri"/>
      <family val="2"/>
      <scheme val="minor"/>
    </font>
    <font>
      <sz val="12"/>
      <color rgb="FF000000"/>
      <name val="Calibri"/>
      <family val="2"/>
      <scheme val="minor"/>
    </font>
    <font>
      <sz val="10"/>
      <color theme="1"/>
      <name val="Calibri"/>
      <family val="2"/>
      <scheme val="minor"/>
    </font>
    <font>
      <sz val="12"/>
      <color theme="1"/>
      <name val="Helvetica"/>
      <family val="2"/>
    </font>
    <font>
      <i/>
      <sz val="12"/>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C99"/>
        <bgColor indexed="64"/>
      </patternFill>
    </fill>
    <fill>
      <patternFill patternType="solid">
        <fgColor rgb="FFFFCC99"/>
        <bgColor rgb="FFFFCC99"/>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CCCC"/>
        <bgColor indexed="64"/>
      </patternFill>
    </fill>
    <fill>
      <patternFill patternType="solid">
        <fgColor theme="0"/>
        <bgColor indexed="64"/>
      </patternFill>
    </fill>
    <fill>
      <patternFill patternType="solid">
        <fgColor rgb="FFBC81C5"/>
        <bgColor indexed="64"/>
      </patternFill>
    </fill>
    <fill>
      <patternFill patternType="solid">
        <fgColor rgb="FFFFFF00"/>
        <bgColor indexed="64"/>
      </patternFill>
    </fill>
  </fills>
  <borders count="25">
    <border>
      <left/>
      <right/>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2" fillId="2" borderId="0" applyNumberFormat="0" applyBorder="0" applyAlignment="0" applyProtection="0"/>
    <xf numFmtId="0" fontId="4" fillId="0" borderId="0"/>
    <xf numFmtId="44" fontId="4" fillId="0" borderId="0" applyFont="0" applyFill="0" applyBorder="0" applyAlignment="0" applyProtection="0"/>
    <xf numFmtId="0" fontId="9" fillId="0" borderId="0" applyNumberFormat="0" applyFill="0" applyBorder="0" applyAlignment="0" applyProtection="0"/>
  </cellStyleXfs>
  <cellXfs count="149">
    <xf numFmtId="0" fontId="0" fillId="0" borderId="0" xfId="0"/>
    <xf numFmtId="0" fontId="5" fillId="3" borderId="0" xfId="2" applyFont="1" applyFill="1"/>
    <xf numFmtId="0" fontId="4" fillId="0" borderId="0" xfId="2"/>
    <xf numFmtId="0" fontId="6" fillId="0" borderId="0" xfId="2" applyFont="1" applyAlignment="1">
      <alignment horizontal="right"/>
    </xf>
    <xf numFmtId="0" fontId="3" fillId="0" borderId="1" xfId="2" applyFont="1" applyBorder="1"/>
    <xf numFmtId="0" fontId="4" fillId="0" borderId="1" xfId="2" applyBorder="1"/>
    <xf numFmtId="0" fontId="5" fillId="0" borderId="1" xfId="2" applyFont="1" applyBorder="1"/>
    <xf numFmtId="0" fontId="4" fillId="0" borderId="2" xfId="2" applyBorder="1" applyAlignment="1">
      <alignment horizontal="left"/>
    </xf>
    <xf numFmtId="0" fontId="4" fillId="4" borderId="2" xfId="2" applyFill="1" applyBorder="1" applyAlignment="1">
      <alignment horizontal="left"/>
    </xf>
    <xf numFmtId="0" fontId="4" fillId="0" borderId="3" xfId="2" applyBorder="1" applyAlignment="1">
      <alignment horizontal="left"/>
    </xf>
    <xf numFmtId="0" fontId="4" fillId="3" borderId="3" xfId="2" applyFill="1" applyBorder="1" applyAlignment="1">
      <alignment horizontal="left"/>
    </xf>
    <xf numFmtId="0" fontId="4" fillId="0" borderId="4" xfId="2" applyBorder="1"/>
    <xf numFmtId="0" fontId="4" fillId="0" borderId="5" xfId="2" applyBorder="1"/>
    <xf numFmtId="0" fontId="4" fillId="0" borderId="6" xfId="2" applyBorder="1"/>
    <xf numFmtId="0" fontId="4" fillId="0" borderId="7" xfId="2" applyBorder="1"/>
    <xf numFmtId="0" fontId="4" fillId="0" borderId="8" xfId="2" applyBorder="1"/>
    <xf numFmtId="0" fontId="4" fillId="0" borderId="9" xfId="2" applyBorder="1"/>
    <xf numFmtId="0" fontId="4" fillId="5" borderId="10" xfId="2" applyFill="1" applyBorder="1"/>
    <xf numFmtId="0" fontId="4" fillId="0" borderId="9" xfId="2" applyBorder="1" applyAlignment="1">
      <alignment wrapText="1"/>
    </xf>
    <xf numFmtId="0" fontId="4" fillId="0" borderId="10" xfId="2" applyBorder="1"/>
    <xf numFmtId="2" fontId="4" fillId="6" borderId="11" xfId="2" applyNumberFormat="1" applyFill="1" applyBorder="1"/>
    <xf numFmtId="0" fontId="4" fillId="0" borderId="3" xfId="2" applyBorder="1" applyAlignment="1">
      <alignment horizontal="left" wrapText="1"/>
    </xf>
    <xf numFmtId="44" fontId="0" fillId="5" borderId="10" xfId="3" applyFont="1" applyFill="1" applyBorder="1"/>
    <xf numFmtId="44" fontId="0" fillId="6" borderId="11" xfId="3" applyFont="1" applyFill="1" applyBorder="1"/>
    <xf numFmtId="0" fontId="4" fillId="3" borderId="3" xfId="2" applyFill="1" applyBorder="1" applyAlignment="1">
      <alignment horizontal="left" wrapText="1"/>
    </xf>
    <xf numFmtId="164" fontId="4" fillId="6" borderId="11" xfId="2" applyNumberFormat="1" applyFill="1" applyBorder="1"/>
    <xf numFmtId="0" fontId="6" fillId="3" borderId="3" xfId="2" applyFont="1" applyFill="1" applyBorder="1" applyAlignment="1">
      <alignment horizontal="left" wrapText="1"/>
    </xf>
    <xf numFmtId="0" fontId="7" fillId="0" borderId="0" xfId="2" applyFont="1"/>
    <xf numFmtId="44" fontId="4" fillId="5" borderId="10" xfId="2" applyNumberFormat="1" applyFill="1" applyBorder="1"/>
    <xf numFmtId="44" fontId="4" fillId="6" borderId="11" xfId="2" applyNumberFormat="1" applyFill="1" applyBorder="1"/>
    <xf numFmtId="0" fontId="8" fillId="0" borderId="0" xfId="2" applyFont="1"/>
    <xf numFmtId="0" fontId="4" fillId="0" borderId="10" xfId="2" applyBorder="1" applyAlignment="1">
      <alignment wrapText="1"/>
    </xf>
    <xf numFmtId="0" fontId="4" fillId="0" borderId="12" xfId="2" applyBorder="1" applyAlignment="1">
      <alignment wrapText="1"/>
    </xf>
    <xf numFmtId="0" fontId="4" fillId="5" borderId="0" xfId="2" applyFill="1"/>
    <xf numFmtId="0" fontId="4" fillId="0" borderId="13" xfId="2" applyBorder="1" applyAlignment="1">
      <alignment wrapText="1"/>
    </xf>
    <xf numFmtId="44" fontId="0" fillId="6" borderId="0" xfId="3" applyFont="1" applyFill="1"/>
    <xf numFmtId="0" fontId="4" fillId="0" borderId="0" xfId="2" applyAlignment="1">
      <alignment wrapText="1"/>
    </xf>
    <xf numFmtId="0" fontId="4" fillId="0" borderId="14" xfId="2" applyBorder="1" applyAlignment="1">
      <alignment horizontal="left" wrapText="1"/>
    </xf>
    <xf numFmtId="0" fontId="4" fillId="0" borderId="15" xfId="2" applyBorder="1"/>
    <xf numFmtId="0" fontId="4" fillId="0" borderId="16" xfId="2" applyBorder="1" applyAlignment="1">
      <alignment wrapText="1"/>
    </xf>
    <xf numFmtId="2" fontId="0" fillId="6" borderId="17" xfId="3" applyNumberFormat="1" applyFont="1" applyFill="1" applyBorder="1"/>
    <xf numFmtId="0" fontId="4" fillId="0" borderId="18" xfId="2" applyBorder="1" applyAlignment="1">
      <alignment horizontal="left" wrapText="1"/>
    </xf>
    <xf numFmtId="0" fontId="4" fillId="0" borderId="0" xfId="2" applyAlignment="1">
      <alignment horizontal="left" wrapText="1"/>
    </xf>
    <xf numFmtId="0" fontId="4" fillId="3" borderId="0" xfId="2" applyFill="1" applyAlignment="1">
      <alignment horizontal="left" wrapText="1"/>
    </xf>
    <xf numFmtId="0" fontId="4" fillId="0" borderId="18" xfId="2" applyBorder="1" applyAlignment="1">
      <alignment horizontal="left" wrapText="1"/>
    </xf>
    <xf numFmtId="0" fontId="4" fillId="0" borderId="0" xfId="2" applyAlignment="1">
      <alignment horizontal="left" wrapText="1"/>
    </xf>
    <xf numFmtId="0" fontId="6" fillId="0" borderId="0" xfId="2" applyFont="1" applyAlignment="1">
      <alignment horizontal="right" vertical="top"/>
    </xf>
    <xf numFmtId="0" fontId="4" fillId="3" borderId="0" xfId="2" applyFill="1" applyAlignment="1">
      <alignment horizontal="left" wrapText="1"/>
    </xf>
    <xf numFmtId="0" fontId="3" fillId="0" borderId="0" xfId="2" applyFont="1"/>
    <xf numFmtId="0" fontId="3" fillId="7" borderId="19" xfId="2" applyFont="1" applyFill="1" applyBorder="1" applyAlignment="1">
      <alignment horizontal="left" vertical="top" wrapText="1"/>
    </xf>
    <xf numFmtId="0" fontId="4" fillId="7" borderId="10" xfId="2" applyFill="1" applyBorder="1"/>
    <xf numFmtId="0" fontId="6" fillId="7" borderId="10" xfId="2" applyFont="1" applyFill="1" applyBorder="1"/>
    <xf numFmtId="0" fontId="6" fillId="7" borderId="10" xfId="2" applyFont="1" applyFill="1" applyBorder="1" applyAlignment="1">
      <alignment wrapText="1"/>
    </xf>
    <xf numFmtId="0" fontId="3" fillId="7" borderId="20" xfId="2" applyFont="1" applyFill="1" applyBorder="1" applyAlignment="1">
      <alignment horizontal="left" vertical="top" wrapText="1"/>
    </xf>
    <xf numFmtId="0" fontId="4" fillId="7" borderId="0" xfId="2" applyFill="1"/>
    <xf numFmtId="0" fontId="4" fillId="7" borderId="10" xfId="2" applyFill="1" applyBorder="1" applyAlignment="1">
      <alignment wrapText="1"/>
    </xf>
    <xf numFmtId="0" fontId="3" fillId="7" borderId="21" xfId="2" applyFont="1" applyFill="1" applyBorder="1" applyAlignment="1">
      <alignment horizontal="left" wrapText="1"/>
    </xf>
    <xf numFmtId="0" fontId="3" fillId="7" borderId="22" xfId="2" applyFont="1" applyFill="1" applyBorder="1" applyAlignment="1">
      <alignment horizontal="left" wrapText="1"/>
    </xf>
    <xf numFmtId="0" fontId="1" fillId="7" borderId="19" xfId="2" applyFont="1" applyFill="1" applyBorder="1" applyAlignment="1">
      <alignment horizontal="center" wrapText="1"/>
    </xf>
    <xf numFmtId="0" fontId="1" fillId="7" borderId="20" xfId="2" applyFont="1" applyFill="1" applyBorder="1" applyAlignment="1">
      <alignment horizontal="center" wrapText="1"/>
    </xf>
    <xf numFmtId="0" fontId="4" fillId="0" borderId="0" xfId="2" applyAlignment="1">
      <alignment horizontal="center"/>
    </xf>
    <xf numFmtId="0" fontId="4" fillId="7" borderId="23" xfId="2" applyFill="1" applyBorder="1" applyAlignment="1">
      <alignment horizontal="left" vertical="top"/>
    </xf>
    <xf numFmtId="0" fontId="4" fillId="7" borderId="0" xfId="2" applyFill="1" applyAlignment="1">
      <alignment horizontal="left" vertical="top"/>
    </xf>
    <xf numFmtId="0" fontId="4" fillId="7" borderId="14" xfId="2" applyFill="1" applyBorder="1" applyAlignment="1">
      <alignment wrapText="1"/>
    </xf>
    <xf numFmtId="0" fontId="4" fillId="7" borderId="14" xfId="2" applyFill="1" applyBorder="1"/>
    <xf numFmtId="0" fontId="4" fillId="7" borderId="24" xfId="2" applyFill="1" applyBorder="1" applyAlignment="1">
      <alignment wrapText="1"/>
    </xf>
    <xf numFmtId="0" fontId="4" fillId="7" borderId="23" xfId="2" applyFill="1" applyBorder="1" applyAlignment="1">
      <alignment horizontal="left" vertical="top" wrapText="1"/>
    </xf>
    <xf numFmtId="0" fontId="4" fillId="7" borderId="0" xfId="2" applyFill="1" applyAlignment="1">
      <alignment horizontal="left" vertical="top" wrapText="1"/>
    </xf>
    <xf numFmtId="0" fontId="6" fillId="7" borderId="3" xfId="2" applyFont="1" applyFill="1" applyBorder="1" applyAlignment="1">
      <alignment horizontal="left" wrapText="1"/>
    </xf>
    <xf numFmtId="0" fontId="4" fillId="7" borderId="3" xfId="2" applyFill="1" applyBorder="1" applyAlignment="1">
      <alignment wrapText="1"/>
    </xf>
    <xf numFmtId="0" fontId="6" fillId="7" borderId="3" xfId="2" applyFont="1" applyFill="1" applyBorder="1" applyAlignment="1">
      <alignment horizontal="right" vertical="top" wrapText="1"/>
    </xf>
    <xf numFmtId="0" fontId="4" fillId="7" borderId="3" xfId="2" applyFill="1" applyBorder="1" applyAlignment="1">
      <alignment horizontal="left" wrapText="1"/>
    </xf>
    <xf numFmtId="0" fontId="1" fillId="7" borderId="3" xfId="2" applyFont="1" applyFill="1" applyBorder="1" applyAlignment="1">
      <alignment horizontal="left" wrapText="1"/>
    </xf>
    <xf numFmtId="0" fontId="4" fillId="7" borderId="22" xfId="2" applyFill="1" applyBorder="1" applyAlignment="1">
      <alignment horizontal="left" wrapText="1"/>
    </xf>
    <xf numFmtId="0" fontId="4" fillId="7" borderId="22" xfId="2" applyFill="1" applyBorder="1" applyAlignment="1">
      <alignment wrapText="1"/>
    </xf>
    <xf numFmtId="0" fontId="4" fillId="7" borderId="23" xfId="2" applyFill="1" applyBorder="1" applyAlignment="1">
      <alignment horizontal="left" wrapText="1"/>
    </xf>
    <xf numFmtId="0" fontId="4" fillId="7" borderId="23" xfId="2" applyFill="1" applyBorder="1" applyAlignment="1">
      <alignment wrapText="1"/>
    </xf>
    <xf numFmtId="0" fontId="6" fillId="0" borderId="0" xfId="2" applyFont="1" applyAlignment="1">
      <alignment horizontal="right" wrapText="1"/>
    </xf>
    <xf numFmtId="0" fontId="6" fillId="0" borderId="0" xfId="2" applyFont="1" applyAlignment="1">
      <alignment horizontal="left" wrapText="1"/>
    </xf>
    <xf numFmtId="0" fontId="4" fillId="0" borderId="22" xfId="2" applyBorder="1" applyAlignment="1">
      <alignment horizontal="left" wrapText="1"/>
    </xf>
    <xf numFmtId="0" fontId="4" fillId="0" borderId="22" xfId="2" applyBorder="1" applyAlignment="1">
      <alignment horizontal="left"/>
    </xf>
    <xf numFmtId="0" fontId="4" fillId="0" borderId="3" xfId="2" applyBorder="1" applyAlignment="1">
      <alignment horizontal="right" wrapText="1"/>
    </xf>
    <xf numFmtId="0" fontId="4" fillId="0" borderId="23" xfId="2" applyBorder="1" applyAlignment="1">
      <alignment horizontal="left"/>
    </xf>
    <xf numFmtId="0" fontId="4" fillId="0" borderId="3" xfId="2" applyBorder="1" applyAlignment="1">
      <alignment horizontal="left" wrapText="1"/>
    </xf>
    <xf numFmtId="0" fontId="4" fillId="0" borderId="3" xfId="2" applyBorder="1" applyAlignment="1">
      <alignment horizontal="left"/>
    </xf>
    <xf numFmtId="0" fontId="6" fillId="0" borderId="3" xfId="2" applyFont="1" applyBorder="1" applyAlignment="1">
      <alignment horizontal="right" vertical="top"/>
    </xf>
    <xf numFmtId="0" fontId="4" fillId="3" borderId="23" xfId="2" applyFill="1" applyBorder="1" applyAlignment="1">
      <alignment horizontal="left"/>
    </xf>
    <xf numFmtId="0" fontId="4" fillId="6" borderId="11" xfId="2" applyFill="1" applyBorder="1"/>
    <xf numFmtId="0" fontId="4" fillId="0" borderId="13" xfId="2" applyBorder="1"/>
    <xf numFmtId="0" fontId="4" fillId="3" borderId="3" xfId="2" applyFill="1" applyBorder="1" applyAlignment="1">
      <alignment horizontal="center" wrapText="1"/>
    </xf>
    <xf numFmtId="0" fontId="4" fillId="0" borderId="16" xfId="2" applyBorder="1"/>
    <xf numFmtId="0" fontId="10" fillId="3" borderId="3" xfId="4" applyFont="1" applyFill="1" applyBorder="1" applyAlignment="1">
      <alignment horizontal="left" wrapText="1"/>
    </xf>
    <xf numFmtId="0" fontId="10" fillId="3" borderId="3" xfId="4" applyFont="1" applyFill="1" applyBorder="1" applyAlignment="1">
      <alignment horizontal="left"/>
    </xf>
    <xf numFmtId="0" fontId="4" fillId="3" borderId="23" xfId="2" applyFill="1" applyBorder="1" applyAlignment="1">
      <alignment horizontal="left" wrapText="1"/>
    </xf>
    <xf numFmtId="0" fontId="4" fillId="7" borderId="13" xfId="2" applyFill="1" applyBorder="1"/>
    <xf numFmtId="0" fontId="4" fillId="7" borderId="18" xfId="2" applyFill="1" applyBorder="1" applyAlignment="1">
      <alignment wrapText="1"/>
    </xf>
    <xf numFmtId="0" fontId="4" fillId="7" borderId="0" xfId="2" applyFill="1" applyAlignment="1">
      <alignment horizontal="left" wrapText="1"/>
    </xf>
    <xf numFmtId="44" fontId="0" fillId="7" borderId="10" xfId="3" applyFont="1" applyFill="1" applyBorder="1"/>
    <xf numFmtId="6" fontId="4" fillId="0" borderId="0" xfId="2" applyNumberFormat="1"/>
    <xf numFmtId="0" fontId="4" fillId="7" borderId="3" xfId="2" applyFill="1" applyBorder="1" applyAlignment="1">
      <alignment wrapText="1"/>
    </xf>
    <xf numFmtId="0" fontId="4" fillId="8" borderId="4" xfId="2" applyFill="1" applyBorder="1"/>
    <xf numFmtId="0" fontId="4" fillId="8" borderId="5" xfId="2" applyFill="1" applyBorder="1"/>
    <xf numFmtId="0" fontId="4" fillId="8" borderId="6" xfId="2" applyFill="1" applyBorder="1"/>
    <xf numFmtId="0" fontId="4" fillId="8" borderId="7" xfId="2" applyFill="1" applyBorder="1"/>
    <xf numFmtId="0" fontId="4" fillId="8" borderId="0" xfId="2" applyFill="1"/>
    <xf numFmtId="0" fontId="4" fillId="8" borderId="8" xfId="2" applyFill="1" applyBorder="1"/>
    <xf numFmtId="0" fontId="4" fillId="8" borderId="9" xfId="2" applyFill="1" applyBorder="1"/>
    <xf numFmtId="0" fontId="4" fillId="8" borderId="9" xfId="2" applyFill="1" applyBorder="1" applyAlignment="1">
      <alignment wrapText="1"/>
    </xf>
    <xf numFmtId="0" fontId="4" fillId="8" borderId="10" xfId="2" applyFill="1" applyBorder="1"/>
    <xf numFmtId="0" fontId="4" fillId="8" borderId="11" xfId="2" applyFill="1" applyBorder="1"/>
    <xf numFmtId="44" fontId="0" fillId="8" borderId="11" xfId="3" applyFont="1" applyFill="1" applyBorder="1"/>
    <xf numFmtId="164" fontId="4" fillId="8" borderId="11" xfId="2" applyNumberFormat="1" applyFill="1" applyBorder="1"/>
    <xf numFmtId="44" fontId="4" fillId="8" borderId="11" xfId="2" applyNumberFormat="1" applyFill="1" applyBorder="1"/>
    <xf numFmtId="2" fontId="4" fillId="8" borderId="11" xfId="2" applyNumberFormat="1" applyFill="1" applyBorder="1"/>
    <xf numFmtId="0" fontId="4" fillId="8" borderId="12" xfId="2" applyFill="1" applyBorder="1" applyAlignment="1">
      <alignment wrapText="1"/>
    </xf>
    <xf numFmtId="0" fontId="4" fillId="8" borderId="13" xfId="2" applyFill="1" applyBorder="1"/>
    <xf numFmtId="44" fontId="0" fillId="8" borderId="0" xfId="3" applyFont="1" applyFill="1"/>
    <xf numFmtId="0" fontId="4" fillId="8" borderId="15" xfId="2" applyFill="1" applyBorder="1"/>
    <xf numFmtId="0" fontId="4" fillId="8" borderId="1" xfId="2" applyFill="1" applyBorder="1"/>
    <xf numFmtId="0" fontId="4" fillId="8" borderId="16" xfId="2" applyFill="1" applyBorder="1"/>
    <xf numFmtId="2" fontId="0" fillId="8" borderId="17" xfId="3" applyNumberFormat="1" applyFont="1" applyFill="1" applyBorder="1"/>
    <xf numFmtId="0" fontId="4" fillId="3" borderId="23" xfId="2" applyFill="1" applyBorder="1" applyAlignment="1">
      <alignment horizontal="left" wrapText="1"/>
    </xf>
    <xf numFmtId="0" fontId="6" fillId="3" borderId="0" xfId="2" applyFont="1" applyFill="1" applyAlignment="1">
      <alignment horizontal="right" vertical="top"/>
    </xf>
    <xf numFmtId="44" fontId="0" fillId="0" borderId="0" xfId="3" applyFont="1"/>
    <xf numFmtId="0" fontId="4" fillId="6" borderId="0" xfId="2" applyFill="1"/>
    <xf numFmtId="0" fontId="1" fillId="7" borderId="23" xfId="2" applyFont="1" applyFill="1" applyBorder="1" applyAlignment="1">
      <alignment horizontal="left" wrapText="1"/>
    </xf>
    <xf numFmtId="0" fontId="1" fillId="7" borderId="0" xfId="2" applyFont="1" applyFill="1" applyAlignment="1">
      <alignment horizontal="left" wrapText="1"/>
    </xf>
    <xf numFmtId="0" fontId="0" fillId="0" borderId="0" xfId="3" applyNumberFormat="1" applyFont="1"/>
    <xf numFmtId="0" fontId="1" fillId="0" borderId="3" xfId="2" applyFont="1" applyBorder="1" applyAlignment="1">
      <alignment horizontal="left" wrapText="1"/>
    </xf>
    <xf numFmtId="0" fontId="11" fillId="3" borderId="23" xfId="2" applyFont="1" applyFill="1" applyBorder="1" applyAlignment="1">
      <alignment horizontal="left" wrapText="1"/>
    </xf>
    <xf numFmtId="14" fontId="6" fillId="9" borderId="1" xfId="2" applyNumberFormat="1" applyFont="1" applyFill="1" applyBorder="1"/>
    <xf numFmtId="0" fontId="5" fillId="9" borderId="1" xfId="2" applyFont="1" applyFill="1" applyBorder="1"/>
    <xf numFmtId="0" fontId="6" fillId="9" borderId="0" xfId="2" applyFont="1" applyFill="1"/>
    <xf numFmtId="0" fontId="4" fillId="7" borderId="0" xfId="2" applyFill="1" applyAlignment="1">
      <alignment wrapText="1"/>
    </xf>
    <xf numFmtId="0" fontId="2" fillId="2" borderId="3" xfId="1" applyBorder="1" applyAlignment="1">
      <alignment horizontal="left"/>
    </xf>
    <xf numFmtId="0" fontId="4" fillId="8" borderId="3" xfId="2" applyFill="1" applyBorder="1" applyAlignment="1">
      <alignment horizontal="left" wrapText="1"/>
    </xf>
    <xf numFmtId="0" fontId="4" fillId="8" borderId="3" xfId="2" applyFill="1" applyBorder="1" applyAlignment="1">
      <alignment horizontal="left"/>
    </xf>
    <xf numFmtId="0" fontId="1" fillId="3" borderId="3" xfId="2" applyFont="1" applyFill="1" applyBorder="1" applyAlignment="1">
      <alignment horizontal="left" wrapText="1"/>
    </xf>
    <xf numFmtId="0" fontId="4" fillId="6" borderId="10" xfId="2" applyFill="1" applyBorder="1"/>
    <xf numFmtId="0" fontId="1" fillId="3" borderId="3" xfId="2" applyFont="1" applyFill="1" applyBorder="1" applyAlignment="1">
      <alignment horizontal="left"/>
    </xf>
    <xf numFmtId="0" fontId="12" fillId="0" borderId="0" xfId="2" applyFont="1"/>
    <xf numFmtId="6" fontId="4" fillId="7" borderId="10" xfId="2" applyNumberFormat="1" applyFill="1" applyBorder="1"/>
    <xf numFmtId="0" fontId="7" fillId="5" borderId="10" xfId="2" applyFont="1" applyFill="1" applyBorder="1"/>
    <xf numFmtId="0" fontId="4" fillId="0" borderId="10" xfId="2" applyBorder="1" applyAlignment="1">
      <alignment horizontal="center" wrapText="1"/>
    </xf>
    <xf numFmtId="0" fontId="4" fillId="10" borderId="0" xfId="2" applyFill="1"/>
    <xf numFmtId="44" fontId="0" fillId="6" borderId="10" xfId="3" applyFont="1" applyFill="1" applyBorder="1"/>
    <xf numFmtId="8" fontId="4" fillId="7" borderId="10" xfId="2" applyNumberFormat="1" applyFill="1" applyBorder="1"/>
    <xf numFmtId="164" fontId="4" fillId="6" borderId="10" xfId="2" applyNumberFormat="1" applyFill="1" applyBorder="1"/>
    <xf numFmtId="0" fontId="13" fillId="0" borderId="0" xfId="2" applyFont="1"/>
  </cellXfs>
  <cellStyles count="5">
    <cellStyle name="Currency 2" xfId="3" xr:uid="{9E88AB71-4B5B-4B80-9A38-33AD34468AAF}"/>
    <cellStyle name="Good" xfId="1" builtinId="26"/>
    <cellStyle name="Hyperlink 2" xfId="4" xr:uid="{8952C317-3FB1-42F1-90FC-C0C5B87E0092}"/>
    <cellStyle name="Normal" xfId="0" builtinId="0"/>
    <cellStyle name="Normal 2" xfId="2" xr:uid="{71F1CA0E-304A-44F7-B10D-3C1BEFA480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802-752-7169,%20holyokefarm@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802-868-2131,%20choinierefamilyfarm@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802-752-7169,%20holyokefarm@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802-752-7169,%20holyokefarm@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aparry@uwalumni.com,%20802-522-032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67DF-892D-45D4-9A21-0721D0C770A8}">
  <dimension ref="A1:O104"/>
  <sheetViews>
    <sheetView view="pageBreakPreview" zoomScale="65" zoomScaleNormal="100" zoomScaleSheetLayoutView="150" workbookViewId="0">
      <selection activeCell="N15" sqref="N15"/>
    </sheetView>
  </sheetViews>
  <sheetFormatPr defaultColWidth="11.81640625" defaultRowHeight="15.5" x14ac:dyDescent="0.35"/>
  <cols>
    <col min="1" max="1" width="13.08984375" style="2" customWidth="1"/>
    <col min="2" max="2" width="18.90625" style="2" customWidth="1"/>
    <col min="3" max="4" width="12" style="2" customWidth="1"/>
    <col min="5" max="6" width="14.90625" style="2" customWidth="1"/>
    <col min="7" max="7" width="16.36328125" style="2" customWidth="1"/>
    <col min="8" max="8" width="15.26953125" style="2" customWidth="1"/>
    <col min="9" max="10" width="11.81640625" style="2"/>
    <col min="11" max="11" width="15.6328125" style="2" customWidth="1"/>
    <col min="12" max="12" width="12.54296875" style="2" bestFit="1" customWidth="1"/>
    <col min="13" max="13" width="11.81640625" style="2"/>
    <col min="14" max="14" width="28.90625" style="2" customWidth="1"/>
    <col min="15" max="16384" width="11.81640625" style="2"/>
  </cols>
  <sheetData>
    <row r="1" spans="1:15" x14ac:dyDescent="0.35">
      <c r="A1" s="1" t="s">
        <v>0</v>
      </c>
      <c r="B1" s="1"/>
      <c r="C1" s="1"/>
      <c r="D1" s="1"/>
      <c r="H1" s="3" t="s">
        <v>1</v>
      </c>
    </row>
    <row r="2" spans="1:15" ht="24" customHeight="1" thickBot="1" x14ac:dyDescent="0.4">
      <c r="A2" s="4" t="s">
        <v>2</v>
      </c>
      <c r="B2" s="4"/>
      <c r="C2" s="4"/>
      <c r="D2" s="4"/>
      <c r="E2" s="5"/>
      <c r="F2" s="6"/>
    </row>
    <row r="3" spans="1:15" ht="19" customHeight="1" thickBot="1" x14ac:dyDescent="0.4">
      <c r="A3" s="7" t="s">
        <v>3</v>
      </c>
      <c r="B3" s="7"/>
      <c r="C3" s="7"/>
      <c r="D3" s="7"/>
      <c r="E3" s="8" t="s">
        <v>190</v>
      </c>
      <c r="F3" s="8"/>
      <c r="G3" s="8"/>
      <c r="H3" s="8"/>
    </row>
    <row r="4" spans="1:15" ht="19" customHeight="1" x14ac:dyDescent="0.35">
      <c r="A4" s="9" t="s">
        <v>5</v>
      </c>
      <c r="B4" s="9"/>
      <c r="C4" s="9"/>
      <c r="D4" s="9"/>
      <c r="E4" s="10" t="s">
        <v>191</v>
      </c>
      <c r="F4" s="10"/>
      <c r="G4" s="10"/>
      <c r="H4" s="10"/>
      <c r="K4" s="11" t="s">
        <v>7</v>
      </c>
      <c r="L4" s="12"/>
      <c r="M4" s="12"/>
      <c r="N4" s="12"/>
      <c r="O4" s="13"/>
    </row>
    <row r="5" spans="1:15" ht="19" customHeight="1" x14ac:dyDescent="0.35">
      <c r="A5" s="9" t="s">
        <v>8</v>
      </c>
      <c r="B5" s="9"/>
      <c r="C5" s="9"/>
      <c r="D5" s="9"/>
      <c r="E5" s="10" t="s">
        <v>192</v>
      </c>
      <c r="F5" s="10"/>
      <c r="G5" s="10"/>
      <c r="H5" s="10"/>
      <c r="K5" s="14" t="s">
        <v>10</v>
      </c>
      <c r="O5" s="15"/>
    </row>
    <row r="6" spans="1:15" ht="19" customHeight="1" x14ac:dyDescent="0.35">
      <c r="A6" s="9" t="s">
        <v>11</v>
      </c>
      <c r="B6" s="9"/>
      <c r="C6" s="9"/>
      <c r="D6" s="9"/>
      <c r="E6" s="10" t="s">
        <v>193</v>
      </c>
      <c r="F6" s="10"/>
      <c r="G6" s="10"/>
      <c r="H6" s="10"/>
      <c r="K6" s="16" t="s">
        <v>13</v>
      </c>
      <c r="L6" s="17">
        <v>60</v>
      </c>
      <c r="O6" s="15"/>
    </row>
    <row r="7" spans="1:15" ht="19" customHeight="1" x14ac:dyDescent="0.35">
      <c r="A7" s="9" t="s">
        <v>14</v>
      </c>
      <c r="B7" s="9"/>
      <c r="C7" s="9"/>
      <c r="D7" s="9"/>
      <c r="E7" s="10" t="s">
        <v>194</v>
      </c>
      <c r="F7" s="10"/>
      <c r="G7" s="10"/>
      <c r="H7" s="10"/>
      <c r="K7" s="18" t="s">
        <v>16</v>
      </c>
      <c r="L7" s="17">
        <f>18.7*60</f>
        <v>1122</v>
      </c>
      <c r="N7" s="19" t="s">
        <v>17</v>
      </c>
      <c r="O7" s="87">
        <f>L7/L6</f>
        <v>18.7</v>
      </c>
    </row>
    <row r="8" spans="1:15" ht="32.5" customHeight="1" x14ac:dyDescent="0.35">
      <c r="A8" s="21" t="s">
        <v>18</v>
      </c>
      <c r="B8" s="21"/>
      <c r="C8" s="21"/>
      <c r="D8" s="21"/>
      <c r="E8" s="10" t="s">
        <v>195</v>
      </c>
      <c r="F8" s="10"/>
      <c r="G8" s="10"/>
      <c r="H8" s="10"/>
      <c r="K8" s="18" t="s">
        <v>19</v>
      </c>
      <c r="L8" s="22">
        <v>12600</v>
      </c>
      <c r="N8" s="19" t="s">
        <v>20</v>
      </c>
      <c r="O8" s="23">
        <f>L8/L6</f>
        <v>210</v>
      </c>
    </row>
    <row r="9" spans="1:15" ht="40" customHeight="1" x14ac:dyDescent="0.35">
      <c r="A9" s="21" t="s">
        <v>21</v>
      </c>
      <c r="B9" s="21"/>
      <c r="C9" s="21"/>
      <c r="D9" s="21"/>
      <c r="E9" s="24" t="s">
        <v>196</v>
      </c>
      <c r="F9" s="24"/>
      <c r="G9" s="24"/>
      <c r="H9" s="24"/>
      <c r="K9" s="18" t="s">
        <v>23</v>
      </c>
      <c r="L9" s="17">
        <f>0.33*365</f>
        <v>120.45</v>
      </c>
      <c r="N9" s="19" t="s">
        <v>24</v>
      </c>
      <c r="O9" s="25">
        <f>L9/L6</f>
        <v>2.0074999999999998</v>
      </c>
    </row>
    <row r="10" spans="1:15" ht="39" customHeight="1" x14ac:dyDescent="0.35">
      <c r="A10" s="21" t="s">
        <v>25</v>
      </c>
      <c r="B10" s="21"/>
      <c r="C10" s="21"/>
      <c r="D10" s="21"/>
      <c r="E10" s="26" t="s">
        <v>26</v>
      </c>
      <c r="F10" s="26"/>
      <c r="G10" s="26"/>
      <c r="H10" s="26"/>
      <c r="K10" s="18" t="s">
        <v>197</v>
      </c>
      <c r="L10" s="17">
        <f>0.33*365</f>
        <v>120.45</v>
      </c>
      <c r="N10" s="19" t="s">
        <v>28</v>
      </c>
      <c r="O10" s="25">
        <f>L10/L6</f>
        <v>2.0074999999999998</v>
      </c>
    </row>
    <row r="11" spans="1:15" ht="36" customHeight="1" x14ac:dyDescent="0.35">
      <c r="A11" s="21" t="s">
        <v>29</v>
      </c>
      <c r="B11" s="21"/>
      <c r="C11" s="21"/>
      <c r="D11" s="21"/>
      <c r="E11" s="24" t="s">
        <v>198</v>
      </c>
      <c r="F11" s="24"/>
      <c r="G11" s="24"/>
      <c r="H11" s="24"/>
      <c r="I11" s="27"/>
      <c r="K11" s="18" t="s">
        <v>31</v>
      </c>
      <c r="L11" s="28">
        <f>0.75*L10*1.79</f>
        <v>161.704125</v>
      </c>
      <c r="N11" s="19" t="s">
        <v>33</v>
      </c>
      <c r="O11" s="29">
        <f>(L11*L15)/L6</f>
        <v>5.2553840625000001</v>
      </c>
    </row>
    <row r="12" spans="1:15" ht="40" customHeight="1" x14ac:dyDescent="0.35">
      <c r="A12" s="21" t="s">
        <v>34</v>
      </c>
      <c r="B12" s="21"/>
      <c r="C12" s="21"/>
      <c r="D12" s="21"/>
      <c r="E12" s="24" t="s">
        <v>199</v>
      </c>
      <c r="F12" s="24"/>
      <c r="G12" s="24"/>
      <c r="H12" s="24"/>
      <c r="I12" s="30"/>
      <c r="K12" s="18" t="s">
        <v>36</v>
      </c>
      <c r="L12" s="17">
        <f>32.8+35</f>
        <v>67.8</v>
      </c>
      <c r="N12" s="19" t="s">
        <v>37</v>
      </c>
      <c r="O12" s="20">
        <f>L12/L6</f>
        <v>1.1299999999999999</v>
      </c>
    </row>
    <row r="13" spans="1:15" ht="48.75" customHeight="1" x14ac:dyDescent="0.35">
      <c r="A13" s="21" t="s">
        <v>38</v>
      </c>
      <c r="B13" s="21"/>
      <c r="C13" s="21"/>
      <c r="D13" s="21"/>
      <c r="E13" s="24" t="s">
        <v>39</v>
      </c>
      <c r="F13" s="24"/>
      <c r="G13" s="24"/>
      <c r="H13" s="24"/>
      <c r="I13" s="30"/>
      <c r="K13" s="18" t="s">
        <v>40</v>
      </c>
      <c r="L13" s="17">
        <f>37.8+34</f>
        <v>71.8</v>
      </c>
      <c r="N13" s="19" t="s">
        <v>41</v>
      </c>
      <c r="O13" s="20">
        <f>L13/L6</f>
        <v>1.1966666666666665</v>
      </c>
    </row>
    <row r="14" spans="1:15" ht="32.25" customHeight="1" x14ac:dyDescent="0.35">
      <c r="A14" s="21" t="s">
        <v>42</v>
      </c>
      <c r="B14" s="21"/>
      <c r="C14" s="21"/>
      <c r="D14" s="21"/>
      <c r="E14" s="26" t="s">
        <v>26</v>
      </c>
      <c r="F14" s="26"/>
      <c r="G14" s="26"/>
      <c r="H14" s="26"/>
      <c r="K14" s="18" t="s">
        <v>43</v>
      </c>
      <c r="L14" s="17">
        <f>30+(37.8*1.5)</f>
        <v>86.699999999999989</v>
      </c>
      <c r="N14" s="19" t="s">
        <v>45</v>
      </c>
      <c r="O14" s="23">
        <f>(L14*L15)/L6</f>
        <v>2.8177499999999993</v>
      </c>
    </row>
    <row r="15" spans="1:15" ht="34.5" customHeight="1" x14ac:dyDescent="0.35">
      <c r="A15" s="21" t="s">
        <v>46</v>
      </c>
      <c r="B15" s="21"/>
      <c r="C15" s="21"/>
      <c r="D15" s="21"/>
      <c r="E15" s="24" t="s">
        <v>47</v>
      </c>
      <c r="F15" s="24"/>
      <c r="G15" s="24"/>
      <c r="H15" s="24"/>
      <c r="I15" s="27"/>
      <c r="K15" s="18" t="s">
        <v>48</v>
      </c>
      <c r="L15" s="17">
        <v>1.95</v>
      </c>
      <c r="N15" s="19" t="s">
        <v>49</v>
      </c>
      <c r="O15" s="87">
        <f>L18/L6</f>
        <v>0</v>
      </c>
    </row>
    <row r="16" spans="1:15" ht="54" customHeight="1" x14ac:dyDescent="0.35">
      <c r="A16" s="21" t="s">
        <v>50</v>
      </c>
      <c r="B16" s="21"/>
      <c r="C16" s="21"/>
      <c r="D16" s="21"/>
      <c r="E16" s="26" t="s">
        <v>26</v>
      </c>
      <c r="F16" s="26"/>
      <c r="G16" s="26"/>
      <c r="H16" s="26"/>
      <c r="K16" s="32" t="s">
        <v>51</v>
      </c>
      <c r="L16" s="33">
        <v>5490</v>
      </c>
      <c r="N16" s="88" t="s">
        <v>52</v>
      </c>
      <c r="O16" s="35">
        <f>L16/L6</f>
        <v>91.5</v>
      </c>
    </row>
    <row r="17" spans="1:15" ht="19" customHeight="1" x14ac:dyDescent="0.35">
      <c r="A17" s="21" t="s">
        <v>53</v>
      </c>
      <c r="B17" s="21"/>
      <c r="C17" s="21"/>
      <c r="D17" s="21"/>
      <c r="E17" s="26" t="s">
        <v>26</v>
      </c>
      <c r="F17" s="26"/>
      <c r="G17" s="26"/>
      <c r="H17" s="26"/>
      <c r="L17" s="33" t="s">
        <v>44</v>
      </c>
    </row>
    <row r="18" spans="1:15" ht="19" customHeight="1" x14ac:dyDescent="0.35">
      <c r="A18" s="21" t="s">
        <v>54</v>
      </c>
      <c r="B18" s="21"/>
      <c r="C18" s="21"/>
      <c r="D18" s="21"/>
      <c r="E18" s="26" t="s">
        <v>26</v>
      </c>
      <c r="F18" s="26"/>
      <c r="G18" s="26"/>
      <c r="H18" s="26"/>
      <c r="K18" s="18" t="s">
        <v>55</v>
      </c>
      <c r="L18" s="17">
        <v>0</v>
      </c>
      <c r="N18" s="19" t="s">
        <v>57</v>
      </c>
      <c r="O18" s="23">
        <f>O8+O11+O14+O15+O16</f>
        <v>309.5731340625</v>
      </c>
    </row>
    <row r="19" spans="1:15" ht="19" customHeight="1" thickBot="1" x14ac:dyDescent="0.4">
      <c r="A19" s="37" t="s">
        <v>58</v>
      </c>
      <c r="B19" s="21"/>
      <c r="C19" s="21"/>
      <c r="D19" s="21"/>
      <c r="E19" s="89">
        <v>1970</v>
      </c>
      <c r="F19" s="89"/>
      <c r="G19" s="89"/>
      <c r="H19" s="89"/>
      <c r="K19" s="38"/>
      <c r="L19" s="5"/>
      <c r="M19" s="5"/>
      <c r="N19" s="90" t="s">
        <v>59</v>
      </c>
      <c r="O19" s="40">
        <f>O9+O12</f>
        <v>3.1374999999999997</v>
      </c>
    </row>
    <row r="20" spans="1:15" ht="36.5" customHeight="1" x14ac:dyDescent="0.35">
      <c r="A20" s="37" t="s">
        <v>60</v>
      </c>
      <c r="B20" s="21"/>
      <c r="C20" s="21"/>
      <c r="D20" s="21"/>
      <c r="E20" s="24" t="s">
        <v>200</v>
      </c>
      <c r="F20" s="24"/>
      <c r="G20" s="24"/>
      <c r="H20" s="24"/>
    </row>
    <row r="21" spans="1:15" ht="31.5" customHeight="1" x14ac:dyDescent="0.35">
      <c r="A21" s="37" t="s">
        <v>62</v>
      </c>
      <c r="B21" s="21"/>
      <c r="C21" s="21"/>
      <c r="D21" s="21"/>
      <c r="E21" s="24" t="s">
        <v>201</v>
      </c>
      <c r="F21" s="24"/>
      <c r="G21" s="24"/>
      <c r="H21" s="24"/>
    </row>
    <row r="22" spans="1:15" ht="21.75" customHeight="1" x14ac:dyDescent="0.35">
      <c r="A22" s="41"/>
      <c r="B22" s="42"/>
      <c r="C22" s="42"/>
      <c r="D22" s="42"/>
      <c r="E22" s="43"/>
      <c r="F22" s="43"/>
      <c r="G22" s="43"/>
      <c r="H22" s="43"/>
    </row>
    <row r="23" spans="1:15" ht="24" customHeight="1" x14ac:dyDescent="0.35">
      <c r="A23" s="44" t="s">
        <v>67</v>
      </c>
      <c r="B23" s="45"/>
      <c r="C23" s="45"/>
      <c r="D23" s="45"/>
      <c r="H23" s="46" t="s">
        <v>68</v>
      </c>
    </row>
    <row r="24" spans="1:15" ht="114" customHeight="1" x14ac:dyDescent="0.35">
      <c r="A24" s="44" t="s">
        <v>69</v>
      </c>
      <c r="B24" s="45"/>
      <c r="C24" s="45"/>
      <c r="D24" s="45"/>
      <c r="E24" s="47" t="s">
        <v>202</v>
      </c>
      <c r="F24" s="47"/>
      <c r="G24" s="47"/>
      <c r="H24" s="47"/>
    </row>
    <row r="25" spans="1:15" ht="28" customHeight="1" x14ac:dyDescent="0.35">
      <c r="A25" s="48" t="s">
        <v>71</v>
      </c>
      <c r="B25" s="48"/>
      <c r="C25" s="48"/>
      <c r="D25" s="48"/>
    </row>
    <row r="26" spans="1:15" ht="30" customHeight="1" x14ac:dyDescent="0.35">
      <c r="A26" s="49" t="s">
        <v>72</v>
      </c>
      <c r="B26" s="50"/>
      <c r="C26" s="51" t="s">
        <v>73</v>
      </c>
      <c r="D26" s="51" t="s">
        <v>74</v>
      </c>
      <c r="E26" s="51" t="s">
        <v>75</v>
      </c>
      <c r="F26" s="51" t="s">
        <v>76</v>
      </c>
      <c r="G26" s="52" t="s">
        <v>77</v>
      </c>
      <c r="H26" s="52" t="s">
        <v>78</v>
      </c>
    </row>
    <row r="27" spans="1:15" ht="30" customHeight="1" x14ac:dyDescent="0.35">
      <c r="A27" s="53"/>
      <c r="B27" s="50" t="s">
        <v>79</v>
      </c>
      <c r="C27" s="50" t="s">
        <v>80</v>
      </c>
      <c r="D27" s="50"/>
      <c r="E27" s="50"/>
      <c r="F27" s="50"/>
      <c r="G27" s="50"/>
      <c r="H27" s="50"/>
    </row>
    <row r="28" spans="1:15" ht="30" customHeight="1" x14ac:dyDescent="0.35">
      <c r="A28" s="54"/>
      <c r="B28" s="50" t="s">
        <v>81</v>
      </c>
      <c r="C28" s="50" t="s">
        <v>80</v>
      </c>
      <c r="D28" s="50"/>
      <c r="E28" s="50"/>
      <c r="F28" s="50"/>
      <c r="G28" s="50"/>
      <c r="H28" s="50"/>
    </row>
    <row r="29" spans="1:15" ht="30" customHeight="1" x14ac:dyDescent="0.35">
      <c r="A29" s="54"/>
      <c r="B29" s="50" t="s">
        <v>82</v>
      </c>
      <c r="C29" s="50" t="s">
        <v>80</v>
      </c>
      <c r="D29" s="50"/>
      <c r="E29" s="50"/>
      <c r="F29" s="50"/>
      <c r="G29" s="50"/>
      <c r="H29" s="50"/>
    </row>
    <row r="30" spans="1:15" ht="30" customHeight="1" x14ac:dyDescent="0.35">
      <c r="A30" s="54"/>
      <c r="B30" s="50" t="s">
        <v>83</v>
      </c>
      <c r="C30" s="50" t="s">
        <v>84</v>
      </c>
      <c r="D30" s="50"/>
      <c r="E30" s="50"/>
      <c r="F30" s="50"/>
      <c r="G30" s="50"/>
      <c r="H30" s="50"/>
    </row>
    <row r="31" spans="1:15" ht="30" customHeight="1" x14ac:dyDescent="0.35">
      <c r="A31" s="54"/>
      <c r="B31" s="50" t="s">
        <v>85</v>
      </c>
      <c r="C31" s="50" t="s">
        <v>84</v>
      </c>
      <c r="D31" s="50"/>
      <c r="E31" s="50"/>
      <c r="F31" s="50"/>
      <c r="G31" s="50"/>
      <c r="H31" s="50"/>
    </row>
    <row r="32" spans="1:15" ht="30" customHeight="1" x14ac:dyDescent="0.35">
      <c r="A32" s="54"/>
      <c r="B32" s="50" t="s">
        <v>22</v>
      </c>
      <c r="C32" s="50" t="s">
        <v>84</v>
      </c>
      <c r="D32" s="50" t="s">
        <v>203</v>
      </c>
      <c r="E32" s="50"/>
      <c r="F32" s="50"/>
      <c r="G32" s="50" t="s">
        <v>204</v>
      </c>
      <c r="H32" s="50" t="s">
        <v>205</v>
      </c>
    </row>
    <row r="33" spans="1:11" ht="30" customHeight="1" x14ac:dyDescent="0.35">
      <c r="A33" s="54"/>
      <c r="B33" s="50" t="s">
        <v>90</v>
      </c>
      <c r="C33" s="50" t="s">
        <v>84</v>
      </c>
      <c r="D33" s="50"/>
      <c r="E33" s="50"/>
      <c r="F33" s="50"/>
      <c r="G33" s="50"/>
      <c r="H33" s="50"/>
    </row>
    <row r="34" spans="1:11" ht="31" x14ac:dyDescent="0.35">
      <c r="A34" s="54"/>
      <c r="B34" s="55" t="s">
        <v>91</v>
      </c>
      <c r="C34" s="50" t="s">
        <v>92</v>
      </c>
      <c r="D34" s="50"/>
      <c r="E34" s="50"/>
      <c r="F34" s="50"/>
      <c r="G34" s="50"/>
      <c r="H34" s="50" t="s">
        <v>206</v>
      </c>
    </row>
    <row r="36" spans="1:11" ht="29.25" customHeight="1" x14ac:dyDescent="0.35"/>
    <row r="37" spans="1:11" ht="31" customHeight="1" x14ac:dyDescent="0.35">
      <c r="A37" s="56" t="s">
        <v>96</v>
      </c>
      <c r="B37" s="57"/>
      <c r="H37" s="46" t="s">
        <v>97</v>
      </c>
    </row>
    <row r="38" spans="1:11" ht="40" customHeight="1" x14ac:dyDescent="0.35">
      <c r="A38" s="58" t="s">
        <v>98</v>
      </c>
      <c r="B38" s="55" t="s">
        <v>99</v>
      </c>
      <c r="C38" s="50" t="s">
        <v>100</v>
      </c>
      <c r="D38" s="50" t="s">
        <v>101</v>
      </c>
      <c r="E38" s="55" t="s">
        <v>102</v>
      </c>
      <c r="F38" s="55" t="s">
        <v>103</v>
      </c>
      <c r="G38" s="55" t="s">
        <v>104</v>
      </c>
      <c r="H38" s="55" t="s">
        <v>105</v>
      </c>
    </row>
    <row r="39" spans="1:11" ht="40" customHeight="1" x14ac:dyDescent="0.35">
      <c r="A39" s="59"/>
      <c r="B39" s="50" t="s">
        <v>207</v>
      </c>
      <c r="C39" s="50"/>
      <c r="D39" s="50" t="s">
        <v>208</v>
      </c>
      <c r="E39" s="50"/>
      <c r="F39" s="50"/>
      <c r="G39" s="50"/>
      <c r="H39" s="50"/>
    </row>
    <row r="40" spans="1:11" ht="40" customHeight="1" x14ac:dyDescent="0.35">
      <c r="A40" s="59"/>
      <c r="B40" s="50" t="s">
        <v>209</v>
      </c>
      <c r="C40" s="50"/>
      <c r="D40" s="50"/>
      <c r="E40" s="50"/>
      <c r="F40" s="50"/>
      <c r="G40" s="50"/>
      <c r="H40" s="50"/>
      <c r="J40" s="2" t="s">
        <v>210</v>
      </c>
    </row>
    <row r="41" spans="1:11" ht="40" customHeight="1" x14ac:dyDescent="0.35">
      <c r="A41" s="59"/>
      <c r="B41" s="50" t="s">
        <v>211</v>
      </c>
      <c r="C41" s="50"/>
      <c r="D41" s="50" t="s">
        <v>212</v>
      </c>
      <c r="E41" s="50"/>
      <c r="F41" s="50" t="s">
        <v>213</v>
      </c>
      <c r="G41" s="50"/>
      <c r="H41" s="50"/>
      <c r="J41" s="2">
        <f>82/2.5</f>
        <v>32.799999999999997</v>
      </c>
      <c r="K41" s="2" t="s">
        <v>214</v>
      </c>
    </row>
    <row r="42" spans="1:11" ht="40" customHeight="1" x14ac:dyDescent="0.35">
      <c r="A42" s="59"/>
      <c r="B42" s="50" t="s">
        <v>215</v>
      </c>
      <c r="C42" s="50"/>
      <c r="D42" s="50" t="s">
        <v>216</v>
      </c>
      <c r="E42" s="50"/>
      <c r="F42" s="50"/>
      <c r="G42" s="50"/>
      <c r="H42" s="50" t="s">
        <v>217</v>
      </c>
    </row>
    <row r="43" spans="1:11" ht="40" customHeight="1" x14ac:dyDescent="0.35">
      <c r="A43" s="59"/>
      <c r="B43" s="50" t="s">
        <v>218</v>
      </c>
      <c r="C43" s="50"/>
      <c r="D43" s="50"/>
      <c r="E43" s="50"/>
      <c r="F43" s="50"/>
      <c r="G43" s="50"/>
      <c r="H43" s="50" t="s">
        <v>219</v>
      </c>
    </row>
    <row r="44" spans="1:11" ht="40" customHeight="1" x14ac:dyDescent="0.35">
      <c r="A44" s="59"/>
      <c r="B44" s="50" t="s">
        <v>220</v>
      </c>
      <c r="C44" s="50"/>
      <c r="D44" s="50"/>
      <c r="E44" s="50"/>
      <c r="F44" s="50"/>
      <c r="G44" s="50"/>
      <c r="H44" s="50"/>
    </row>
    <row r="45" spans="1:11" x14ac:dyDescent="0.35">
      <c r="A45" s="59"/>
      <c r="B45" s="50" t="s">
        <v>221</v>
      </c>
      <c r="C45" s="50"/>
      <c r="D45" s="50"/>
      <c r="E45" s="50"/>
      <c r="F45" s="50" t="s">
        <v>222</v>
      </c>
      <c r="G45" s="50"/>
      <c r="H45" s="50"/>
    </row>
    <row r="46" spans="1:11" ht="15.5" customHeight="1" x14ac:dyDescent="0.35">
      <c r="A46" s="60"/>
      <c r="B46" s="61" t="s">
        <v>223</v>
      </c>
      <c r="C46" s="61"/>
      <c r="D46" s="61"/>
      <c r="E46" s="61"/>
      <c r="F46" s="61"/>
      <c r="G46" s="61"/>
      <c r="H46" s="61"/>
    </row>
    <row r="47" spans="1:11" x14ac:dyDescent="0.35">
      <c r="A47" s="60"/>
      <c r="B47" s="62"/>
      <c r="C47" s="62"/>
      <c r="D47" s="62"/>
      <c r="E47" s="62"/>
      <c r="F47" s="62"/>
      <c r="G47" s="62"/>
      <c r="H47" s="62"/>
    </row>
    <row r="48" spans="1:11" x14ac:dyDescent="0.35">
      <c r="B48" s="62"/>
      <c r="C48" s="62"/>
      <c r="D48" s="62"/>
      <c r="E48" s="62"/>
      <c r="F48" s="62"/>
      <c r="G48" s="62"/>
      <c r="H48" s="62"/>
    </row>
    <row r="49" spans="1:8" x14ac:dyDescent="0.35">
      <c r="B49" s="62"/>
      <c r="C49" s="62"/>
      <c r="D49" s="62"/>
      <c r="E49" s="62"/>
      <c r="F49" s="62"/>
      <c r="G49" s="62"/>
      <c r="H49" s="62"/>
    </row>
    <row r="50" spans="1:8" x14ac:dyDescent="0.35">
      <c r="B50" s="62"/>
      <c r="C50" s="62"/>
      <c r="D50" s="62"/>
      <c r="E50" s="62"/>
      <c r="F50" s="62"/>
      <c r="G50" s="62"/>
      <c r="H50" s="62"/>
    </row>
    <row r="51" spans="1:8" x14ac:dyDescent="0.35">
      <c r="B51" s="62"/>
      <c r="C51" s="62"/>
      <c r="D51" s="62"/>
      <c r="E51" s="62"/>
      <c r="F51" s="62"/>
      <c r="G51" s="62"/>
      <c r="H51" s="62"/>
    </row>
    <row r="53" spans="1:8" ht="27" customHeight="1" x14ac:dyDescent="0.35"/>
    <row r="54" spans="1:8" ht="45" customHeight="1" x14ac:dyDescent="0.35">
      <c r="A54" s="56" t="s">
        <v>122</v>
      </c>
      <c r="B54" s="57"/>
      <c r="H54" s="46" t="s">
        <v>123</v>
      </c>
    </row>
    <row r="55" spans="1:8" ht="46.5" x14ac:dyDescent="0.35">
      <c r="A55" s="50"/>
      <c r="B55" s="55" t="s">
        <v>124</v>
      </c>
      <c r="C55" s="55" t="s">
        <v>125</v>
      </c>
      <c r="D55" s="55" t="s">
        <v>126</v>
      </c>
      <c r="E55" s="55" t="s">
        <v>127</v>
      </c>
      <c r="F55" s="55" t="s">
        <v>128</v>
      </c>
      <c r="G55" s="55" t="s">
        <v>129</v>
      </c>
      <c r="H55" s="63" t="s">
        <v>130</v>
      </c>
    </row>
    <row r="56" spans="1:8" ht="124" x14ac:dyDescent="0.35">
      <c r="A56" s="55" t="s">
        <v>131</v>
      </c>
      <c r="B56" s="50"/>
      <c r="C56" s="50"/>
      <c r="D56" s="50"/>
      <c r="E56" s="50"/>
      <c r="F56" s="50"/>
      <c r="G56" s="50"/>
      <c r="H56" s="64"/>
    </row>
    <row r="57" spans="1:8" ht="93" x14ac:dyDescent="0.35">
      <c r="A57" s="55" t="s">
        <v>132</v>
      </c>
      <c r="B57" s="50"/>
      <c r="C57" s="50"/>
      <c r="D57" s="50"/>
      <c r="E57" s="50"/>
      <c r="F57" s="50"/>
      <c r="G57" s="50"/>
      <c r="H57" s="64"/>
    </row>
    <row r="58" spans="1:8" ht="108.5" x14ac:dyDescent="0.35">
      <c r="A58" s="65" t="s">
        <v>133</v>
      </c>
      <c r="B58" s="50"/>
      <c r="C58" s="50"/>
      <c r="D58" s="50"/>
      <c r="E58" s="50"/>
      <c r="F58" s="50"/>
      <c r="G58" s="50"/>
      <c r="H58" s="64"/>
    </row>
    <row r="59" spans="1:8" x14ac:dyDescent="0.35">
      <c r="B59" s="66" t="s">
        <v>121</v>
      </c>
      <c r="C59" s="66"/>
      <c r="D59" s="66"/>
      <c r="E59" s="66"/>
      <c r="F59" s="66"/>
      <c r="G59" s="66"/>
      <c r="H59" s="66"/>
    </row>
    <row r="60" spans="1:8" x14ac:dyDescent="0.35">
      <c r="B60" s="67"/>
      <c r="C60" s="67"/>
      <c r="D60" s="67"/>
      <c r="E60" s="67"/>
      <c r="F60" s="67"/>
      <c r="G60" s="67"/>
      <c r="H60" s="67"/>
    </row>
    <row r="61" spans="1:8" x14ac:dyDescent="0.35">
      <c r="B61" s="67"/>
      <c r="C61" s="67"/>
      <c r="D61" s="67"/>
      <c r="E61" s="67"/>
      <c r="F61" s="67"/>
      <c r="G61" s="67"/>
      <c r="H61" s="67"/>
    </row>
    <row r="62" spans="1:8" x14ac:dyDescent="0.35">
      <c r="B62" s="67"/>
      <c r="C62" s="67"/>
      <c r="D62" s="67"/>
      <c r="E62" s="67"/>
      <c r="F62" s="67"/>
      <c r="G62" s="67"/>
      <c r="H62" s="67"/>
    </row>
    <row r="63" spans="1:8" x14ac:dyDescent="0.35">
      <c r="B63" s="67"/>
      <c r="C63" s="67"/>
      <c r="D63" s="67"/>
      <c r="E63" s="67"/>
      <c r="F63" s="67"/>
      <c r="G63" s="67"/>
      <c r="H63" s="67"/>
    </row>
    <row r="64" spans="1:8" x14ac:dyDescent="0.35">
      <c r="B64" s="36"/>
    </row>
    <row r="65" spans="1:8" ht="46.5" customHeight="1" x14ac:dyDescent="0.35">
      <c r="A65" s="68" t="s">
        <v>134</v>
      </c>
      <c r="B65" s="68"/>
      <c r="C65" s="69" t="s">
        <v>135</v>
      </c>
      <c r="D65" s="69" t="s">
        <v>135</v>
      </c>
      <c r="E65" s="69" t="s">
        <v>135</v>
      </c>
      <c r="F65" s="69" t="s">
        <v>135</v>
      </c>
      <c r="G65" s="69" t="s">
        <v>135</v>
      </c>
      <c r="H65" s="70" t="s">
        <v>136</v>
      </c>
    </row>
    <row r="66" spans="1:8" ht="52" customHeight="1" x14ac:dyDescent="0.35">
      <c r="A66" s="71" t="s">
        <v>137</v>
      </c>
      <c r="B66" s="71"/>
      <c r="C66" s="71"/>
      <c r="D66" s="71"/>
      <c r="E66" s="68" t="s">
        <v>224</v>
      </c>
      <c r="F66" s="68"/>
      <c r="G66" s="68"/>
      <c r="H66" s="68"/>
    </row>
    <row r="67" spans="1:8" ht="34" customHeight="1" x14ac:dyDescent="0.35">
      <c r="A67" s="71" t="s">
        <v>139</v>
      </c>
      <c r="B67" s="71"/>
      <c r="C67" s="71"/>
      <c r="D67" s="71"/>
      <c r="E67" s="69" t="s">
        <v>135</v>
      </c>
      <c r="F67" s="69" t="s">
        <v>225</v>
      </c>
      <c r="G67" s="69" t="s">
        <v>135</v>
      </c>
      <c r="H67" s="69" t="s">
        <v>135</v>
      </c>
    </row>
    <row r="68" spans="1:8" ht="27.75" customHeight="1" x14ac:dyDescent="0.35">
      <c r="A68" s="71" t="s">
        <v>141</v>
      </c>
      <c r="B68" s="71"/>
      <c r="C68" s="71"/>
      <c r="D68" s="71"/>
      <c r="E68" s="69" t="s">
        <v>135</v>
      </c>
      <c r="F68" s="69" t="s">
        <v>135</v>
      </c>
      <c r="G68" s="69" t="s">
        <v>135</v>
      </c>
      <c r="H68" s="69" t="s">
        <v>135</v>
      </c>
    </row>
    <row r="69" spans="1:8" ht="30" customHeight="1" x14ac:dyDescent="0.35">
      <c r="A69" s="71" t="s">
        <v>143</v>
      </c>
      <c r="B69" s="71"/>
      <c r="C69" s="71"/>
      <c r="D69" s="71"/>
      <c r="E69" s="69" t="s">
        <v>135</v>
      </c>
      <c r="F69" s="69" t="s">
        <v>135</v>
      </c>
      <c r="G69" s="69" t="s">
        <v>135</v>
      </c>
      <c r="H69" s="69" t="s">
        <v>135</v>
      </c>
    </row>
    <row r="70" spans="1:8" ht="33.75" customHeight="1" x14ac:dyDescent="0.35">
      <c r="A70" s="71" t="s">
        <v>144</v>
      </c>
      <c r="B70" s="71"/>
      <c r="C70" s="71"/>
      <c r="D70" s="71"/>
      <c r="E70" s="69" t="s">
        <v>135</v>
      </c>
      <c r="F70" s="69" t="s">
        <v>135</v>
      </c>
      <c r="G70" s="69" t="s">
        <v>135</v>
      </c>
      <c r="H70" s="69" t="s">
        <v>135</v>
      </c>
    </row>
    <row r="71" spans="1:8" ht="52" customHeight="1" x14ac:dyDescent="0.35">
      <c r="A71" s="72" t="s">
        <v>146</v>
      </c>
      <c r="B71" s="72"/>
      <c r="C71" s="72"/>
      <c r="D71" s="72"/>
      <c r="E71" s="69" t="s">
        <v>135</v>
      </c>
      <c r="F71" s="69" t="s">
        <v>135</v>
      </c>
      <c r="G71" s="69" t="s">
        <v>135</v>
      </c>
      <c r="H71" s="69" t="s">
        <v>135</v>
      </c>
    </row>
    <row r="72" spans="1:8" ht="32.5" customHeight="1" x14ac:dyDescent="0.35">
      <c r="A72" s="71" t="s">
        <v>147</v>
      </c>
      <c r="B72" s="71"/>
      <c r="C72" s="71"/>
      <c r="D72" s="71"/>
      <c r="E72" s="69" t="s">
        <v>135</v>
      </c>
      <c r="F72" s="69" t="s">
        <v>135</v>
      </c>
      <c r="G72" s="69" t="s">
        <v>135</v>
      </c>
      <c r="H72" s="69" t="s">
        <v>135</v>
      </c>
    </row>
    <row r="73" spans="1:8" ht="27.75" customHeight="1" x14ac:dyDescent="0.35">
      <c r="A73" s="73" t="s">
        <v>149</v>
      </c>
      <c r="B73" s="73"/>
      <c r="C73" s="73"/>
      <c r="D73" s="73"/>
      <c r="E73" s="74" t="s">
        <v>135</v>
      </c>
      <c r="F73" s="74" t="s">
        <v>135</v>
      </c>
      <c r="G73" s="74" t="s">
        <v>135</v>
      </c>
      <c r="H73" s="74" t="s">
        <v>135</v>
      </c>
    </row>
    <row r="74" spans="1:8" ht="27" customHeight="1" x14ac:dyDescent="0.35">
      <c r="A74" s="71" t="s">
        <v>150</v>
      </c>
      <c r="B74" s="71"/>
      <c r="C74" s="71"/>
      <c r="D74" s="71"/>
      <c r="E74" s="69" t="s">
        <v>135</v>
      </c>
      <c r="F74" s="69" t="s">
        <v>135</v>
      </c>
      <c r="G74" s="69" t="s">
        <v>135</v>
      </c>
      <c r="H74" s="69" t="s">
        <v>135</v>
      </c>
    </row>
    <row r="75" spans="1:8" ht="54" customHeight="1" x14ac:dyDescent="0.35">
      <c r="A75" s="71" t="s">
        <v>152</v>
      </c>
      <c r="B75" s="71"/>
      <c r="C75" s="71"/>
      <c r="D75" s="71"/>
      <c r="E75" s="69" t="s">
        <v>135</v>
      </c>
      <c r="F75" s="69" t="s">
        <v>135</v>
      </c>
      <c r="G75" s="69" t="s">
        <v>135</v>
      </c>
      <c r="H75" s="69" t="s">
        <v>135</v>
      </c>
    </row>
    <row r="76" spans="1:8" ht="25.5" customHeight="1" x14ac:dyDescent="0.35">
      <c r="A76" s="72" t="s">
        <v>153</v>
      </c>
      <c r="B76" s="72"/>
      <c r="C76" s="72"/>
      <c r="D76" s="72"/>
      <c r="E76" s="69" t="s">
        <v>135</v>
      </c>
      <c r="F76" s="69" t="s">
        <v>135</v>
      </c>
      <c r="G76" s="69" t="s">
        <v>135</v>
      </c>
      <c r="H76" s="69" t="s">
        <v>135</v>
      </c>
    </row>
    <row r="77" spans="1:8" ht="25" customHeight="1" x14ac:dyDescent="0.35">
      <c r="A77" s="71" t="s">
        <v>154</v>
      </c>
      <c r="B77" s="71"/>
      <c r="C77" s="71"/>
      <c r="D77" s="71"/>
      <c r="E77" s="69" t="s">
        <v>135</v>
      </c>
      <c r="F77" s="69" t="s">
        <v>135</v>
      </c>
      <c r="G77" s="69" t="s">
        <v>135</v>
      </c>
      <c r="H77" s="69" t="s">
        <v>135</v>
      </c>
    </row>
    <row r="78" spans="1:8" ht="24.75" customHeight="1" x14ac:dyDescent="0.35">
      <c r="A78" s="75" t="s">
        <v>155</v>
      </c>
      <c r="B78" s="75"/>
      <c r="C78" s="75"/>
      <c r="D78" s="75"/>
      <c r="E78" s="76" t="s">
        <v>135</v>
      </c>
      <c r="F78" s="76" t="s">
        <v>135</v>
      </c>
      <c r="G78" s="76" t="s">
        <v>135</v>
      </c>
      <c r="H78" s="76" t="s">
        <v>135</v>
      </c>
    </row>
    <row r="79" spans="1:8" ht="20.5" customHeight="1" x14ac:dyDescent="0.35">
      <c r="E79" s="36"/>
      <c r="F79" s="36"/>
      <c r="G79" s="36"/>
      <c r="H79" s="77" t="s">
        <v>156</v>
      </c>
    </row>
    <row r="80" spans="1:8" ht="40.5" customHeight="1" x14ac:dyDescent="0.35">
      <c r="A80" s="78" t="s">
        <v>157</v>
      </c>
      <c r="B80" s="78"/>
      <c r="C80" s="78"/>
      <c r="D80" s="78"/>
      <c r="E80" s="78"/>
      <c r="F80" s="78"/>
      <c r="G80" s="78"/>
      <c r="H80" s="78"/>
    </row>
    <row r="81" spans="1:8" ht="36" customHeight="1" x14ac:dyDescent="0.35">
      <c r="A81" s="79" t="s">
        <v>158</v>
      </c>
      <c r="B81" s="79"/>
      <c r="C81" s="80" t="s">
        <v>226</v>
      </c>
      <c r="D81" s="80"/>
      <c r="E81" s="80"/>
      <c r="F81" s="80"/>
      <c r="G81" s="80"/>
      <c r="H81" s="80"/>
    </row>
    <row r="82" spans="1:8" ht="36.75" customHeight="1" x14ac:dyDescent="0.35">
      <c r="A82" s="21" t="s">
        <v>159</v>
      </c>
      <c r="B82" s="21"/>
      <c r="C82" s="9"/>
      <c r="D82" s="9"/>
      <c r="E82" s="9"/>
      <c r="F82" s="9"/>
      <c r="G82" s="9"/>
      <c r="H82" s="9"/>
    </row>
    <row r="83" spans="1:8" ht="41.5" customHeight="1" x14ac:dyDescent="0.35">
      <c r="A83" s="21" t="s">
        <v>160</v>
      </c>
      <c r="B83" s="21"/>
      <c r="C83" s="9"/>
      <c r="D83" s="9"/>
      <c r="E83" s="9"/>
      <c r="F83" s="9"/>
      <c r="G83" s="9"/>
      <c r="H83" s="9"/>
    </row>
    <row r="84" spans="1:8" ht="38.25" customHeight="1" x14ac:dyDescent="0.35">
      <c r="A84" s="21" t="s">
        <v>162</v>
      </c>
      <c r="B84" s="21"/>
      <c r="C84" s="9"/>
      <c r="D84" s="9"/>
      <c r="E84" s="9"/>
      <c r="F84" s="9"/>
      <c r="G84" s="9"/>
      <c r="H84" s="9"/>
    </row>
    <row r="85" spans="1:8" ht="29.25" customHeight="1" x14ac:dyDescent="0.35">
      <c r="A85" s="21" t="s">
        <v>163</v>
      </c>
      <c r="B85" s="21"/>
      <c r="C85" s="9" t="s">
        <v>227</v>
      </c>
      <c r="D85" s="9"/>
      <c r="E85" s="9"/>
      <c r="F85" s="9"/>
      <c r="G85" s="9"/>
      <c r="H85" s="9"/>
    </row>
    <row r="86" spans="1:8" ht="43" customHeight="1" x14ac:dyDescent="0.35">
      <c r="A86" s="21" t="s">
        <v>164</v>
      </c>
      <c r="B86" s="21"/>
      <c r="C86" s="9" t="s">
        <v>228</v>
      </c>
      <c r="D86" s="9"/>
      <c r="E86" s="9"/>
      <c r="F86" s="9"/>
      <c r="G86" s="9"/>
      <c r="H86" s="9"/>
    </row>
    <row r="87" spans="1:8" x14ac:dyDescent="0.35">
      <c r="A87" s="21" t="s">
        <v>165</v>
      </c>
      <c r="B87" s="21"/>
      <c r="C87" s="9"/>
      <c r="D87" s="9"/>
      <c r="E87" s="9"/>
      <c r="F87" s="9"/>
      <c r="G87" s="9"/>
      <c r="H87" s="9"/>
    </row>
    <row r="88" spans="1:8" x14ac:dyDescent="0.35">
      <c r="A88" s="81" t="s">
        <v>166</v>
      </c>
      <c r="B88" s="81"/>
      <c r="C88" s="9"/>
      <c r="D88" s="9"/>
      <c r="E88" s="9"/>
      <c r="F88" s="9"/>
      <c r="G88" s="9"/>
      <c r="H88" s="9"/>
    </row>
    <row r="89" spans="1:8" ht="22.5" customHeight="1" x14ac:dyDescent="0.35">
      <c r="A89" s="81" t="s">
        <v>167</v>
      </c>
      <c r="B89" s="81"/>
      <c r="C89" s="9"/>
      <c r="D89" s="9"/>
      <c r="E89" s="9"/>
      <c r="F89" s="9"/>
      <c r="G89" s="9"/>
      <c r="H89" s="9"/>
    </row>
    <row r="90" spans="1:8" x14ac:dyDescent="0.35">
      <c r="A90" s="81" t="s">
        <v>169</v>
      </c>
      <c r="B90" s="81"/>
      <c r="C90" s="9"/>
      <c r="D90" s="9"/>
      <c r="E90" s="9"/>
      <c r="F90" s="9"/>
      <c r="G90" s="9"/>
      <c r="H90" s="9"/>
    </row>
    <row r="91" spans="1:8" ht="46.5" customHeight="1" x14ac:dyDescent="0.35">
      <c r="A91" s="81" t="s">
        <v>171</v>
      </c>
      <c r="B91" s="81"/>
      <c r="C91" s="82" t="s">
        <v>172</v>
      </c>
      <c r="D91" s="82"/>
      <c r="E91" s="82"/>
      <c r="F91" s="82"/>
      <c r="G91" s="82"/>
      <c r="H91" s="82"/>
    </row>
    <row r="92" spans="1:8" ht="31" customHeight="1" x14ac:dyDescent="0.35">
      <c r="A92" s="21" t="s">
        <v>173</v>
      </c>
      <c r="B92" s="21"/>
      <c r="C92" s="80" t="s">
        <v>174</v>
      </c>
      <c r="D92" s="80"/>
      <c r="E92" s="80"/>
      <c r="F92" s="80"/>
      <c r="G92" s="80"/>
      <c r="H92" s="80"/>
    </row>
    <row r="93" spans="1:8" ht="31" customHeight="1" x14ac:dyDescent="0.35">
      <c r="A93" s="21" t="s">
        <v>175</v>
      </c>
      <c r="B93" s="21"/>
      <c r="C93" s="9"/>
      <c r="D93" s="9"/>
      <c r="E93" s="9"/>
      <c r="F93" s="9"/>
      <c r="G93" s="9"/>
      <c r="H93" s="9"/>
    </row>
    <row r="94" spans="1:8" ht="23.5" customHeight="1" x14ac:dyDescent="0.35">
      <c r="A94" s="83"/>
      <c r="B94" s="83"/>
      <c r="C94" s="84"/>
      <c r="D94" s="84"/>
      <c r="E94" s="84"/>
      <c r="F94" s="84"/>
      <c r="G94" s="84"/>
      <c r="H94" s="84"/>
    </row>
    <row r="95" spans="1:8" ht="45.75" customHeight="1" x14ac:dyDescent="0.35">
      <c r="A95" s="83"/>
      <c r="B95" s="83"/>
      <c r="C95" s="84"/>
      <c r="D95" s="84"/>
      <c r="E95" s="84"/>
      <c r="F95" s="84"/>
      <c r="G95" s="84"/>
      <c r="H95" s="85" t="s">
        <v>176</v>
      </c>
    </row>
    <row r="96" spans="1:8" ht="36" customHeight="1" x14ac:dyDescent="0.35">
      <c r="A96" s="21" t="s">
        <v>177</v>
      </c>
      <c r="B96" s="21"/>
      <c r="C96" s="9" t="s">
        <v>229</v>
      </c>
      <c r="D96" s="9"/>
      <c r="E96" s="9"/>
      <c r="F96" s="9"/>
      <c r="G96" s="9"/>
      <c r="H96" s="9"/>
    </row>
    <row r="97" spans="1:8" ht="46.5" customHeight="1" x14ac:dyDescent="0.35">
      <c r="A97" s="21" t="s">
        <v>178</v>
      </c>
      <c r="B97" s="21"/>
      <c r="C97" s="9" t="s">
        <v>230</v>
      </c>
      <c r="D97" s="9"/>
      <c r="E97" s="9"/>
      <c r="F97" s="9"/>
      <c r="G97" s="9"/>
      <c r="H97" s="9"/>
    </row>
    <row r="98" spans="1:8" ht="47" customHeight="1" x14ac:dyDescent="0.35">
      <c r="A98" s="21" t="s">
        <v>180</v>
      </c>
      <c r="B98" s="21"/>
      <c r="C98" s="9" t="s">
        <v>231</v>
      </c>
      <c r="D98" s="9"/>
      <c r="E98" s="9"/>
      <c r="F98" s="9"/>
      <c r="G98" s="9"/>
      <c r="H98" s="9"/>
    </row>
    <row r="99" spans="1:8" ht="69.75" customHeight="1" x14ac:dyDescent="0.35">
      <c r="A99" s="21" t="s">
        <v>182</v>
      </c>
      <c r="B99" s="21"/>
      <c r="C99" s="9"/>
      <c r="D99" s="9"/>
      <c r="E99" s="9"/>
      <c r="F99" s="9"/>
      <c r="G99" s="9"/>
      <c r="H99" s="9"/>
    </row>
    <row r="100" spans="1:8" ht="34.5" customHeight="1" x14ac:dyDescent="0.35">
      <c r="A100" s="24" t="s">
        <v>183</v>
      </c>
      <c r="B100" s="24"/>
      <c r="C100" s="86" t="s">
        <v>184</v>
      </c>
      <c r="D100" s="86"/>
      <c r="E100" s="86"/>
      <c r="F100" s="86"/>
      <c r="G100" s="86"/>
      <c r="H100" s="86"/>
    </row>
    <row r="101" spans="1:8" ht="39.5" customHeight="1" x14ac:dyDescent="0.35">
      <c r="A101" s="21" t="s">
        <v>185</v>
      </c>
      <c r="B101" s="21"/>
      <c r="C101" s="80" t="s">
        <v>232</v>
      </c>
      <c r="D101" s="80"/>
      <c r="E101" s="80"/>
      <c r="F101" s="80"/>
      <c r="G101" s="80"/>
      <c r="H101" s="80"/>
    </row>
    <row r="102" spans="1:8" ht="54.75" customHeight="1" x14ac:dyDescent="0.35">
      <c r="A102" s="21" t="s">
        <v>187</v>
      </c>
      <c r="B102" s="21"/>
      <c r="C102" s="9" t="s">
        <v>233</v>
      </c>
      <c r="D102" s="9"/>
      <c r="E102" s="9"/>
      <c r="F102" s="9"/>
      <c r="G102" s="9"/>
      <c r="H102" s="9"/>
    </row>
    <row r="103" spans="1:8" ht="56.25" customHeight="1" x14ac:dyDescent="0.35">
      <c r="A103" s="21" t="s">
        <v>188</v>
      </c>
      <c r="B103" s="21"/>
      <c r="C103" s="9" t="s">
        <v>234</v>
      </c>
      <c r="D103" s="9"/>
      <c r="E103" s="9"/>
      <c r="F103" s="9"/>
      <c r="G103" s="9"/>
      <c r="H103" s="9"/>
    </row>
    <row r="104" spans="1:8" ht="45" customHeight="1" x14ac:dyDescent="0.35">
      <c r="A104" s="21" t="s">
        <v>189</v>
      </c>
      <c r="B104" s="21"/>
      <c r="C104" s="9" t="s">
        <v>235</v>
      </c>
      <c r="D104" s="9"/>
      <c r="E104" s="9"/>
      <c r="F104" s="9"/>
      <c r="G104" s="9"/>
      <c r="H104" s="9"/>
    </row>
  </sheetData>
  <mergeCells count="107">
    <mergeCell ref="A103:B103"/>
    <mergeCell ref="C103:H103"/>
    <mergeCell ref="A104:B104"/>
    <mergeCell ref="C104:H104"/>
    <mergeCell ref="A100:B100"/>
    <mergeCell ref="C100:H100"/>
    <mergeCell ref="A101:B101"/>
    <mergeCell ref="C101:H101"/>
    <mergeCell ref="A102:B102"/>
    <mergeCell ref="C102:H102"/>
    <mergeCell ref="A97:B97"/>
    <mergeCell ref="C97:H97"/>
    <mergeCell ref="A98:B98"/>
    <mergeCell ref="C98:H98"/>
    <mergeCell ref="A99:B99"/>
    <mergeCell ref="C99:H99"/>
    <mergeCell ref="A92:B92"/>
    <mergeCell ref="C92:H92"/>
    <mergeCell ref="A93:B93"/>
    <mergeCell ref="C93:H93"/>
    <mergeCell ref="A96:B96"/>
    <mergeCell ref="C96:H96"/>
    <mergeCell ref="A89:B89"/>
    <mergeCell ref="C89:H89"/>
    <mergeCell ref="A90:B90"/>
    <mergeCell ref="C90:H90"/>
    <mergeCell ref="A91:B91"/>
    <mergeCell ref="C91:H91"/>
    <mergeCell ref="A86:B86"/>
    <mergeCell ref="C86:H86"/>
    <mergeCell ref="A87:B87"/>
    <mergeCell ref="C87:H87"/>
    <mergeCell ref="A88:B88"/>
    <mergeCell ref="C88:H88"/>
    <mergeCell ref="A83:B83"/>
    <mergeCell ref="C83:H83"/>
    <mergeCell ref="A84:B84"/>
    <mergeCell ref="C84:H84"/>
    <mergeCell ref="A85:B85"/>
    <mergeCell ref="C85:H85"/>
    <mergeCell ref="A77:D77"/>
    <mergeCell ref="A78:D78"/>
    <mergeCell ref="A80:H80"/>
    <mergeCell ref="A81:B81"/>
    <mergeCell ref="C81:H81"/>
    <mergeCell ref="A82:B82"/>
    <mergeCell ref="C82:H82"/>
    <mergeCell ref="A71:D71"/>
    <mergeCell ref="A72:D72"/>
    <mergeCell ref="A73:D73"/>
    <mergeCell ref="A74:D74"/>
    <mergeCell ref="A75:D75"/>
    <mergeCell ref="A76:D76"/>
    <mergeCell ref="A66:D66"/>
    <mergeCell ref="E66:H66"/>
    <mergeCell ref="A67:D67"/>
    <mergeCell ref="A68:D68"/>
    <mergeCell ref="A69:D69"/>
    <mergeCell ref="A70:D70"/>
    <mergeCell ref="A37:B37"/>
    <mergeCell ref="A38:A45"/>
    <mergeCell ref="B46:H51"/>
    <mergeCell ref="A54:B54"/>
    <mergeCell ref="B59:H63"/>
    <mergeCell ref="A65:B65"/>
    <mergeCell ref="A21:D21"/>
    <mergeCell ref="E21:H21"/>
    <mergeCell ref="A23:D23"/>
    <mergeCell ref="A24:D24"/>
    <mergeCell ref="E24:H24"/>
    <mergeCell ref="A26:A27"/>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6E94-33F2-4ABB-9129-57E475CAB049}">
  <dimension ref="A1:O107"/>
  <sheetViews>
    <sheetView view="pageBreakPreview" zoomScale="68" zoomScaleNormal="100" zoomScaleSheetLayoutView="125" workbookViewId="0">
      <selection activeCell="K22" sqref="K22"/>
    </sheetView>
  </sheetViews>
  <sheetFormatPr defaultColWidth="11.81640625" defaultRowHeight="15.5" x14ac:dyDescent="0.35"/>
  <cols>
    <col min="1" max="1" width="13.08984375" style="2" customWidth="1"/>
    <col min="2" max="2" width="18.90625" style="2" customWidth="1"/>
    <col min="3" max="4" width="12" style="2" customWidth="1"/>
    <col min="5" max="6" width="14.90625" style="2" customWidth="1"/>
    <col min="7" max="7" width="16.36328125" style="2" customWidth="1"/>
    <col min="8" max="8" width="15.26953125" style="2" customWidth="1"/>
    <col min="9" max="10" width="11.81640625" style="2"/>
    <col min="11" max="11" width="15.08984375" style="2" customWidth="1"/>
    <col min="12" max="12" width="12.90625" style="2" bestFit="1" customWidth="1"/>
    <col min="13" max="16384" width="11.81640625" style="2"/>
  </cols>
  <sheetData>
    <row r="1" spans="1:15" x14ac:dyDescent="0.35">
      <c r="A1" s="1" t="s">
        <v>0</v>
      </c>
      <c r="B1" s="1"/>
      <c r="C1" s="1"/>
      <c r="D1" s="1"/>
      <c r="H1" s="3" t="s">
        <v>1</v>
      </c>
    </row>
    <row r="2" spans="1:15" ht="24" customHeight="1" thickBot="1" x14ac:dyDescent="0.4">
      <c r="A2" s="4" t="s">
        <v>2</v>
      </c>
      <c r="B2" s="4"/>
      <c r="C2" s="4"/>
      <c r="D2" s="4"/>
      <c r="E2" s="5"/>
      <c r="F2" s="6"/>
    </row>
    <row r="3" spans="1:15" ht="19" customHeight="1" thickBot="1" x14ac:dyDescent="0.4">
      <c r="A3" s="7" t="s">
        <v>3</v>
      </c>
      <c r="B3" s="7"/>
      <c r="C3" s="7"/>
      <c r="D3" s="7"/>
      <c r="E3" s="8" t="s">
        <v>539</v>
      </c>
      <c r="F3" s="8"/>
      <c r="G3" s="8"/>
      <c r="H3" s="8"/>
    </row>
    <row r="4" spans="1:15" ht="19" customHeight="1" x14ac:dyDescent="0.35">
      <c r="A4" s="9" t="s">
        <v>5</v>
      </c>
      <c r="B4" s="9"/>
      <c r="C4" s="9"/>
      <c r="D4" s="9"/>
      <c r="E4" s="10" t="s">
        <v>540</v>
      </c>
      <c r="F4" s="10"/>
      <c r="G4" s="10"/>
      <c r="H4" s="10"/>
      <c r="K4" s="11" t="s">
        <v>7</v>
      </c>
      <c r="L4" s="12"/>
      <c r="M4" s="12"/>
      <c r="N4" s="12"/>
      <c r="O4" s="13"/>
    </row>
    <row r="5" spans="1:15" ht="19" customHeight="1" x14ac:dyDescent="0.35">
      <c r="A5" s="9" t="s">
        <v>8</v>
      </c>
      <c r="B5" s="9"/>
      <c r="C5" s="9"/>
      <c r="D5" s="9"/>
      <c r="E5" s="92" t="s">
        <v>541</v>
      </c>
      <c r="F5" s="92"/>
      <c r="G5" s="92"/>
      <c r="H5" s="92"/>
      <c r="K5" s="14" t="s">
        <v>10</v>
      </c>
      <c r="O5" s="15"/>
    </row>
    <row r="6" spans="1:15" ht="19" customHeight="1" x14ac:dyDescent="0.35">
      <c r="A6" s="9" t="s">
        <v>11</v>
      </c>
      <c r="B6" s="9"/>
      <c r="C6" s="9"/>
      <c r="D6" s="9"/>
      <c r="E6" s="10" t="s">
        <v>542</v>
      </c>
      <c r="F6" s="10"/>
      <c r="G6" s="10"/>
      <c r="H6" s="10"/>
      <c r="K6" s="16" t="s">
        <v>13</v>
      </c>
      <c r="L6" s="17">
        <v>65</v>
      </c>
      <c r="O6" s="15"/>
    </row>
    <row r="7" spans="1:15" ht="19" customHeight="1" x14ac:dyDescent="0.35">
      <c r="A7" s="9" t="s">
        <v>14</v>
      </c>
      <c r="B7" s="9"/>
      <c r="C7" s="9"/>
      <c r="D7" s="9"/>
      <c r="E7" s="10" t="s">
        <v>543</v>
      </c>
      <c r="F7" s="10"/>
      <c r="G7" s="10"/>
      <c r="H7" s="10"/>
      <c r="K7" s="18" t="s">
        <v>16</v>
      </c>
      <c r="L7" s="17">
        <v>9280</v>
      </c>
      <c r="N7" s="19" t="s">
        <v>17</v>
      </c>
      <c r="O7" s="20">
        <f>L7/L6</f>
        <v>142.76923076923077</v>
      </c>
    </row>
    <row r="8" spans="1:15" ht="19" customHeight="1" x14ac:dyDescent="0.35">
      <c r="A8" s="21" t="s">
        <v>18</v>
      </c>
      <c r="B8" s="21"/>
      <c r="C8" s="21"/>
      <c r="D8" s="21"/>
      <c r="E8" s="24" t="s">
        <v>544</v>
      </c>
      <c r="F8" s="24"/>
      <c r="G8" s="24"/>
      <c r="H8" s="24"/>
      <c r="K8" s="18" t="s">
        <v>19</v>
      </c>
      <c r="L8" s="22">
        <v>12114</v>
      </c>
      <c r="N8" s="19" t="s">
        <v>20</v>
      </c>
      <c r="O8" s="23">
        <f>L8/L6</f>
        <v>186.36923076923077</v>
      </c>
    </row>
    <row r="9" spans="1:15" ht="57" customHeight="1" x14ac:dyDescent="0.35">
      <c r="A9" s="21" t="s">
        <v>330</v>
      </c>
      <c r="B9" s="21"/>
      <c r="C9" s="21"/>
      <c r="D9" s="21"/>
      <c r="E9" s="24" t="s">
        <v>22</v>
      </c>
      <c r="F9" s="24"/>
      <c r="G9" s="24"/>
      <c r="H9" s="24"/>
      <c r="K9" s="18" t="s">
        <v>23</v>
      </c>
      <c r="L9" s="17">
        <f>73+365</f>
        <v>438</v>
      </c>
      <c r="N9" s="19" t="s">
        <v>24</v>
      </c>
      <c r="O9" s="25">
        <f>L9/L6</f>
        <v>6.7384615384615385</v>
      </c>
    </row>
    <row r="10" spans="1:15" ht="61" customHeight="1" x14ac:dyDescent="0.35">
      <c r="A10" s="21" t="s">
        <v>25</v>
      </c>
      <c r="B10" s="21"/>
      <c r="C10" s="21"/>
      <c r="D10" s="21"/>
      <c r="E10" s="26" t="s">
        <v>26</v>
      </c>
      <c r="F10" s="26"/>
      <c r="G10" s="26"/>
      <c r="H10" s="26"/>
      <c r="K10" s="18" t="s">
        <v>27</v>
      </c>
      <c r="L10" s="17">
        <v>73</v>
      </c>
      <c r="N10" s="19" t="s">
        <v>28</v>
      </c>
      <c r="O10" s="25">
        <f>L10/L6</f>
        <v>1.1230769230769231</v>
      </c>
    </row>
    <row r="11" spans="1:15" ht="47" customHeight="1" x14ac:dyDescent="0.35">
      <c r="A11" s="21" t="s">
        <v>29</v>
      </c>
      <c r="B11" s="21"/>
      <c r="C11" s="21"/>
      <c r="D11" s="21"/>
      <c r="E11" s="24" t="s">
        <v>545</v>
      </c>
      <c r="F11" s="24"/>
      <c r="G11" s="24"/>
      <c r="H11" s="24"/>
      <c r="K11" s="18" t="s">
        <v>31</v>
      </c>
      <c r="L11" s="28">
        <f>2.5*L10</f>
        <v>182.5</v>
      </c>
      <c r="N11" s="19" t="s">
        <v>33</v>
      </c>
      <c r="O11" s="29">
        <f>(L11*L15)/L6</f>
        <v>5.0257692307692308</v>
      </c>
    </row>
    <row r="12" spans="1:15" ht="49" customHeight="1" x14ac:dyDescent="0.35">
      <c r="A12" s="21" t="s">
        <v>34</v>
      </c>
      <c r="B12" s="21"/>
      <c r="C12" s="21"/>
      <c r="D12" s="21"/>
      <c r="E12" s="24" t="s">
        <v>546</v>
      </c>
      <c r="F12" s="24"/>
      <c r="G12" s="24"/>
      <c r="H12" s="24"/>
      <c r="K12" s="18" t="s">
        <v>36</v>
      </c>
      <c r="L12" s="17">
        <v>162</v>
      </c>
      <c r="N12" s="19" t="s">
        <v>37</v>
      </c>
      <c r="O12" s="20">
        <f>L12/L6</f>
        <v>2.4923076923076923</v>
      </c>
    </row>
    <row r="13" spans="1:15" ht="77" customHeight="1" x14ac:dyDescent="0.35">
      <c r="A13" s="21" t="s">
        <v>38</v>
      </c>
      <c r="B13" s="21"/>
      <c r="C13" s="21"/>
      <c r="D13" s="21"/>
      <c r="E13" s="24" t="s">
        <v>547</v>
      </c>
      <c r="F13" s="24"/>
      <c r="G13" s="24"/>
      <c r="H13" s="24"/>
      <c r="K13" s="18" t="s">
        <v>40</v>
      </c>
      <c r="L13" s="17">
        <f>L12*2</f>
        <v>324</v>
      </c>
      <c r="N13" s="19" t="s">
        <v>41</v>
      </c>
      <c r="O13" s="20">
        <f>L13/L6</f>
        <v>4.9846153846153847</v>
      </c>
    </row>
    <row r="14" spans="1:15" ht="70" customHeight="1" x14ac:dyDescent="0.35">
      <c r="A14" s="21" t="s">
        <v>42</v>
      </c>
      <c r="B14" s="21"/>
      <c r="C14" s="21"/>
      <c r="D14" s="21"/>
      <c r="E14" s="26" t="s">
        <v>26</v>
      </c>
      <c r="F14" s="26"/>
      <c r="G14" s="26"/>
      <c r="H14" s="26"/>
      <c r="K14" s="18" t="s">
        <v>43</v>
      </c>
      <c r="L14" s="17">
        <f>2.5*L13</f>
        <v>810</v>
      </c>
      <c r="M14" s="2" t="s">
        <v>44</v>
      </c>
      <c r="N14" s="19" t="s">
        <v>45</v>
      </c>
      <c r="O14" s="23">
        <f>(L14*L15)/L6</f>
        <v>22.306153846153848</v>
      </c>
    </row>
    <row r="15" spans="1:15" ht="57" customHeight="1" x14ac:dyDescent="0.35">
      <c r="A15" s="21" t="s">
        <v>46</v>
      </c>
      <c r="B15" s="21"/>
      <c r="C15" s="21"/>
      <c r="D15" s="21"/>
      <c r="E15" s="24" t="s">
        <v>548</v>
      </c>
      <c r="F15" s="24"/>
      <c r="G15" s="24"/>
      <c r="H15" s="24"/>
      <c r="K15" s="18" t="s">
        <v>48</v>
      </c>
      <c r="L15" s="17">
        <v>1.79</v>
      </c>
      <c r="N15" s="19" t="s">
        <v>49</v>
      </c>
      <c r="O15" s="23">
        <f>L18/L6</f>
        <v>10.76923076923077</v>
      </c>
    </row>
    <row r="16" spans="1:15" ht="53" customHeight="1" x14ac:dyDescent="0.35">
      <c r="A16" s="21" t="s">
        <v>50</v>
      </c>
      <c r="B16" s="21"/>
      <c r="C16" s="21"/>
      <c r="D16" s="21"/>
      <c r="E16" s="26" t="s">
        <v>26</v>
      </c>
      <c r="F16" s="26"/>
      <c r="G16" s="26"/>
      <c r="H16" s="26"/>
      <c r="K16" s="32" t="s">
        <v>51</v>
      </c>
      <c r="L16" s="33">
        <f>C44</f>
        <v>0</v>
      </c>
      <c r="N16" s="88" t="s">
        <v>52</v>
      </c>
      <c r="O16" s="35">
        <f>L16/L6</f>
        <v>0</v>
      </c>
    </row>
    <row r="17" spans="1:15" ht="19" customHeight="1" x14ac:dyDescent="0.35">
      <c r="A17" s="21" t="s">
        <v>53</v>
      </c>
      <c r="B17" s="21"/>
      <c r="C17" s="21"/>
      <c r="D17" s="21"/>
      <c r="E17" s="26" t="s">
        <v>26</v>
      </c>
      <c r="F17" s="26"/>
      <c r="G17" s="26"/>
      <c r="H17" s="26"/>
      <c r="L17" s="33" t="s">
        <v>44</v>
      </c>
    </row>
    <row r="18" spans="1:15" ht="19" customHeight="1" x14ac:dyDescent="0.35">
      <c r="A18" s="21" t="s">
        <v>54</v>
      </c>
      <c r="B18" s="21"/>
      <c r="C18" s="21"/>
      <c r="D18" s="21"/>
      <c r="E18" s="26" t="s">
        <v>26</v>
      </c>
      <c r="F18" s="26"/>
      <c r="G18" s="26"/>
      <c r="H18" s="26"/>
      <c r="K18" s="18" t="s">
        <v>55</v>
      </c>
      <c r="L18" s="17">
        <v>700</v>
      </c>
      <c r="N18" s="19" t="s">
        <v>57</v>
      </c>
      <c r="O18" s="23">
        <f>O8+O11+O14+O15+O16</f>
        <v>224.47038461538463</v>
      </c>
    </row>
    <row r="19" spans="1:15" ht="19" customHeight="1" thickBot="1" x14ac:dyDescent="0.4">
      <c r="A19" s="37" t="s">
        <v>58</v>
      </c>
      <c r="B19" s="21"/>
      <c r="C19" s="21"/>
      <c r="D19" s="21"/>
      <c r="E19" s="24" t="s">
        <v>549</v>
      </c>
      <c r="F19" s="24"/>
      <c r="G19" s="24"/>
      <c r="H19" s="24"/>
      <c r="K19" s="38"/>
      <c r="L19" s="5"/>
      <c r="M19" s="5"/>
      <c r="N19" s="90" t="s">
        <v>59</v>
      </c>
      <c r="O19" s="40">
        <f>O9+O12</f>
        <v>9.2307692307692299</v>
      </c>
    </row>
    <row r="20" spans="1:15" ht="33.75" customHeight="1" x14ac:dyDescent="0.35">
      <c r="A20" s="37" t="s">
        <v>60</v>
      </c>
      <c r="B20" s="21"/>
      <c r="C20" s="21"/>
      <c r="D20" s="21"/>
      <c r="E20" s="24" t="s">
        <v>550</v>
      </c>
      <c r="F20" s="24"/>
      <c r="G20" s="24"/>
      <c r="H20" s="24"/>
      <c r="I20" s="2">
        <f>9600-320</f>
        <v>9280</v>
      </c>
    </row>
    <row r="21" spans="1:15" ht="32.25" customHeight="1" x14ac:dyDescent="0.35">
      <c r="A21" s="37" t="s">
        <v>62</v>
      </c>
      <c r="B21" s="21"/>
      <c r="C21" s="21"/>
      <c r="D21" s="21"/>
      <c r="E21" s="24" t="s">
        <v>551</v>
      </c>
      <c r="F21" s="24"/>
      <c r="G21" s="24"/>
      <c r="H21" s="24"/>
    </row>
    <row r="22" spans="1:15" ht="32.25" customHeight="1" x14ac:dyDescent="0.35">
      <c r="A22" s="41"/>
      <c r="B22" s="42"/>
      <c r="C22" s="42"/>
      <c r="D22" s="42"/>
      <c r="E22" s="121"/>
      <c r="F22" s="121"/>
      <c r="G22" s="121"/>
      <c r="H22" s="43"/>
    </row>
    <row r="23" spans="1:15" ht="30" customHeight="1" x14ac:dyDescent="0.35">
      <c r="A23" s="44" t="s">
        <v>67</v>
      </c>
      <c r="B23" s="45"/>
      <c r="C23" s="45"/>
      <c r="D23" s="45"/>
      <c r="E23" s="93" t="s">
        <v>552</v>
      </c>
      <c r="F23" s="93"/>
      <c r="G23" s="93"/>
      <c r="H23" s="122" t="s">
        <v>68</v>
      </c>
    </row>
    <row r="24" spans="1:15" ht="111.75" customHeight="1" x14ac:dyDescent="0.35">
      <c r="A24" s="44" t="s">
        <v>339</v>
      </c>
      <c r="B24" s="45"/>
      <c r="C24" s="45"/>
      <c r="D24" s="45"/>
      <c r="E24" s="47" t="s">
        <v>553</v>
      </c>
      <c r="F24" s="47"/>
      <c r="G24" s="47"/>
      <c r="H24" s="47"/>
    </row>
    <row r="25" spans="1:15" ht="20.25" customHeight="1" x14ac:dyDescent="0.35">
      <c r="A25" s="36"/>
      <c r="B25" s="36"/>
      <c r="C25" s="36"/>
      <c r="D25" s="36"/>
    </row>
    <row r="26" spans="1:15" x14ac:dyDescent="0.35">
      <c r="A26" s="48" t="s">
        <v>71</v>
      </c>
      <c r="B26" s="48"/>
      <c r="C26" s="48"/>
      <c r="D26" s="48"/>
    </row>
    <row r="27" spans="1:15" ht="47.25" customHeight="1" x14ac:dyDescent="0.35">
      <c r="A27" s="49" t="s">
        <v>72</v>
      </c>
      <c r="B27" s="50"/>
      <c r="C27" s="51" t="s">
        <v>73</v>
      </c>
      <c r="D27" s="51" t="s">
        <v>74</v>
      </c>
      <c r="E27" s="51" t="s">
        <v>75</v>
      </c>
      <c r="F27" s="51" t="s">
        <v>76</v>
      </c>
      <c r="G27" s="52" t="s">
        <v>77</v>
      </c>
      <c r="H27" s="52" t="s">
        <v>78</v>
      </c>
    </row>
    <row r="28" spans="1:15" ht="30" customHeight="1" x14ac:dyDescent="0.35">
      <c r="A28" s="53"/>
      <c r="B28" s="50" t="s">
        <v>79</v>
      </c>
      <c r="C28" s="50" t="s">
        <v>80</v>
      </c>
      <c r="D28" s="50"/>
      <c r="E28" s="50"/>
      <c r="F28" s="50"/>
      <c r="G28" s="50"/>
      <c r="H28" s="50"/>
    </row>
    <row r="29" spans="1:15" ht="30" customHeight="1" x14ac:dyDescent="0.35">
      <c r="A29" s="54"/>
      <c r="B29" s="50" t="s">
        <v>81</v>
      </c>
      <c r="C29" s="50" t="s">
        <v>80</v>
      </c>
      <c r="D29" s="50"/>
      <c r="E29" s="50"/>
      <c r="F29" s="50"/>
      <c r="G29" s="50"/>
      <c r="H29" s="50"/>
    </row>
    <row r="30" spans="1:15" ht="30" customHeight="1" x14ac:dyDescent="0.35">
      <c r="A30" s="54"/>
      <c r="B30" s="50" t="s">
        <v>82</v>
      </c>
      <c r="C30" s="50" t="s">
        <v>80</v>
      </c>
      <c r="D30" s="50"/>
      <c r="E30" s="50"/>
      <c r="F30" s="50"/>
      <c r="G30" s="50"/>
      <c r="H30" s="50"/>
    </row>
    <row r="31" spans="1:15" ht="30" customHeight="1" x14ac:dyDescent="0.35">
      <c r="A31" s="54"/>
      <c r="B31" s="50" t="s">
        <v>83</v>
      </c>
      <c r="C31" s="50" t="s">
        <v>84</v>
      </c>
      <c r="D31" s="50"/>
      <c r="E31" s="50"/>
      <c r="F31" s="50"/>
      <c r="G31" s="50"/>
      <c r="H31" s="50"/>
    </row>
    <row r="32" spans="1:15" ht="30" customHeight="1" x14ac:dyDescent="0.35">
      <c r="A32" s="54"/>
      <c r="B32" s="50" t="s">
        <v>85</v>
      </c>
      <c r="C32" s="50" t="s">
        <v>84</v>
      </c>
      <c r="D32" s="50" t="s">
        <v>554</v>
      </c>
      <c r="E32" s="50"/>
      <c r="F32" s="50"/>
      <c r="G32" s="50"/>
      <c r="H32" s="50"/>
    </row>
    <row r="33" spans="1:12" ht="30" customHeight="1" x14ac:dyDescent="0.35">
      <c r="A33" s="54"/>
      <c r="B33" s="50" t="s">
        <v>22</v>
      </c>
      <c r="C33" s="50" t="s">
        <v>84</v>
      </c>
      <c r="D33" s="50" t="s">
        <v>555</v>
      </c>
      <c r="E33" s="50" t="s">
        <v>556</v>
      </c>
      <c r="F33" s="50"/>
      <c r="G33" s="50"/>
      <c r="H33" s="50" t="s">
        <v>557</v>
      </c>
    </row>
    <row r="34" spans="1:12" ht="30" customHeight="1" x14ac:dyDescent="0.35">
      <c r="A34" s="54"/>
      <c r="B34" s="50" t="s">
        <v>90</v>
      </c>
      <c r="C34" s="50" t="s">
        <v>84</v>
      </c>
      <c r="D34" s="50"/>
      <c r="E34" s="50"/>
      <c r="F34" s="50"/>
      <c r="G34" s="50"/>
      <c r="H34" s="50"/>
    </row>
    <row r="35" spans="1:12" ht="30" customHeight="1" x14ac:dyDescent="0.35">
      <c r="A35" s="54"/>
      <c r="B35" s="55" t="s">
        <v>91</v>
      </c>
      <c r="C35" s="50" t="s">
        <v>92</v>
      </c>
      <c r="D35" s="50"/>
      <c r="E35" s="50"/>
      <c r="F35" s="50"/>
      <c r="G35" s="50"/>
      <c r="H35" s="50"/>
    </row>
    <row r="38" spans="1:12" ht="29.25" customHeight="1" x14ac:dyDescent="0.35">
      <c r="A38" s="56" t="s">
        <v>96</v>
      </c>
      <c r="B38" s="57"/>
      <c r="H38" s="46" t="s">
        <v>97</v>
      </c>
    </row>
    <row r="39" spans="1:12" ht="31" customHeight="1" x14ac:dyDescent="0.35">
      <c r="A39" s="75" t="s">
        <v>98</v>
      </c>
      <c r="B39" s="55" t="s">
        <v>99</v>
      </c>
      <c r="C39" s="50" t="s">
        <v>100</v>
      </c>
      <c r="D39" s="50" t="s">
        <v>101</v>
      </c>
      <c r="E39" s="55" t="s">
        <v>102</v>
      </c>
      <c r="F39" s="55" t="s">
        <v>103</v>
      </c>
      <c r="G39" s="55" t="s">
        <v>104</v>
      </c>
      <c r="H39" s="55" t="s">
        <v>105</v>
      </c>
    </row>
    <row r="40" spans="1:12" ht="40" customHeight="1" x14ac:dyDescent="0.35">
      <c r="A40" s="96"/>
      <c r="B40" s="50" t="s">
        <v>558</v>
      </c>
      <c r="C40" s="50"/>
      <c r="D40" s="50" t="s">
        <v>559</v>
      </c>
      <c r="E40" s="50" t="s">
        <v>560</v>
      </c>
      <c r="F40" s="50"/>
      <c r="G40" s="50"/>
      <c r="H40" s="50"/>
      <c r="J40" s="2" t="s">
        <v>561</v>
      </c>
      <c r="K40" s="2">
        <f>8+(1.25*52)</f>
        <v>73</v>
      </c>
      <c r="L40" s="2">
        <f>365</f>
        <v>365</v>
      </c>
    </row>
    <row r="41" spans="1:12" ht="40" customHeight="1" x14ac:dyDescent="0.35">
      <c r="A41" s="96"/>
      <c r="B41" s="50" t="s">
        <v>562</v>
      </c>
      <c r="C41" s="50"/>
      <c r="D41" s="50" t="s">
        <v>563</v>
      </c>
      <c r="E41" s="50"/>
      <c r="F41" s="50"/>
      <c r="G41" s="50"/>
      <c r="H41" s="50"/>
      <c r="J41" s="2" t="s">
        <v>564</v>
      </c>
    </row>
    <row r="42" spans="1:12" ht="40" customHeight="1" x14ac:dyDescent="0.35">
      <c r="A42" s="96"/>
      <c r="B42" s="50" t="s">
        <v>565</v>
      </c>
      <c r="C42" s="50"/>
      <c r="D42" s="50" t="s">
        <v>566</v>
      </c>
      <c r="E42" s="50"/>
      <c r="F42" s="50"/>
      <c r="G42" s="50"/>
      <c r="H42" s="50"/>
    </row>
    <row r="43" spans="1:12" ht="40" customHeight="1" x14ac:dyDescent="0.35">
      <c r="A43" s="96"/>
      <c r="B43" s="50"/>
      <c r="C43" s="50"/>
      <c r="D43" s="50"/>
      <c r="E43" s="50"/>
      <c r="F43" s="50"/>
      <c r="G43" s="50"/>
      <c r="H43" s="50"/>
      <c r="J43" s="2" t="s">
        <v>567</v>
      </c>
      <c r="K43" s="2">
        <f>6*6*4.5</f>
        <v>162</v>
      </c>
      <c r="L43" s="2" t="s">
        <v>568</v>
      </c>
    </row>
    <row r="44" spans="1:12" ht="40" customHeight="1" x14ac:dyDescent="0.35">
      <c r="A44" s="96"/>
      <c r="B44" s="50" t="s">
        <v>569</v>
      </c>
      <c r="C44" s="50"/>
      <c r="D44" s="50"/>
      <c r="E44" s="50"/>
      <c r="F44" s="50"/>
      <c r="H44" s="50">
        <v>700</v>
      </c>
      <c r="I44" s="2" t="s">
        <v>570</v>
      </c>
    </row>
    <row r="45" spans="1:12" ht="40" customHeight="1" x14ac:dyDescent="0.35">
      <c r="A45" s="96"/>
      <c r="B45" s="50" t="s">
        <v>571</v>
      </c>
      <c r="C45" s="50" t="s">
        <v>572</v>
      </c>
      <c r="D45" s="50" t="s">
        <v>573</v>
      </c>
      <c r="E45" s="50"/>
      <c r="F45" s="50"/>
      <c r="G45" s="50"/>
      <c r="H45" s="50"/>
      <c r="I45" s="2" t="s">
        <v>574</v>
      </c>
    </row>
    <row r="46" spans="1:12" ht="40" customHeight="1" x14ac:dyDescent="0.35">
      <c r="A46" s="96"/>
      <c r="B46" s="50"/>
      <c r="C46" s="50" t="s">
        <v>575</v>
      </c>
      <c r="D46" s="50"/>
      <c r="E46" s="50"/>
      <c r="F46" s="50"/>
      <c r="G46" s="50"/>
      <c r="H46" s="50"/>
    </row>
    <row r="47" spans="1:12" x14ac:dyDescent="0.35">
      <c r="B47" s="61" t="s">
        <v>121</v>
      </c>
      <c r="C47" s="61"/>
      <c r="D47" s="61"/>
      <c r="E47" s="61"/>
      <c r="F47" s="61"/>
      <c r="G47" s="61"/>
      <c r="H47" s="61"/>
    </row>
    <row r="48" spans="1:12" x14ac:dyDescent="0.35">
      <c r="B48" s="62"/>
      <c r="C48" s="62"/>
      <c r="D48" s="62"/>
      <c r="E48" s="62"/>
      <c r="F48" s="62"/>
      <c r="G48" s="62"/>
      <c r="H48" s="62"/>
    </row>
    <row r="49" spans="1:8" x14ac:dyDescent="0.35">
      <c r="B49" s="62"/>
      <c r="C49" s="62"/>
      <c r="D49" s="62"/>
      <c r="E49" s="62"/>
      <c r="F49" s="62"/>
      <c r="G49" s="62"/>
      <c r="H49" s="62"/>
    </row>
    <row r="50" spans="1:8" x14ac:dyDescent="0.35">
      <c r="B50" s="62"/>
      <c r="C50" s="62"/>
      <c r="D50" s="62"/>
      <c r="E50" s="62"/>
      <c r="F50" s="62"/>
      <c r="G50" s="62"/>
      <c r="H50" s="62"/>
    </row>
    <row r="51" spans="1:8" x14ac:dyDescent="0.35">
      <c r="B51" s="62"/>
      <c r="C51" s="62"/>
      <c r="D51" s="62"/>
      <c r="E51" s="62"/>
      <c r="F51" s="62"/>
      <c r="G51" s="62"/>
      <c r="H51" s="62"/>
    </row>
    <row r="52" spans="1:8" x14ac:dyDescent="0.35">
      <c r="B52" s="62"/>
      <c r="C52" s="62"/>
      <c r="D52" s="62"/>
      <c r="E52" s="62"/>
      <c r="F52" s="62"/>
      <c r="G52" s="62"/>
      <c r="H52" s="62"/>
    </row>
    <row r="56" spans="1:8" ht="27" customHeight="1" x14ac:dyDescent="0.35">
      <c r="A56" s="56" t="s">
        <v>122</v>
      </c>
      <c r="B56" s="57"/>
      <c r="H56" s="46" t="s">
        <v>123</v>
      </c>
    </row>
    <row r="57" spans="1:8" ht="45" customHeight="1" x14ac:dyDescent="0.35">
      <c r="A57" s="50"/>
      <c r="B57" s="55" t="s">
        <v>124</v>
      </c>
      <c r="C57" s="55" t="s">
        <v>125</v>
      </c>
      <c r="D57" s="55" t="s">
        <v>126</v>
      </c>
      <c r="E57" s="55" t="s">
        <v>127</v>
      </c>
      <c r="F57" s="55" t="s">
        <v>128</v>
      </c>
      <c r="G57" s="55" t="s">
        <v>129</v>
      </c>
      <c r="H57" s="63" t="s">
        <v>130</v>
      </c>
    </row>
    <row r="58" spans="1:8" ht="124" x14ac:dyDescent="0.35">
      <c r="A58" s="55" t="s">
        <v>131</v>
      </c>
      <c r="B58" s="50"/>
      <c r="C58" s="50"/>
      <c r="D58" s="50"/>
      <c r="E58" s="50"/>
      <c r="F58" s="50"/>
      <c r="G58" s="50"/>
      <c r="H58" s="64"/>
    </row>
    <row r="59" spans="1:8" ht="93" x14ac:dyDescent="0.35">
      <c r="A59" s="55" t="s">
        <v>132</v>
      </c>
      <c r="B59" s="50"/>
      <c r="C59" s="50"/>
      <c r="D59" s="50"/>
      <c r="E59" s="50"/>
      <c r="F59" s="50"/>
      <c r="G59" s="50"/>
      <c r="H59" s="64"/>
    </row>
    <row r="60" spans="1:8" ht="108.5" x14ac:dyDescent="0.35">
      <c r="A60" s="65" t="s">
        <v>133</v>
      </c>
      <c r="B60" s="50"/>
      <c r="C60" s="50"/>
      <c r="D60" s="50"/>
      <c r="E60" s="50"/>
      <c r="F60" s="50"/>
      <c r="G60" s="50"/>
      <c r="H60" s="64"/>
    </row>
    <row r="61" spans="1:8" x14ac:dyDescent="0.35">
      <c r="B61" s="66" t="s">
        <v>121</v>
      </c>
      <c r="C61" s="66"/>
      <c r="D61" s="66"/>
      <c r="E61" s="66"/>
      <c r="F61" s="66"/>
      <c r="G61" s="66"/>
      <c r="H61" s="66"/>
    </row>
    <row r="62" spans="1:8" x14ac:dyDescent="0.35">
      <c r="B62" s="67"/>
      <c r="C62" s="67"/>
      <c r="D62" s="67"/>
      <c r="E62" s="67"/>
      <c r="F62" s="67"/>
      <c r="G62" s="67"/>
      <c r="H62" s="67"/>
    </row>
    <row r="63" spans="1:8" x14ac:dyDescent="0.35">
      <c r="B63" s="67"/>
      <c r="C63" s="67"/>
      <c r="D63" s="67"/>
      <c r="E63" s="67"/>
      <c r="F63" s="67"/>
      <c r="G63" s="67"/>
      <c r="H63" s="67"/>
    </row>
    <row r="64" spans="1:8" x14ac:dyDescent="0.35">
      <c r="B64" s="67"/>
      <c r="C64" s="67"/>
      <c r="D64" s="67"/>
      <c r="E64" s="67"/>
      <c r="F64" s="67"/>
      <c r="G64" s="67"/>
      <c r="H64" s="67"/>
    </row>
    <row r="65" spans="1:8" x14ac:dyDescent="0.35">
      <c r="B65" s="67"/>
      <c r="C65" s="67"/>
      <c r="D65" s="67"/>
      <c r="E65" s="67"/>
      <c r="F65" s="67"/>
      <c r="G65" s="67"/>
      <c r="H65" s="67"/>
    </row>
    <row r="66" spans="1:8" x14ac:dyDescent="0.35">
      <c r="B66" s="36"/>
    </row>
    <row r="67" spans="1:8" x14ac:dyDescent="0.35">
      <c r="B67" s="36"/>
    </row>
    <row r="68" spans="1:8" ht="46.5" customHeight="1" x14ac:dyDescent="0.35">
      <c r="A68" s="68" t="s">
        <v>134</v>
      </c>
      <c r="B68" s="68"/>
      <c r="C68" s="69" t="s">
        <v>135</v>
      </c>
      <c r="D68" s="69" t="s">
        <v>135</v>
      </c>
      <c r="E68" s="69" t="s">
        <v>135</v>
      </c>
      <c r="F68" s="69" t="s">
        <v>135</v>
      </c>
      <c r="G68" s="69" t="s">
        <v>135</v>
      </c>
      <c r="H68" s="70" t="s">
        <v>136</v>
      </c>
    </row>
    <row r="69" spans="1:8" ht="48" customHeight="1" x14ac:dyDescent="0.35">
      <c r="A69" s="71" t="s">
        <v>137</v>
      </c>
      <c r="B69" s="71"/>
      <c r="C69" s="71"/>
      <c r="D69" s="71"/>
      <c r="E69" s="68" t="s">
        <v>576</v>
      </c>
      <c r="F69" s="68"/>
      <c r="G69" s="68"/>
      <c r="H69" s="68"/>
    </row>
    <row r="70" spans="1:8" ht="52" customHeight="1" x14ac:dyDescent="0.35">
      <c r="A70" s="71" t="s">
        <v>139</v>
      </c>
      <c r="B70" s="71"/>
      <c r="C70" s="71"/>
      <c r="D70" s="71"/>
      <c r="E70" s="69" t="s">
        <v>577</v>
      </c>
      <c r="F70" s="69" t="s">
        <v>135</v>
      </c>
      <c r="G70" s="69" t="s">
        <v>135</v>
      </c>
      <c r="H70" s="69" t="s">
        <v>135</v>
      </c>
    </row>
    <row r="71" spans="1:8" ht="31" customHeight="1" x14ac:dyDescent="0.35">
      <c r="A71" s="71" t="s">
        <v>141</v>
      </c>
      <c r="B71" s="71"/>
      <c r="C71" s="71"/>
      <c r="D71" s="71"/>
      <c r="E71" s="69" t="s">
        <v>578</v>
      </c>
      <c r="F71" s="69" t="s">
        <v>135</v>
      </c>
      <c r="G71" s="69" t="s">
        <v>135</v>
      </c>
      <c r="H71" s="69" t="s">
        <v>135</v>
      </c>
    </row>
    <row r="72" spans="1:8" ht="25" customHeight="1" x14ac:dyDescent="0.35">
      <c r="A72" s="71" t="s">
        <v>143</v>
      </c>
      <c r="B72" s="71"/>
      <c r="C72" s="71"/>
      <c r="D72" s="71"/>
      <c r="E72" s="69" t="s">
        <v>579</v>
      </c>
      <c r="F72" s="69" t="s">
        <v>135</v>
      </c>
      <c r="G72" s="69" t="s">
        <v>135</v>
      </c>
      <c r="H72" s="69" t="s">
        <v>135</v>
      </c>
    </row>
    <row r="73" spans="1:8" ht="41.25" customHeight="1" x14ac:dyDescent="0.35">
      <c r="A73" s="71" t="s">
        <v>144</v>
      </c>
      <c r="B73" s="71"/>
      <c r="C73" s="71"/>
      <c r="D73" s="71"/>
      <c r="E73" s="69" t="s">
        <v>135</v>
      </c>
      <c r="F73" s="69" t="s">
        <v>135</v>
      </c>
      <c r="G73" s="69" t="s">
        <v>135</v>
      </c>
      <c r="H73" s="69" t="s">
        <v>135</v>
      </c>
    </row>
    <row r="74" spans="1:8" ht="55.5" customHeight="1" x14ac:dyDescent="0.35">
      <c r="A74" s="71" t="s">
        <v>146</v>
      </c>
      <c r="B74" s="71"/>
      <c r="C74" s="71"/>
      <c r="D74" s="71"/>
      <c r="E74" s="69" t="s">
        <v>135</v>
      </c>
      <c r="F74" s="69" t="s">
        <v>135</v>
      </c>
      <c r="G74" s="69" t="s">
        <v>135</v>
      </c>
      <c r="H74" s="69" t="s">
        <v>135</v>
      </c>
    </row>
    <row r="75" spans="1:8" ht="36.75" customHeight="1" x14ac:dyDescent="0.35">
      <c r="A75" s="71" t="s">
        <v>147</v>
      </c>
      <c r="B75" s="71"/>
      <c r="C75" s="71"/>
      <c r="D75" s="71"/>
      <c r="E75" s="69" t="s">
        <v>580</v>
      </c>
      <c r="F75" s="69" t="s">
        <v>135</v>
      </c>
      <c r="G75" s="69" t="s">
        <v>135</v>
      </c>
      <c r="H75" s="69" t="s">
        <v>135</v>
      </c>
    </row>
    <row r="76" spans="1:8" ht="29.25" customHeight="1" x14ac:dyDescent="0.35">
      <c r="A76" s="73" t="s">
        <v>149</v>
      </c>
      <c r="B76" s="73"/>
      <c r="C76" s="73"/>
      <c r="D76" s="73"/>
      <c r="E76" s="74" t="s">
        <v>135</v>
      </c>
      <c r="F76" s="74" t="s">
        <v>135</v>
      </c>
      <c r="G76" s="74" t="s">
        <v>135</v>
      </c>
      <c r="H76" s="74" t="s">
        <v>135</v>
      </c>
    </row>
    <row r="77" spans="1:8" ht="43" customHeight="1" x14ac:dyDescent="0.35">
      <c r="A77" s="71" t="s">
        <v>150</v>
      </c>
      <c r="B77" s="71"/>
      <c r="C77" s="71"/>
      <c r="D77" s="71"/>
      <c r="E77" s="69" t="s">
        <v>581</v>
      </c>
      <c r="F77" s="69" t="s">
        <v>135</v>
      </c>
      <c r="G77" s="69" t="s">
        <v>135</v>
      </c>
      <c r="H77" s="69" t="s">
        <v>135</v>
      </c>
    </row>
    <row r="78" spans="1:8" ht="31" customHeight="1" x14ac:dyDescent="0.35">
      <c r="A78" s="71" t="s">
        <v>152</v>
      </c>
      <c r="B78" s="71"/>
      <c r="C78" s="71"/>
      <c r="D78" s="71"/>
      <c r="E78" s="69" t="s">
        <v>135</v>
      </c>
      <c r="F78" s="69" t="s">
        <v>135</v>
      </c>
      <c r="G78" s="69" t="s">
        <v>135</v>
      </c>
      <c r="H78" s="69" t="s">
        <v>135</v>
      </c>
    </row>
    <row r="79" spans="1:8" ht="25.5" customHeight="1" x14ac:dyDescent="0.35">
      <c r="A79" s="71" t="s">
        <v>153</v>
      </c>
      <c r="B79" s="71"/>
      <c r="C79" s="71"/>
      <c r="D79" s="71"/>
      <c r="E79" s="69" t="s">
        <v>135</v>
      </c>
      <c r="F79" s="69" t="s">
        <v>135</v>
      </c>
      <c r="G79" s="69" t="s">
        <v>135</v>
      </c>
      <c r="H79" s="69" t="s">
        <v>135</v>
      </c>
    </row>
    <row r="80" spans="1:8" ht="25" customHeight="1" x14ac:dyDescent="0.35">
      <c r="A80" s="71" t="s">
        <v>154</v>
      </c>
      <c r="B80" s="71"/>
      <c r="C80" s="71"/>
      <c r="D80" s="71"/>
      <c r="E80" s="69" t="s">
        <v>135</v>
      </c>
      <c r="F80" s="69" t="s">
        <v>135</v>
      </c>
      <c r="G80" s="69" t="s">
        <v>135</v>
      </c>
      <c r="H80" s="69" t="s">
        <v>135</v>
      </c>
    </row>
    <row r="81" spans="1:8" x14ac:dyDescent="0.35">
      <c r="A81" s="75" t="s">
        <v>155</v>
      </c>
      <c r="B81" s="75"/>
      <c r="C81" s="75"/>
      <c r="D81" s="75"/>
      <c r="E81" s="76" t="s">
        <v>135</v>
      </c>
      <c r="F81" s="76" t="s">
        <v>135</v>
      </c>
      <c r="G81" s="76" t="s">
        <v>135</v>
      </c>
      <c r="H81" s="76" t="s">
        <v>135</v>
      </c>
    </row>
    <row r="82" spans="1:8" ht="35.5" customHeight="1" x14ac:dyDescent="0.35">
      <c r="E82" s="36"/>
      <c r="F82" s="36"/>
      <c r="G82" s="36"/>
      <c r="H82" s="77" t="s">
        <v>156</v>
      </c>
    </row>
    <row r="83" spans="1:8" ht="40.5" customHeight="1" x14ac:dyDescent="0.35">
      <c r="A83" s="78" t="s">
        <v>157</v>
      </c>
      <c r="B83" s="78"/>
      <c r="C83" s="78"/>
      <c r="D83" s="78"/>
      <c r="E83" s="78"/>
      <c r="F83" s="78"/>
      <c r="G83" s="78"/>
      <c r="H83" s="78"/>
    </row>
    <row r="84" spans="1:8" ht="36" customHeight="1" x14ac:dyDescent="0.35">
      <c r="A84" s="79" t="s">
        <v>158</v>
      </c>
      <c r="B84" s="79"/>
      <c r="C84" s="80" t="s">
        <v>582</v>
      </c>
      <c r="D84" s="80"/>
      <c r="E84" s="80"/>
      <c r="F84" s="80"/>
      <c r="G84" s="80"/>
      <c r="H84" s="80"/>
    </row>
    <row r="85" spans="1:8" ht="36.75" customHeight="1" x14ac:dyDescent="0.35">
      <c r="A85" s="21" t="s">
        <v>159</v>
      </c>
      <c r="B85" s="21"/>
      <c r="C85" s="9"/>
      <c r="D85" s="9"/>
      <c r="E85" s="9"/>
      <c r="F85" s="9"/>
      <c r="G85" s="9"/>
      <c r="H85" s="9"/>
    </row>
    <row r="86" spans="1:8" ht="41.5" customHeight="1" x14ac:dyDescent="0.35">
      <c r="A86" s="21" t="s">
        <v>160</v>
      </c>
      <c r="B86" s="21"/>
      <c r="C86" s="9"/>
      <c r="D86" s="9"/>
      <c r="E86" s="9"/>
      <c r="F86" s="9"/>
      <c r="G86" s="9"/>
      <c r="H86" s="9"/>
    </row>
    <row r="87" spans="1:8" ht="38.25" customHeight="1" x14ac:dyDescent="0.35">
      <c r="A87" s="21" t="s">
        <v>162</v>
      </c>
      <c r="B87" s="21"/>
      <c r="C87" s="9"/>
      <c r="D87" s="9"/>
      <c r="E87" s="9"/>
      <c r="F87" s="9"/>
      <c r="G87" s="9"/>
      <c r="H87" s="9"/>
    </row>
    <row r="88" spans="1:8" ht="29.25" customHeight="1" x14ac:dyDescent="0.35">
      <c r="A88" s="21" t="s">
        <v>163</v>
      </c>
      <c r="B88" s="21"/>
      <c r="C88" s="9"/>
      <c r="D88" s="9"/>
      <c r="E88" s="9"/>
      <c r="F88" s="9"/>
      <c r="G88" s="9"/>
      <c r="H88" s="9"/>
    </row>
    <row r="89" spans="1:8" ht="43" customHeight="1" x14ac:dyDescent="0.35">
      <c r="A89" s="21" t="s">
        <v>164</v>
      </c>
      <c r="B89" s="21"/>
      <c r="C89" s="9"/>
      <c r="D89" s="9"/>
      <c r="E89" s="9"/>
      <c r="F89" s="9"/>
      <c r="G89" s="9"/>
      <c r="H89" s="9"/>
    </row>
    <row r="90" spans="1:8" x14ac:dyDescent="0.35">
      <c r="A90" s="21" t="s">
        <v>165</v>
      </c>
      <c r="B90" s="21"/>
      <c r="C90" s="9"/>
      <c r="D90" s="9"/>
      <c r="E90" s="9"/>
      <c r="F90" s="9"/>
      <c r="G90" s="9"/>
      <c r="H90" s="9"/>
    </row>
    <row r="91" spans="1:8" x14ac:dyDescent="0.35">
      <c r="A91" s="81" t="s">
        <v>166</v>
      </c>
      <c r="B91" s="81"/>
      <c r="C91" s="9"/>
      <c r="D91" s="9"/>
      <c r="E91" s="9"/>
      <c r="F91" s="9"/>
      <c r="G91" s="9"/>
      <c r="H91" s="9"/>
    </row>
    <row r="92" spans="1:8" ht="22.5" customHeight="1" x14ac:dyDescent="0.35">
      <c r="A92" s="81" t="s">
        <v>167</v>
      </c>
      <c r="B92" s="81"/>
      <c r="C92" s="9"/>
      <c r="D92" s="9"/>
      <c r="E92" s="9"/>
      <c r="F92" s="9"/>
      <c r="G92" s="9"/>
      <c r="H92" s="9"/>
    </row>
    <row r="93" spans="1:8" x14ac:dyDescent="0.35">
      <c r="A93" s="81" t="s">
        <v>169</v>
      </c>
      <c r="B93" s="81"/>
      <c r="C93" s="9" t="s">
        <v>583</v>
      </c>
      <c r="D93" s="9"/>
      <c r="E93" s="9"/>
      <c r="F93" s="9"/>
      <c r="G93" s="9"/>
      <c r="H93" s="9"/>
    </row>
    <row r="94" spans="1:8" ht="46.5" customHeight="1" x14ac:dyDescent="0.35">
      <c r="A94" s="81" t="s">
        <v>171</v>
      </c>
      <c r="B94" s="81"/>
      <c r="C94" s="82" t="s">
        <v>380</v>
      </c>
      <c r="D94" s="82"/>
      <c r="E94" s="82"/>
      <c r="F94" s="82"/>
      <c r="G94" s="82"/>
      <c r="H94" s="82"/>
    </row>
    <row r="95" spans="1:8" ht="31" customHeight="1" x14ac:dyDescent="0.35">
      <c r="A95" s="21" t="s">
        <v>173</v>
      </c>
      <c r="B95" s="21"/>
      <c r="C95" s="80" t="s">
        <v>174</v>
      </c>
      <c r="D95" s="80"/>
      <c r="E95" s="80"/>
      <c r="F95" s="80"/>
      <c r="G95" s="80"/>
      <c r="H95" s="80"/>
    </row>
    <row r="96" spans="1:8" ht="31" customHeight="1" x14ac:dyDescent="0.35">
      <c r="A96" s="21" t="s">
        <v>175</v>
      </c>
      <c r="B96" s="21"/>
      <c r="C96" s="9"/>
      <c r="D96" s="9"/>
      <c r="E96" s="9"/>
      <c r="F96" s="9"/>
      <c r="G96" s="9"/>
      <c r="H96" s="9"/>
    </row>
    <row r="97" spans="1:8" ht="23.5" customHeight="1" x14ac:dyDescent="0.35">
      <c r="A97" s="83"/>
      <c r="B97" s="83"/>
      <c r="C97" s="84"/>
      <c r="D97" s="84"/>
      <c r="E97" s="84"/>
      <c r="F97" s="84"/>
      <c r="G97" s="84"/>
      <c r="H97" s="84"/>
    </row>
    <row r="98" spans="1:8" ht="45.75" customHeight="1" x14ac:dyDescent="0.35">
      <c r="A98" s="83"/>
      <c r="B98" s="83"/>
      <c r="C98" s="84"/>
      <c r="D98" s="84"/>
      <c r="E98" s="84"/>
      <c r="F98" s="84"/>
      <c r="G98" s="84"/>
      <c r="H98" s="85" t="s">
        <v>176</v>
      </c>
    </row>
    <row r="99" spans="1:8" ht="36" customHeight="1" x14ac:dyDescent="0.35">
      <c r="A99" s="21" t="s">
        <v>177</v>
      </c>
      <c r="B99" s="21"/>
      <c r="C99" s="9" t="s">
        <v>584</v>
      </c>
      <c r="D99" s="9"/>
      <c r="E99" s="9"/>
      <c r="F99" s="9"/>
      <c r="G99" s="9"/>
      <c r="H99" s="9"/>
    </row>
    <row r="100" spans="1:8" ht="46.5" customHeight="1" x14ac:dyDescent="0.35">
      <c r="A100" s="21" t="s">
        <v>178</v>
      </c>
      <c r="B100" s="21"/>
      <c r="C100" s="9"/>
      <c r="D100" s="9"/>
      <c r="E100" s="9"/>
      <c r="F100" s="9"/>
      <c r="G100" s="9"/>
      <c r="H100" s="9"/>
    </row>
    <row r="101" spans="1:8" ht="69.75" customHeight="1" x14ac:dyDescent="0.35">
      <c r="A101" s="21" t="s">
        <v>180</v>
      </c>
      <c r="B101" s="21"/>
      <c r="C101" s="9" t="s">
        <v>585</v>
      </c>
      <c r="D101" s="9"/>
      <c r="E101" s="9"/>
      <c r="F101" s="9"/>
      <c r="G101" s="9"/>
      <c r="H101" s="9"/>
    </row>
    <row r="102" spans="1:8" ht="51.75" customHeight="1" x14ac:dyDescent="0.35">
      <c r="A102" s="21" t="s">
        <v>182</v>
      </c>
      <c r="B102" s="21"/>
      <c r="C102" s="9"/>
      <c r="D102" s="9"/>
      <c r="E102" s="9"/>
      <c r="F102" s="9"/>
      <c r="G102" s="9"/>
      <c r="H102" s="9"/>
    </row>
    <row r="103" spans="1:8" ht="34.5" customHeight="1" x14ac:dyDescent="0.35">
      <c r="A103" s="93" t="s">
        <v>183</v>
      </c>
      <c r="B103" s="93"/>
      <c r="C103" s="86" t="s">
        <v>322</v>
      </c>
      <c r="D103" s="86"/>
      <c r="E103" s="86"/>
      <c r="F103" s="86"/>
      <c r="G103" s="86"/>
      <c r="H103" s="86"/>
    </row>
    <row r="104" spans="1:8" ht="54" customHeight="1" x14ac:dyDescent="0.35">
      <c r="A104" s="45" t="s">
        <v>185</v>
      </c>
      <c r="B104" s="45"/>
      <c r="C104" s="80" t="s">
        <v>586</v>
      </c>
      <c r="D104" s="80"/>
      <c r="E104" s="80"/>
      <c r="F104" s="80"/>
      <c r="G104" s="80"/>
      <c r="H104" s="80"/>
    </row>
    <row r="105" spans="1:8" ht="54.75" customHeight="1" x14ac:dyDescent="0.35">
      <c r="A105" s="79" t="s">
        <v>187</v>
      </c>
      <c r="B105" s="79"/>
      <c r="C105" s="9"/>
      <c r="D105" s="9"/>
      <c r="E105" s="9"/>
      <c r="F105" s="9"/>
      <c r="G105" s="9"/>
      <c r="H105" s="9"/>
    </row>
    <row r="106" spans="1:8" ht="56.25" customHeight="1" x14ac:dyDescent="0.35">
      <c r="A106" s="21" t="s">
        <v>188</v>
      </c>
      <c r="B106" s="21"/>
      <c r="C106" s="9"/>
      <c r="D106" s="9"/>
      <c r="E106" s="9"/>
      <c r="F106" s="9"/>
      <c r="G106" s="9"/>
      <c r="H106" s="9"/>
    </row>
    <row r="107" spans="1:8" ht="45" customHeight="1" x14ac:dyDescent="0.35">
      <c r="A107" s="135" t="s">
        <v>189</v>
      </c>
      <c r="B107" s="135"/>
      <c r="C107" s="136" t="s">
        <v>587</v>
      </c>
      <c r="D107" s="136"/>
      <c r="E107" s="136"/>
      <c r="F107" s="136"/>
      <c r="G107" s="136"/>
      <c r="H107" s="136"/>
    </row>
  </sheetData>
  <mergeCells count="108">
    <mergeCell ref="A105:B105"/>
    <mergeCell ref="C105:H105"/>
    <mergeCell ref="A106:B106"/>
    <mergeCell ref="C106:H106"/>
    <mergeCell ref="A107:B107"/>
    <mergeCell ref="C107:H107"/>
    <mergeCell ref="A102:B102"/>
    <mergeCell ref="C102:H102"/>
    <mergeCell ref="A103:B103"/>
    <mergeCell ref="C103:H103"/>
    <mergeCell ref="A104:B104"/>
    <mergeCell ref="C104:H104"/>
    <mergeCell ref="A99:B99"/>
    <mergeCell ref="C99:H99"/>
    <mergeCell ref="A100:B100"/>
    <mergeCell ref="C100:H100"/>
    <mergeCell ref="A101:B101"/>
    <mergeCell ref="C101:H101"/>
    <mergeCell ref="A94:B94"/>
    <mergeCell ref="C94:H94"/>
    <mergeCell ref="A95:B95"/>
    <mergeCell ref="C95:H95"/>
    <mergeCell ref="A96:B96"/>
    <mergeCell ref="C96:H96"/>
    <mergeCell ref="A91:B91"/>
    <mergeCell ref="C91:H91"/>
    <mergeCell ref="A92:B92"/>
    <mergeCell ref="C92:H92"/>
    <mergeCell ref="A93:B93"/>
    <mergeCell ref="C93:H93"/>
    <mergeCell ref="A88:B88"/>
    <mergeCell ref="C88:H88"/>
    <mergeCell ref="A89:B89"/>
    <mergeCell ref="C89:H89"/>
    <mergeCell ref="A90:B90"/>
    <mergeCell ref="C90:H90"/>
    <mergeCell ref="A85:B85"/>
    <mergeCell ref="C85:H85"/>
    <mergeCell ref="A86:B86"/>
    <mergeCell ref="C86:H86"/>
    <mergeCell ref="A87:B87"/>
    <mergeCell ref="C87:H87"/>
    <mergeCell ref="A79:D79"/>
    <mergeCell ref="A80:D80"/>
    <mergeCell ref="A81:D81"/>
    <mergeCell ref="A83:H83"/>
    <mergeCell ref="A84:B84"/>
    <mergeCell ref="C84:H84"/>
    <mergeCell ref="A73:D73"/>
    <mergeCell ref="A74:D74"/>
    <mergeCell ref="A75:D75"/>
    <mergeCell ref="A76:D76"/>
    <mergeCell ref="A77:D77"/>
    <mergeCell ref="A78:D78"/>
    <mergeCell ref="A68:B68"/>
    <mergeCell ref="A69:D69"/>
    <mergeCell ref="E69:H69"/>
    <mergeCell ref="A70:D70"/>
    <mergeCell ref="A71:D71"/>
    <mergeCell ref="A72:D72"/>
    <mergeCell ref="A27:A28"/>
    <mergeCell ref="A38:B38"/>
    <mergeCell ref="A39:A46"/>
    <mergeCell ref="B47:H52"/>
    <mergeCell ref="A56:B56"/>
    <mergeCell ref="B61:H65"/>
    <mergeCell ref="A21:D21"/>
    <mergeCell ref="E21:H21"/>
    <mergeCell ref="A23:D23"/>
    <mergeCell ref="E23:G23"/>
    <mergeCell ref="A24:D24"/>
    <mergeCell ref="E24:H24"/>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hyperlinks>
    <hyperlink ref="E5:H5" r:id="rId1" display="802-752-7169, holyokefarm@gmail.com" xr:uid="{BC098C22-549F-4DA3-89CE-63A0BFFBF028}"/>
  </hyperlinks>
  <pageMargins left="0.7" right="0.7" top="0.75" bottom="0.75" header="0.3" footer="0.3"/>
  <pageSetup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5524A-9041-4589-A79E-7BB60882F234}">
  <dimension ref="A1:N104"/>
  <sheetViews>
    <sheetView view="pageBreakPreview" topLeftCell="C1" zoomScaleNormal="100" zoomScaleSheetLayoutView="100" workbookViewId="0">
      <selection activeCell="C96" sqref="C96:H96"/>
    </sheetView>
  </sheetViews>
  <sheetFormatPr defaultColWidth="11.81640625" defaultRowHeight="15.5" x14ac:dyDescent="0.35"/>
  <cols>
    <col min="1" max="1" width="13.26953125" style="2" customWidth="1"/>
    <col min="2" max="2" width="18.90625" style="2" customWidth="1"/>
    <col min="3" max="3" width="12" style="2" customWidth="1"/>
    <col min="4" max="4" width="12.1796875" style="2" customWidth="1"/>
    <col min="5" max="6" width="14.90625" style="2" customWidth="1"/>
    <col min="7" max="7" width="16.54296875" style="2" customWidth="1"/>
    <col min="8" max="8" width="10" style="2" customWidth="1"/>
    <col min="9" max="9" width="11.81640625" style="2"/>
    <col min="10" max="10" width="15.08984375" style="2" customWidth="1"/>
    <col min="11" max="16384" width="11.81640625" style="2"/>
  </cols>
  <sheetData>
    <row r="1" spans="1:14" x14ac:dyDescent="0.35">
      <c r="A1" s="1" t="s">
        <v>0</v>
      </c>
      <c r="B1" s="1"/>
      <c r="C1" s="1"/>
      <c r="D1" s="1"/>
      <c r="H1" s="3" t="s">
        <v>1</v>
      </c>
    </row>
    <row r="2" spans="1:14" ht="24" customHeight="1" thickBot="1" x14ac:dyDescent="0.4">
      <c r="A2" s="4" t="s">
        <v>2</v>
      </c>
      <c r="B2" s="4"/>
      <c r="C2" s="4"/>
      <c r="D2" s="4"/>
      <c r="E2" s="5"/>
      <c r="F2" s="6"/>
    </row>
    <row r="3" spans="1:14" ht="19" customHeight="1" x14ac:dyDescent="0.35">
      <c r="A3" s="7" t="s">
        <v>3</v>
      </c>
      <c r="B3" s="7"/>
      <c r="C3" s="7"/>
      <c r="D3" s="7"/>
      <c r="E3" s="8" t="s">
        <v>886</v>
      </c>
      <c r="F3" s="8"/>
      <c r="G3" s="8"/>
      <c r="H3" s="8"/>
      <c r="J3" s="19" t="s">
        <v>7</v>
      </c>
      <c r="K3" s="19"/>
      <c r="L3" s="19"/>
      <c r="M3" s="19"/>
      <c r="N3" s="19"/>
    </row>
    <row r="4" spans="1:14" ht="19" customHeight="1" x14ac:dyDescent="0.35">
      <c r="A4" s="9" t="s">
        <v>5</v>
      </c>
      <c r="B4" s="9"/>
      <c r="C4" s="9"/>
      <c r="D4" s="9"/>
      <c r="E4" s="10" t="s">
        <v>887</v>
      </c>
      <c r="F4" s="10"/>
      <c r="G4" s="10"/>
      <c r="H4" s="10"/>
      <c r="J4" s="19" t="s">
        <v>10</v>
      </c>
      <c r="K4" s="19"/>
      <c r="L4" s="19"/>
      <c r="M4" s="19"/>
      <c r="N4" s="19"/>
    </row>
    <row r="5" spans="1:14" ht="19" customHeight="1" x14ac:dyDescent="0.35">
      <c r="A5" s="9" t="s">
        <v>8</v>
      </c>
      <c r="B5" s="9"/>
      <c r="C5" s="9"/>
      <c r="D5" s="9"/>
      <c r="E5" s="10" t="s">
        <v>888</v>
      </c>
      <c r="F5" s="10"/>
      <c r="G5" s="10"/>
      <c r="H5" s="10"/>
      <c r="I5" s="144">
        <v>64</v>
      </c>
      <c r="J5" s="19" t="s">
        <v>13</v>
      </c>
      <c r="K5" s="17">
        <f>I5</f>
        <v>64</v>
      </c>
      <c r="L5" s="19"/>
      <c r="M5" s="19"/>
      <c r="N5" s="138"/>
    </row>
    <row r="6" spans="1:14" ht="51" customHeight="1" x14ac:dyDescent="0.35">
      <c r="A6" s="9" t="s">
        <v>11</v>
      </c>
      <c r="B6" s="9"/>
      <c r="C6" s="9"/>
      <c r="D6" s="9"/>
      <c r="E6" s="10" t="s">
        <v>889</v>
      </c>
      <c r="F6" s="10"/>
      <c r="G6" s="10"/>
      <c r="H6" s="10"/>
      <c r="J6" s="31" t="s">
        <v>16</v>
      </c>
      <c r="K6" s="17" t="s">
        <v>890</v>
      </c>
      <c r="L6" s="19"/>
      <c r="M6" s="19" t="s">
        <v>17</v>
      </c>
      <c r="N6" s="138">
        <v>17</v>
      </c>
    </row>
    <row r="7" spans="1:14" ht="47" customHeight="1" x14ac:dyDescent="0.35">
      <c r="A7" s="9" t="s">
        <v>14</v>
      </c>
      <c r="B7" s="9"/>
      <c r="C7" s="9"/>
      <c r="D7" s="9"/>
      <c r="E7" s="10" t="s">
        <v>194</v>
      </c>
      <c r="F7" s="10"/>
      <c r="G7" s="10"/>
      <c r="H7" s="10"/>
      <c r="J7" s="31" t="s">
        <v>19</v>
      </c>
      <c r="K7" s="17">
        <f>I26</f>
        <v>11690</v>
      </c>
      <c r="L7" s="19"/>
      <c r="M7" s="31" t="s">
        <v>20</v>
      </c>
      <c r="N7" s="145">
        <f>K7/K5</f>
        <v>182.65625</v>
      </c>
    </row>
    <row r="8" spans="1:14" ht="50" customHeight="1" x14ac:dyDescent="0.35">
      <c r="A8" s="21" t="s">
        <v>18</v>
      </c>
      <c r="B8" s="21"/>
      <c r="C8" s="21"/>
      <c r="D8" s="21"/>
      <c r="E8" s="10" t="s">
        <v>891</v>
      </c>
      <c r="F8" s="10"/>
      <c r="G8" s="10"/>
      <c r="H8" s="10"/>
      <c r="J8" s="143" t="s">
        <v>23</v>
      </c>
      <c r="K8" s="17">
        <f>I39</f>
        <v>775.55</v>
      </c>
      <c r="L8" s="19"/>
      <c r="M8" s="31" t="s">
        <v>24</v>
      </c>
      <c r="N8" s="138">
        <f>K8/K5</f>
        <v>12.117968749999999</v>
      </c>
    </row>
    <row r="9" spans="1:14" ht="49" customHeight="1" x14ac:dyDescent="0.35">
      <c r="A9" s="21" t="s">
        <v>21</v>
      </c>
      <c r="B9" s="21"/>
      <c r="C9" s="21"/>
      <c r="D9" s="21"/>
      <c r="E9" s="24" t="s">
        <v>22</v>
      </c>
      <c r="F9" s="24"/>
      <c r="G9" s="24"/>
      <c r="H9" s="24"/>
      <c r="J9" s="31" t="s">
        <v>749</v>
      </c>
      <c r="K9" s="17">
        <f>I39</f>
        <v>775.55</v>
      </c>
      <c r="L9" s="19"/>
      <c r="M9" s="31" t="s">
        <v>28</v>
      </c>
      <c r="N9" s="138">
        <f>K9/K5</f>
        <v>12.117968749999999</v>
      </c>
    </row>
    <row r="10" spans="1:14" ht="50" customHeight="1" x14ac:dyDescent="0.35">
      <c r="A10" s="21" t="s">
        <v>25</v>
      </c>
      <c r="B10" s="21"/>
      <c r="C10" s="21"/>
      <c r="D10" s="21"/>
      <c r="E10" s="26" t="s">
        <v>26</v>
      </c>
      <c r="F10" s="26"/>
      <c r="G10" s="26"/>
      <c r="H10" s="26"/>
      <c r="J10" s="31" t="s">
        <v>31</v>
      </c>
      <c r="K10" s="17">
        <f>I38</f>
        <v>0</v>
      </c>
      <c r="L10" s="19"/>
      <c r="M10" s="31" t="s">
        <v>33</v>
      </c>
      <c r="N10" s="145">
        <f>K10*K14/K5</f>
        <v>0</v>
      </c>
    </row>
    <row r="11" spans="1:14" ht="55" customHeight="1" x14ac:dyDescent="0.35">
      <c r="A11" s="21" t="s">
        <v>29</v>
      </c>
      <c r="B11" s="21"/>
      <c r="C11" s="21"/>
      <c r="D11" s="21"/>
      <c r="E11" s="24" t="s">
        <v>750</v>
      </c>
      <c r="F11" s="24"/>
      <c r="G11" s="24"/>
      <c r="H11" s="24"/>
      <c r="I11" s="27"/>
      <c r="J11" s="31" t="s">
        <v>36</v>
      </c>
      <c r="K11" s="17">
        <f>I42</f>
        <v>182.5</v>
      </c>
      <c r="L11" s="19"/>
      <c r="M11" s="31" t="s">
        <v>37</v>
      </c>
      <c r="N11" s="138">
        <f>K11/K5</f>
        <v>2.8515625</v>
      </c>
    </row>
    <row r="12" spans="1:14" ht="82" customHeight="1" x14ac:dyDescent="0.35">
      <c r="A12" s="21" t="s">
        <v>34</v>
      </c>
      <c r="B12" s="21"/>
      <c r="C12" s="21"/>
      <c r="D12" s="21"/>
      <c r="E12" s="24" t="s">
        <v>892</v>
      </c>
      <c r="F12" s="24"/>
      <c r="G12" s="24"/>
      <c r="H12" s="24"/>
      <c r="I12" s="30"/>
      <c r="J12" s="31" t="s">
        <v>40</v>
      </c>
      <c r="K12" s="17">
        <f>I43</f>
        <v>190</v>
      </c>
      <c r="L12" s="19"/>
      <c r="M12" s="31" t="s">
        <v>41</v>
      </c>
      <c r="N12" s="138">
        <f>K12/K5</f>
        <v>2.96875</v>
      </c>
    </row>
    <row r="13" spans="1:14" ht="48.5" customHeight="1" x14ac:dyDescent="0.35">
      <c r="A13" s="21" t="s">
        <v>38</v>
      </c>
      <c r="B13" s="21"/>
      <c r="C13" s="21"/>
      <c r="D13" s="21"/>
      <c r="E13" s="24" t="s">
        <v>893</v>
      </c>
      <c r="F13" s="24"/>
      <c r="G13" s="24"/>
      <c r="H13" s="24"/>
      <c r="I13" s="30"/>
      <c r="J13" s="31" t="s">
        <v>43</v>
      </c>
      <c r="K13" s="17">
        <f>I44</f>
        <v>495</v>
      </c>
      <c r="L13" s="19"/>
      <c r="M13" s="31" t="s">
        <v>45</v>
      </c>
      <c r="N13" s="145">
        <f>(K13*K14)/K5</f>
        <v>19.3359375</v>
      </c>
    </row>
    <row r="14" spans="1:14" ht="32" customHeight="1" x14ac:dyDescent="0.35">
      <c r="A14" s="21" t="s">
        <v>42</v>
      </c>
      <c r="B14" s="21"/>
      <c r="C14" s="21"/>
      <c r="D14" s="21"/>
      <c r="E14" s="26" t="s">
        <v>26</v>
      </c>
      <c r="F14" s="26"/>
      <c r="G14" s="26"/>
      <c r="H14" s="26"/>
      <c r="J14" s="31" t="s">
        <v>48</v>
      </c>
      <c r="K14" s="17">
        <v>2.5</v>
      </c>
      <c r="L14" s="19"/>
      <c r="M14" s="31" t="s">
        <v>49</v>
      </c>
      <c r="N14" s="138">
        <f>K17/K5</f>
        <v>0</v>
      </c>
    </row>
    <row r="15" spans="1:14" ht="34.5" customHeight="1" x14ac:dyDescent="0.35">
      <c r="A15" s="21" t="s">
        <v>46</v>
      </c>
      <c r="B15" s="21"/>
      <c r="C15" s="21"/>
      <c r="D15" s="21"/>
      <c r="E15" s="24" t="s">
        <v>47</v>
      </c>
      <c r="F15" s="24"/>
      <c r="G15" s="24"/>
      <c r="H15" s="24"/>
      <c r="I15" s="27"/>
      <c r="J15" s="31" t="s">
        <v>51</v>
      </c>
      <c r="K15" s="17">
        <v>0</v>
      </c>
      <c r="L15" s="19"/>
      <c r="M15" s="31" t="s">
        <v>52</v>
      </c>
      <c r="N15" s="138">
        <v>0</v>
      </c>
    </row>
    <row r="16" spans="1:14" ht="19" customHeight="1" x14ac:dyDescent="0.35">
      <c r="A16" s="21" t="s">
        <v>50</v>
      </c>
      <c r="B16" s="21"/>
      <c r="C16" s="21"/>
      <c r="D16" s="21"/>
      <c r="E16" s="26" t="s">
        <v>26</v>
      </c>
      <c r="F16" s="26"/>
      <c r="G16" s="26"/>
      <c r="H16" s="26"/>
      <c r="J16" s="19"/>
      <c r="K16" s="17"/>
      <c r="L16" s="19"/>
      <c r="M16" s="19"/>
      <c r="N16" s="138"/>
    </row>
    <row r="17" spans="1:14" ht="19" customHeight="1" x14ac:dyDescent="0.35">
      <c r="A17" s="21" t="s">
        <v>53</v>
      </c>
      <c r="B17" s="21"/>
      <c r="C17" s="21"/>
      <c r="D17" s="21"/>
      <c r="E17" s="26" t="s">
        <v>26</v>
      </c>
      <c r="F17" s="26"/>
      <c r="G17" s="26"/>
      <c r="H17" s="26"/>
      <c r="J17" s="19" t="s">
        <v>55</v>
      </c>
      <c r="K17" s="17">
        <v>0</v>
      </c>
      <c r="L17" s="19"/>
      <c r="M17" s="31" t="s">
        <v>57</v>
      </c>
      <c r="N17" s="145">
        <f>+N14+N13+N10+N7</f>
        <v>201.9921875</v>
      </c>
    </row>
    <row r="18" spans="1:14" ht="19" customHeight="1" x14ac:dyDescent="0.35">
      <c r="A18" s="21" t="s">
        <v>54</v>
      </c>
      <c r="B18" s="21"/>
      <c r="C18" s="21"/>
      <c r="D18" s="21"/>
      <c r="E18" s="26" t="s">
        <v>26</v>
      </c>
      <c r="F18" s="26"/>
      <c r="G18" s="26"/>
      <c r="H18" s="26"/>
      <c r="J18" s="19"/>
      <c r="K18" s="19"/>
      <c r="L18" s="19"/>
      <c r="M18" s="31" t="s">
        <v>59</v>
      </c>
      <c r="N18" s="138">
        <f>N11+N8</f>
        <v>14.969531249999999</v>
      </c>
    </row>
    <row r="19" spans="1:14" ht="19" customHeight="1" x14ac:dyDescent="0.35">
      <c r="A19" s="37" t="s">
        <v>58</v>
      </c>
      <c r="B19" s="21"/>
      <c r="C19" s="21"/>
      <c r="D19" s="21"/>
      <c r="E19" s="24" t="s">
        <v>894</v>
      </c>
      <c r="F19" s="24"/>
      <c r="G19" s="24"/>
      <c r="H19" s="24"/>
      <c r="I19" s="144">
        <v>17</v>
      </c>
    </row>
    <row r="20" spans="1:14" ht="36.5" customHeight="1" x14ac:dyDescent="0.35">
      <c r="A20" s="37" t="s">
        <v>60</v>
      </c>
      <c r="B20" s="21"/>
      <c r="C20" s="21"/>
      <c r="D20" s="21"/>
      <c r="E20" s="24" t="s">
        <v>61</v>
      </c>
      <c r="F20" s="24"/>
      <c r="G20" s="24"/>
      <c r="H20" s="24"/>
      <c r="I20" s="2" t="s">
        <v>895</v>
      </c>
    </row>
    <row r="21" spans="1:14" ht="31.5" customHeight="1" x14ac:dyDescent="0.35">
      <c r="A21" s="37" t="s">
        <v>62</v>
      </c>
      <c r="B21" s="21"/>
      <c r="C21" s="21"/>
      <c r="D21" s="21"/>
      <c r="E21" s="24" t="s">
        <v>896</v>
      </c>
      <c r="F21" s="24"/>
      <c r="G21" s="24"/>
      <c r="H21" s="24"/>
      <c r="I21" s="2" t="s">
        <v>897</v>
      </c>
    </row>
    <row r="22" spans="1:14" ht="21.5" customHeight="1" x14ac:dyDescent="0.35">
      <c r="A22" s="41"/>
      <c r="B22" s="42"/>
      <c r="C22" s="42"/>
      <c r="D22" s="42"/>
      <c r="E22" s="43"/>
      <c r="F22" s="43"/>
      <c r="G22" s="43"/>
      <c r="H22" s="43"/>
    </row>
    <row r="23" spans="1:14" ht="24" customHeight="1" x14ac:dyDescent="0.35">
      <c r="A23" s="44" t="s">
        <v>67</v>
      </c>
      <c r="B23" s="45"/>
      <c r="C23" s="45"/>
      <c r="D23" s="45"/>
      <c r="H23" s="46" t="s">
        <v>68</v>
      </c>
    </row>
    <row r="24" spans="1:14" ht="114" customHeight="1" x14ac:dyDescent="0.35">
      <c r="A24" s="44" t="s">
        <v>69</v>
      </c>
      <c r="B24" s="45"/>
      <c r="C24" s="45"/>
      <c r="D24" s="45"/>
      <c r="E24" s="47" t="s">
        <v>898</v>
      </c>
      <c r="F24" s="47"/>
      <c r="G24" s="47"/>
      <c r="H24" s="47"/>
    </row>
    <row r="25" spans="1:14" ht="28" customHeight="1" x14ac:dyDescent="0.35">
      <c r="A25" s="48" t="s">
        <v>71</v>
      </c>
      <c r="B25" s="48"/>
      <c r="C25" s="48"/>
      <c r="D25" s="48"/>
      <c r="E25" s="2" t="s">
        <v>899</v>
      </c>
    </row>
    <row r="26" spans="1:14" ht="30" customHeight="1" x14ac:dyDescent="0.35">
      <c r="A26" s="49" t="s">
        <v>72</v>
      </c>
      <c r="B26" s="50"/>
      <c r="C26" s="51" t="s">
        <v>73</v>
      </c>
      <c r="D26" s="51" t="s">
        <v>74</v>
      </c>
      <c r="E26" s="51" t="s">
        <v>75</v>
      </c>
      <c r="F26" s="51" t="s">
        <v>76</v>
      </c>
      <c r="G26" s="52" t="s">
        <v>77</v>
      </c>
      <c r="H26" s="52" t="s">
        <v>78</v>
      </c>
      <c r="I26" s="144">
        <f>12020-330</f>
        <v>11690</v>
      </c>
      <c r="J26" s="2" t="s">
        <v>900</v>
      </c>
    </row>
    <row r="27" spans="1:14" ht="30" customHeight="1" x14ac:dyDescent="0.35">
      <c r="A27" s="53"/>
      <c r="B27" s="50" t="s">
        <v>79</v>
      </c>
      <c r="C27" s="50" t="s">
        <v>80</v>
      </c>
      <c r="D27" s="50"/>
      <c r="E27" s="50"/>
      <c r="F27" s="50"/>
      <c r="G27" s="50"/>
      <c r="H27" s="50"/>
      <c r="I27" s="2" t="s">
        <v>901</v>
      </c>
    </row>
    <row r="28" spans="1:14" ht="30" customHeight="1" x14ac:dyDescent="0.35">
      <c r="A28" s="54"/>
      <c r="B28" s="50" t="s">
        <v>81</v>
      </c>
      <c r="C28" s="50" t="s">
        <v>80</v>
      </c>
      <c r="D28" s="50"/>
      <c r="E28" s="50"/>
      <c r="F28" s="50"/>
      <c r="G28" s="50"/>
      <c r="H28" s="50"/>
    </row>
    <row r="29" spans="1:14" ht="30" customHeight="1" x14ac:dyDescent="0.35">
      <c r="A29" s="54"/>
      <c r="B29" s="50" t="s">
        <v>82</v>
      </c>
      <c r="C29" s="50" t="s">
        <v>80</v>
      </c>
      <c r="D29" s="50"/>
      <c r="E29" s="50"/>
      <c r="F29" s="50"/>
      <c r="G29" s="50"/>
      <c r="H29" s="50"/>
    </row>
    <row r="30" spans="1:14" ht="30" customHeight="1" x14ac:dyDescent="0.35">
      <c r="A30" s="54"/>
      <c r="B30" s="50" t="s">
        <v>83</v>
      </c>
      <c r="C30" s="50" t="s">
        <v>84</v>
      </c>
      <c r="D30" s="50"/>
      <c r="E30" s="50"/>
      <c r="F30" s="50"/>
      <c r="G30" s="50"/>
      <c r="H30" s="50"/>
    </row>
    <row r="31" spans="1:14" ht="30" customHeight="1" x14ac:dyDescent="0.35">
      <c r="A31" s="54"/>
      <c r="B31" s="50" t="s">
        <v>85</v>
      </c>
      <c r="C31" s="50" t="s">
        <v>84</v>
      </c>
      <c r="D31" s="50" t="s">
        <v>902</v>
      </c>
      <c r="E31" s="50"/>
      <c r="F31" s="50" t="s">
        <v>903</v>
      </c>
      <c r="G31" s="50"/>
      <c r="H31" s="50"/>
    </row>
    <row r="32" spans="1:14" ht="30" customHeight="1" x14ac:dyDescent="0.35">
      <c r="A32" s="54"/>
      <c r="B32" s="50" t="s">
        <v>22</v>
      </c>
      <c r="C32" s="50" t="s">
        <v>84</v>
      </c>
      <c r="D32" s="50" t="s">
        <v>904</v>
      </c>
      <c r="E32" s="50"/>
      <c r="F32" s="141">
        <v>12020</v>
      </c>
      <c r="G32" s="50" t="s">
        <v>905</v>
      </c>
      <c r="H32" s="50"/>
    </row>
    <row r="33" spans="1:10" ht="30" customHeight="1" x14ac:dyDescent="0.35">
      <c r="A33" s="54"/>
      <c r="B33" s="50" t="s">
        <v>90</v>
      </c>
      <c r="C33" s="50" t="s">
        <v>84</v>
      </c>
      <c r="D33" s="50" t="s">
        <v>906</v>
      </c>
      <c r="E33" s="50"/>
      <c r="F33" s="146" t="s">
        <v>44</v>
      </c>
      <c r="G33" s="50"/>
      <c r="H33" s="50"/>
    </row>
    <row r="34" spans="1:10" ht="31" x14ac:dyDescent="0.35">
      <c r="A34" s="54"/>
      <c r="B34" s="55" t="s">
        <v>91</v>
      </c>
      <c r="C34" s="50" t="s">
        <v>92</v>
      </c>
      <c r="D34" s="50"/>
      <c r="E34" s="50"/>
      <c r="F34" s="50"/>
      <c r="G34" s="50"/>
      <c r="H34" s="50"/>
    </row>
    <row r="36" spans="1:10" ht="29" customHeight="1" x14ac:dyDescent="0.35"/>
    <row r="37" spans="1:10" ht="31" customHeight="1" x14ac:dyDescent="0.35">
      <c r="A37" s="56" t="s">
        <v>96</v>
      </c>
      <c r="B37" s="57"/>
      <c r="H37" s="46" t="s">
        <v>97</v>
      </c>
    </row>
    <row r="38" spans="1:10" ht="40" customHeight="1" x14ac:dyDescent="0.35">
      <c r="A38" s="58" t="s">
        <v>98</v>
      </c>
      <c r="B38" s="55" t="s">
        <v>99</v>
      </c>
      <c r="C38" s="50" t="s">
        <v>100</v>
      </c>
      <c r="D38" s="50" t="s">
        <v>101</v>
      </c>
      <c r="E38" s="55" t="s">
        <v>102</v>
      </c>
      <c r="F38" s="55" t="s">
        <v>103</v>
      </c>
      <c r="G38" s="55" t="s">
        <v>104</v>
      </c>
      <c r="H38" s="55" t="s">
        <v>105</v>
      </c>
    </row>
    <row r="39" spans="1:10" ht="40" customHeight="1" x14ac:dyDescent="0.35">
      <c r="A39" s="59"/>
      <c r="B39" s="50" t="s">
        <v>907</v>
      </c>
      <c r="C39" s="50"/>
      <c r="D39" s="50"/>
      <c r="E39" s="50"/>
      <c r="F39" s="50"/>
      <c r="G39" s="50"/>
      <c r="H39" s="50"/>
      <c r="I39" s="144">
        <f>(2.75*225)+(1.12*140)</f>
        <v>775.55</v>
      </c>
      <c r="J39" s="2" t="s">
        <v>908</v>
      </c>
    </row>
    <row r="40" spans="1:10" ht="40" customHeight="1" x14ac:dyDescent="0.35">
      <c r="A40" s="59"/>
      <c r="B40" s="50" t="s">
        <v>909</v>
      </c>
      <c r="C40" s="50"/>
      <c r="D40" s="50"/>
      <c r="E40" s="50"/>
      <c r="F40" s="50"/>
      <c r="G40" s="50"/>
      <c r="H40" s="50"/>
    </row>
    <row r="41" spans="1:10" ht="40" customHeight="1" x14ac:dyDescent="0.35">
      <c r="A41" s="59"/>
      <c r="B41" s="50" t="s">
        <v>910</v>
      </c>
      <c r="C41" s="50"/>
      <c r="D41" s="50" t="s">
        <v>911</v>
      </c>
      <c r="E41" s="50"/>
      <c r="F41" s="50"/>
      <c r="G41" s="50"/>
      <c r="H41" s="50"/>
    </row>
    <row r="42" spans="1:10" ht="40" customHeight="1" x14ac:dyDescent="0.35">
      <c r="A42" s="59"/>
      <c r="B42" s="50" t="s">
        <v>912</v>
      </c>
      <c r="C42" s="50"/>
      <c r="D42" s="50"/>
      <c r="E42" s="50"/>
      <c r="F42" s="50"/>
      <c r="G42" s="50"/>
      <c r="H42" s="50"/>
      <c r="I42" s="144">
        <f>(0.5*225)+(0.5*140)</f>
        <v>182.5</v>
      </c>
      <c r="J42" s="2" t="s">
        <v>913</v>
      </c>
    </row>
    <row r="43" spans="1:10" ht="40" customHeight="1" x14ac:dyDescent="0.35">
      <c r="A43" s="59"/>
      <c r="B43" s="50" t="s">
        <v>914</v>
      </c>
      <c r="C43" s="50"/>
      <c r="D43" s="50"/>
      <c r="E43" s="50"/>
      <c r="F43" s="50"/>
      <c r="G43" s="50"/>
      <c r="H43" s="50"/>
      <c r="I43" s="144">
        <f>95*2</f>
        <v>190</v>
      </c>
      <c r="J43" s="2" t="s">
        <v>915</v>
      </c>
    </row>
    <row r="44" spans="1:10" ht="40" customHeight="1" x14ac:dyDescent="0.35">
      <c r="A44" s="59"/>
      <c r="B44" s="50" t="s">
        <v>916</v>
      </c>
      <c r="C44" s="50"/>
      <c r="D44" s="50"/>
      <c r="E44" s="50"/>
      <c r="F44" s="50"/>
      <c r="G44" s="50" t="s">
        <v>917</v>
      </c>
      <c r="H44" s="50"/>
      <c r="I44" s="144">
        <v>495</v>
      </c>
      <c r="J44" s="2" t="s">
        <v>918</v>
      </c>
    </row>
    <row r="45" spans="1:10" x14ac:dyDescent="0.35">
      <c r="A45" s="59"/>
      <c r="B45" s="50" t="s">
        <v>919</v>
      </c>
      <c r="C45" s="50"/>
      <c r="D45" s="50"/>
      <c r="E45" s="50"/>
      <c r="F45" s="50"/>
      <c r="G45" s="50" t="s">
        <v>920</v>
      </c>
      <c r="H45" s="50"/>
    </row>
    <row r="46" spans="1:10" ht="15.5" customHeight="1" x14ac:dyDescent="0.35">
      <c r="A46" s="60"/>
      <c r="B46" s="61" t="s">
        <v>121</v>
      </c>
      <c r="C46" s="61"/>
      <c r="D46" s="61"/>
      <c r="E46" s="61"/>
      <c r="F46" s="61"/>
      <c r="G46" s="61"/>
      <c r="H46" s="61"/>
    </row>
    <row r="47" spans="1:10" x14ac:dyDescent="0.35">
      <c r="A47" s="60"/>
      <c r="B47" s="62"/>
      <c r="C47" s="62"/>
      <c r="D47" s="62"/>
      <c r="E47" s="62"/>
      <c r="F47" s="62"/>
      <c r="G47" s="62"/>
      <c r="H47" s="62"/>
    </row>
    <row r="48" spans="1:10" x14ac:dyDescent="0.35">
      <c r="B48" s="62"/>
      <c r="C48" s="62"/>
      <c r="D48" s="62"/>
      <c r="E48" s="62"/>
      <c r="F48" s="62"/>
      <c r="G48" s="62"/>
      <c r="H48" s="62"/>
    </row>
    <row r="49" spans="1:8" x14ac:dyDescent="0.35">
      <c r="B49" s="62"/>
      <c r="C49" s="62"/>
      <c r="D49" s="62"/>
      <c r="E49" s="62"/>
      <c r="F49" s="62"/>
      <c r="G49" s="62"/>
      <c r="H49" s="62"/>
    </row>
    <row r="50" spans="1:8" x14ac:dyDescent="0.35">
      <c r="B50" s="62"/>
      <c r="C50" s="62"/>
      <c r="D50" s="62"/>
      <c r="E50" s="62"/>
      <c r="F50" s="62"/>
      <c r="G50" s="62"/>
      <c r="H50" s="62"/>
    </row>
    <row r="51" spans="1:8" x14ac:dyDescent="0.35">
      <c r="B51" s="62"/>
      <c r="C51" s="62"/>
      <c r="D51" s="62"/>
      <c r="E51" s="62"/>
      <c r="F51" s="62"/>
      <c r="G51" s="62"/>
      <c r="H51" s="62"/>
    </row>
    <row r="53" spans="1:8" ht="27" customHeight="1" x14ac:dyDescent="0.35"/>
    <row r="54" spans="1:8" ht="45" customHeight="1" x14ac:dyDescent="0.35">
      <c r="A54" s="56" t="s">
        <v>122</v>
      </c>
      <c r="B54" s="57"/>
      <c r="H54" s="46" t="s">
        <v>123</v>
      </c>
    </row>
    <row r="55" spans="1:8" ht="46.5" x14ac:dyDescent="0.35">
      <c r="A55" s="50"/>
      <c r="B55" s="55" t="s">
        <v>124</v>
      </c>
      <c r="C55" s="55" t="s">
        <v>125</v>
      </c>
      <c r="D55" s="55" t="s">
        <v>126</v>
      </c>
      <c r="E55" s="55" t="s">
        <v>127</v>
      </c>
      <c r="F55" s="55" t="s">
        <v>128</v>
      </c>
      <c r="G55" s="55" t="s">
        <v>129</v>
      </c>
      <c r="H55" s="63" t="s">
        <v>130</v>
      </c>
    </row>
    <row r="56" spans="1:8" ht="124" x14ac:dyDescent="0.35">
      <c r="A56" s="55" t="s">
        <v>131</v>
      </c>
      <c r="B56" s="50"/>
      <c r="C56" s="50"/>
      <c r="D56" s="50"/>
      <c r="E56" s="50"/>
      <c r="F56" s="50"/>
      <c r="G56" s="50"/>
      <c r="H56" s="64"/>
    </row>
    <row r="57" spans="1:8" ht="93" x14ac:dyDescent="0.35">
      <c r="A57" s="55" t="s">
        <v>132</v>
      </c>
      <c r="B57" s="50"/>
      <c r="C57" s="50"/>
      <c r="D57" s="50"/>
      <c r="E57" s="50"/>
      <c r="F57" s="50"/>
      <c r="G57" s="50"/>
      <c r="H57" s="64"/>
    </row>
    <row r="58" spans="1:8" ht="108.5" x14ac:dyDescent="0.35">
      <c r="A58" s="65" t="s">
        <v>133</v>
      </c>
      <c r="B58" s="50"/>
      <c r="C58" s="50"/>
      <c r="D58" s="50"/>
      <c r="E58" s="50"/>
      <c r="F58" s="50"/>
      <c r="G58" s="50"/>
      <c r="H58" s="64"/>
    </row>
    <row r="59" spans="1:8" x14ac:dyDescent="0.35">
      <c r="B59" s="66" t="s">
        <v>121</v>
      </c>
      <c r="C59" s="66"/>
      <c r="D59" s="66"/>
      <c r="E59" s="66"/>
      <c r="F59" s="66"/>
      <c r="G59" s="66"/>
      <c r="H59" s="66"/>
    </row>
    <row r="60" spans="1:8" x14ac:dyDescent="0.35">
      <c r="B60" s="67"/>
      <c r="C60" s="67"/>
      <c r="D60" s="67"/>
      <c r="E60" s="67"/>
      <c r="F60" s="67"/>
      <c r="G60" s="67"/>
      <c r="H60" s="67"/>
    </row>
    <row r="61" spans="1:8" x14ac:dyDescent="0.35">
      <c r="B61" s="67"/>
      <c r="C61" s="67"/>
      <c r="D61" s="67"/>
      <c r="E61" s="67"/>
      <c r="F61" s="67"/>
      <c r="G61" s="67"/>
      <c r="H61" s="67"/>
    </row>
    <row r="62" spans="1:8" x14ac:dyDescent="0.35">
      <c r="B62" s="67"/>
      <c r="C62" s="67"/>
      <c r="D62" s="67"/>
      <c r="E62" s="67"/>
      <c r="F62" s="67"/>
      <c r="G62" s="67"/>
      <c r="H62" s="67"/>
    </row>
    <row r="63" spans="1:8" x14ac:dyDescent="0.35">
      <c r="B63" s="67"/>
      <c r="C63" s="67"/>
      <c r="D63" s="67"/>
      <c r="E63" s="67"/>
      <c r="F63" s="67"/>
      <c r="G63" s="67"/>
      <c r="H63" s="67"/>
    </row>
    <row r="64" spans="1:8" x14ac:dyDescent="0.35">
      <c r="B64" s="36"/>
    </row>
    <row r="65" spans="1:8" ht="46.5" customHeight="1" x14ac:dyDescent="0.35">
      <c r="A65" s="68" t="s">
        <v>134</v>
      </c>
      <c r="B65" s="68"/>
      <c r="C65" s="69" t="s">
        <v>135</v>
      </c>
      <c r="D65" s="69" t="s">
        <v>135</v>
      </c>
      <c r="E65" s="69" t="s">
        <v>135</v>
      </c>
      <c r="F65" s="69" t="s">
        <v>135</v>
      </c>
      <c r="G65" s="69" t="s">
        <v>135</v>
      </c>
      <c r="H65" s="70" t="s">
        <v>136</v>
      </c>
    </row>
    <row r="66" spans="1:8" ht="52" customHeight="1" x14ac:dyDescent="0.35">
      <c r="A66" s="71" t="s">
        <v>137</v>
      </c>
      <c r="B66" s="71"/>
      <c r="C66" s="71"/>
      <c r="D66" s="71"/>
      <c r="E66" s="68" t="s">
        <v>921</v>
      </c>
      <c r="F66" s="68"/>
      <c r="G66" s="68"/>
      <c r="H66" s="68"/>
    </row>
    <row r="67" spans="1:8" ht="34" customHeight="1" x14ac:dyDescent="0.35">
      <c r="A67" s="71" t="s">
        <v>139</v>
      </c>
      <c r="B67" s="71"/>
      <c r="C67" s="71"/>
      <c r="D67" s="71"/>
      <c r="E67" s="69" t="s">
        <v>444</v>
      </c>
      <c r="F67" s="69" t="s">
        <v>135</v>
      </c>
      <c r="G67" s="69" t="s">
        <v>135</v>
      </c>
      <c r="H67" s="69" t="s">
        <v>135</v>
      </c>
    </row>
    <row r="68" spans="1:8" ht="27.5" customHeight="1" x14ac:dyDescent="0.35">
      <c r="A68" s="71" t="s">
        <v>141</v>
      </c>
      <c r="B68" s="71"/>
      <c r="C68" s="71"/>
      <c r="D68" s="71"/>
      <c r="E68" s="69" t="s">
        <v>444</v>
      </c>
      <c r="F68" s="69" t="s">
        <v>135</v>
      </c>
      <c r="G68" s="69" t="s">
        <v>135</v>
      </c>
      <c r="H68" s="69" t="s">
        <v>135</v>
      </c>
    </row>
    <row r="69" spans="1:8" ht="30" customHeight="1" x14ac:dyDescent="0.35">
      <c r="A69" s="71" t="s">
        <v>143</v>
      </c>
      <c r="B69" s="71"/>
      <c r="C69" s="71"/>
      <c r="D69" s="71"/>
      <c r="E69" s="69" t="s">
        <v>444</v>
      </c>
      <c r="F69" s="69" t="s">
        <v>135</v>
      </c>
      <c r="G69" s="69" t="s">
        <v>135</v>
      </c>
      <c r="H69" s="69" t="s">
        <v>135</v>
      </c>
    </row>
    <row r="70" spans="1:8" ht="33.5" customHeight="1" x14ac:dyDescent="0.35">
      <c r="A70" s="71" t="s">
        <v>144</v>
      </c>
      <c r="B70" s="71"/>
      <c r="C70" s="71"/>
      <c r="D70" s="71"/>
      <c r="E70" s="69" t="s">
        <v>922</v>
      </c>
      <c r="F70" s="69" t="s">
        <v>135</v>
      </c>
      <c r="G70" s="69" t="s">
        <v>135</v>
      </c>
      <c r="H70" s="69" t="s">
        <v>135</v>
      </c>
    </row>
    <row r="71" spans="1:8" ht="52" customHeight="1" x14ac:dyDescent="0.35">
      <c r="A71" s="72" t="s">
        <v>146</v>
      </c>
      <c r="B71" s="72"/>
      <c r="C71" s="72"/>
      <c r="D71" s="72"/>
      <c r="E71" s="69" t="s">
        <v>135</v>
      </c>
      <c r="F71" s="69" t="s">
        <v>135</v>
      </c>
      <c r="G71" s="69" t="s">
        <v>135</v>
      </c>
      <c r="H71" s="69" t="s">
        <v>135</v>
      </c>
    </row>
    <row r="72" spans="1:8" ht="32.5" customHeight="1" x14ac:dyDescent="0.35">
      <c r="A72" s="71" t="s">
        <v>147</v>
      </c>
      <c r="B72" s="71"/>
      <c r="C72" s="71"/>
      <c r="D72" s="71"/>
      <c r="E72" s="69" t="s">
        <v>444</v>
      </c>
      <c r="F72" s="69" t="s">
        <v>135</v>
      </c>
      <c r="G72" s="69" t="s">
        <v>135</v>
      </c>
      <c r="H72" s="69" t="s">
        <v>135</v>
      </c>
    </row>
    <row r="73" spans="1:8" ht="27.5" customHeight="1" x14ac:dyDescent="0.35">
      <c r="A73" s="73" t="s">
        <v>149</v>
      </c>
      <c r="B73" s="73"/>
      <c r="C73" s="73"/>
      <c r="D73" s="73"/>
      <c r="E73" s="74" t="s">
        <v>135</v>
      </c>
      <c r="F73" s="74" t="s">
        <v>135</v>
      </c>
      <c r="G73" s="74" t="s">
        <v>135</v>
      </c>
      <c r="H73" s="74" t="s">
        <v>135</v>
      </c>
    </row>
    <row r="74" spans="1:8" ht="27" customHeight="1" x14ac:dyDescent="0.35">
      <c r="A74" s="71" t="s">
        <v>150</v>
      </c>
      <c r="B74" s="71"/>
      <c r="C74" s="71"/>
      <c r="D74" s="71"/>
      <c r="E74" s="69" t="s">
        <v>135</v>
      </c>
      <c r="F74" s="69" t="s">
        <v>135</v>
      </c>
      <c r="G74" s="69" t="s">
        <v>135</v>
      </c>
      <c r="H74" s="69" t="s">
        <v>135</v>
      </c>
    </row>
    <row r="75" spans="1:8" ht="54" customHeight="1" x14ac:dyDescent="0.35">
      <c r="A75" s="71" t="s">
        <v>152</v>
      </c>
      <c r="B75" s="71"/>
      <c r="C75" s="71"/>
      <c r="D75" s="71"/>
      <c r="E75" s="69" t="s">
        <v>923</v>
      </c>
      <c r="F75" s="69" t="s">
        <v>135</v>
      </c>
      <c r="G75" s="69" t="s">
        <v>924</v>
      </c>
      <c r="H75" s="69" t="s">
        <v>135</v>
      </c>
    </row>
    <row r="76" spans="1:8" ht="25.5" customHeight="1" x14ac:dyDescent="0.35">
      <c r="A76" s="72" t="s">
        <v>153</v>
      </c>
      <c r="B76" s="72"/>
      <c r="C76" s="72"/>
      <c r="D76" s="72"/>
      <c r="E76" s="69" t="s">
        <v>135</v>
      </c>
      <c r="F76" s="69" t="s">
        <v>135</v>
      </c>
      <c r="G76" s="69" t="s">
        <v>135</v>
      </c>
      <c r="H76" s="69" t="s">
        <v>135</v>
      </c>
    </row>
    <row r="77" spans="1:8" ht="25" customHeight="1" x14ac:dyDescent="0.35">
      <c r="A77" s="71" t="s">
        <v>154</v>
      </c>
      <c r="B77" s="71"/>
      <c r="C77" s="71"/>
      <c r="D77" s="71"/>
      <c r="E77" s="69" t="s">
        <v>514</v>
      </c>
      <c r="F77" s="69" t="s">
        <v>135</v>
      </c>
      <c r="G77" s="69" t="s">
        <v>135</v>
      </c>
      <c r="H77" s="69" t="s">
        <v>135</v>
      </c>
    </row>
    <row r="78" spans="1:8" ht="24.5" customHeight="1" x14ac:dyDescent="0.35">
      <c r="A78" s="75" t="s">
        <v>155</v>
      </c>
      <c r="B78" s="75"/>
      <c r="C78" s="75"/>
      <c r="D78" s="75"/>
      <c r="E78" s="76" t="s">
        <v>619</v>
      </c>
      <c r="F78" s="76" t="s">
        <v>135</v>
      </c>
      <c r="G78" s="76" t="s">
        <v>135</v>
      </c>
      <c r="H78" s="76" t="s">
        <v>135</v>
      </c>
    </row>
    <row r="79" spans="1:8" ht="20.5" customHeight="1" x14ac:dyDescent="0.35">
      <c r="E79" s="36"/>
      <c r="F79" s="36"/>
      <c r="G79" s="36"/>
      <c r="H79" s="77" t="s">
        <v>156</v>
      </c>
    </row>
    <row r="80" spans="1:8" ht="40.5" customHeight="1" x14ac:dyDescent="0.35">
      <c r="A80" s="78" t="s">
        <v>157</v>
      </c>
      <c r="B80" s="78"/>
      <c r="C80" s="78"/>
      <c r="D80" s="78"/>
      <c r="E80" s="78"/>
      <c r="F80" s="78"/>
      <c r="G80" s="78"/>
      <c r="H80" s="78"/>
    </row>
    <row r="81" spans="1:8" ht="36" customHeight="1" x14ac:dyDescent="0.35">
      <c r="A81" s="79" t="s">
        <v>158</v>
      </c>
      <c r="B81" s="79"/>
      <c r="C81" s="80" t="s">
        <v>925</v>
      </c>
      <c r="D81" s="80"/>
      <c r="E81" s="80"/>
      <c r="F81" s="80"/>
      <c r="G81" s="80"/>
      <c r="H81" s="80"/>
    </row>
    <row r="82" spans="1:8" ht="36.5" customHeight="1" x14ac:dyDescent="0.35">
      <c r="A82" s="21" t="s">
        <v>159</v>
      </c>
      <c r="B82" s="21"/>
      <c r="C82" s="9" t="s">
        <v>926</v>
      </c>
      <c r="D82" s="9"/>
      <c r="E82" s="9"/>
      <c r="F82" s="9"/>
      <c r="G82" s="9"/>
      <c r="H82" s="9"/>
    </row>
    <row r="83" spans="1:8" ht="41.5" customHeight="1" x14ac:dyDescent="0.35">
      <c r="A83" s="21" t="s">
        <v>160</v>
      </c>
      <c r="B83" s="21"/>
      <c r="C83" s="9" t="s">
        <v>172</v>
      </c>
      <c r="D83" s="9"/>
      <c r="E83" s="9"/>
      <c r="F83" s="9"/>
      <c r="G83" s="9"/>
      <c r="H83" s="9"/>
    </row>
    <row r="84" spans="1:8" ht="38" customHeight="1" x14ac:dyDescent="0.35">
      <c r="A84" s="21" t="s">
        <v>162</v>
      </c>
      <c r="B84" s="21"/>
      <c r="C84" s="9" t="s">
        <v>927</v>
      </c>
      <c r="D84" s="9"/>
      <c r="E84" s="9"/>
      <c r="F84" s="9"/>
      <c r="G84" s="9"/>
      <c r="H84" s="9"/>
    </row>
    <row r="85" spans="1:8" ht="29" customHeight="1" x14ac:dyDescent="0.35">
      <c r="A85" s="21" t="s">
        <v>163</v>
      </c>
      <c r="B85" s="21"/>
      <c r="C85" s="9"/>
      <c r="D85" s="9"/>
      <c r="E85" s="9"/>
      <c r="F85" s="9"/>
      <c r="G85" s="9"/>
      <c r="H85" s="9"/>
    </row>
    <row r="86" spans="1:8" ht="43" customHeight="1" x14ac:dyDescent="0.35">
      <c r="A86" s="21" t="s">
        <v>164</v>
      </c>
      <c r="B86" s="21"/>
      <c r="C86" s="9" t="s">
        <v>928</v>
      </c>
      <c r="D86" s="9"/>
      <c r="E86" s="9"/>
      <c r="F86" s="9"/>
      <c r="G86" s="9"/>
      <c r="H86" s="9"/>
    </row>
    <row r="87" spans="1:8" x14ac:dyDescent="0.35">
      <c r="A87" s="21" t="s">
        <v>165</v>
      </c>
      <c r="B87" s="21"/>
      <c r="C87" s="9" t="s">
        <v>444</v>
      </c>
      <c r="D87" s="9"/>
      <c r="E87" s="9"/>
      <c r="F87" s="9"/>
      <c r="G87" s="9"/>
      <c r="H87" s="9"/>
    </row>
    <row r="88" spans="1:8" x14ac:dyDescent="0.35">
      <c r="A88" s="81" t="s">
        <v>166</v>
      </c>
      <c r="B88" s="81"/>
      <c r="C88" s="9" t="s">
        <v>444</v>
      </c>
      <c r="D88" s="9"/>
      <c r="E88" s="9"/>
      <c r="F88" s="9"/>
      <c r="G88" s="9"/>
      <c r="H88" s="9"/>
    </row>
    <row r="89" spans="1:8" ht="22.5" customHeight="1" x14ac:dyDescent="0.35">
      <c r="A89" s="81" t="s">
        <v>167</v>
      </c>
      <c r="B89" s="81"/>
      <c r="C89" s="9" t="s">
        <v>444</v>
      </c>
      <c r="D89" s="9"/>
      <c r="E89" s="9"/>
      <c r="F89" s="9"/>
      <c r="G89" s="9"/>
      <c r="H89" s="9"/>
    </row>
    <row r="90" spans="1:8" x14ac:dyDescent="0.35">
      <c r="A90" s="81" t="s">
        <v>169</v>
      </c>
      <c r="B90" s="81"/>
      <c r="C90" s="9" t="s">
        <v>444</v>
      </c>
      <c r="D90" s="9"/>
      <c r="E90" s="9"/>
      <c r="F90" s="9"/>
      <c r="G90" s="9"/>
      <c r="H90" s="9"/>
    </row>
    <row r="91" spans="1:8" ht="46.5" customHeight="1" x14ac:dyDescent="0.35">
      <c r="A91" s="81" t="s">
        <v>171</v>
      </c>
      <c r="B91" s="81"/>
      <c r="C91" s="82" t="s">
        <v>172</v>
      </c>
      <c r="D91" s="82"/>
      <c r="E91" s="82"/>
      <c r="F91" s="82"/>
      <c r="G91" s="82"/>
      <c r="H91" s="82"/>
    </row>
    <row r="92" spans="1:8" ht="31" customHeight="1" x14ac:dyDescent="0.35">
      <c r="A92" s="21" t="s">
        <v>173</v>
      </c>
      <c r="B92" s="21"/>
      <c r="C92" s="80" t="s">
        <v>174</v>
      </c>
      <c r="D92" s="80"/>
      <c r="E92" s="80"/>
      <c r="F92" s="80"/>
      <c r="G92" s="80"/>
      <c r="H92" s="80"/>
    </row>
    <row r="93" spans="1:8" ht="31" customHeight="1" x14ac:dyDescent="0.35">
      <c r="A93" s="21" t="s">
        <v>175</v>
      </c>
      <c r="B93" s="21"/>
      <c r="C93" s="9"/>
      <c r="D93" s="9"/>
      <c r="E93" s="9"/>
      <c r="F93" s="9"/>
      <c r="G93" s="9"/>
      <c r="H93" s="9"/>
    </row>
    <row r="94" spans="1:8" ht="23.5" customHeight="1" x14ac:dyDescent="0.35">
      <c r="A94" s="83"/>
      <c r="B94" s="83"/>
      <c r="C94" s="84"/>
      <c r="D94" s="84"/>
      <c r="E94" s="84"/>
      <c r="F94" s="84"/>
      <c r="G94" s="84"/>
      <c r="H94" s="84"/>
    </row>
    <row r="95" spans="1:8" ht="45.5" customHeight="1" x14ac:dyDescent="0.35">
      <c r="A95" s="83"/>
      <c r="B95" s="83"/>
      <c r="C95" s="84"/>
      <c r="D95" s="84"/>
      <c r="E95" s="84"/>
      <c r="F95" s="84"/>
      <c r="G95" s="84"/>
      <c r="H95" s="85" t="s">
        <v>176</v>
      </c>
    </row>
    <row r="96" spans="1:8" ht="36" customHeight="1" x14ac:dyDescent="0.35">
      <c r="A96" s="21" t="s">
        <v>177</v>
      </c>
      <c r="B96" s="21"/>
      <c r="C96" s="9" t="s">
        <v>929</v>
      </c>
      <c r="D96" s="9"/>
      <c r="E96" s="9"/>
      <c r="F96" s="9"/>
      <c r="G96" s="9"/>
      <c r="H96" s="9"/>
    </row>
    <row r="97" spans="1:8" ht="46.5" customHeight="1" x14ac:dyDescent="0.35">
      <c r="A97" s="21" t="s">
        <v>178</v>
      </c>
      <c r="B97" s="21"/>
      <c r="C97" s="9" t="s">
        <v>930</v>
      </c>
      <c r="D97" s="9"/>
      <c r="E97" s="9"/>
      <c r="F97" s="9"/>
      <c r="G97" s="9"/>
      <c r="H97" s="9"/>
    </row>
    <row r="98" spans="1:8" ht="47" customHeight="1" x14ac:dyDescent="0.35">
      <c r="A98" s="21" t="s">
        <v>180</v>
      </c>
      <c r="B98" s="21"/>
      <c r="C98" s="9" t="s">
        <v>931</v>
      </c>
      <c r="D98" s="9"/>
      <c r="E98" s="9"/>
      <c r="F98" s="9"/>
      <c r="G98" s="9"/>
      <c r="H98" s="9"/>
    </row>
    <row r="99" spans="1:8" ht="69.75" customHeight="1" x14ac:dyDescent="0.35">
      <c r="A99" s="21" t="s">
        <v>182</v>
      </c>
      <c r="B99" s="21"/>
      <c r="C99" s="9" t="s">
        <v>932</v>
      </c>
      <c r="D99" s="9"/>
      <c r="E99" s="9"/>
      <c r="F99" s="9"/>
      <c r="G99" s="9"/>
      <c r="H99" s="9"/>
    </row>
    <row r="100" spans="1:8" ht="34.5" customHeight="1" x14ac:dyDescent="0.35">
      <c r="A100" s="24" t="s">
        <v>183</v>
      </c>
      <c r="B100" s="24"/>
      <c r="C100" s="86" t="s">
        <v>184</v>
      </c>
      <c r="D100" s="86"/>
      <c r="E100" s="86"/>
      <c r="F100" s="86"/>
      <c r="G100" s="86"/>
      <c r="H100" s="86"/>
    </row>
    <row r="101" spans="1:8" ht="39.5" customHeight="1" x14ac:dyDescent="0.35">
      <c r="A101" s="21" t="s">
        <v>185</v>
      </c>
      <c r="B101" s="21"/>
      <c r="C101" s="80" t="s">
        <v>933</v>
      </c>
      <c r="D101" s="80"/>
      <c r="E101" s="80"/>
      <c r="F101" s="80"/>
      <c r="G101" s="80"/>
      <c r="H101" s="80"/>
    </row>
    <row r="102" spans="1:8" ht="54.5" customHeight="1" x14ac:dyDescent="0.35">
      <c r="A102" s="21" t="s">
        <v>187</v>
      </c>
      <c r="B102" s="21"/>
      <c r="C102" s="9" t="s">
        <v>934</v>
      </c>
      <c r="D102" s="9"/>
      <c r="E102" s="9"/>
      <c r="F102" s="9"/>
      <c r="G102" s="9"/>
      <c r="H102" s="9"/>
    </row>
    <row r="103" spans="1:8" ht="56" customHeight="1" x14ac:dyDescent="0.35">
      <c r="A103" s="21" t="s">
        <v>188</v>
      </c>
      <c r="B103" s="21"/>
      <c r="C103" s="9"/>
      <c r="D103" s="9"/>
      <c r="E103" s="9"/>
      <c r="F103" s="9"/>
      <c r="G103" s="9"/>
      <c r="H103" s="9"/>
    </row>
    <row r="104" spans="1:8" ht="45" customHeight="1" x14ac:dyDescent="0.35">
      <c r="A104" s="21" t="s">
        <v>189</v>
      </c>
      <c r="B104" s="21"/>
      <c r="C104" s="9" t="s">
        <v>935</v>
      </c>
      <c r="D104" s="9"/>
      <c r="E104" s="9"/>
      <c r="F104" s="9"/>
      <c r="G104" s="9"/>
      <c r="H104" s="9"/>
    </row>
  </sheetData>
  <mergeCells count="107">
    <mergeCell ref="A103:B103"/>
    <mergeCell ref="C103:H103"/>
    <mergeCell ref="A104:B104"/>
    <mergeCell ref="C104:H104"/>
    <mergeCell ref="A100:B100"/>
    <mergeCell ref="C100:H100"/>
    <mergeCell ref="A101:B101"/>
    <mergeCell ref="C101:H101"/>
    <mergeCell ref="A102:B102"/>
    <mergeCell ref="C102:H102"/>
    <mergeCell ref="A97:B97"/>
    <mergeCell ref="C97:H97"/>
    <mergeCell ref="A98:B98"/>
    <mergeCell ref="C98:H98"/>
    <mergeCell ref="A99:B99"/>
    <mergeCell ref="C99:H99"/>
    <mergeCell ref="A92:B92"/>
    <mergeCell ref="C92:H92"/>
    <mergeCell ref="A93:B93"/>
    <mergeCell ref="C93:H93"/>
    <mergeCell ref="A96:B96"/>
    <mergeCell ref="C96:H96"/>
    <mergeCell ref="A89:B89"/>
    <mergeCell ref="C89:H89"/>
    <mergeCell ref="A90:B90"/>
    <mergeCell ref="C90:H90"/>
    <mergeCell ref="A91:B91"/>
    <mergeCell ref="C91:H91"/>
    <mergeCell ref="A86:B86"/>
    <mergeCell ref="C86:H86"/>
    <mergeCell ref="A87:B87"/>
    <mergeCell ref="C87:H87"/>
    <mergeCell ref="A88:B88"/>
    <mergeCell ref="C88:H88"/>
    <mergeCell ref="A83:B83"/>
    <mergeCell ref="C83:H83"/>
    <mergeCell ref="A84:B84"/>
    <mergeCell ref="C84:H84"/>
    <mergeCell ref="A85:B85"/>
    <mergeCell ref="C85:H85"/>
    <mergeCell ref="A77:D77"/>
    <mergeCell ref="A78:D78"/>
    <mergeCell ref="A80:H80"/>
    <mergeCell ref="A81:B81"/>
    <mergeCell ref="C81:H81"/>
    <mergeCell ref="A82:B82"/>
    <mergeCell ref="C82:H82"/>
    <mergeCell ref="A71:D71"/>
    <mergeCell ref="A72:D72"/>
    <mergeCell ref="A73:D73"/>
    <mergeCell ref="A74:D74"/>
    <mergeCell ref="A75:D75"/>
    <mergeCell ref="A76:D76"/>
    <mergeCell ref="A66:D66"/>
    <mergeCell ref="E66:H66"/>
    <mergeCell ref="A67:D67"/>
    <mergeCell ref="A68:D68"/>
    <mergeCell ref="A69:D69"/>
    <mergeCell ref="A70:D70"/>
    <mergeCell ref="A37:B37"/>
    <mergeCell ref="A38:A45"/>
    <mergeCell ref="B46:H51"/>
    <mergeCell ref="A54:B54"/>
    <mergeCell ref="B59:H63"/>
    <mergeCell ref="A65:B65"/>
    <mergeCell ref="A21:D21"/>
    <mergeCell ref="E21:H21"/>
    <mergeCell ref="A23:D23"/>
    <mergeCell ref="A24:D24"/>
    <mergeCell ref="E24:H24"/>
    <mergeCell ref="A26:A27"/>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38865-EF60-4790-B9DC-225E3792C0E0}">
  <dimension ref="A1:O104"/>
  <sheetViews>
    <sheetView view="pageBreakPreview" zoomScale="68" zoomScaleNormal="100" zoomScaleSheetLayoutView="125" workbookViewId="0">
      <selection activeCell="I28" sqref="I28"/>
    </sheetView>
  </sheetViews>
  <sheetFormatPr defaultColWidth="11.81640625" defaultRowHeight="15.5" x14ac:dyDescent="0.35"/>
  <cols>
    <col min="1" max="1" width="13.08984375" style="2" customWidth="1"/>
    <col min="2" max="2" width="18.90625" style="2" customWidth="1"/>
    <col min="3" max="4" width="12" style="2" customWidth="1"/>
    <col min="5" max="6" width="14.81640625" style="2" customWidth="1"/>
    <col min="7" max="7" width="16.36328125" style="2" customWidth="1"/>
    <col min="8" max="8" width="15.26953125" style="2" customWidth="1"/>
    <col min="9" max="11" width="11.81640625" style="2"/>
    <col min="12" max="12" width="12.90625" style="2" bestFit="1" customWidth="1"/>
    <col min="13" max="16384" width="11.81640625" style="2"/>
  </cols>
  <sheetData>
    <row r="1" spans="1:15" x14ac:dyDescent="0.35">
      <c r="A1" s="1" t="s">
        <v>0</v>
      </c>
      <c r="B1" s="1"/>
      <c r="C1" s="1"/>
      <c r="D1" s="1"/>
      <c r="H1" s="3" t="s">
        <v>1</v>
      </c>
    </row>
    <row r="2" spans="1:15" ht="24" customHeight="1" thickBot="1" x14ac:dyDescent="0.4">
      <c r="A2" s="4" t="s">
        <v>2</v>
      </c>
      <c r="B2" s="4"/>
      <c r="C2" s="4"/>
      <c r="D2" s="4"/>
      <c r="E2" s="5"/>
      <c r="F2" s="6"/>
    </row>
    <row r="3" spans="1:15" ht="19" customHeight="1" thickBot="1" x14ac:dyDescent="0.4">
      <c r="A3" s="7" t="s">
        <v>3</v>
      </c>
      <c r="B3" s="7"/>
      <c r="C3" s="7"/>
      <c r="D3" s="7"/>
      <c r="E3" s="8" t="s">
        <v>4</v>
      </c>
      <c r="F3" s="8"/>
      <c r="G3" s="8"/>
      <c r="H3" s="8"/>
    </row>
    <row r="4" spans="1:15" ht="19" customHeight="1" x14ac:dyDescent="0.35">
      <c r="A4" s="9" t="s">
        <v>5</v>
      </c>
      <c r="B4" s="9"/>
      <c r="C4" s="9"/>
      <c r="D4" s="9"/>
      <c r="E4" s="10" t="s">
        <v>6</v>
      </c>
      <c r="F4" s="10"/>
      <c r="G4" s="10"/>
      <c r="H4" s="10"/>
      <c r="K4" s="11" t="s">
        <v>7</v>
      </c>
      <c r="L4" s="12"/>
      <c r="M4" s="12"/>
      <c r="N4" s="12"/>
      <c r="O4" s="13"/>
    </row>
    <row r="5" spans="1:15" ht="19" customHeight="1" x14ac:dyDescent="0.35">
      <c r="A5" s="9" t="s">
        <v>8</v>
      </c>
      <c r="B5" s="9"/>
      <c r="C5" s="9"/>
      <c r="D5" s="9"/>
      <c r="E5" s="10" t="s">
        <v>9</v>
      </c>
      <c r="F5" s="10"/>
      <c r="G5" s="10"/>
      <c r="H5" s="10"/>
      <c r="K5" s="14" t="s">
        <v>10</v>
      </c>
      <c r="O5" s="15"/>
    </row>
    <row r="6" spans="1:15" ht="19" customHeight="1" x14ac:dyDescent="0.35">
      <c r="A6" s="9" t="s">
        <v>11</v>
      </c>
      <c r="B6" s="9"/>
      <c r="C6" s="9"/>
      <c r="D6" s="9"/>
      <c r="E6" s="10" t="s">
        <v>12</v>
      </c>
      <c r="F6" s="10"/>
      <c r="G6" s="10"/>
      <c r="H6" s="10"/>
      <c r="K6" s="16" t="s">
        <v>13</v>
      </c>
      <c r="L6" s="17">
        <v>60</v>
      </c>
      <c r="O6" s="15"/>
    </row>
    <row r="7" spans="1:15" ht="19" customHeight="1" x14ac:dyDescent="0.35">
      <c r="A7" s="9" t="s">
        <v>14</v>
      </c>
      <c r="B7" s="9"/>
      <c r="C7" s="9"/>
      <c r="D7" s="9"/>
      <c r="E7" s="10" t="s">
        <v>15</v>
      </c>
      <c r="F7" s="10"/>
      <c r="G7" s="10"/>
      <c r="H7" s="10"/>
      <c r="K7" s="18" t="s">
        <v>16</v>
      </c>
      <c r="L7" s="17">
        <v>1392</v>
      </c>
      <c r="N7" s="19" t="s">
        <v>17</v>
      </c>
      <c r="O7" s="20">
        <f>L7/L6</f>
        <v>23.2</v>
      </c>
    </row>
    <row r="8" spans="1:15" ht="32.5" customHeight="1" x14ac:dyDescent="0.35">
      <c r="A8" s="21" t="s">
        <v>18</v>
      </c>
      <c r="B8" s="21"/>
      <c r="C8" s="21"/>
      <c r="D8" s="21"/>
      <c r="E8" s="10">
        <v>1998</v>
      </c>
      <c r="F8" s="10"/>
      <c r="G8" s="10"/>
      <c r="H8" s="10"/>
      <c r="K8" s="18" t="s">
        <v>19</v>
      </c>
      <c r="L8" s="22">
        <v>21600</v>
      </c>
      <c r="N8" s="19" t="s">
        <v>20</v>
      </c>
      <c r="O8" s="23">
        <f>L8/L6</f>
        <v>360</v>
      </c>
    </row>
    <row r="9" spans="1:15" ht="50.15" customHeight="1" x14ac:dyDescent="0.35">
      <c r="A9" s="21" t="s">
        <v>21</v>
      </c>
      <c r="B9" s="21"/>
      <c r="C9" s="21"/>
      <c r="D9" s="21"/>
      <c r="E9" s="24" t="s">
        <v>22</v>
      </c>
      <c r="F9" s="24"/>
      <c r="G9" s="24"/>
      <c r="H9" s="24"/>
      <c r="K9" s="18" t="s">
        <v>23</v>
      </c>
      <c r="L9" s="17">
        <v>1113</v>
      </c>
      <c r="N9" s="19" t="s">
        <v>24</v>
      </c>
      <c r="O9" s="25">
        <f>L9/L6</f>
        <v>18.55</v>
      </c>
    </row>
    <row r="10" spans="1:15" ht="56.15" customHeight="1" x14ac:dyDescent="0.35">
      <c r="A10" s="21" t="s">
        <v>25</v>
      </c>
      <c r="B10" s="21"/>
      <c r="C10" s="21"/>
      <c r="D10" s="21"/>
      <c r="E10" s="26" t="s">
        <v>26</v>
      </c>
      <c r="F10" s="26"/>
      <c r="G10" s="26"/>
      <c r="H10" s="26"/>
      <c r="K10" s="18" t="s">
        <v>27</v>
      </c>
      <c r="L10" s="17">
        <v>18</v>
      </c>
      <c r="N10" s="19" t="s">
        <v>28</v>
      </c>
      <c r="O10" s="25">
        <f>L10/L6</f>
        <v>0.3</v>
      </c>
    </row>
    <row r="11" spans="1:15" ht="50.15" customHeight="1" x14ac:dyDescent="0.35">
      <c r="A11" s="21" t="s">
        <v>29</v>
      </c>
      <c r="B11" s="21"/>
      <c r="C11" s="21"/>
      <c r="D11" s="21"/>
      <c r="E11" s="24" t="s">
        <v>30</v>
      </c>
      <c r="F11" s="24"/>
      <c r="G11" s="24"/>
      <c r="H11" s="24"/>
      <c r="I11" s="27"/>
      <c r="K11" s="18" t="s">
        <v>31</v>
      </c>
      <c r="L11" s="28" t="s">
        <v>32</v>
      </c>
      <c r="N11" s="19" t="s">
        <v>33</v>
      </c>
      <c r="O11" s="29">
        <v>0</v>
      </c>
    </row>
    <row r="12" spans="1:15" ht="66" customHeight="1" x14ac:dyDescent="0.35">
      <c r="A12" s="21" t="s">
        <v>34</v>
      </c>
      <c r="B12" s="21"/>
      <c r="C12" s="21"/>
      <c r="D12" s="21"/>
      <c r="E12" s="24" t="s">
        <v>35</v>
      </c>
      <c r="F12" s="24"/>
      <c r="G12" s="24"/>
      <c r="H12" s="24"/>
      <c r="I12" s="30"/>
      <c r="K12" s="18" t="s">
        <v>36</v>
      </c>
      <c r="L12" s="17">
        <v>60</v>
      </c>
      <c r="N12" s="31" t="s">
        <v>37</v>
      </c>
      <c r="O12" s="20">
        <f>L12/L6</f>
        <v>1</v>
      </c>
    </row>
    <row r="13" spans="1:15" ht="82" customHeight="1" x14ac:dyDescent="0.35">
      <c r="A13" s="21" t="s">
        <v>38</v>
      </c>
      <c r="B13" s="21"/>
      <c r="C13" s="21"/>
      <c r="D13" s="21"/>
      <c r="E13" s="24" t="s">
        <v>39</v>
      </c>
      <c r="F13" s="24"/>
      <c r="G13" s="24"/>
      <c r="H13" s="24"/>
      <c r="I13" s="30"/>
      <c r="K13" s="18" t="s">
        <v>40</v>
      </c>
      <c r="L13" s="17">
        <v>72</v>
      </c>
      <c r="N13" s="31" t="s">
        <v>41</v>
      </c>
      <c r="O13" s="20">
        <f>L13/L6</f>
        <v>1.2</v>
      </c>
    </row>
    <row r="14" spans="1:15" ht="32.25" customHeight="1" x14ac:dyDescent="0.35">
      <c r="A14" s="21" t="s">
        <v>42</v>
      </c>
      <c r="B14" s="21"/>
      <c r="C14" s="21"/>
      <c r="D14" s="21"/>
      <c r="E14" s="26" t="s">
        <v>26</v>
      </c>
      <c r="F14" s="26"/>
      <c r="G14" s="26"/>
      <c r="H14" s="26"/>
      <c r="K14" s="18" t="s">
        <v>43</v>
      </c>
      <c r="L14" s="17">
        <v>3000</v>
      </c>
      <c r="M14" s="2" t="s">
        <v>44</v>
      </c>
      <c r="N14" s="31" t="s">
        <v>45</v>
      </c>
      <c r="O14" s="23">
        <f>(L14*L15)/L6</f>
        <v>89.5</v>
      </c>
    </row>
    <row r="15" spans="1:15" ht="34.5" customHeight="1" x14ac:dyDescent="0.35">
      <c r="A15" s="21" t="s">
        <v>46</v>
      </c>
      <c r="B15" s="21"/>
      <c r="C15" s="21"/>
      <c r="D15" s="21"/>
      <c r="E15" s="24" t="s">
        <v>47</v>
      </c>
      <c r="F15" s="24"/>
      <c r="G15" s="24"/>
      <c r="H15" s="24"/>
      <c r="I15" s="27"/>
      <c r="K15" s="18" t="s">
        <v>48</v>
      </c>
      <c r="L15" s="17">
        <v>1.79</v>
      </c>
      <c r="N15" s="31" t="s">
        <v>49</v>
      </c>
      <c r="O15" s="23">
        <f>L18/L6</f>
        <v>37.5</v>
      </c>
    </row>
    <row r="16" spans="1:15" ht="63" customHeight="1" x14ac:dyDescent="0.35">
      <c r="A16" s="21" t="s">
        <v>50</v>
      </c>
      <c r="B16" s="21"/>
      <c r="C16" s="21"/>
      <c r="D16" s="21"/>
      <c r="E16" s="26" t="s">
        <v>26</v>
      </c>
      <c r="F16" s="26"/>
      <c r="G16" s="26"/>
      <c r="H16" s="26"/>
      <c r="K16" s="32" t="s">
        <v>51</v>
      </c>
      <c r="L16" s="33">
        <v>9000</v>
      </c>
      <c r="N16" s="34" t="s">
        <v>52</v>
      </c>
      <c r="O16" s="35">
        <f>L16/L6</f>
        <v>150</v>
      </c>
    </row>
    <row r="17" spans="1:15" ht="19" customHeight="1" x14ac:dyDescent="0.35">
      <c r="A17" s="21" t="s">
        <v>53</v>
      </c>
      <c r="B17" s="21"/>
      <c r="C17" s="21"/>
      <c r="D17" s="21"/>
      <c r="E17" s="26" t="s">
        <v>26</v>
      </c>
      <c r="F17" s="26"/>
      <c r="G17" s="26"/>
      <c r="H17" s="26"/>
      <c r="L17" s="33" t="s">
        <v>44</v>
      </c>
      <c r="N17" s="36"/>
    </row>
    <row r="18" spans="1:15" ht="47.15" customHeight="1" x14ac:dyDescent="0.35">
      <c r="A18" s="21" t="s">
        <v>54</v>
      </c>
      <c r="B18" s="21"/>
      <c r="C18" s="21"/>
      <c r="D18" s="21"/>
      <c r="E18" s="26" t="s">
        <v>26</v>
      </c>
      <c r="F18" s="26"/>
      <c r="G18" s="26"/>
      <c r="H18" s="26"/>
      <c r="K18" s="18" t="s">
        <v>55</v>
      </c>
      <c r="L18" s="17">
        <v>2250</v>
      </c>
      <c r="M18" s="2" t="s">
        <v>56</v>
      </c>
      <c r="N18" s="31" t="s">
        <v>57</v>
      </c>
      <c r="O18" s="23">
        <f>O8+O11+O14+O15+O16</f>
        <v>637</v>
      </c>
    </row>
    <row r="19" spans="1:15" ht="48" customHeight="1" thickBot="1" x14ac:dyDescent="0.4">
      <c r="A19" s="37" t="s">
        <v>58</v>
      </c>
      <c r="B19" s="21"/>
      <c r="C19" s="21"/>
      <c r="D19" s="21"/>
      <c r="E19" s="24">
        <v>1969</v>
      </c>
      <c r="F19" s="24"/>
      <c r="G19" s="24"/>
      <c r="H19" s="24"/>
      <c r="K19" s="38"/>
      <c r="L19" s="5"/>
      <c r="M19" s="5"/>
      <c r="N19" s="39" t="s">
        <v>59</v>
      </c>
      <c r="O19" s="40">
        <f>O9+O12</f>
        <v>19.55</v>
      </c>
    </row>
    <row r="20" spans="1:15" ht="36.65" customHeight="1" x14ac:dyDescent="0.35">
      <c r="A20" s="37" t="s">
        <v>60</v>
      </c>
      <c r="B20" s="21"/>
      <c r="C20" s="21"/>
      <c r="D20" s="21"/>
      <c r="E20" s="24" t="s">
        <v>61</v>
      </c>
      <c r="F20" s="24"/>
      <c r="G20" s="24"/>
      <c r="H20" s="24"/>
    </row>
    <row r="21" spans="1:15" ht="31.5" customHeight="1" x14ac:dyDescent="0.35">
      <c r="A21" s="37" t="s">
        <v>62</v>
      </c>
      <c r="B21" s="21"/>
      <c r="C21" s="21"/>
      <c r="D21" s="21"/>
      <c r="E21" s="24" t="s">
        <v>63</v>
      </c>
      <c r="F21" s="24"/>
      <c r="G21" s="24"/>
      <c r="H21" s="24"/>
    </row>
    <row r="22" spans="1:15" ht="59.15" customHeight="1" x14ac:dyDescent="0.35">
      <c r="A22" s="41"/>
      <c r="B22" s="42"/>
      <c r="C22" s="42"/>
      <c r="D22" s="42"/>
      <c r="E22" s="43" t="s">
        <v>64</v>
      </c>
      <c r="F22" s="43" t="s">
        <v>65</v>
      </c>
      <c r="G22" s="43" t="s">
        <v>66</v>
      </c>
      <c r="H22" s="43"/>
      <c r="I22" s="2">
        <f>5.8*4*60</f>
        <v>1392</v>
      </c>
    </row>
    <row r="23" spans="1:15" ht="24" customHeight="1" x14ac:dyDescent="0.35">
      <c r="A23" s="44" t="s">
        <v>67</v>
      </c>
      <c r="B23" s="45"/>
      <c r="C23" s="45"/>
      <c r="D23" s="45"/>
      <c r="H23" s="46" t="s">
        <v>68</v>
      </c>
    </row>
    <row r="24" spans="1:15" ht="114" customHeight="1" x14ac:dyDescent="0.35">
      <c r="A24" s="44" t="s">
        <v>69</v>
      </c>
      <c r="B24" s="45"/>
      <c r="C24" s="45"/>
      <c r="D24" s="45"/>
      <c r="E24" s="47" t="s">
        <v>70</v>
      </c>
      <c r="F24" s="47"/>
      <c r="G24" s="47"/>
      <c r="H24" s="47"/>
    </row>
    <row r="25" spans="1:15" ht="28" customHeight="1" x14ac:dyDescent="0.35">
      <c r="A25" s="48" t="s">
        <v>71</v>
      </c>
      <c r="B25" s="48"/>
      <c r="C25" s="48"/>
      <c r="D25" s="48"/>
    </row>
    <row r="26" spans="1:15" ht="30" customHeight="1" x14ac:dyDescent="0.35">
      <c r="A26" s="49" t="s">
        <v>72</v>
      </c>
      <c r="B26" s="50"/>
      <c r="C26" s="51" t="s">
        <v>73</v>
      </c>
      <c r="D26" s="51" t="s">
        <v>74</v>
      </c>
      <c r="E26" s="51" t="s">
        <v>75</v>
      </c>
      <c r="F26" s="51" t="s">
        <v>76</v>
      </c>
      <c r="G26" s="52" t="s">
        <v>77</v>
      </c>
      <c r="H26" s="52" t="s">
        <v>78</v>
      </c>
    </row>
    <row r="27" spans="1:15" ht="30" customHeight="1" x14ac:dyDescent="0.35">
      <c r="A27" s="53"/>
      <c r="B27" s="50" t="s">
        <v>79</v>
      </c>
      <c r="C27" s="50" t="s">
        <v>80</v>
      </c>
      <c r="D27" s="50"/>
      <c r="E27" s="50"/>
      <c r="F27" s="50"/>
      <c r="G27" s="50"/>
      <c r="H27" s="50"/>
    </row>
    <row r="28" spans="1:15" ht="30" customHeight="1" x14ac:dyDescent="0.35">
      <c r="A28" s="54"/>
      <c r="B28" s="50" t="s">
        <v>81</v>
      </c>
      <c r="C28" s="50" t="s">
        <v>80</v>
      </c>
      <c r="D28" s="50"/>
      <c r="E28" s="50"/>
      <c r="F28" s="50"/>
      <c r="G28" s="50"/>
      <c r="H28" s="50"/>
    </row>
    <row r="29" spans="1:15" ht="30" customHeight="1" x14ac:dyDescent="0.35">
      <c r="A29" s="54"/>
      <c r="B29" s="50" t="s">
        <v>82</v>
      </c>
      <c r="C29" s="50" t="s">
        <v>80</v>
      </c>
      <c r="D29" s="50"/>
      <c r="E29" s="50"/>
      <c r="F29" s="50"/>
      <c r="G29" s="50"/>
      <c r="H29" s="50"/>
    </row>
    <row r="30" spans="1:15" ht="30" customHeight="1" x14ac:dyDescent="0.35">
      <c r="A30" s="54"/>
      <c r="B30" s="50" t="s">
        <v>83</v>
      </c>
      <c r="C30" s="50" t="s">
        <v>84</v>
      </c>
      <c r="D30" s="50"/>
      <c r="E30" s="50"/>
      <c r="F30" s="50"/>
      <c r="G30" s="50"/>
      <c r="H30" s="50"/>
    </row>
    <row r="31" spans="1:15" ht="30" customHeight="1" x14ac:dyDescent="0.35">
      <c r="A31" s="54"/>
      <c r="B31" s="50" t="s">
        <v>85</v>
      </c>
      <c r="C31" s="50" t="s">
        <v>84</v>
      </c>
      <c r="D31" s="50"/>
      <c r="E31" s="50"/>
      <c r="F31" s="50"/>
      <c r="G31" s="50"/>
      <c r="H31" s="50"/>
    </row>
    <row r="32" spans="1:15" ht="30" customHeight="1" x14ac:dyDescent="0.35">
      <c r="A32" s="54"/>
      <c r="B32" s="50" t="s">
        <v>22</v>
      </c>
      <c r="C32" s="50" t="s">
        <v>84</v>
      </c>
      <c r="D32" s="50" t="s">
        <v>86</v>
      </c>
      <c r="E32" s="50" t="s">
        <v>87</v>
      </c>
      <c r="F32" s="50" t="s">
        <v>88</v>
      </c>
      <c r="G32" s="50" t="s">
        <v>89</v>
      </c>
      <c r="H32" s="50"/>
      <c r="I32" s="2">
        <f>18*1200</f>
        <v>21600</v>
      </c>
    </row>
    <row r="33" spans="1:12" ht="30" customHeight="1" x14ac:dyDescent="0.35">
      <c r="A33" s="54"/>
      <c r="B33" s="50" t="s">
        <v>90</v>
      </c>
      <c r="C33" s="50" t="s">
        <v>84</v>
      </c>
      <c r="D33" s="50"/>
      <c r="E33" s="50"/>
      <c r="F33" s="50"/>
      <c r="G33" s="50"/>
      <c r="H33" s="50"/>
    </row>
    <row r="34" spans="1:12" ht="31" x14ac:dyDescent="0.35">
      <c r="A34" s="54"/>
      <c r="B34" s="55" t="s">
        <v>91</v>
      </c>
      <c r="C34" s="50" t="s">
        <v>92</v>
      </c>
      <c r="D34" s="50" t="s">
        <v>93</v>
      </c>
      <c r="E34" s="50" t="s">
        <v>94</v>
      </c>
      <c r="F34" s="50" t="s">
        <v>95</v>
      </c>
      <c r="G34" s="50"/>
      <c r="H34" s="50"/>
      <c r="I34" s="2">
        <f>5*450</f>
        <v>2250</v>
      </c>
    </row>
    <row r="36" spans="1:12" ht="29.25" customHeight="1" x14ac:dyDescent="0.35"/>
    <row r="37" spans="1:12" ht="31" customHeight="1" x14ac:dyDescent="0.35">
      <c r="A37" s="56" t="s">
        <v>96</v>
      </c>
      <c r="B37" s="57"/>
      <c r="H37" s="46" t="s">
        <v>97</v>
      </c>
    </row>
    <row r="38" spans="1:12" ht="40" customHeight="1" x14ac:dyDescent="0.35">
      <c r="A38" s="58" t="s">
        <v>98</v>
      </c>
      <c r="B38" s="55" t="s">
        <v>99</v>
      </c>
      <c r="C38" s="50" t="s">
        <v>100</v>
      </c>
      <c r="D38" s="50" t="s">
        <v>101</v>
      </c>
      <c r="E38" s="55" t="s">
        <v>102</v>
      </c>
      <c r="F38" s="55" t="s">
        <v>103</v>
      </c>
      <c r="G38" s="55" t="s">
        <v>104</v>
      </c>
      <c r="H38" s="55" t="s">
        <v>105</v>
      </c>
    </row>
    <row r="39" spans="1:12" ht="40" customHeight="1" x14ac:dyDescent="0.35">
      <c r="A39" s="59"/>
      <c r="B39" s="50" t="s">
        <v>106</v>
      </c>
      <c r="C39" s="50" t="s">
        <v>107</v>
      </c>
      <c r="D39" s="50"/>
      <c r="E39" s="50"/>
      <c r="F39" s="50"/>
      <c r="G39" s="50"/>
      <c r="H39" s="50"/>
      <c r="J39" s="2" t="s">
        <v>108</v>
      </c>
      <c r="K39" s="2">
        <f>(1.5*2*365)+18</f>
        <v>1113</v>
      </c>
    </row>
    <row r="40" spans="1:12" ht="40" customHeight="1" x14ac:dyDescent="0.35">
      <c r="A40" s="59"/>
      <c r="B40" s="50" t="s">
        <v>109</v>
      </c>
      <c r="C40" s="50"/>
      <c r="D40" s="50"/>
      <c r="E40" s="50"/>
      <c r="F40" s="50"/>
      <c r="G40" s="50"/>
      <c r="H40" s="50"/>
      <c r="J40" s="2" t="s">
        <v>110</v>
      </c>
      <c r="K40" s="2">
        <v>18</v>
      </c>
    </row>
    <row r="41" spans="1:12" ht="40" customHeight="1" x14ac:dyDescent="0.35">
      <c r="A41" s="59"/>
      <c r="B41" s="50" t="s">
        <v>111</v>
      </c>
      <c r="C41" s="50"/>
      <c r="D41" s="50"/>
      <c r="E41" s="50"/>
      <c r="F41" s="50"/>
      <c r="G41" s="50"/>
      <c r="H41" s="50"/>
    </row>
    <row r="42" spans="1:12" ht="40" customHeight="1" x14ac:dyDescent="0.35">
      <c r="A42" s="59"/>
      <c r="B42" s="50" t="s">
        <v>112</v>
      </c>
      <c r="C42" s="50"/>
      <c r="D42" s="50"/>
      <c r="E42" s="50"/>
      <c r="F42" s="50" t="s">
        <v>113</v>
      </c>
      <c r="G42" s="50"/>
      <c r="H42" s="50"/>
    </row>
    <row r="43" spans="1:12" ht="40" customHeight="1" x14ac:dyDescent="0.35">
      <c r="A43" s="59"/>
      <c r="B43" s="50" t="s">
        <v>114</v>
      </c>
      <c r="C43" s="50"/>
      <c r="D43" s="50"/>
      <c r="E43" s="50"/>
      <c r="F43" s="50" t="s">
        <v>115</v>
      </c>
      <c r="G43" s="50"/>
      <c r="H43" s="50"/>
      <c r="J43" s="2" t="s">
        <v>116</v>
      </c>
      <c r="L43" s="2">
        <v>60</v>
      </c>
    </row>
    <row r="44" spans="1:12" ht="40" customHeight="1" x14ac:dyDescent="0.35">
      <c r="A44" s="59"/>
      <c r="B44" s="50" t="s">
        <v>117</v>
      </c>
      <c r="C44" s="50"/>
      <c r="D44" s="50"/>
      <c r="E44" s="50"/>
      <c r="F44" s="50"/>
      <c r="G44" s="50"/>
      <c r="H44" s="50"/>
      <c r="J44" s="2" t="s">
        <v>118</v>
      </c>
    </row>
    <row r="45" spans="1:12" x14ac:dyDescent="0.35">
      <c r="A45" s="59"/>
      <c r="B45" s="50" t="s">
        <v>119</v>
      </c>
      <c r="C45" s="50"/>
      <c r="D45" s="50"/>
      <c r="E45" s="50"/>
      <c r="F45" s="50" t="s">
        <v>120</v>
      </c>
      <c r="G45" s="50"/>
      <c r="H45" s="50"/>
    </row>
    <row r="46" spans="1:12" ht="15.65" customHeight="1" x14ac:dyDescent="0.35">
      <c r="A46" s="60"/>
      <c r="B46" s="61" t="s">
        <v>121</v>
      </c>
      <c r="C46" s="61"/>
      <c r="D46" s="61"/>
      <c r="E46" s="61"/>
      <c r="F46" s="61"/>
      <c r="G46" s="61"/>
      <c r="H46" s="61"/>
    </row>
    <row r="47" spans="1:12" x14ac:dyDescent="0.35">
      <c r="A47" s="60"/>
      <c r="B47" s="62"/>
      <c r="C47" s="62"/>
      <c r="D47" s="62"/>
      <c r="E47" s="62"/>
      <c r="F47" s="62"/>
      <c r="G47" s="62"/>
      <c r="H47" s="62"/>
    </row>
    <row r="48" spans="1:12" x14ac:dyDescent="0.35">
      <c r="B48" s="62"/>
      <c r="C48" s="62"/>
      <c r="D48" s="62"/>
      <c r="E48" s="62"/>
      <c r="F48" s="62"/>
      <c r="G48" s="62"/>
      <c r="H48" s="62"/>
    </row>
    <row r="49" spans="1:8" x14ac:dyDescent="0.35">
      <c r="B49" s="62"/>
      <c r="C49" s="62"/>
      <c r="D49" s="62"/>
      <c r="E49" s="62"/>
      <c r="F49" s="62"/>
      <c r="G49" s="62"/>
      <c r="H49" s="62"/>
    </row>
    <row r="50" spans="1:8" x14ac:dyDescent="0.35">
      <c r="B50" s="62"/>
      <c r="C50" s="62"/>
      <c r="D50" s="62"/>
      <c r="E50" s="62"/>
      <c r="F50" s="62"/>
      <c r="G50" s="62"/>
      <c r="H50" s="62"/>
    </row>
    <row r="51" spans="1:8" x14ac:dyDescent="0.35">
      <c r="B51" s="62"/>
      <c r="C51" s="62"/>
      <c r="D51" s="62"/>
      <c r="E51" s="62"/>
      <c r="F51" s="62"/>
      <c r="G51" s="62"/>
      <c r="H51" s="62"/>
    </row>
    <row r="53" spans="1:8" ht="27" customHeight="1" x14ac:dyDescent="0.35"/>
    <row r="54" spans="1:8" ht="45" customHeight="1" x14ac:dyDescent="0.35">
      <c r="A54" s="56" t="s">
        <v>122</v>
      </c>
      <c r="B54" s="57"/>
      <c r="H54" s="46" t="s">
        <v>123</v>
      </c>
    </row>
    <row r="55" spans="1:8" ht="46.5" x14ac:dyDescent="0.35">
      <c r="A55" s="50"/>
      <c r="B55" s="55" t="s">
        <v>124</v>
      </c>
      <c r="C55" s="55" t="s">
        <v>125</v>
      </c>
      <c r="D55" s="55" t="s">
        <v>126</v>
      </c>
      <c r="E55" s="55" t="s">
        <v>127</v>
      </c>
      <c r="F55" s="55" t="s">
        <v>128</v>
      </c>
      <c r="G55" s="55" t="s">
        <v>129</v>
      </c>
      <c r="H55" s="63" t="s">
        <v>130</v>
      </c>
    </row>
    <row r="56" spans="1:8" ht="124" x14ac:dyDescent="0.35">
      <c r="A56" s="55" t="s">
        <v>131</v>
      </c>
      <c r="B56" s="50"/>
      <c r="C56" s="50"/>
      <c r="D56" s="50"/>
      <c r="E56" s="50"/>
      <c r="F56" s="50"/>
      <c r="G56" s="50"/>
      <c r="H56" s="64"/>
    </row>
    <row r="57" spans="1:8" ht="93" x14ac:dyDescent="0.35">
      <c r="A57" s="55" t="s">
        <v>132</v>
      </c>
      <c r="B57" s="50"/>
      <c r="C57" s="50"/>
      <c r="D57" s="50"/>
      <c r="E57" s="50"/>
      <c r="F57" s="50"/>
      <c r="G57" s="50"/>
      <c r="H57" s="64"/>
    </row>
    <row r="58" spans="1:8" ht="108.5" x14ac:dyDescent="0.35">
      <c r="A58" s="65" t="s">
        <v>133</v>
      </c>
      <c r="B58" s="50"/>
      <c r="C58" s="50"/>
      <c r="D58" s="50"/>
      <c r="E58" s="50"/>
      <c r="F58" s="50"/>
      <c r="G58" s="50"/>
      <c r="H58" s="64"/>
    </row>
    <row r="59" spans="1:8" x14ac:dyDescent="0.35">
      <c r="B59" s="66" t="s">
        <v>121</v>
      </c>
      <c r="C59" s="66"/>
      <c r="D59" s="66"/>
      <c r="E59" s="66"/>
      <c r="F59" s="66"/>
      <c r="G59" s="66"/>
      <c r="H59" s="66"/>
    </row>
    <row r="60" spans="1:8" x14ac:dyDescent="0.35">
      <c r="B60" s="67"/>
      <c r="C60" s="67"/>
      <c r="D60" s="67"/>
      <c r="E60" s="67"/>
      <c r="F60" s="67"/>
      <c r="G60" s="67"/>
      <c r="H60" s="67"/>
    </row>
    <row r="61" spans="1:8" x14ac:dyDescent="0.35">
      <c r="B61" s="67"/>
      <c r="C61" s="67"/>
      <c r="D61" s="67"/>
      <c r="E61" s="67"/>
      <c r="F61" s="67"/>
      <c r="G61" s="67"/>
      <c r="H61" s="67"/>
    </row>
    <row r="62" spans="1:8" x14ac:dyDescent="0.35">
      <c r="B62" s="67"/>
      <c r="C62" s="67"/>
      <c r="D62" s="67"/>
      <c r="E62" s="67"/>
      <c r="F62" s="67"/>
      <c r="G62" s="67"/>
      <c r="H62" s="67"/>
    </row>
    <row r="63" spans="1:8" x14ac:dyDescent="0.35">
      <c r="B63" s="67"/>
      <c r="C63" s="67"/>
      <c r="D63" s="67"/>
      <c r="E63" s="67"/>
      <c r="F63" s="67"/>
      <c r="G63" s="67"/>
      <c r="H63" s="67"/>
    </row>
    <row r="64" spans="1:8" x14ac:dyDescent="0.35">
      <c r="B64" s="36"/>
    </row>
    <row r="65" spans="1:8" ht="46.5" customHeight="1" x14ac:dyDescent="0.35">
      <c r="A65" s="68" t="s">
        <v>134</v>
      </c>
      <c r="B65" s="68"/>
      <c r="C65" s="69" t="s">
        <v>135</v>
      </c>
      <c r="D65" s="69" t="s">
        <v>135</v>
      </c>
      <c r="E65" s="69" t="s">
        <v>135</v>
      </c>
      <c r="F65" s="69" t="s">
        <v>135</v>
      </c>
      <c r="G65" s="69" t="s">
        <v>135</v>
      </c>
      <c r="H65" s="70" t="s">
        <v>136</v>
      </c>
    </row>
    <row r="66" spans="1:8" ht="52" customHeight="1" x14ac:dyDescent="0.35">
      <c r="A66" s="71" t="s">
        <v>137</v>
      </c>
      <c r="B66" s="71"/>
      <c r="C66" s="71"/>
      <c r="D66" s="71"/>
      <c r="E66" s="68" t="s">
        <v>138</v>
      </c>
      <c r="F66" s="68"/>
      <c r="G66" s="68"/>
      <c r="H66" s="68"/>
    </row>
    <row r="67" spans="1:8" ht="75" customHeight="1" x14ac:dyDescent="0.35">
      <c r="A67" s="71" t="s">
        <v>139</v>
      </c>
      <c r="B67" s="71"/>
      <c r="C67" s="71"/>
      <c r="D67" s="71"/>
      <c r="E67" s="69" t="s">
        <v>140</v>
      </c>
      <c r="F67" s="69" t="s">
        <v>135</v>
      </c>
      <c r="G67" s="69" t="s">
        <v>135</v>
      </c>
      <c r="H67" s="69" t="s">
        <v>135</v>
      </c>
    </row>
    <row r="68" spans="1:8" ht="27.75" customHeight="1" x14ac:dyDescent="0.35">
      <c r="A68" s="71" t="s">
        <v>141</v>
      </c>
      <c r="B68" s="71"/>
      <c r="C68" s="71"/>
      <c r="D68" s="71"/>
      <c r="E68" s="69" t="s">
        <v>142</v>
      </c>
      <c r="F68" s="69" t="s">
        <v>135</v>
      </c>
      <c r="G68" s="69" t="s">
        <v>135</v>
      </c>
      <c r="H68" s="69" t="s">
        <v>135</v>
      </c>
    </row>
    <row r="69" spans="1:8" ht="30" customHeight="1" x14ac:dyDescent="0.35">
      <c r="A69" s="71" t="s">
        <v>143</v>
      </c>
      <c r="B69" s="71"/>
      <c r="C69" s="71"/>
      <c r="D69" s="71"/>
      <c r="E69" s="69" t="s">
        <v>135</v>
      </c>
      <c r="F69" s="69" t="s">
        <v>135</v>
      </c>
      <c r="G69" s="69" t="s">
        <v>135</v>
      </c>
      <c r="H69" s="69" t="s">
        <v>135</v>
      </c>
    </row>
    <row r="70" spans="1:8" ht="33.75" customHeight="1" x14ac:dyDescent="0.35">
      <c r="A70" s="71" t="s">
        <v>144</v>
      </c>
      <c r="B70" s="71"/>
      <c r="C70" s="71"/>
      <c r="D70" s="71"/>
      <c r="E70" s="69" t="s">
        <v>145</v>
      </c>
      <c r="F70" s="69" t="s">
        <v>135</v>
      </c>
      <c r="G70" s="69" t="s">
        <v>135</v>
      </c>
      <c r="H70" s="69" t="s">
        <v>135</v>
      </c>
    </row>
    <row r="71" spans="1:8" ht="52" customHeight="1" x14ac:dyDescent="0.35">
      <c r="A71" s="72" t="s">
        <v>146</v>
      </c>
      <c r="B71" s="72"/>
      <c r="C71" s="72"/>
      <c r="D71" s="72"/>
      <c r="E71" s="69" t="s">
        <v>135</v>
      </c>
      <c r="F71" s="69" t="s">
        <v>135</v>
      </c>
      <c r="G71" s="69" t="s">
        <v>135</v>
      </c>
      <c r="H71" s="69" t="s">
        <v>135</v>
      </c>
    </row>
    <row r="72" spans="1:8" ht="32.5" customHeight="1" x14ac:dyDescent="0.35">
      <c r="A72" s="71" t="s">
        <v>147</v>
      </c>
      <c r="B72" s="71"/>
      <c r="C72" s="71"/>
      <c r="D72" s="71"/>
      <c r="E72" s="69" t="s">
        <v>148</v>
      </c>
      <c r="F72" s="69" t="s">
        <v>135</v>
      </c>
      <c r="G72" s="69" t="s">
        <v>135</v>
      </c>
      <c r="H72" s="69" t="s">
        <v>135</v>
      </c>
    </row>
    <row r="73" spans="1:8" ht="27.75" customHeight="1" x14ac:dyDescent="0.35">
      <c r="A73" s="73" t="s">
        <v>149</v>
      </c>
      <c r="B73" s="73"/>
      <c r="C73" s="73"/>
      <c r="D73" s="73"/>
      <c r="E73" s="74" t="s">
        <v>135</v>
      </c>
      <c r="F73" s="74" t="s">
        <v>135</v>
      </c>
      <c r="G73" s="74" t="s">
        <v>135</v>
      </c>
      <c r="H73" s="74" t="s">
        <v>135</v>
      </c>
    </row>
    <row r="74" spans="1:8" ht="27" customHeight="1" x14ac:dyDescent="0.35">
      <c r="A74" s="71" t="s">
        <v>150</v>
      </c>
      <c r="B74" s="71"/>
      <c r="C74" s="71"/>
      <c r="D74" s="71"/>
      <c r="E74" s="69" t="s">
        <v>151</v>
      </c>
      <c r="F74" s="69" t="s">
        <v>135</v>
      </c>
      <c r="G74" s="69" t="s">
        <v>135</v>
      </c>
      <c r="H74" s="69" t="s">
        <v>135</v>
      </c>
    </row>
    <row r="75" spans="1:8" ht="54" customHeight="1" x14ac:dyDescent="0.35">
      <c r="A75" s="71" t="s">
        <v>152</v>
      </c>
      <c r="B75" s="71"/>
      <c r="C75" s="71"/>
      <c r="D75" s="71"/>
      <c r="E75" s="69" t="s">
        <v>135</v>
      </c>
      <c r="F75" s="69" t="s">
        <v>135</v>
      </c>
      <c r="G75" s="69" t="s">
        <v>135</v>
      </c>
      <c r="H75" s="69" t="s">
        <v>135</v>
      </c>
    </row>
    <row r="76" spans="1:8" ht="25.5" customHeight="1" x14ac:dyDescent="0.35">
      <c r="A76" s="72" t="s">
        <v>153</v>
      </c>
      <c r="B76" s="72"/>
      <c r="C76" s="72"/>
      <c r="D76" s="72"/>
      <c r="E76" s="69" t="s">
        <v>135</v>
      </c>
      <c r="F76" s="69" t="s">
        <v>135</v>
      </c>
      <c r="G76" s="69" t="s">
        <v>135</v>
      </c>
      <c r="H76" s="69" t="s">
        <v>135</v>
      </c>
    </row>
    <row r="77" spans="1:8" ht="25" customHeight="1" x14ac:dyDescent="0.35">
      <c r="A77" s="71" t="s">
        <v>154</v>
      </c>
      <c r="B77" s="71"/>
      <c r="C77" s="71"/>
      <c r="D77" s="71"/>
      <c r="E77" s="69" t="s">
        <v>135</v>
      </c>
      <c r="F77" s="69" t="s">
        <v>135</v>
      </c>
      <c r="G77" s="69" t="s">
        <v>135</v>
      </c>
      <c r="H77" s="69" t="s">
        <v>135</v>
      </c>
    </row>
    <row r="78" spans="1:8" ht="24.75" customHeight="1" x14ac:dyDescent="0.35">
      <c r="A78" s="75" t="s">
        <v>155</v>
      </c>
      <c r="B78" s="75"/>
      <c r="C78" s="75"/>
      <c r="D78" s="75"/>
      <c r="E78" s="76" t="s">
        <v>135</v>
      </c>
      <c r="F78" s="76" t="s">
        <v>135</v>
      </c>
      <c r="G78" s="76" t="s">
        <v>135</v>
      </c>
      <c r="H78" s="76" t="s">
        <v>135</v>
      </c>
    </row>
    <row r="79" spans="1:8" ht="20.5" customHeight="1" x14ac:dyDescent="0.35">
      <c r="E79" s="36"/>
      <c r="F79" s="36"/>
      <c r="G79" s="36"/>
      <c r="H79" s="77" t="s">
        <v>156</v>
      </c>
    </row>
    <row r="80" spans="1:8" ht="40.5" customHeight="1" x14ac:dyDescent="0.35">
      <c r="A80" s="78" t="s">
        <v>157</v>
      </c>
      <c r="B80" s="78"/>
      <c r="C80" s="78"/>
      <c r="D80" s="78"/>
      <c r="E80" s="78"/>
      <c r="F80" s="78"/>
      <c r="G80" s="78"/>
      <c r="H80" s="78"/>
    </row>
    <row r="81" spans="1:8" ht="36" customHeight="1" x14ac:dyDescent="0.35">
      <c r="A81" s="79" t="s">
        <v>158</v>
      </c>
      <c r="B81" s="79"/>
      <c r="C81" s="80"/>
      <c r="D81" s="80"/>
      <c r="E81" s="80"/>
      <c r="F81" s="80"/>
      <c r="G81" s="80"/>
      <c r="H81" s="80"/>
    </row>
    <row r="82" spans="1:8" ht="36.75" customHeight="1" x14ac:dyDescent="0.35">
      <c r="A82" s="21" t="s">
        <v>159</v>
      </c>
      <c r="B82" s="21"/>
      <c r="C82" s="9"/>
      <c r="D82" s="9"/>
      <c r="E82" s="9"/>
      <c r="F82" s="9"/>
      <c r="G82" s="9"/>
      <c r="H82" s="9"/>
    </row>
    <row r="83" spans="1:8" ht="41.5" customHeight="1" x14ac:dyDescent="0.35">
      <c r="A83" s="21" t="s">
        <v>160</v>
      </c>
      <c r="B83" s="21"/>
      <c r="C83" s="9" t="s">
        <v>161</v>
      </c>
      <c r="D83" s="9"/>
      <c r="E83" s="9"/>
      <c r="F83" s="9"/>
      <c r="G83" s="9"/>
      <c r="H83" s="9"/>
    </row>
    <row r="84" spans="1:8" ht="38.25" customHeight="1" x14ac:dyDescent="0.35">
      <c r="A84" s="21" t="s">
        <v>162</v>
      </c>
      <c r="B84" s="21"/>
      <c r="C84" s="9"/>
      <c r="D84" s="9"/>
      <c r="E84" s="9"/>
      <c r="F84" s="9"/>
      <c r="G84" s="9"/>
      <c r="H84" s="9"/>
    </row>
    <row r="85" spans="1:8" ht="29.25" customHeight="1" x14ac:dyDescent="0.35">
      <c r="A85" s="21" t="s">
        <v>163</v>
      </c>
      <c r="B85" s="21"/>
      <c r="C85" s="9"/>
      <c r="D85" s="9"/>
      <c r="E85" s="9"/>
      <c r="F85" s="9"/>
      <c r="G85" s="9"/>
      <c r="H85" s="9"/>
    </row>
    <row r="86" spans="1:8" ht="43" customHeight="1" x14ac:dyDescent="0.35">
      <c r="A86" s="21" t="s">
        <v>164</v>
      </c>
      <c r="B86" s="21"/>
      <c r="C86" s="9"/>
      <c r="D86" s="9"/>
      <c r="E86" s="9"/>
      <c r="F86" s="9"/>
      <c r="G86" s="9"/>
      <c r="H86" s="9"/>
    </row>
    <row r="87" spans="1:8" x14ac:dyDescent="0.35">
      <c r="A87" s="21" t="s">
        <v>165</v>
      </c>
      <c r="B87" s="21"/>
      <c r="C87" s="9"/>
      <c r="D87" s="9"/>
      <c r="E87" s="9"/>
      <c r="F87" s="9"/>
      <c r="G87" s="9"/>
      <c r="H87" s="9"/>
    </row>
    <row r="88" spans="1:8" x14ac:dyDescent="0.35">
      <c r="A88" s="81" t="s">
        <v>166</v>
      </c>
      <c r="B88" s="81"/>
      <c r="C88" s="9"/>
      <c r="D88" s="9"/>
      <c r="E88" s="9"/>
      <c r="F88" s="9"/>
      <c r="G88" s="9"/>
      <c r="H88" s="9"/>
    </row>
    <row r="89" spans="1:8" ht="22.5" customHeight="1" x14ac:dyDescent="0.35">
      <c r="A89" s="81" t="s">
        <v>167</v>
      </c>
      <c r="B89" s="81"/>
      <c r="C89" s="9" t="s">
        <v>168</v>
      </c>
      <c r="D89" s="9"/>
      <c r="E89" s="9"/>
      <c r="F89" s="9"/>
      <c r="G89" s="9"/>
      <c r="H89" s="9"/>
    </row>
    <row r="90" spans="1:8" x14ac:dyDescent="0.35">
      <c r="A90" s="81" t="s">
        <v>169</v>
      </c>
      <c r="B90" s="81"/>
      <c r="C90" s="9" t="s">
        <v>170</v>
      </c>
      <c r="D90" s="9"/>
      <c r="E90" s="9"/>
      <c r="F90" s="9"/>
      <c r="G90" s="9"/>
      <c r="H90" s="9"/>
    </row>
    <row r="91" spans="1:8" ht="46.5" customHeight="1" x14ac:dyDescent="0.35">
      <c r="A91" s="81" t="s">
        <v>171</v>
      </c>
      <c r="B91" s="81"/>
      <c r="C91" s="82" t="s">
        <v>172</v>
      </c>
      <c r="D91" s="82"/>
      <c r="E91" s="82"/>
      <c r="F91" s="82"/>
      <c r="G91" s="82"/>
      <c r="H91" s="82"/>
    </row>
    <row r="92" spans="1:8" ht="31" customHeight="1" x14ac:dyDescent="0.35">
      <c r="A92" s="21" t="s">
        <v>173</v>
      </c>
      <c r="B92" s="21"/>
      <c r="C92" s="80" t="s">
        <v>174</v>
      </c>
      <c r="D92" s="80"/>
      <c r="E92" s="80"/>
      <c r="F92" s="80"/>
      <c r="G92" s="80"/>
      <c r="H92" s="80"/>
    </row>
    <row r="93" spans="1:8" ht="31" customHeight="1" x14ac:dyDescent="0.35">
      <c r="A93" s="21" t="s">
        <v>175</v>
      </c>
      <c r="B93" s="21"/>
      <c r="C93" s="9"/>
      <c r="D93" s="9"/>
      <c r="E93" s="9"/>
      <c r="F93" s="9"/>
      <c r="G93" s="9"/>
      <c r="H93" s="9"/>
    </row>
    <row r="94" spans="1:8" ht="23.5" customHeight="1" x14ac:dyDescent="0.35">
      <c r="A94" s="83"/>
      <c r="B94" s="83"/>
      <c r="C94" s="84"/>
      <c r="D94" s="84"/>
      <c r="E94" s="84"/>
      <c r="F94" s="84"/>
      <c r="G94" s="84"/>
      <c r="H94" s="84"/>
    </row>
    <row r="95" spans="1:8" ht="45.75" customHeight="1" x14ac:dyDescent="0.35">
      <c r="A95" s="83"/>
      <c r="B95" s="83"/>
      <c r="C95" s="84"/>
      <c r="D95" s="84"/>
      <c r="E95" s="84"/>
      <c r="F95" s="84"/>
      <c r="G95" s="84"/>
      <c r="H95" s="85" t="s">
        <v>176</v>
      </c>
    </row>
    <row r="96" spans="1:8" ht="36" customHeight="1" x14ac:dyDescent="0.35">
      <c r="A96" s="21" t="s">
        <v>177</v>
      </c>
      <c r="B96" s="21"/>
      <c r="C96" s="9"/>
      <c r="D96" s="9"/>
      <c r="E96" s="9"/>
      <c r="F96" s="9"/>
      <c r="G96" s="9"/>
      <c r="H96" s="9"/>
    </row>
    <row r="97" spans="1:8" ht="46.5" customHeight="1" x14ac:dyDescent="0.35">
      <c r="A97" s="21" t="s">
        <v>178</v>
      </c>
      <c r="B97" s="21"/>
      <c r="C97" s="9" t="s">
        <v>179</v>
      </c>
      <c r="D97" s="9"/>
      <c r="E97" s="9"/>
      <c r="F97" s="9"/>
      <c r="G97" s="9"/>
      <c r="H97" s="9"/>
    </row>
    <row r="98" spans="1:8" ht="47.15" customHeight="1" x14ac:dyDescent="0.35">
      <c r="A98" s="21" t="s">
        <v>180</v>
      </c>
      <c r="B98" s="21"/>
      <c r="C98" s="9" t="s">
        <v>181</v>
      </c>
      <c r="D98" s="9"/>
      <c r="E98" s="9"/>
      <c r="F98" s="9"/>
      <c r="G98" s="9"/>
      <c r="H98" s="9"/>
    </row>
    <row r="99" spans="1:8" ht="69.75" customHeight="1" x14ac:dyDescent="0.35">
      <c r="A99" s="21" t="s">
        <v>182</v>
      </c>
      <c r="B99" s="21"/>
      <c r="C99" s="9"/>
      <c r="D99" s="9"/>
      <c r="E99" s="9"/>
      <c r="F99" s="9"/>
      <c r="G99" s="9"/>
      <c r="H99" s="9"/>
    </row>
    <row r="100" spans="1:8" ht="34.5" customHeight="1" x14ac:dyDescent="0.35">
      <c r="A100" s="24" t="s">
        <v>183</v>
      </c>
      <c r="B100" s="24"/>
      <c r="C100" s="86" t="s">
        <v>184</v>
      </c>
      <c r="D100" s="86"/>
      <c r="E100" s="86"/>
      <c r="F100" s="86"/>
      <c r="G100" s="86"/>
      <c r="H100" s="86"/>
    </row>
    <row r="101" spans="1:8" ht="39.65" customHeight="1" x14ac:dyDescent="0.35">
      <c r="A101" s="21" t="s">
        <v>185</v>
      </c>
      <c r="B101" s="21"/>
      <c r="C101" s="80" t="s">
        <v>186</v>
      </c>
      <c r="D101" s="80"/>
      <c r="E101" s="80"/>
      <c r="F101" s="80"/>
      <c r="G101" s="80"/>
      <c r="H101" s="80"/>
    </row>
    <row r="102" spans="1:8" ht="54.75" customHeight="1" x14ac:dyDescent="0.35">
      <c r="A102" s="21" t="s">
        <v>187</v>
      </c>
      <c r="B102" s="21"/>
      <c r="C102" s="9"/>
      <c r="D102" s="9"/>
      <c r="E102" s="9"/>
      <c r="F102" s="9"/>
      <c r="G102" s="9"/>
      <c r="H102" s="9"/>
    </row>
    <row r="103" spans="1:8" ht="56.25" customHeight="1" x14ac:dyDescent="0.35">
      <c r="A103" s="21" t="s">
        <v>188</v>
      </c>
      <c r="B103" s="21"/>
      <c r="C103" s="9"/>
      <c r="D103" s="9"/>
      <c r="E103" s="9"/>
      <c r="F103" s="9"/>
      <c r="G103" s="9"/>
      <c r="H103" s="9"/>
    </row>
    <row r="104" spans="1:8" ht="45" customHeight="1" x14ac:dyDescent="0.35">
      <c r="A104" s="21" t="s">
        <v>189</v>
      </c>
      <c r="B104" s="21"/>
      <c r="C104" s="9"/>
      <c r="D104" s="9"/>
      <c r="E104" s="9"/>
      <c r="F104" s="9"/>
      <c r="G104" s="9"/>
      <c r="H104" s="9"/>
    </row>
  </sheetData>
  <mergeCells count="107">
    <mergeCell ref="A103:B103"/>
    <mergeCell ref="C103:H103"/>
    <mergeCell ref="A104:B104"/>
    <mergeCell ref="C104:H104"/>
    <mergeCell ref="A100:B100"/>
    <mergeCell ref="C100:H100"/>
    <mergeCell ref="A101:B101"/>
    <mergeCell ref="C101:H101"/>
    <mergeCell ref="A102:B102"/>
    <mergeCell ref="C102:H102"/>
    <mergeCell ref="A97:B97"/>
    <mergeCell ref="C97:H97"/>
    <mergeCell ref="A98:B98"/>
    <mergeCell ref="C98:H98"/>
    <mergeCell ref="A99:B99"/>
    <mergeCell ref="C99:H99"/>
    <mergeCell ref="A92:B92"/>
    <mergeCell ref="C92:H92"/>
    <mergeCell ref="A93:B93"/>
    <mergeCell ref="C93:H93"/>
    <mergeCell ref="A96:B96"/>
    <mergeCell ref="C96:H96"/>
    <mergeCell ref="A89:B89"/>
    <mergeCell ref="C89:H89"/>
    <mergeCell ref="A90:B90"/>
    <mergeCell ref="C90:H90"/>
    <mergeCell ref="A91:B91"/>
    <mergeCell ref="C91:H91"/>
    <mergeCell ref="A86:B86"/>
    <mergeCell ref="C86:H86"/>
    <mergeCell ref="A87:B87"/>
    <mergeCell ref="C87:H87"/>
    <mergeCell ref="A88:B88"/>
    <mergeCell ref="C88:H88"/>
    <mergeCell ref="A83:B83"/>
    <mergeCell ref="C83:H83"/>
    <mergeCell ref="A84:B84"/>
    <mergeCell ref="C84:H84"/>
    <mergeCell ref="A85:B85"/>
    <mergeCell ref="C85:H85"/>
    <mergeCell ref="A77:D77"/>
    <mergeCell ref="A78:D78"/>
    <mergeCell ref="A80:H80"/>
    <mergeCell ref="A81:B81"/>
    <mergeCell ref="C81:H81"/>
    <mergeCell ref="A82:B82"/>
    <mergeCell ref="C82:H82"/>
    <mergeCell ref="A71:D71"/>
    <mergeCell ref="A72:D72"/>
    <mergeCell ref="A73:D73"/>
    <mergeCell ref="A74:D74"/>
    <mergeCell ref="A75:D75"/>
    <mergeCell ref="A76:D76"/>
    <mergeCell ref="A66:D66"/>
    <mergeCell ref="E66:H66"/>
    <mergeCell ref="A67:D67"/>
    <mergeCell ref="A68:D68"/>
    <mergeCell ref="A69:D69"/>
    <mergeCell ref="A70:D70"/>
    <mergeCell ref="A37:B37"/>
    <mergeCell ref="A38:A45"/>
    <mergeCell ref="B46:H51"/>
    <mergeCell ref="A54:B54"/>
    <mergeCell ref="B59:H63"/>
    <mergeCell ref="A65:B65"/>
    <mergeCell ref="A21:D21"/>
    <mergeCell ref="E21:H21"/>
    <mergeCell ref="A23:D23"/>
    <mergeCell ref="A24:D24"/>
    <mergeCell ref="E24:H24"/>
    <mergeCell ref="A26:A27"/>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pageMargins left="0.7" right="0.7" top="0.75" bottom="0.7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6B5F1-77C4-4D4B-B4AC-370D08AE77A8}">
  <dimension ref="A1:O108"/>
  <sheetViews>
    <sheetView topLeftCell="C2" zoomScale="59" zoomScaleNormal="155" workbookViewId="0">
      <selection activeCell="L16" sqref="L16"/>
    </sheetView>
  </sheetViews>
  <sheetFormatPr defaultColWidth="11.81640625" defaultRowHeight="15.5" x14ac:dyDescent="0.35"/>
  <cols>
    <col min="1" max="1" width="13.08984375" style="2" customWidth="1"/>
    <col min="2" max="2" width="18.90625" style="2" customWidth="1"/>
    <col min="3" max="4" width="12" style="2" customWidth="1"/>
    <col min="5" max="6" width="14.90625" style="2" customWidth="1"/>
    <col min="7" max="7" width="16.36328125" style="2" customWidth="1"/>
    <col min="8" max="8" width="15.26953125" style="2" customWidth="1"/>
    <col min="9" max="16384" width="11.81640625" style="2"/>
  </cols>
  <sheetData>
    <row r="1" spans="1:15" x14ac:dyDescent="0.35">
      <c r="A1" s="1" t="s">
        <v>0</v>
      </c>
      <c r="B1" s="1"/>
      <c r="C1" s="1"/>
      <c r="D1" s="1"/>
      <c r="H1" s="3" t="s">
        <v>1</v>
      </c>
    </row>
    <row r="2" spans="1:15" ht="24" customHeight="1" thickBot="1" x14ac:dyDescent="0.4">
      <c r="A2" s="4" t="s">
        <v>2</v>
      </c>
      <c r="B2" s="4"/>
      <c r="C2" s="4"/>
      <c r="D2" s="4"/>
      <c r="E2" s="5"/>
      <c r="F2" s="6"/>
    </row>
    <row r="3" spans="1:15" ht="19" customHeight="1" x14ac:dyDescent="0.35">
      <c r="A3" s="7" t="s">
        <v>3</v>
      </c>
      <c r="B3" s="7"/>
      <c r="C3" s="7"/>
      <c r="D3" s="7"/>
      <c r="E3" s="8" t="s">
        <v>673</v>
      </c>
      <c r="F3" s="8"/>
      <c r="G3" s="8"/>
      <c r="H3" s="8"/>
    </row>
    <row r="4" spans="1:15" ht="19" customHeight="1" x14ac:dyDescent="0.35">
      <c r="A4" s="9" t="s">
        <v>5</v>
      </c>
      <c r="B4" s="9"/>
      <c r="C4" s="9"/>
      <c r="D4" s="9"/>
      <c r="E4" s="10" t="s">
        <v>674</v>
      </c>
      <c r="F4" s="10"/>
      <c r="G4" s="10"/>
      <c r="H4" s="10"/>
      <c r="K4" s="19" t="s">
        <v>7</v>
      </c>
      <c r="L4" s="19"/>
      <c r="M4" s="19"/>
      <c r="N4" s="19"/>
      <c r="O4" s="19"/>
    </row>
    <row r="5" spans="1:15" ht="19" customHeight="1" x14ac:dyDescent="0.35">
      <c r="A5" s="9" t="s">
        <v>8</v>
      </c>
      <c r="B5" s="9"/>
      <c r="C5" s="9"/>
      <c r="D5" s="9"/>
      <c r="E5" s="92" t="s">
        <v>675</v>
      </c>
      <c r="F5" s="92"/>
      <c r="G5" s="92"/>
      <c r="H5" s="92"/>
      <c r="K5" s="19" t="s">
        <v>10</v>
      </c>
      <c r="L5" s="19"/>
      <c r="M5" s="19"/>
      <c r="N5" s="19"/>
      <c r="O5" s="19"/>
    </row>
    <row r="6" spans="1:15" ht="19" customHeight="1" x14ac:dyDescent="0.35">
      <c r="A6" s="9" t="s">
        <v>11</v>
      </c>
      <c r="B6" s="9"/>
      <c r="C6" s="9"/>
      <c r="D6" s="9"/>
      <c r="E6" s="10" t="s">
        <v>676</v>
      </c>
      <c r="F6" s="10"/>
      <c r="G6" s="10"/>
      <c r="H6" s="10"/>
      <c r="K6" s="19" t="s">
        <v>13</v>
      </c>
      <c r="L6" s="17">
        <v>53</v>
      </c>
      <c r="M6" s="19"/>
      <c r="N6" s="19"/>
      <c r="O6" s="138"/>
    </row>
    <row r="7" spans="1:15" ht="19" customHeight="1" x14ac:dyDescent="0.35">
      <c r="A7" s="9" t="s">
        <v>14</v>
      </c>
      <c r="B7" s="9"/>
      <c r="C7" s="9"/>
      <c r="D7" s="9"/>
      <c r="E7" s="10" t="s">
        <v>392</v>
      </c>
      <c r="F7" s="10"/>
      <c r="G7" s="10"/>
      <c r="H7" s="10"/>
      <c r="K7" s="19" t="s">
        <v>16</v>
      </c>
      <c r="L7" s="17">
        <f>2853+1875</f>
        <v>4728</v>
      </c>
      <c r="M7" s="19"/>
      <c r="N7" s="19" t="s">
        <v>17</v>
      </c>
      <c r="O7" s="138">
        <v>110.46511599999999</v>
      </c>
    </row>
    <row r="8" spans="1:15" ht="19" customHeight="1" x14ac:dyDescent="0.35">
      <c r="A8" s="21" t="s">
        <v>18</v>
      </c>
      <c r="B8" s="21"/>
      <c r="C8" s="21"/>
      <c r="D8" s="21"/>
      <c r="E8" s="24" t="s">
        <v>677</v>
      </c>
      <c r="F8" s="24"/>
      <c r="G8" s="24"/>
      <c r="H8" s="24"/>
      <c r="K8" s="19" t="s">
        <v>19</v>
      </c>
      <c r="L8" s="17">
        <f>0.85*22200</f>
        <v>18870</v>
      </c>
      <c r="M8" s="19"/>
      <c r="N8" s="19" t="s">
        <v>20</v>
      </c>
      <c r="O8" s="138" t="s">
        <v>678</v>
      </c>
    </row>
    <row r="9" spans="1:15" ht="19" customHeight="1" x14ac:dyDescent="0.35">
      <c r="A9" s="21" t="s">
        <v>330</v>
      </c>
      <c r="B9" s="21"/>
      <c r="C9" s="21"/>
      <c r="D9" s="21"/>
      <c r="E9" s="24" t="s">
        <v>679</v>
      </c>
      <c r="F9" s="24"/>
      <c r="G9" s="24"/>
      <c r="H9" s="24"/>
      <c r="K9" s="19" t="s">
        <v>23</v>
      </c>
      <c r="L9" s="17">
        <f>195*1.25</f>
        <v>243.75</v>
      </c>
      <c r="M9" s="19"/>
      <c r="N9" s="19" t="s">
        <v>24</v>
      </c>
      <c r="O9" s="138">
        <v>5.3953488399999996</v>
      </c>
    </row>
    <row r="10" spans="1:15" ht="19" customHeight="1" x14ac:dyDescent="0.35">
      <c r="A10" s="21" t="s">
        <v>25</v>
      </c>
      <c r="B10" s="21"/>
      <c r="C10" s="21"/>
      <c r="D10" s="21"/>
      <c r="E10" s="24" t="s">
        <v>680</v>
      </c>
      <c r="F10" s="26"/>
      <c r="G10" s="26"/>
      <c r="H10" s="26"/>
      <c r="K10" s="19" t="s">
        <v>197</v>
      </c>
      <c r="L10" s="17">
        <f>L9</f>
        <v>243.75</v>
      </c>
      <c r="M10" s="19"/>
      <c r="N10" s="19" t="s">
        <v>28</v>
      </c>
      <c r="O10" s="138">
        <v>2.1511627899999999</v>
      </c>
    </row>
    <row r="11" spans="1:15" ht="19" customHeight="1" x14ac:dyDescent="0.35">
      <c r="A11" s="21" t="s">
        <v>29</v>
      </c>
      <c r="B11" s="21"/>
      <c r="C11" s="21"/>
      <c r="D11" s="21"/>
      <c r="E11" s="24" t="s">
        <v>681</v>
      </c>
      <c r="F11" s="24"/>
      <c r="G11" s="24"/>
      <c r="H11" s="24"/>
      <c r="K11" s="19" t="s">
        <v>31</v>
      </c>
      <c r="L11" s="17">
        <f>195+50+47+25+23</f>
        <v>340</v>
      </c>
      <c r="M11" s="19"/>
      <c r="N11" s="19" t="s">
        <v>33</v>
      </c>
      <c r="O11" s="138" t="s">
        <v>682</v>
      </c>
    </row>
    <row r="12" spans="1:15" ht="19" customHeight="1" x14ac:dyDescent="0.35">
      <c r="A12" s="21" t="s">
        <v>34</v>
      </c>
      <c r="B12" s="21"/>
      <c r="C12" s="21"/>
      <c r="D12" s="21"/>
      <c r="E12" s="24" t="s">
        <v>39</v>
      </c>
      <c r="F12" s="24"/>
      <c r="G12" s="24"/>
      <c r="H12" s="24"/>
      <c r="K12" s="19" t="s">
        <v>36</v>
      </c>
      <c r="L12" s="17">
        <v>100</v>
      </c>
      <c r="M12" s="19"/>
      <c r="N12" s="19" t="s">
        <v>37</v>
      </c>
      <c r="O12" s="138">
        <v>5.4</v>
      </c>
    </row>
    <row r="13" spans="1:15" ht="40.5" customHeight="1" x14ac:dyDescent="0.35">
      <c r="A13" s="21" t="s">
        <v>38</v>
      </c>
      <c r="B13" s="21"/>
      <c r="C13" s="21"/>
      <c r="D13" s="21"/>
      <c r="E13" s="139" t="s">
        <v>683</v>
      </c>
      <c r="F13" s="139"/>
      <c r="G13" s="139"/>
      <c r="H13" s="139"/>
      <c r="K13" s="19" t="s">
        <v>40</v>
      </c>
      <c r="L13" s="17">
        <v>200</v>
      </c>
      <c r="M13" s="19"/>
      <c r="N13" s="19" t="s">
        <v>41</v>
      </c>
      <c r="O13" s="138">
        <v>0</v>
      </c>
    </row>
    <row r="14" spans="1:15" ht="49" customHeight="1" x14ac:dyDescent="0.35">
      <c r="A14" s="21" t="s">
        <v>42</v>
      </c>
      <c r="B14" s="21"/>
      <c r="C14" s="21"/>
      <c r="D14" s="21"/>
      <c r="E14" s="26" t="s">
        <v>684</v>
      </c>
      <c r="F14" s="26"/>
      <c r="G14" s="26"/>
      <c r="H14" s="26"/>
      <c r="K14" s="19" t="s">
        <v>43</v>
      </c>
      <c r="L14" s="17">
        <v>150</v>
      </c>
      <c r="M14" s="19"/>
      <c r="N14" s="19" t="s">
        <v>45</v>
      </c>
      <c r="O14" s="138">
        <v>0</v>
      </c>
    </row>
    <row r="15" spans="1:15" ht="19" customHeight="1" x14ac:dyDescent="0.35">
      <c r="A15" s="21" t="s">
        <v>46</v>
      </c>
      <c r="B15" s="21"/>
      <c r="C15" s="21"/>
      <c r="D15" s="21"/>
      <c r="E15" s="24" t="s">
        <v>685</v>
      </c>
      <c r="F15" s="24"/>
      <c r="G15" s="24"/>
      <c r="H15" s="24"/>
      <c r="K15" s="19" t="s">
        <v>48</v>
      </c>
      <c r="L15" s="17">
        <f>(2.09+1.79)/2</f>
        <v>1.94</v>
      </c>
      <c r="M15" s="19"/>
      <c r="N15" s="19" t="s">
        <v>49</v>
      </c>
      <c r="O15" s="138">
        <v>0</v>
      </c>
    </row>
    <row r="16" spans="1:15" ht="19" customHeight="1" x14ac:dyDescent="0.35">
      <c r="A16" s="21" t="s">
        <v>50</v>
      </c>
      <c r="B16" s="21"/>
      <c r="C16" s="21"/>
      <c r="D16" s="21"/>
      <c r="E16" s="24" t="s">
        <v>686</v>
      </c>
      <c r="F16" s="24"/>
      <c r="G16" s="24"/>
      <c r="H16" s="24"/>
      <c r="K16" s="19" t="s">
        <v>51</v>
      </c>
      <c r="L16" s="17">
        <v>2000</v>
      </c>
      <c r="M16" s="19"/>
      <c r="N16" s="19" t="s">
        <v>52</v>
      </c>
      <c r="O16" s="138">
        <v>156.976744</v>
      </c>
    </row>
    <row r="17" spans="1:15" ht="19" customHeight="1" x14ac:dyDescent="0.35">
      <c r="A17" s="21" t="s">
        <v>53</v>
      </c>
      <c r="B17" s="21"/>
      <c r="C17" s="21"/>
      <c r="D17" s="21"/>
      <c r="E17" s="24" t="s">
        <v>444</v>
      </c>
      <c r="F17" s="24"/>
      <c r="G17" s="24"/>
      <c r="H17" s="24"/>
      <c r="K17" s="19"/>
      <c r="L17" s="17"/>
      <c r="M17" s="19"/>
      <c r="N17" s="19"/>
      <c r="O17" s="138"/>
    </row>
    <row r="18" spans="1:15" ht="19" customHeight="1" x14ac:dyDescent="0.35">
      <c r="A18" s="21" t="s">
        <v>54</v>
      </c>
      <c r="B18" s="21"/>
      <c r="C18" s="21"/>
      <c r="D18" s="21"/>
      <c r="E18" s="24" t="s">
        <v>687</v>
      </c>
      <c r="F18" s="24"/>
      <c r="G18" s="24"/>
      <c r="H18" s="24"/>
      <c r="K18" s="19" t="s">
        <v>55</v>
      </c>
      <c r="L18" s="17">
        <v>0</v>
      </c>
      <c r="M18" s="19"/>
      <c r="N18" s="19" t="s">
        <v>57</v>
      </c>
      <c r="O18" s="138" t="s">
        <v>688</v>
      </c>
    </row>
    <row r="19" spans="1:15" ht="19" customHeight="1" x14ac:dyDescent="0.35">
      <c r="A19" s="37" t="s">
        <v>58</v>
      </c>
      <c r="B19" s="21"/>
      <c r="C19" s="21"/>
      <c r="D19" s="21"/>
      <c r="E19" s="24">
        <v>2016</v>
      </c>
      <c r="F19" s="24"/>
      <c r="G19" s="24"/>
      <c r="H19" s="24"/>
      <c r="K19" s="19"/>
      <c r="L19" s="19"/>
      <c r="M19" s="19"/>
      <c r="N19" s="19" t="s">
        <v>59</v>
      </c>
      <c r="O19" s="138">
        <v>10.79</v>
      </c>
    </row>
    <row r="20" spans="1:15" ht="33.75" customHeight="1" x14ac:dyDescent="0.35">
      <c r="A20" s="37" t="s">
        <v>60</v>
      </c>
      <c r="B20" s="21"/>
      <c r="C20" s="21"/>
      <c r="D20" s="21"/>
      <c r="E20" s="24" t="s">
        <v>689</v>
      </c>
      <c r="F20" s="24"/>
      <c r="G20" s="24"/>
      <c r="H20" s="24"/>
      <c r="K20" s="19"/>
      <c r="L20" s="19"/>
      <c r="M20" s="19"/>
      <c r="N20" s="19"/>
      <c r="O20" s="19"/>
    </row>
    <row r="21" spans="1:15" ht="32.25" customHeight="1" x14ac:dyDescent="0.35">
      <c r="A21" s="37" t="s">
        <v>62</v>
      </c>
      <c r="B21" s="21"/>
      <c r="C21" s="21"/>
      <c r="D21" s="21"/>
      <c r="E21" s="24"/>
      <c r="F21" s="24"/>
      <c r="G21" s="24"/>
      <c r="H21" s="24"/>
    </row>
    <row r="22" spans="1:15" ht="32.25" customHeight="1" x14ac:dyDescent="0.35">
      <c r="A22" s="41"/>
      <c r="B22" s="42"/>
      <c r="C22" s="42"/>
      <c r="D22" s="42"/>
      <c r="E22" s="121"/>
      <c r="F22" s="121"/>
      <c r="G22" s="121"/>
      <c r="H22" s="43"/>
    </row>
    <row r="23" spans="1:15" ht="30" customHeight="1" x14ac:dyDescent="0.35">
      <c r="A23" s="44" t="s">
        <v>67</v>
      </c>
      <c r="B23" s="45"/>
      <c r="C23" s="45"/>
      <c r="D23" s="45"/>
      <c r="E23" s="93"/>
      <c r="F23" s="93"/>
      <c r="G23" s="93"/>
      <c r="H23" s="122" t="s">
        <v>68</v>
      </c>
    </row>
    <row r="24" spans="1:15" ht="111.75" customHeight="1" x14ac:dyDescent="0.35">
      <c r="A24" s="44" t="s">
        <v>339</v>
      </c>
      <c r="B24" s="45"/>
      <c r="C24" s="45"/>
      <c r="D24" s="45"/>
      <c r="E24" s="47" t="s">
        <v>690</v>
      </c>
      <c r="F24" s="47"/>
      <c r="G24" s="47"/>
      <c r="H24" s="47"/>
    </row>
    <row r="25" spans="1:15" ht="20.25" customHeight="1" x14ac:dyDescent="0.35">
      <c r="A25" s="36"/>
      <c r="B25" s="36"/>
      <c r="C25" s="36"/>
      <c r="D25" s="36"/>
    </row>
    <row r="26" spans="1:15" x14ac:dyDescent="0.35">
      <c r="A26" s="48" t="s">
        <v>71</v>
      </c>
      <c r="B26" s="48"/>
      <c r="C26" s="48"/>
      <c r="D26" s="48"/>
    </row>
    <row r="27" spans="1:15" ht="47.25" customHeight="1" x14ac:dyDescent="0.35">
      <c r="A27" s="49" t="s">
        <v>72</v>
      </c>
      <c r="B27" s="50"/>
      <c r="C27" s="51" t="s">
        <v>73</v>
      </c>
      <c r="D27" s="51" t="s">
        <v>74</v>
      </c>
      <c r="E27" s="51" t="s">
        <v>75</v>
      </c>
      <c r="F27" s="51" t="s">
        <v>76</v>
      </c>
      <c r="G27" s="52" t="s">
        <v>77</v>
      </c>
      <c r="H27" s="52" t="s">
        <v>78</v>
      </c>
    </row>
    <row r="28" spans="1:15" ht="30" customHeight="1" x14ac:dyDescent="0.35">
      <c r="A28" s="53"/>
      <c r="B28" s="50" t="s">
        <v>79</v>
      </c>
      <c r="C28" s="50" t="s">
        <v>80</v>
      </c>
      <c r="D28" s="50"/>
      <c r="E28" s="50"/>
      <c r="F28" s="50"/>
      <c r="G28" s="50"/>
      <c r="H28" s="50"/>
    </row>
    <row r="29" spans="1:15" ht="30" customHeight="1" x14ac:dyDescent="0.35">
      <c r="A29" s="54"/>
      <c r="B29" s="50" t="s">
        <v>81</v>
      </c>
      <c r="C29" s="50" t="s">
        <v>80</v>
      </c>
      <c r="D29" s="50"/>
      <c r="E29" s="50"/>
      <c r="F29" s="50"/>
      <c r="G29" s="50"/>
      <c r="H29" s="50"/>
    </row>
    <row r="30" spans="1:15" ht="30" customHeight="1" x14ac:dyDescent="0.35">
      <c r="A30" s="54"/>
      <c r="B30" s="50" t="s">
        <v>82</v>
      </c>
      <c r="C30" s="50" t="s">
        <v>80</v>
      </c>
      <c r="D30" s="50"/>
      <c r="E30" s="50"/>
      <c r="F30" s="50"/>
      <c r="G30" s="50"/>
      <c r="H30" s="50"/>
    </row>
    <row r="31" spans="1:15" ht="30" customHeight="1" x14ac:dyDescent="0.35">
      <c r="A31" s="54"/>
      <c r="B31" s="50" t="s">
        <v>83</v>
      </c>
      <c r="C31" s="50" t="s">
        <v>84</v>
      </c>
      <c r="D31" s="50"/>
      <c r="E31" s="50"/>
      <c r="F31" s="50"/>
      <c r="G31" s="50"/>
      <c r="H31" s="50"/>
    </row>
    <row r="32" spans="1:15" ht="30" customHeight="1" x14ac:dyDescent="0.35">
      <c r="A32" s="54"/>
      <c r="B32" s="50" t="s">
        <v>85</v>
      </c>
      <c r="C32" s="50" t="s">
        <v>84</v>
      </c>
      <c r="D32" s="50" t="s">
        <v>691</v>
      </c>
      <c r="E32" s="50" t="s">
        <v>692</v>
      </c>
      <c r="F32" s="50">
        <f>1850*12</f>
        <v>22200</v>
      </c>
      <c r="G32" s="50"/>
      <c r="H32" s="50"/>
      <c r="I32" s="140" t="s">
        <v>693</v>
      </c>
    </row>
    <row r="33" spans="1:9" ht="30" customHeight="1" x14ac:dyDescent="0.35">
      <c r="A33" s="54"/>
      <c r="B33" s="50" t="s">
        <v>22</v>
      </c>
      <c r="C33" s="50" t="s">
        <v>84</v>
      </c>
      <c r="D33" s="50" t="s">
        <v>694</v>
      </c>
      <c r="E33" s="50"/>
      <c r="F33" s="50"/>
      <c r="G33" s="50"/>
      <c r="H33" s="50"/>
      <c r="I33" s="2" t="s">
        <v>695</v>
      </c>
    </row>
    <row r="34" spans="1:9" ht="30" customHeight="1" x14ac:dyDescent="0.35">
      <c r="A34" s="54"/>
      <c r="B34" s="50" t="s">
        <v>90</v>
      </c>
      <c r="C34" s="50" t="s">
        <v>84</v>
      </c>
      <c r="D34" s="50"/>
      <c r="E34" s="50"/>
      <c r="F34" s="50"/>
      <c r="G34" s="50"/>
      <c r="H34" s="50"/>
    </row>
    <row r="35" spans="1:9" ht="30" customHeight="1" x14ac:dyDescent="0.35">
      <c r="A35" s="54"/>
      <c r="B35" s="55" t="s">
        <v>91</v>
      </c>
      <c r="C35" s="50" t="s">
        <v>92</v>
      </c>
      <c r="D35" s="50"/>
      <c r="E35" s="50"/>
      <c r="F35" s="50"/>
      <c r="G35" s="50"/>
      <c r="H35" s="50"/>
    </row>
    <row r="38" spans="1:9" ht="29.25" customHeight="1" x14ac:dyDescent="0.35">
      <c r="A38" s="56" t="s">
        <v>96</v>
      </c>
      <c r="B38" s="57"/>
      <c r="H38" s="46" t="s">
        <v>97</v>
      </c>
    </row>
    <row r="39" spans="1:9" ht="31" customHeight="1" x14ac:dyDescent="0.35">
      <c r="A39" s="75" t="s">
        <v>98</v>
      </c>
      <c r="B39" s="55" t="s">
        <v>99</v>
      </c>
      <c r="C39" s="50" t="s">
        <v>100</v>
      </c>
      <c r="D39" s="50" t="s">
        <v>101</v>
      </c>
      <c r="E39" s="55" t="s">
        <v>102</v>
      </c>
      <c r="F39" s="55" t="s">
        <v>103</v>
      </c>
      <c r="G39" s="55" t="s">
        <v>104</v>
      </c>
      <c r="H39" s="55" t="s">
        <v>105</v>
      </c>
    </row>
    <row r="40" spans="1:9" ht="40" customHeight="1" x14ac:dyDescent="0.35">
      <c r="A40" s="96"/>
      <c r="B40" s="50" t="s">
        <v>696</v>
      </c>
      <c r="C40" s="50" t="s">
        <v>697</v>
      </c>
      <c r="D40" s="50" t="s">
        <v>698</v>
      </c>
      <c r="E40" s="50" t="s">
        <v>699</v>
      </c>
      <c r="F40" s="50" t="s">
        <v>700</v>
      </c>
      <c r="G40" s="50"/>
      <c r="H40" s="50"/>
      <c r="I40" s="2" t="s">
        <v>701</v>
      </c>
    </row>
    <row r="41" spans="1:9" ht="40" customHeight="1" x14ac:dyDescent="0.35">
      <c r="A41" s="96"/>
      <c r="B41" s="50"/>
      <c r="C41" s="50" t="s">
        <v>702</v>
      </c>
      <c r="D41" s="50"/>
      <c r="E41" s="50"/>
      <c r="F41" s="141">
        <v>2000</v>
      </c>
      <c r="G41" s="50"/>
      <c r="H41" s="50"/>
    </row>
    <row r="42" spans="1:9" ht="40" customHeight="1" x14ac:dyDescent="0.35">
      <c r="A42" s="96"/>
      <c r="B42" s="50" t="s">
        <v>696</v>
      </c>
      <c r="C42" s="50" t="s">
        <v>703</v>
      </c>
      <c r="D42" s="50"/>
      <c r="E42" s="50"/>
      <c r="F42" s="50"/>
      <c r="G42" s="50"/>
      <c r="H42" s="50"/>
    </row>
    <row r="43" spans="1:9" ht="40" customHeight="1" x14ac:dyDescent="0.35">
      <c r="A43" s="96"/>
      <c r="B43" s="50"/>
      <c r="C43" s="50" t="s">
        <v>704</v>
      </c>
      <c r="D43" s="50"/>
      <c r="E43" s="50"/>
      <c r="F43" s="50"/>
      <c r="G43" s="50"/>
      <c r="H43" s="50"/>
    </row>
    <row r="44" spans="1:9" ht="40" customHeight="1" x14ac:dyDescent="0.35">
      <c r="A44" s="96"/>
      <c r="B44" s="50"/>
      <c r="C44" s="50" t="s">
        <v>705</v>
      </c>
      <c r="D44" s="50"/>
      <c r="E44" s="50"/>
      <c r="F44" s="50"/>
      <c r="G44" s="50"/>
      <c r="H44" s="50"/>
    </row>
    <row r="45" spans="1:9" ht="40" customHeight="1" x14ac:dyDescent="0.35">
      <c r="A45" s="96"/>
      <c r="B45" s="50" t="s">
        <v>706</v>
      </c>
      <c r="C45" s="50" t="s">
        <v>707</v>
      </c>
      <c r="D45" s="50"/>
      <c r="E45" s="50"/>
      <c r="F45" s="50"/>
      <c r="G45" s="50"/>
      <c r="H45" s="50"/>
    </row>
    <row r="46" spans="1:9" ht="40" customHeight="1" x14ac:dyDescent="0.35">
      <c r="A46" s="96"/>
      <c r="B46" s="50" t="s">
        <v>708</v>
      </c>
      <c r="C46" s="50" t="s">
        <v>709</v>
      </c>
      <c r="D46" s="50" t="s">
        <v>710</v>
      </c>
      <c r="E46" s="50" t="s">
        <v>711</v>
      </c>
      <c r="F46" s="50"/>
      <c r="G46" s="50"/>
      <c r="H46" s="50"/>
    </row>
    <row r="47" spans="1:9" x14ac:dyDescent="0.35">
      <c r="B47" s="66" t="s">
        <v>712</v>
      </c>
      <c r="C47" s="66"/>
      <c r="D47" s="66"/>
      <c r="E47" s="66"/>
      <c r="F47" s="66"/>
      <c r="G47" s="66"/>
      <c r="H47" s="66"/>
    </row>
    <row r="48" spans="1:9" x14ac:dyDescent="0.35">
      <c r="B48" s="67"/>
      <c r="C48" s="67"/>
      <c r="D48" s="67"/>
      <c r="E48" s="67"/>
      <c r="F48" s="67"/>
      <c r="G48" s="67"/>
      <c r="H48" s="67"/>
    </row>
    <row r="49" spans="1:8" x14ac:dyDescent="0.35">
      <c r="B49" s="67"/>
      <c r="C49" s="67"/>
      <c r="D49" s="67"/>
      <c r="E49" s="67"/>
      <c r="F49" s="67"/>
      <c r="G49" s="67"/>
      <c r="H49" s="67"/>
    </row>
    <row r="50" spans="1:8" x14ac:dyDescent="0.35">
      <c r="B50" s="67"/>
      <c r="C50" s="67"/>
      <c r="D50" s="67"/>
      <c r="E50" s="67"/>
      <c r="F50" s="67"/>
      <c r="G50" s="67"/>
      <c r="H50" s="67"/>
    </row>
    <row r="51" spans="1:8" x14ac:dyDescent="0.35">
      <c r="B51" s="67"/>
      <c r="C51" s="67"/>
      <c r="D51" s="67"/>
      <c r="E51" s="67"/>
      <c r="F51" s="67"/>
      <c r="G51" s="67"/>
      <c r="H51" s="67"/>
    </row>
    <row r="52" spans="1:8" x14ac:dyDescent="0.35">
      <c r="B52" s="67"/>
      <c r="C52" s="67"/>
      <c r="D52" s="67"/>
      <c r="E52" s="67"/>
      <c r="F52" s="67"/>
      <c r="G52" s="67"/>
      <c r="H52" s="67"/>
    </row>
    <row r="53" spans="1:8" ht="409.5" x14ac:dyDescent="0.35">
      <c r="B53" s="36" t="s">
        <v>713</v>
      </c>
    </row>
    <row r="56" spans="1:8" ht="27" customHeight="1" x14ac:dyDescent="0.35">
      <c r="A56" s="56" t="s">
        <v>122</v>
      </c>
      <c r="B56" s="57"/>
      <c r="H56" s="46" t="s">
        <v>123</v>
      </c>
    </row>
    <row r="57" spans="1:8" ht="45" customHeight="1" x14ac:dyDescent="0.35">
      <c r="A57" s="50"/>
      <c r="B57" s="55" t="s">
        <v>124</v>
      </c>
      <c r="C57" s="55" t="s">
        <v>125</v>
      </c>
      <c r="D57" s="55" t="s">
        <v>126</v>
      </c>
      <c r="E57" s="55" t="s">
        <v>127</v>
      </c>
      <c r="F57" s="55" t="s">
        <v>128</v>
      </c>
      <c r="G57" s="55" t="s">
        <v>129</v>
      </c>
      <c r="H57" s="63" t="s">
        <v>130</v>
      </c>
    </row>
    <row r="58" spans="1:8" ht="124" x14ac:dyDescent="0.35">
      <c r="A58" s="55" t="s">
        <v>131</v>
      </c>
      <c r="B58" s="50"/>
      <c r="C58" s="50"/>
      <c r="D58" s="50"/>
      <c r="E58" s="50"/>
      <c r="F58" s="50"/>
      <c r="G58" s="50"/>
      <c r="H58" s="64"/>
    </row>
    <row r="59" spans="1:8" ht="93" x14ac:dyDescent="0.35">
      <c r="A59" s="55" t="s">
        <v>132</v>
      </c>
      <c r="B59" s="50"/>
      <c r="C59" s="50"/>
      <c r="D59" s="50"/>
      <c r="E59" s="50"/>
      <c r="F59" s="50"/>
      <c r="G59" s="50"/>
      <c r="H59" s="64"/>
    </row>
    <row r="60" spans="1:8" ht="108.5" x14ac:dyDescent="0.35">
      <c r="A60" s="65" t="s">
        <v>133</v>
      </c>
      <c r="B60" s="50"/>
      <c r="C60" s="50"/>
      <c r="D60" s="50"/>
      <c r="E60" s="50"/>
      <c r="F60" s="50"/>
      <c r="G60" s="50"/>
      <c r="H60" s="64"/>
    </row>
    <row r="61" spans="1:8" x14ac:dyDescent="0.35">
      <c r="B61" s="66" t="s">
        <v>121</v>
      </c>
      <c r="C61" s="66"/>
      <c r="D61" s="66"/>
      <c r="E61" s="66"/>
      <c r="F61" s="66"/>
      <c r="G61" s="66"/>
      <c r="H61" s="66"/>
    </row>
    <row r="62" spans="1:8" x14ac:dyDescent="0.35">
      <c r="B62" s="67"/>
      <c r="C62" s="67"/>
      <c r="D62" s="67"/>
      <c r="E62" s="67"/>
      <c r="F62" s="67"/>
      <c r="G62" s="67"/>
      <c r="H62" s="67"/>
    </row>
    <row r="63" spans="1:8" x14ac:dyDescent="0.35">
      <c r="B63" s="67"/>
      <c r="C63" s="67"/>
      <c r="D63" s="67"/>
      <c r="E63" s="67"/>
      <c r="F63" s="67"/>
      <c r="G63" s="67"/>
      <c r="H63" s="67"/>
    </row>
    <row r="64" spans="1:8" x14ac:dyDescent="0.35">
      <c r="B64" s="67"/>
      <c r="C64" s="67"/>
      <c r="D64" s="67"/>
      <c r="E64" s="67"/>
      <c r="F64" s="67"/>
      <c r="G64" s="67"/>
      <c r="H64" s="67"/>
    </row>
    <row r="65" spans="1:8" x14ac:dyDescent="0.35">
      <c r="B65" s="67"/>
      <c r="C65" s="67"/>
      <c r="D65" s="67"/>
      <c r="E65" s="67"/>
      <c r="F65" s="67"/>
      <c r="G65" s="67"/>
      <c r="H65" s="67"/>
    </row>
    <row r="66" spans="1:8" x14ac:dyDescent="0.35">
      <c r="B66" s="36"/>
    </row>
    <row r="67" spans="1:8" x14ac:dyDescent="0.35">
      <c r="B67" s="36"/>
    </row>
    <row r="68" spans="1:8" ht="46.5" customHeight="1" x14ac:dyDescent="0.35">
      <c r="A68" s="68" t="s">
        <v>134</v>
      </c>
      <c r="B68" s="68"/>
      <c r="C68" s="69" t="s">
        <v>135</v>
      </c>
      <c r="D68" s="69" t="s">
        <v>135</v>
      </c>
      <c r="E68" s="69" t="s">
        <v>135</v>
      </c>
      <c r="F68" s="69" t="s">
        <v>135</v>
      </c>
      <c r="G68" s="69" t="s">
        <v>135</v>
      </c>
      <c r="H68" s="70" t="s">
        <v>136</v>
      </c>
    </row>
    <row r="69" spans="1:8" ht="48" customHeight="1" x14ac:dyDescent="0.35">
      <c r="A69" s="71" t="s">
        <v>137</v>
      </c>
      <c r="B69" s="71"/>
      <c r="C69" s="71"/>
      <c r="D69" s="71"/>
      <c r="E69" s="68" t="s">
        <v>714</v>
      </c>
      <c r="F69" s="68"/>
      <c r="G69" s="68"/>
      <c r="H69" s="68"/>
    </row>
    <row r="70" spans="1:8" ht="38.5" customHeight="1" x14ac:dyDescent="0.35">
      <c r="A70" s="71" t="s">
        <v>139</v>
      </c>
      <c r="B70" s="71"/>
      <c r="C70" s="71"/>
      <c r="D70" s="71"/>
      <c r="E70" s="69" t="s">
        <v>715</v>
      </c>
      <c r="F70" s="69" t="s">
        <v>135</v>
      </c>
      <c r="G70" s="69" t="s">
        <v>135</v>
      </c>
      <c r="H70" s="69" t="s">
        <v>135</v>
      </c>
    </row>
    <row r="71" spans="1:8" ht="27.75" customHeight="1" x14ac:dyDescent="0.35">
      <c r="A71" s="71" t="s">
        <v>141</v>
      </c>
      <c r="B71" s="71"/>
      <c r="C71" s="71"/>
      <c r="D71" s="71"/>
      <c r="E71" s="69" t="s">
        <v>716</v>
      </c>
      <c r="F71" s="69" t="s">
        <v>717</v>
      </c>
      <c r="G71" s="69" t="s">
        <v>718</v>
      </c>
      <c r="H71" s="69" t="s">
        <v>135</v>
      </c>
    </row>
    <row r="72" spans="1:8" ht="25" customHeight="1" x14ac:dyDescent="0.35">
      <c r="A72" s="71" t="s">
        <v>143</v>
      </c>
      <c r="B72" s="71"/>
      <c r="C72" s="71"/>
      <c r="D72" s="71"/>
      <c r="E72" s="69" t="s">
        <v>719</v>
      </c>
      <c r="F72" s="69" t="s">
        <v>135</v>
      </c>
      <c r="G72" s="69" t="s">
        <v>135</v>
      </c>
      <c r="H72" s="69" t="s">
        <v>135</v>
      </c>
    </row>
    <row r="73" spans="1:8" ht="41.25" customHeight="1" x14ac:dyDescent="0.35">
      <c r="A73" s="71" t="s">
        <v>144</v>
      </c>
      <c r="B73" s="71"/>
      <c r="C73" s="71"/>
      <c r="D73" s="71"/>
      <c r="E73" s="69" t="s">
        <v>135</v>
      </c>
      <c r="F73" s="69" t="s">
        <v>135</v>
      </c>
      <c r="G73" s="69" t="s">
        <v>135</v>
      </c>
      <c r="H73" s="69" t="s">
        <v>135</v>
      </c>
    </row>
    <row r="74" spans="1:8" ht="66" customHeight="1" x14ac:dyDescent="0.35">
      <c r="A74" s="71" t="s">
        <v>146</v>
      </c>
      <c r="B74" s="71"/>
      <c r="C74" s="71"/>
      <c r="D74" s="71"/>
      <c r="E74" s="69" t="s">
        <v>720</v>
      </c>
      <c r="F74" s="69" t="s">
        <v>721</v>
      </c>
      <c r="G74" s="69" t="s">
        <v>722</v>
      </c>
      <c r="H74" s="69" t="s">
        <v>723</v>
      </c>
    </row>
    <row r="75" spans="1:8" ht="36.75" customHeight="1" x14ac:dyDescent="0.35">
      <c r="A75" s="71" t="s">
        <v>147</v>
      </c>
      <c r="B75" s="71"/>
      <c r="C75" s="71"/>
      <c r="D75" s="71"/>
      <c r="E75" s="69" t="s">
        <v>135</v>
      </c>
      <c r="F75" s="69" t="s">
        <v>135</v>
      </c>
      <c r="G75" s="69" t="s">
        <v>135</v>
      </c>
      <c r="H75" s="69" t="s">
        <v>135</v>
      </c>
    </row>
    <row r="76" spans="1:8" ht="29.25" customHeight="1" x14ac:dyDescent="0.35">
      <c r="A76" s="73" t="s">
        <v>149</v>
      </c>
      <c r="B76" s="73"/>
      <c r="C76" s="73"/>
      <c r="D76" s="73"/>
      <c r="E76" s="74" t="s">
        <v>135</v>
      </c>
      <c r="F76" s="74" t="s">
        <v>135</v>
      </c>
      <c r="G76" s="74" t="s">
        <v>135</v>
      </c>
      <c r="H76" s="74" t="s">
        <v>135</v>
      </c>
    </row>
    <row r="77" spans="1:8" ht="43" customHeight="1" x14ac:dyDescent="0.35">
      <c r="A77" s="71" t="s">
        <v>150</v>
      </c>
      <c r="B77" s="71"/>
      <c r="C77" s="71"/>
      <c r="D77" s="71"/>
      <c r="E77" s="69" t="s">
        <v>135</v>
      </c>
      <c r="F77" s="69" t="s">
        <v>135</v>
      </c>
      <c r="G77" s="69" t="s">
        <v>135</v>
      </c>
      <c r="H77" s="69" t="s">
        <v>135</v>
      </c>
    </row>
    <row r="78" spans="1:8" ht="31" customHeight="1" x14ac:dyDescent="0.35">
      <c r="A78" s="71" t="s">
        <v>152</v>
      </c>
      <c r="B78" s="71"/>
      <c r="C78" s="71"/>
      <c r="D78" s="71"/>
      <c r="E78" s="69" t="s">
        <v>724</v>
      </c>
      <c r="F78" s="69" t="s">
        <v>725</v>
      </c>
      <c r="G78" s="69" t="s">
        <v>726</v>
      </c>
      <c r="H78" s="69" t="s">
        <v>135</v>
      </c>
    </row>
    <row r="79" spans="1:8" ht="25.5" customHeight="1" x14ac:dyDescent="0.35">
      <c r="A79" s="71" t="s">
        <v>153</v>
      </c>
      <c r="B79" s="71"/>
      <c r="C79" s="71"/>
      <c r="D79" s="71"/>
      <c r="E79" s="69" t="s">
        <v>135</v>
      </c>
      <c r="F79" s="69" t="s">
        <v>135</v>
      </c>
      <c r="G79" s="69" t="s">
        <v>135</v>
      </c>
      <c r="H79" s="69" t="s">
        <v>135</v>
      </c>
    </row>
    <row r="80" spans="1:8" ht="25" customHeight="1" x14ac:dyDescent="0.35">
      <c r="A80" s="71" t="s">
        <v>154</v>
      </c>
      <c r="B80" s="71"/>
      <c r="C80" s="71"/>
      <c r="D80" s="71"/>
      <c r="E80" s="69" t="s">
        <v>727</v>
      </c>
      <c r="F80" s="69" t="s">
        <v>135</v>
      </c>
      <c r="G80" s="69" t="s">
        <v>135</v>
      </c>
      <c r="H80" s="69" t="s">
        <v>135</v>
      </c>
    </row>
    <row r="81" spans="1:8" x14ac:dyDescent="0.35">
      <c r="A81" s="75" t="s">
        <v>155</v>
      </c>
      <c r="B81" s="75"/>
      <c r="C81" s="75"/>
      <c r="D81" s="75"/>
      <c r="E81" s="76" t="s">
        <v>135</v>
      </c>
      <c r="F81" s="76" t="s">
        <v>135</v>
      </c>
      <c r="G81" s="76" t="s">
        <v>135</v>
      </c>
      <c r="H81" s="76" t="s">
        <v>135</v>
      </c>
    </row>
    <row r="82" spans="1:8" ht="35.5" customHeight="1" x14ac:dyDescent="0.35">
      <c r="E82" s="36"/>
      <c r="F82" s="36"/>
      <c r="G82" s="36"/>
      <c r="H82" s="77" t="s">
        <v>156</v>
      </c>
    </row>
    <row r="83" spans="1:8" ht="40.5" customHeight="1" x14ac:dyDescent="0.35">
      <c r="A83" s="78" t="s">
        <v>157</v>
      </c>
      <c r="B83" s="78"/>
      <c r="C83" s="78"/>
      <c r="D83" s="78"/>
      <c r="E83" s="78"/>
      <c r="F83" s="78"/>
      <c r="G83" s="78"/>
      <c r="H83" s="78"/>
    </row>
    <row r="84" spans="1:8" ht="36" customHeight="1" x14ac:dyDescent="0.35">
      <c r="A84" s="79" t="s">
        <v>158</v>
      </c>
      <c r="B84" s="79"/>
      <c r="C84" s="80" t="s">
        <v>728</v>
      </c>
      <c r="D84" s="80"/>
      <c r="E84" s="80"/>
      <c r="F84" s="80"/>
      <c r="G84" s="80"/>
      <c r="H84" s="80"/>
    </row>
    <row r="85" spans="1:8" ht="36.75" customHeight="1" x14ac:dyDescent="0.35">
      <c r="A85" s="21" t="s">
        <v>159</v>
      </c>
      <c r="B85" s="21"/>
      <c r="C85" s="9" t="s">
        <v>729</v>
      </c>
      <c r="D85" s="9"/>
      <c r="E85" s="9"/>
      <c r="F85" s="9"/>
      <c r="G85" s="9"/>
      <c r="H85" s="9"/>
    </row>
    <row r="86" spans="1:8" ht="41.5" customHeight="1" x14ac:dyDescent="0.35">
      <c r="A86" s="21" t="s">
        <v>160</v>
      </c>
      <c r="B86" s="21"/>
      <c r="C86" s="9" t="s">
        <v>730</v>
      </c>
      <c r="D86" s="9"/>
      <c r="E86" s="9"/>
      <c r="F86" s="9"/>
      <c r="G86" s="9"/>
      <c r="H86" s="9"/>
    </row>
    <row r="87" spans="1:8" ht="38.25" customHeight="1" x14ac:dyDescent="0.35">
      <c r="A87" s="21" t="s">
        <v>162</v>
      </c>
      <c r="B87" s="21"/>
      <c r="C87" s="9"/>
      <c r="D87" s="9"/>
      <c r="E87" s="9"/>
      <c r="F87" s="9"/>
      <c r="G87" s="9"/>
      <c r="H87" s="9"/>
    </row>
    <row r="88" spans="1:8" ht="29.25" customHeight="1" x14ac:dyDescent="0.35">
      <c r="A88" s="21" t="s">
        <v>163</v>
      </c>
      <c r="B88" s="21"/>
      <c r="C88" s="9"/>
      <c r="D88" s="9"/>
      <c r="E88" s="9"/>
      <c r="F88" s="9"/>
      <c r="G88" s="9"/>
      <c r="H88" s="9"/>
    </row>
    <row r="89" spans="1:8" ht="43" customHeight="1" x14ac:dyDescent="0.35">
      <c r="A89" s="21" t="s">
        <v>164</v>
      </c>
      <c r="B89" s="21"/>
      <c r="C89" s="9" t="s">
        <v>731</v>
      </c>
      <c r="D89" s="9"/>
      <c r="E89" s="9"/>
      <c r="F89" s="9"/>
      <c r="G89" s="9"/>
      <c r="H89" s="9"/>
    </row>
    <row r="90" spans="1:8" x14ac:dyDescent="0.35">
      <c r="A90" s="21" t="s">
        <v>165</v>
      </c>
      <c r="B90" s="21"/>
      <c r="C90" s="9"/>
      <c r="D90" s="9"/>
      <c r="E90" s="9"/>
      <c r="F90" s="9"/>
      <c r="G90" s="9"/>
      <c r="H90" s="9"/>
    </row>
    <row r="91" spans="1:8" x14ac:dyDescent="0.35">
      <c r="A91" s="81" t="s">
        <v>166</v>
      </c>
      <c r="B91" s="81"/>
      <c r="C91" s="9"/>
      <c r="D91" s="9"/>
      <c r="E91" s="9"/>
      <c r="F91" s="9"/>
      <c r="G91" s="9"/>
      <c r="H91" s="9"/>
    </row>
    <row r="92" spans="1:8" ht="22.5" customHeight="1" x14ac:dyDescent="0.35">
      <c r="A92" s="81" t="s">
        <v>167</v>
      </c>
      <c r="B92" s="81"/>
      <c r="C92" s="9"/>
      <c r="D92" s="9"/>
      <c r="E92" s="9"/>
      <c r="F92" s="9"/>
      <c r="G92" s="9"/>
      <c r="H92" s="9"/>
    </row>
    <row r="93" spans="1:8" x14ac:dyDescent="0.35">
      <c r="A93" s="81" t="s">
        <v>169</v>
      </c>
      <c r="B93" s="81"/>
      <c r="C93" s="9" t="s">
        <v>732</v>
      </c>
      <c r="D93" s="9"/>
      <c r="E93" s="9"/>
      <c r="F93" s="9"/>
      <c r="G93" s="9"/>
      <c r="H93" s="9"/>
    </row>
    <row r="94" spans="1:8" ht="46.5" customHeight="1" x14ac:dyDescent="0.35">
      <c r="A94" s="81" t="s">
        <v>171</v>
      </c>
      <c r="B94" s="81"/>
      <c r="C94" s="82" t="s">
        <v>380</v>
      </c>
      <c r="D94" s="82"/>
      <c r="E94" s="82"/>
      <c r="F94" s="82"/>
      <c r="G94" s="82"/>
      <c r="H94" s="82"/>
    </row>
    <row r="95" spans="1:8" ht="31" customHeight="1" x14ac:dyDescent="0.35">
      <c r="A95" s="21" t="s">
        <v>173</v>
      </c>
      <c r="B95" s="21"/>
      <c r="C95" s="80" t="s">
        <v>174</v>
      </c>
      <c r="D95" s="80"/>
      <c r="E95" s="80"/>
      <c r="F95" s="80"/>
      <c r="G95" s="80"/>
      <c r="H95" s="80"/>
    </row>
    <row r="96" spans="1:8" ht="31" customHeight="1" x14ac:dyDescent="0.35">
      <c r="A96" s="21" t="s">
        <v>175</v>
      </c>
      <c r="B96" s="21"/>
      <c r="C96" s="9"/>
      <c r="D96" s="9"/>
      <c r="E96" s="9"/>
      <c r="F96" s="9"/>
      <c r="G96" s="9"/>
      <c r="H96" s="9"/>
    </row>
    <row r="97" spans="1:8" ht="23.5" customHeight="1" x14ac:dyDescent="0.35">
      <c r="A97" s="83"/>
      <c r="B97" s="83"/>
      <c r="C97" s="84"/>
      <c r="D97" s="84"/>
      <c r="E97" s="84"/>
      <c r="F97" s="84"/>
      <c r="G97" s="84"/>
      <c r="H97" s="84"/>
    </row>
    <row r="98" spans="1:8" ht="45.75" customHeight="1" x14ac:dyDescent="0.35">
      <c r="A98" s="83"/>
      <c r="B98" s="83"/>
      <c r="C98" s="84"/>
      <c r="D98" s="84"/>
      <c r="E98" s="84"/>
      <c r="F98" s="84"/>
      <c r="G98" s="84"/>
      <c r="H98" s="85" t="s">
        <v>176</v>
      </c>
    </row>
    <row r="99" spans="1:8" ht="36" customHeight="1" x14ac:dyDescent="0.35">
      <c r="A99" s="21" t="s">
        <v>177</v>
      </c>
      <c r="B99" s="21"/>
      <c r="C99" s="9" t="s">
        <v>733</v>
      </c>
      <c r="D99" s="9"/>
      <c r="E99" s="9"/>
      <c r="F99" s="9"/>
      <c r="G99" s="9"/>
      <c r="H99" s="9"/>
    </row>
    <row r="100" spans="1:8" ht="46.5" customHeight="1" x14ac:dyDescent="0.35">
      <c r="A100" s="21" t="s">
        <v>178</v>
      </c>
      <c r="B100" s="21"/>
      <c r="C100" s="9" t="s">
        <v>734</v>
      </c>
      <c r="D100" s="9"/>
      <c r="E100" s="9"/>
      <c r="F100" s="9"/>
      <c r="G100" s="9"/>
      <c r="H100" s="9"/>
    </row>
    <row r="101" spans="1:8" ht="69.75" customHeight="1" x14ac:dyDescent="0.35">
      <c r="A101" s="21" t="s">
        <v>180</v>
      </c>
      <c r="B101" s="21"/>
      <c r="C101" s="9" t="s">
        <v>735</v>
      </c>
      <c r="D101" s="9"/>
      <c r="E101" s="9"/>
      <c r="F101" s="9"/>
      <c r="G101" s="9"/>
      <c r="H101" s="9"/>
    </row>
    <row r="102" spans="1:8" ht="51.75" customHeight="1" x14ac:dyDescent="0.35">
      <c r="A102" s="21" t="s">
        <v>182</v>
      </c>
      <c r="B102" s="21"/>
      <c r="C102" s="9"/>
      <c r="D102" s="9"/>
      <c r="E102" s="9"/>
      <c r="F102" s="9"/>
      <c r="G102" s="9"/>
      <c r="H102" s="9"/>
    </row>
    <row r="103" spans="1:8" ht="34.5" customHeight="1" x14ac:dyDescent="0.35">
      <c r="A103" s="93" t="s">
        <v>183</v>
      </c>
      <c r="B103" s="93"/>
      <c r="C103" s="86" t="s">
        <v>736</v>
      </c>
      <c r="D103" s="86"/>
      <c r="E103" s="86"/>
      <c r="F103" s="86"/>
      <c r="G103" s="86"/>
      <c r="H103" s="86"/>
    </row>
    <row r="104" spans="1:8" ht="54" customHeight="1" x14ac:dyDescent="0.35">
      <c r="A104" s="45" t="s">
        <v>185</v>
      </c>
      <c r="B104" s="45"/>
      <c r="C104" s="80" t="s">
        <v>737</v>
      </c>
      <c r="D104" s="80"/>
      <c r="E104" s="80"/>
      <c r="F104" s="80"/>
      <c r="G104" s="80"/>
      <c r="H104" s="80"/>
    </row>
    <row r="105" spans="1:8" ht="54.75" customHeight="1" x14ac:dyDescent="0.35">
      <c r="A105" s="79" t="s">
        <v>187</v>
      </c>
      <c r="B105" s="79"/>
      <c r="C105" s="9" t="s">
        <v>738</v>
      </c>
      <c r="D105" s="9"/>
      <c r="E105" s="9"/>
      <c r="F105" s="9"/>
      <c r="G105" s="9"/>
      <c r="H105" s="9"/>
    </row>
    <row r="106" spans="1:8" ht="56.25" customHeight="1" x14ac:dyDescent="0.35">
      <c r="A106" s="21" t="s">
        <v>188</v>
      </c>
      <c r="B106" s="21"/>
      <c r="C106" s="9"/>
      <c r="D106" s="9"/>
      <c r="E106" s="9"/>
      <c r="F106" s="9"/>
      <c r="G106" s="9"/>
      <c r="H106" s="9"/>
    </row>
    <row r="107" spans="1:8" ht="54" customHeight="1" x14ac:dyDescent="0.35">
      <c r="A107" s="21" t="s">
        <v>189</v>
      </c>
      <c r="B107" s="21"/>
      <c r="C107" s="9" t="s">
        <v>739</v>
      </c>
      <c r="D107" s="9"/>
      <c r="E107" s="9"/>
      <c r="F107" s="9"/>
      <c r="G107" s="9"/>
      <c r="H107" s="9"/>
    </row>
    <row r="108" spans="1:8" x14ac:dyDescent="0.35">
      <c r="C108" s="2" t="s">
        <v>740</v>
      </c>
    </row>
  </sheetData>
  <mergeCells count="108">
    <mergeCell ref="A105:B105"/>
    <mergeCell ref="C105:H105"/>
    <mergeCell ref="A106:B106"/>
    <mergeCell ref="C106:H106"/>
    <mergeCell ref="A107:B107"/>
    <mergeCell ref="C107:H107"/>
    <mergeCell ref="A102:B102"/>
    <mergeCell ref="C102:H102"/>
    <mergeCell ref="A103:B103"/>
    <mergeCell ref="C103:H103"/>
    <mergeCell ref="A104:B104"/>
    <mergeCell ref="C104:H104"/>
    <mergeCell ref="A99:B99"/>
    <mergeCell ref="C99:H99"/>
    <mergeCell ref="A100:B100"/>
    <mergeCell ref="C100:H100"/>
    <mergeCell ref="A101:B101"/>
    <mergeCell ref="C101:H101"/>
    <mergeCell ref="A94:B94"/>
    <mergeCell ref="C94:H94"/>
    <mergeCell ref="A95:B95"/>
    <mergeCell ref="C95:H95"/>
    <mergeCell ref="A96:B96"/>
    <mergeCell ref="C96:H96"/>
    <mergeCell ref="A91:B91"/>
    <mergeCell ref="C91:H91"/>
    <mergeCell ref="A92:B92"/>
    <mergeCell ref="C92:H92"/>
    <mergeCell ref="A93:B93"/>
    <mergeCell ref="C93:H93"/>
    <mergeCell ref="A88:B88"/>
    <mergeCell ref="C88:H88"/>
    <mergeCell ref="A89:B89"/>
    <mergeCell ref="C89:H89"/>
    <mergeCell ref="A90:B90"/>
    <mergeCell ref="C90:H90"/>
    <mergeCell ref="A85:B85"/>
    <mergeCell ref="C85:H85"/>
    <mergeCell ref="A86:B86"/>
    <mergeCell ref="C86:H86"/>
    <mergeCell ref="A87:B87"/>
    <mergeCell ref="C87:H87"/>
    <mergeCell ref="A79:D79"/>
    <mergeCell ref="A80:D80"/>
    <mergeCell ref="A81:D81"/>
    <mergeCell ref="A83:H83"/>
    <mergeCell ref="A84:B84"/>
    <mergeCell ref="C84:H84"/>
    <mergeCell ref="A73:D73"/>
    <mergeCell ref="A74:D74"/>
    <mergeCell ref="A75:D75"/>
    <mergeCell ref="A76:D76"/>
    <mergeCell ref="A77:D77"/>
    <mergeCell ref="A78:D78"/>
    <mergeCell ref="A68:B68"/>
    <mergeCell ref="A69:D69"/>
    <mergeCell ref="E69:H69"/>
    <mergeCell ref="A70:D70"/>
    <mergeCell ref="A71:D71"/>
    <mergeCell ref="A72:D72"/>
    <mergeCell ref="A27:A28"/>
    <mergeCell ref="A38:B38"/>
    <mergeCell ref="A39:A46"/>
    <mergeCell ref="B47:H52"/>
    <mergeCell ref="A56:B56"/>
    <mergeCell ref="B61:H65"/>
    <mergeCell ref="A21:D21"/>
    <mergeCell ref="E21:H21"/>
    <mergeCell ref="A23:D23"/>
    <mergeCell ref="E23:G23"/>
    <mergeCell ref="A24:D24"/>
    <mergeCell ref="E24:H24"/>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47B3D-42EA-469E-9E02-C2ACDF7EACF4}">
  <dimension ref="A1:O107"/>
  <sheetViews>
    <sheetView tabSelected="1" topLeftCell="A10" zoomScale="77" zoomScaleNormal="125" workbookViewId="0">
      <selection activeCell="J12" sqref="J12"/>
    </sheetView>
  </sheetViews>
  <sheetFormatPr defaultColWidth="11.81640625" defaultRowHeight="15.5" x14ac:dyDescent="0.35"/>
  <cols>
    <col min="1" max="1" width="13.08984375" style="2" customWidth="1"/>
    <col min="2" max="2" width="18.90625" style="2" customWidth="1"/>
    <col min="3" max="4" width="12" style="2" customWidth="1"/>
    <col min="5" max="6" width="14.90625" style="2" customWidth="1"/>
    <col min="7" max="7" width="16.36328125" style="2" customWidth="1"/>
    <col min="8" max="8" width="15.26953125" style="2" customWidth="1"/>
    <col min="9" max="10" width="11.81640625" style="2"/>
    <col min="11" max="11" width="20.54296875" style="2" customWidth="1"/>
    <col min="12" max="12" width="13.81640625" style="2" customWidth="1"/>
    <col min="13" max="13" width="11.81640625" style="2"/>
    <col min="14" max="14" width="18.90625" style="2" customWidth="1"/>
    <col min="15" max="16384" width="11.81640625" style="2"/>
  </cols>
  <sheetData>
    <row r="1" spans="1:15" x14ac:dyDescent="0.35">
      <c r="A1" s="1" t="s">
        <v>0</v>
      </c>
      <c r="B1" s="1"/>
      <c r="C1" s="1"/>
      <c r="D1" s="1"/>
      <c r="H1" s="3" t="s">
        <v>1</v>
      </c>
    </row>
    <row r="2" spans="1:15" ht="24" customHeight="1" thickBot="1" x14ac:dyDescent="0.4">
      <c r="A2" s="4" t="s">
        <v>2</v>
      </c>
      <c r="B2" s="4"/>
      <c r="C2" s="4"/>
      <c r="D2" s="4"/>
      <c r="E2" s="5"/>
      <c r="F2" s="6"/>
    </row>
    <row r="3" spans="1:15" ht="19" customHeight="1" thickBot="1" x14ac:dyDescent="0.4">
      <c r="A3" s="7" t="s">
        <v>3</v>
      </c>
      <c r="B3" s="7"/>
      <c r="C3" s="7"/>
      <c r="D3" s="7"/>
      <c r="E3" s="8" t="s">
        <v>625</v>
      </c>
      <c r="F3" s="8"/>
      <c r="G3" s="8"/>
      <c r="H3" s="8"/>
    </row>
    <row r="4" spans="1:15" ht="19" customHeight="1" x14ac:dyDescent="0.35">
      <c r="A4" s="9" t="s">
        <v>5</v>
      </c>
      <c r="B4" s="9"/>
      <c r="C4" s="9"/>
      <c r="D4" s="9"/>
      <c r="E4" s="10" t="s">
        <v>626</v>
      </c>
      <c r="F4" s="10"/>
      <c r="G4" s="10"/>
      <c r="H4" s="10"/>
      <c r="K4" s="11" t="s">
        <v>7</v>
      </c>
      <c r="L4" s="12"/>
      <c r="M4" s="12"/>
      <c r="N4" s="12"/>
      <c r="O4" s="13"/>
    </row>
    <row r="5" spans="1:15" ht="19" customHeight="1" x14ac:dyDescent="0.35">
      <c r="A5" s="9" t="s">
        <v>8</v>
      </c>
      <c r="B5" s="9"/>
      <c r="C5" s="9"/>
      <c r="D5" s="9"/>
      <c r="E5" s="92" t="s">
        <v>627</v>
      </c>
      <c r="F5" s="92"/>
      <c r="G5" s="92"/>
      <c r="H5" s="92"/>
      <c r="K5" s="14" t="s">
        <v>10</v>
      </c>
      <c r="O5" s="15"/>
    </row>
    <row r="6" spans="1:15" ht="19" customHeight="1" x14ac:dyDescent="0.35">
      <c r="A6" s="9" t="s">
        <v>11</v>
      </c>
      <c r="B6" s="9"/>
      <c r="C6" s="9"/>
      <c r="D6" s="9"/>
      <c r="E6" s="10" t="s">
        <v>628</v>
      </c>
      <c r="F6" s="10"/>
      <c r="G6" s="10"/>
      <c r="H6" s="10"/>
      <c r="K6" s="16" t="s">
        <v>13</v>
      </c>
      <c r="L6" s="17">
        <v>77</v>
      </c>
      <c r="O6" s="15"/>
    </row>
    <row r="7" spans="1:15" ht="19" customHeight="1" x14ac:dyDescent="0.35">
      <c r="A7" s="9" t="s">
        <v>14</v>
      </c>
      <c r="B7" s="9"/>
      <c r="C7" s="9"/>
      <c r="D7" s="9"/>
      <c r="E7" s="10" t="s">
        <v>629</v>
      </c>
      <c r="F7" s="10"/>
      <c r="G7" s="10"/>
      <c r="H7" s="10"/>
      <c r="K7" s="18" t="s">
        <v>16</v>
      </c>
      <c r="L7" s="17">
        <v>5760</v>
      </c>
      <c r="N7" s="19" t="s">
        <v>17</v>
      </c>
      <c r="O7" s="87">
        <f>L7/L6</f>
        <v>74.805194805194802</v>
      </c>
    </row>
    <row r="8" spans="1:15" ht="19" customHeight="1" x14ac:dyDescent="0.35">
      <c r="A8" s="21" t="s">
        <v>18</v>
      </c>
      <c r="B8" s="21"/>
      <c r="C8" s="21"/>
      <c r="D8" s="21"/>
      <c r="E8" s="24" t="s">
        <v>630</v>
      </c>
      <c r="F8" s="24"/>
      <c r="G8" s="24"/>
      <c r="H8" s="24"/>
      <c r="K8" s="18" t="s">
        <v>19</v>
      </c>
      <c r="L8" s="17">
        <f>8525</f>
        <v>8525</v>
      </c>
      <c r="N8" s="19" t="s">
        <v>20</v>
      </c>
      <c r="O8" s="23">
        <f>L8/L6</f>
        <v>110.71428571428571</v>
      </c>
    </row>
    <row r="9" spans="1:15" ht="19" customHeight="1" x14ac:dyDescent="0.35">
      <c r="A9" s="21" t="s">
        <v>330</v>
      </c>
      <c r="B9" s="21"/>
      <c r="C9" s="21"/>
      <c r="D9" s="21"/>
      <c r="E9" s="24" t="s">
        <v>631</v>
      </c>
      <c r="F9" s="24"/>
      <c r="G9" s="24"/>
      <c r="H9" s="24"/>
      <c r="K9" s="18" t="s">
        <v>23</v>
      </c>
      <c r="L9" s="17">
        <f>(0.75*7*200)+L10</f>
        <v>2450</v>
      </c>
      <c r="N9" s="19" t="s">
        <v>24</v>
      </c>
      <c r="O9" s="87">
        <f>L9/L6</f>
        <v>31.818181818181817</v>
      </c>
    </row>
    <row r="10" spans="1:15" ht="19" customHeight="1" x14ac:dyDescent="0.35">
      <c r="A10" s="21" t="s">
        <v>25</v>
      </c>
      <c r="B10" s="21"/>
      <c r="C10" s="21"/>
      <c r="D10" s="21"/>
      <c r="E10" s="24" t="s">
        <v>632</v>
      </c>
      <c r="F10" s="26"/>
      <c r="G10" s="26"/>
      <c r="H10" s="26"/>
      <c r="K10" s="18" t="s">
        <v>197</v>
      </c>
      <c r="L10" s="17">
        <f>K45</f>
        <v>1400</v>
      </c>
      <c r="N10" s="19" t="s">
        <v>28</v>
      </c>
      <c r="O10" s="87">
        <f>L10/L6</f>
        <v>18.181818181818183</v>
      </c>
    </row>
    <row r="11" spans="1:15" ht="19" customHeight="1" x14ac:dyDescent="0.35">
      <c r="A11" s="21" t="s">
        <v>29</v>
      </c>
      <c r="B11" s="21"/>
      <c r="C11" s="21"/>
      <c r="D11" s="21"/>
      <c r="E11" s="24" t="s">
        <v>633</v>
      </c>
      <c r="F11" s="24"/>
      <c r="G11" s="24"/>
      <c r="H11" s="24"/>
      <c r="K11" s="18" t="s">
        <v>31</v>
      </c>
      <c r="L11" s="28">
        <f>0.75*L10</f>
        <v>1050</v>
      </c>
      <c r="N11" s="19" t="s">
        <v>33</v>
      </c>
      <c r="O11" s="29">
        <f>(L11*L15)/L6</f>
        <v>25.90909090909091</v>
      </c>
    </row>
    <row r="12" spans="1:15" ht="19" customHeight="1" x14ac:dyDescent="0.35">
      <c r="A12" s="21" t="s">
        <v>34</v>
      </c>
      <c r="B12" s="21"/>
      <c r="C12" s="21"/>
      <c r="D12" s="21"/>
      <c r="E12" s="24" t="s">
        <v>26</v>
      </c>
      <c r="F12" s="24"/>
      <c r="G12" s="24"/>
      <c r="H12" s="24"/>
      <c r="K12" s="18" t="s">
        <v>36</v>
      </c>
      <c r="L12" s="17">
        <f>((0.75*7)+2)*200</f>
        <v>1450</v>
      </c>
      <c r="N12" s="19" t="s">
        <v>37</v>
      </c>
      <c r="O12" s="20">
        <f>L12/L6</f>
        <v>18.831168831168831</v>
      </c>
    </row>
    <row r="13" spans="1:15" ht="53" customHeight="1" x14ac:dyDescent="0.35">
      <c r="A13" s="21" t="s">
        <v>38</v>
      </c>
      <c r="B13" s="21"/>
      <c r="C13" s="21"/>
      <c r="D13" s="21"/>
      <c r="E13" s="137" t="s">
        <v>634</v>
      </c>
      <c r="F13" s="137"/>
      <c r="G13" s="137"/>
      <c r="H13" s="137"/>
      <c r="K13" s="18" t="s">
        <v>40</v>
      </c>
      <c r="L13" s="17">
        <v>80</v>
      </c>
      <c r="N13" s="19" t="s">
        <v>41</v>
      </c>
      <c r="O13" s="87">
        <f>L13/L6</f>
        <v>1.0389610389610389</v>
      </c>
    </row>
    <row r="14" spans="1:15" ht="32.25" customHeight="1" x14ac:dyDescent="0.35">
      <c r="A14" s="21" t="s">
        <v>42</v>
      </c>
      <c r="B14" s="21"/>
      <c r="C14" s="21"/>
      <c r="D14" s="21"/>
      <c r="E14" s="26" t="s">
        <v>635</v>
      </c>
      <c r="F14" s="26"/>
      <c r="G14" s="26"/>
      <c r="H14" s="26"/>
      <c r="K14" s="18" t="s">
        <v>43</v>
      </c>
      <c r="L14" s="17">
        <f>L13*0.75</f>
        <v>60</v>
      </c>
      <c r="N14" s="19" t="s">
        <v>45</v>
      </c>
      <c r="O14" s="87">
        <f>(L14*L15)/L6</f>
        <v>1.4805194805194806</v>
      </c>
    </row>
    <row r="15" spans="1:15" ht="19" customHeight="1" x14ac:dyDescent="0.35">
      <c r="A15" s="21" t="s">
        <v>46</v>
      </c>
      <c r="B15" s="21"/>
      <c r="C15" s="21"/>
      <c r="D15" s="21"/>
      <c r="E15" s="24" t="s">
        <v>636</v>
      </c>
      <c r="F15" s="24"/>
      <c r="G15" s="24"/>
      <c r="H15" s="24"/>
      <c r="K15" s="18" t="s">
        <v>48</v>
      </c>
      <c r="L15" s="17">
        <v>1.9</v>
      </c>
      <c r="N15" s="19" t="s">
        <v>49</v>
      </c>
      <c r="O15" s="87">
        <f>L18/L6</f>
        <v>0</v>
      </c>
    </row>
    <row r="16" spans="1:15" ht="19" customHeight="1" x14ac:dyDescent="0.35">
      <c r="A16" s="21" t="s">
        <v>50</v>
      </c>
      <c r="B16" s="21"/>
      <c r="C16" s="21"/>
      <c r="D16" s="21"/>
      <c r="E16" s="24" t="s">
        <v>637</v>
      </c>
      <c r="F16" s="24"/>
      <c r="G16" s="24"/>
      <c r="H16" s="24"/>
      <c r="K16" s="32" t="s">
        <v>51</v>
      </c>
      <c r="L16" s="33">
        <v>31606</v>
      </c>
      <c r="N16" s="88" t="s">
        <v>52</v>
      </c>
      <c r="O16" s="124">
        <f>L16/L6</f>
        <v>410.46753246753246</v>
      </c>
    </row>
    <row r="17" spans="1:15" ht="19" customHeight="1" x14ac:dyDescent="0.35">
      <c r="A17" s="21" t="s">
        <v>53</v>
      </c>
      <c r="B17" s="21"/>
      <c r="C17" s="21"/>
      <c r="D17" s="21"/>
      <c r="E17" s="24" t="s">
        <v>444</v>
      </c>
      <c r="F17" s="24"/>
      <c r="G17" s="24"/>
      <c r="H17" s="24"/>
      <c r="L17" s="33" t="s">
        <v>44</v>
      </c>
    </row>
    <row r="18" spans="1:15" ht="19" customHeight="1" x14ac:dyDescent="0.35">
      <c r="A18" s="21" t="s">
        <v>54</v>
      </c>
      <c r="B18" s="21"/>
      <c r="C18" s="21"/>
      <c r="D18" s="21"/>
      <c r="E18" s="24" t="s">
        <v>638</v>
      </c>
      <c r="F18" s="24"/>
      <c r="G18" s="24"/>
      <c r="H18" s="24"/>
      <c r="K18" s="18" t="s">
        <v>55</v>
      </c>
      <c r="L18" s="17">
        <v>0</v>
      </c>
      <c r="N18" s="19" t="s">
        <v>57</v>
      </c>
      <c r="O18" s="23">
        <f>O8+O11+O14+O15+O16</f>
        <v>548.57142857142856</v>
      </c>
    </row>
    <row r="19" spans="1:15" ht="19" customHeight="1" thickBot="1" x14ac:dyDescent="0.4">
      <c r="A19" s="37" t="s">
        <v>58</v>
      </c>
      <c r="B19" s="21"/>
      <c r="C19" s="21"/>
      <c r="D19" s="21"/>
      <c r="E19" s="24">
        <v>1967</v>
      </c>
      <c r="F19" s="24"/>
      <c r="G19" s="24"/>
      <c r="H19" s="24"/>
      <c r="K19" s="38"/>
      <c r="L19" s="5"/>
      <c r="M19" s="5"/>
      <c r="N19" s="90" t="s">
        <v>59</v>
      </c>
      <c r="O19" s="40">
        <f>O9+O12</f>
        <v>50.649350649350652</v>
      </c>
    </row>
    <row r="20" spans="1:15" ht="33.75" customHeight="1" x14ac:dyDescent="0.35">
      <c r="A20" s="37" t="s">
        <v>60</v>
      </c>
      <c r="B20" s="21"/>
      <c r="C20" s="21"/>
      <c r="D20" s="21"/>
      <c r="E20" s="24" t="s">
        <v>639</v>
      </c>
      <c r="F20" s="24"/>
      <c r="G20" s="24"/>
      <c r="H20" s="24"/>
    </row>
    <row r="21" spans="1:15" ht="32.25" customHeight="1" x14ac:dyDescent="0.35">
      <c r="A21" s="37" t="s">
        <v>62</v>
      </c>
      <c r="B21" s="21"/>
      <c r="C21" s="21"/>
      <c r="D21" s="21"/>
      <c r="E21" s="24" t="s">
        <v>640</v>
      </c>
      <c r="F21" s="24"/>
      <c r="G21" s="24"/>
      <c r="H21" s="24"/>
    </row>
    <row r="22" spans="1:15" ht="32.25" customHeight="1" x14ac:dyDescent="0.35">
      <c r="A22" s="41"/>
      <c r="B22" s="42"/>
      <c r="C22" s="42"/>
      <c r="D22" s="42"/>
      <c r="E22" s="121"/>
      <c r="F22" s="121"/>
      <c r="G22" s="121"/>
      <c r="H22" s="43"/>
    </row>
    <row r="23" spans="1:15" ht="30" customHeight="1" x14ac:dyDescent="0.35">
      <c r="A23" s="44" t="s">
        <v>67</v>
      </c>
      <c r="B23" s="45"/>
      <c r="C23" s="45"/>
      <c r="D23" s="45"/>
      <c r="E23" s="93"/>
      <c r="F23" s="93"/>
      <c r="G23" s="93"/>
      <c r="H23" s="122" t="s">
        <v>68</v>
      </c>
    </row>
    <row r="24" spans="1:15" ht="111.75" customHeight="1" x14ac:dyDescent="0.35">
      <c r="A24" s="44" t="s">
        <v>339</v>
      </c>
      <c r="B24" s="45"/>
      <c r="C24" s="45"/>
      <c r="D24" s="45"/>
      <c r="E24" s="47" t="s">
        <v>641</v>
      </c>
      <c r="F24" s="47"/>
      <c r="G24" s="47"/>
      <c r="H24" s="47"/>
    </row>
    <row r="25" spans="1:15" ht="20.25" customHeight="1" x14ac:dyDescent="0.35">
      <c r="A25" s="36"/>
      <c r="B25" s="36"/>
      <c r="C25" s="36"/>
      <c r="D25" s="36"/>
    </row>
    <row r="26" spans="1:15" x14ac:dyDescent="0.35">
      <c r="A26" s="48" t="s">
        <v>71</v>
      </c>
      <c r="B26" s="48"/>
      <c r="C26" s="48"/>
      <c r="D26" s="48"/>
    </row>
    <row r="27" spans="1:15" ht="47.25" customHeight="1" x14ac:dyDescent="0.35">
      <c r="A27" s="49" t="s">
        <v>72</v>
      </c>
      <c r="B27" s="50"/>
      <c r="C27" s="51" t="s">
        <v>73</v>
      </c>
      <c r="D27" s="51" t="s">
        <v>74</v>
      </c>
      <c r="E27" s="51" t="s">
        <v>75</v>
      </c>
      <c r="F27" s="51" t="s">
        <v>76</v>
      </c>
      <c r="G27" s="52" t="s">
        <v>77</v>
      </c>
      <c r="H27" s="52" t="s">
        <v>78</v>
      </c>
    </row>
    <row r="28" spans="1:15" ht="30" customHeight="1" x14ac:dyDescent="0.35">
      <c r="A28" s="53"/>
      <c r="B28" s="50" t="s">
        <v>79</v>
      </c>
      <c r="C28" s="50" t="s">
        <v>80</v>
      </c>
      <c r="D28" s="50" t="s">
        <v>26</v>
      </c>
      <c r="E28" s="50"/>
      <c r="F28" s="50"/>
      <c r="G28" s="50"/>
      <c r="H28" s="50"/>
      <c r="I28" s="2" t="s">
        <v>642</v>
      </c>
    </row>
    <row r="29" spans="1:15" ht="30" customHeight="1" x14ac:dyDescent="0.35">
      <c r="A29" s="54"/>
      <c r="B29" s="50" t="s">
        <v>81</v>
      </c>
      <c r="C29" s="50" t="s">
        <v>80</v>
      </c>
      <c r="D29" s="50" t="s">
        <v>643</v>
      </c>
      <c r="E29" s="50"/>
      <c r="F29" s="50" t="s">
        <v>644</v>
      </c>
      <c r="G29" s="50"/>
      <c r="H29" s="50"/>
      <c r="I29" s="2" t="s">
        <v>645</v>
      </c>
    </row>
    <row r="30" spans="1:15" ht="30" customHeight="1" x14ac:dyDescent="0.35">
      <c r="A30" s="54"/>
      <c r="B30" s="50" t="s">
        <v>82</v>
      </c>
      <c r="C30" s="50" t="s">
        <v>80</v>
      </c>
      <c r="D30" s="50" t="s">
        <v>26</v>
      </c>
      <c r="E30" s="50"/>
      <c r="F30" s="50"/>
      <c r="G30" s="50"/>
      <c r="H30" s="50"/>
      <c r="I30" s="2" t="s">
        <v>646</v>
      </c>
    </row>
    <row r="31" spans="1:15" ht="30" customHeight="1" x14ac:dyDescent="0.35">
      <c r="A31" s="54"/>
      <c r="B31" s="50" t="s">
        <v>83</v>
      </c>
      <c r="C31" s="50" t="s">
        <v>84</v>
      </c>
      <c r="D31" s="50" t="s">
        <v>647</v>
      </c>
      <c r="E31" s="50"/>
      <c r="F31" s="50"/>
      <c r="G31" s="50"/>
      <c r="H31" s="50"/>
    </row>
    <row r="32" spans="1:15" ht="30" customHeight="1" x14ac:dyDescent="0.35">
      <c r="A32" s="54"/>
      <c r="B32" s="50" t="s">
        <v>85</v>
      </c>
      <c r="C32" s="50" t="s">
        <v>84</v>
      </c>
      <c r="D32" s="50" t="s">
        <v>26</v>
      </c>
      <c r="E32" s="50"/>
      <c r="F32" s="50"/>
      <c r="G32" s="50"/>
      <c r="H32" s="50"/>
    </row>
    <row r="33" spans="1:11" ht="30" customHeight="1" x14ac:dyDescent="0.35">
      <c r="A33" s="54"/>
      <c r="B33" s="50" t="s">
        <v>22</v>
      </c>
      <c r="C33" s="50" t="s">
        <v>84</v>
      </c>
      <c r="D33" s="50" t="s">
        <v>648</v>
      </c>
      <c r="E33" s="50"/>
      <c r="F33" s="50"/>
      <c r="G33" s="50"/>
      <c r="H33" s="50"/>
      <c r="I33" s="2" t="s">
        <v>649</v>
      </c>
    </row>
    <row r="34" spans="1:11" ht="30" customHeight="1" x14ac:dyDescent="0.35">
      <c r="A34" s="54"/>
      <c r="B34" s="50" t="s">
        <v>90</v>
      </c>
      <c r="C34" s="50" t="s">
        <v>84</v>
      </c>
      <c r="D34" s="50" t="s">
        <v>619</v>
      </c>
      <c r="E34" s="50"/>
      <c r="F34" s="50"/>
      <c r="G34" s="50"/>
      <c r="H34" s="50"/>
    </row>
    <row r="35" spans="1:11" ht="30" customHeight="1" x14ac:dyDescent="0.35">
      <c r="A35" s="54"/>
      <c r="B35" s="55" t="s">
        <v>91</v>
      </c>
      <c r="C35" s="50" t="s">
        <v>92</v>
      </c>
      <c r="D35" s="50" t="s">
        <v>619</v>
      </c>
      <c r="E35" s="50"/>
      <c r="F35" s="50"/>
      <c r="G35" s="50"/>
      <c r="H35" s="50"/>
    </row>
    <row r="38" spans="1:11" ht="29.25" customHeight="1" x14ac:dyDescent="0.35">
      <c r="A38" s="56" t="s">
        <v>96</v>
      </c>
      <c r="B38" s="57"/>
      <c r="H38" s="46" t="s">
        <v>97</v>
      </c>
    </row>
    <row r="39" spans="1:11" ht="31" customHeight="1" x14ac:dyDescent="0.35">
      <c r="A39" s="75" t="s">
        <v>98</v>
      </c>
      <c r="B39" s="55" t="s">
        <v>99</v>
      </c>
      <c r="C39" s="50" t="s">
        <v>100</v>
      </c>
      <c r="D39" s="50" t="s">
        <v>101</v>
      </c>
      <c r="E39" s="55" t="s">
        <v>102</v>
      </c>
      <c r="F39" s="55" t="s">
        <v>103</v>
      </c>
      <c r="G39" s="55" t="s">
        <v>104</v>
      </c>
      <c r="H39" s="55" t="s">
        <v>105</v>
      </c>
    </row>
    <row r="40" spans="1:11" ht="40" customHeight="1" x14ac:dyDescent="0.35">
      <c r="A40" s="96"/>
      <c r="B40" s="50" t="s">
        <v>650</v>
      </c>
      <c r="C40" s="50"/>
      <c r="D40" s="50"/>
      <c r="E40" s="50"/>
      <c r="F40" s="50"/>
      <c r="G40" s="50"/>
      <c r="H40" s="50"/>
    </row>
    <row r="41" spans="1:11" ht="40" customHeight="1" x14ac:dyDescent="0.35">
      <c r="A41" s="96"/>
      <c r="B41" s="50" t="s">
        <v>651</v>
      </c>
      <c r="C41" s="50"/>
      <c r="D41" s="50"/>
      <c r="E41" s="50"/>
      <c r="F41" s="50"/>
      <c r="G41" s="50"/>
      <c r="H41" s="50"/>
    </row>
    <row r="42" spans="1:11" ht="40" customHeight="1" x14ac:dyDescent="0.35">
      <c r="A42" s="96"/>
      <c r="B42" s="50" t="s">
        <v>652</v>
      </c>
      <c r="C42" s="50"/>
      <c r="D42" s="50"/>
      <c r="E42" s="50"/>
      <c r="F42" s="50"/>
      <c r="G42" s="50"/>
      <c r="H42" s="50"/>
    </row>
    <row r="43" spans="1:11" ht="40" customHeight="1" x14ac:dyDescent="0.35">
      <c r="A43" s="96"/>
      <c r="B43" s="50" t="s">
        <v>653</v>
      </c>
      <c r="C43" s="50"/>
      <c r="D43" s="50"/>
      <c r="E43" s="50"/>
      <c r="F43" s="50"/>
      <c r="G43" s="50"/>
      <c r="H43" s="50"/>
      <c r="I43" s="27" t="s">
        <v>44</v>
      </c>
      <c r="J43" s="2">
        <f>0.75+0.25</f>
        <v>1</v>
      </c>
      <c r="K43" s="2">
        <f>J43*7</f>
        <v>7</v>
      </c>
    </row>
    <row r="44" spans="1:11" ht="40" customHeight="1" x14ac:dyDescent="0.35">
      <c r="A44" s="96"/>
      <c r="B44" s="50" t="s">
        <v>654</v>
      </c>
      <c r="C44" s="50"/>
      <c r="D44" s="50"/>
      <c r="E44" s="50"/>
      <c r="F44" s="50"/>
      <c r="G44" s="50"/>
      <c r="H44" s="50"/>
      <c r="I44" s="27" t="s">
        <v>44</v>
      </c>
      <c r="K44" s="2" t="s">
        <v>655</v>
      </c>
    </row>
    <row r="45" spans="1:11" ht="40" customHeight="1" x14ac:dyDescent="0.35">
      <c r="A45" s="96"/>
      <c r="B45" s="50" t="s">
        <v>656</v>
      </c>
      <c r="C45" s="50"/>
      <c r="D45" s="50"/>
      <c r="E45" s="50"/>
      <c r="F45" s="50"/>
      <c r="G45" s="50"/>
      <c r="H45" s="50">
        <f>80*1</f>
        <v>80</v>
      </c>
      <c r="I45" s="27" t="s">
        <v>44</v>
      </c>
      <c r="K45" s="2">
        <f>7*200</f>
        <v>1400</v>
      </c>
    </row>
    <row r="46" spans="1:11" ht="40" customHeight="1" x14ac:dyDescent="0.35">
      <c r="A46" s="96"/>
      <c r="B46" s="50" t="s">
        <v>657</v>
      </c>
      <c r="C46" s="50"/>
      <c r="D46" s="50"/>
      <c r="E46" s="50"/>
      <c r="F46" s="50"/>
      <c r="G46" s="50"/>
      <c r="H46" s="50"/>
    </row>
    <row r="47" spans="1:11" x14ac:dyDescent="0.35">
      <c r="B47" s="61" t="s">
        <v>121</v>
      </c>
      <c r="C47" s="61"/>
      <c r="D47" s="61"/>
      <c r="E47" s="61"/>
      <c r="F47" s="61"/>
      <c r="G47" s="61"/>
      <c r="H47" s="61"/>
    </row>
    <row r="48" spans="1:11" x14ac:dyDescent="0.35">
      <c r="B48" s="62"/>
      <c r="C48" s="62"/>
      <c r="D48" s="62"/>
      <c r="E48" s="62"/>
      <c r="F48" s="62"/>
      <c r="G48" s="62"/>
      <c r="H48" s="62"/>
    </row>
    <row r="49" spans="1:8" x14ac:dyDescent="0.35">
      <c r="B49" s="62"/>
      <c r="C49" s="62"/>
      <c r="D49" s="62"/>
      <c r="E49" s="62"/>
      <c r="F49" s="62"/>
      <c r="G49" s="62"/>
      <c r="H49" s="62"/>
    </row>
    <row r="50" spans="1:8" x14ac:dyDescent="0.35">
      <c r="B50" s="62"/>
      <c r="C50" s="62"/>
      <c r="D50" s="62"/>
      <c r="E50" s="62"/>
      <c r="F50" s="62"/>
      <c r="G50" s="62"/>
      <c r="H50" s="62"/>
    </row>
    <row r="51" spans="1:8" x14ac:dyDescent="0.35">
      <c r="B51" s="62"/>
      <c r="C51" s="62"/>
      <c r="D51" s="62"/>
      <c r="E51" s="62"/>
      <c r="F51" s="62"/>
      <c r="G51" s="62"/>
      <c r="H51" s="62"/>
    </row>
    <row r="52" spans="1:8" x14ac:dyDescent="0.35">
      <c r="B52" s="62"/>
      <c r="C52" s="62"/>
      <c r="D52" s="62"/>
      <c r="E52" s="62"/>
      <c r="F52" s="62"/>
      <c r="G52" s="62"/>
      <c r="H52" s="62"/>
    </row>
    <row r="56" spans="1:8" ht="27" customHeight="1" x14ac:dyDescent="0.35">
      <c r="A56" s="56" t="s">
        <v>122</v>
      </c>
      <c r="B56" s="57"/>
      <c r="H56" s="46" t="s">
        <v>123</v>
      </c>
    </row>
    <row r="57" spans="1:8" ht="45" customHeight="1" x14ac:dyDescent="0.35">
      <c r="A57" s="50"/>
      <c r="B57" s="55" t="s">
        <v>124</v>
      </c>
      <c r="C57" s="55" t="s">
        <v>125</v>
      </c>
      <c r="D57" s="55" t="s">
        <v>126</v>
      </c>
      <c r="E57" s="55" t="s">
        <v>127</v>
      </c>
      <c r="F57" s="55" t="s">
        <v>128</v>
      </c>
      <c r="G57" s="55" t="s">
        <v>129</v>
      </c>
      <c r="H57" s="63" t="s">
        <v>130</v>
      </c>
    </row>
    <row r="58" spans="1:8" ht="124" x14ac:dyDescent="0.35">
      <c r="A58" s="55" t="s">
        <v>131</v>
      </c>
      <c r="B58" s="50" t="s">
        <v>658</v>
      </c>
      <c r="C58" s="50"/>
      <c r="D58" s="50"/>
      <c r="E58" s="50"/>
      <c r="F58" s="50"/>
      <c r="G58" s="50"/>
      <c r="H58" s="64"/>
    </row>
    <row r="59" spans="1:8" ht="93" x14ac:dyDescent="0.35">
      <c r="A59" s="55" t="s">
        <v>132</v>
      </c>
      <c r="B59" s="50"/>
      <c r="C59" s="50"/>
      <c r="D59" s="50"/>
      <c r="E59" s="50"/>
      <c r="F59" s="50"/>
      <c r="G59" s="50"/>
      <c r="H59" s="64"/>
    </row>
    <row r="60" spans="1:8" ht="108.5" x14ac:dyDescent="0.35">
      <c r="A60" s="65" t="s">
        <v>133</v>
      </c>
      <c r="B60" s="50"/>
      <c r="C60" s="50"/>
      <c r="D60" s="50"/>
      <c r="E60" s="50"/>
      <c r="F60" s="50"/>
      <c r="G60" s="50"/>
      <c r="H60" s="64"/>
    </row>
    <row r="61" spans="1:8" x14ac:dyDescent="0.35">
      <c r="B61" s="66" t="s">
        <v>121</v>
      </c>
      <c r="C61" s="66"/>
      <c r="D61" s="66"/>
      <c r="E61" s="66"/>
      <c r="F61" s="66"/>
      <c r="G61" s="66"/>
      <c r="H61" s="66"/>
    </row>
    <row r="62" spans="1:8" x14ac:dyDescent="0.35">
      <c r="B62" s="67"/>
      <c r="C62" s="67"/>
      <c r="D62" s="67"/>
      <c r="E62" s="67"/>
      <c r="F62" s="67"/>
      <c r="G62" s="67"/>
      <c r="H62" s="67"/>
    </row>
    <row r="63" spans="1:8" x14ac:dyDescent="0.35">
      <c r="B63" s="67"/>
      <c r="C63" s="67"/>
      <c r="D63" s="67"/>
      <c r="E63" s="67"/>
      <c r="F63" s="67"/>
      <c r="G63" s="67"/>
      <c r="H63" s="67"/>
    </row>
    <row r="64" spans="1:8" x14ac:dyDescent="0.35">
      <c r="B64" s="67"/>
      <c r="C64" s="67"/>
      <c r="D64" s="67"/>
      <c r="E64" s="67"/>
      <c r="F64" s="67"/>
      <c r="G64" s="67"/>
      <c r="H64" s="67"/>
    </row>
    <row r="65" spans="1:8" x14ac:dyDescent="0.35">
      <c r="B65" s="67"/>
      <c r="C65" s="67"/>
      <c r="D65" s="67"/>
      <c r="E65" s="67"/>
      <c r="F65" s="67"/>
      <c r="G65" s="67"/>
      <c r="H65" s="67"/>
    </row>
    <row r="66" spans="1:8" x14ac:dyDescent="0.35">
      <c r="B66" s="36"/>
    </row>
    <row r="67" spans="1:8" x14ac:dyDescent="0.35">
      <c r="B67" s="36"/>
    </row>
    <row r="68" spans="1:8" ht="46.5" customHeight="1" x14ac:dyDescent="0.35">
      <c r="A68" s="68" t="s">
        <v>134</v>
      </c>
      <c r="B68" s="68"/>
      <c r="C68" s="69" t="s">
        <v>135</v>
      </c>
      <c r="D68" s="69" t="s">
        <v>135</v>
      </c>
      <c r="E68" s="69" t="s">
        <v>135</v>
      </c>
      <c r="F68" s="69" t="s">
        <v>135</v>
      </c>
      <c r="G68" s="69" t="s">
        <v>135</v>
      </c>
      <c r="H68" s="70" t="s">
        <v>136</v>
      </c>
    </row>
    <row r="69" spans="1:8" ht="48" customHeight="1" x14ac:dyDescent="0.35">
      <c r="A69" s="71" t="s">
        <v>137</v>
      </c>
      <c r="B69" s="71"/>
      <c r="C69" s="71"/>
      <c r="D69" s="71"/>
      <c r="E69" s="68" t="s">
        <v>659</v>
      </c>
      <c r="F69" s="68"/>
      <c r="G69" s="68"/>
      <c r="H69" s="68"/>
    </row>
    <row r="70" spans="1:8" ht="38.5" customHeight="1" x14ac:dyDescent="0.35">
      <c r="A70" s="71" t="s">
        <v>139</v>
      </c>
      <c r="B70" s="71"/>
      <c r="C70" s="71"/>
      <c r="D70" s="71"/>
      <c r="E70" s="69" t="s">
        <v>660</v>
      </c>
      <c r="F70" s="69" t="s">
        <v>135</v>
      </c>
      <c r="G70" s="69" t="s">
        <v>135</v>
      </c>
      <c r="H70" s="69" t="s">
        <v>135</v>
      </c>
    </row>
    <row r="71" spans="1:8" ht="27.75" customHeight="1" x14ac:dyDescent="0.35">
      <c r="A71" s="71" t="s">
        <v>141</v>
      </c>
      <c r="B71" s="71"/>
      <c r="C71" s="71"/>
      <c r="D71" s="71"/>
      <c r="E71" s="69" t="s">
        <v>135</v>
      </c>
      <c r="F71" s="69" t="s">
        <v>135</v>
      </c>
      <c r="G71" s="69" t="s">
        <v>135</v>
      </c>
      <c r="H71" s="69" t="s">
        <v>135</v>
      </c>
    </row>
    <row r="72" spans="1:8" ht="25" customHeight="1" x14ac:dyDescent="0.35">
      <c r="A72" s="71" t="s">
        <v>143</v>
      </c>
      <c r="B72" s="71"/>
      <c r="C72" s="71"/>
      <c r="D72" s="71"/>
      <c r="E72" s="69" t="s">
        <v>135</v>
      </c>
      <c r="F72" s="69" t="s">
        <v>135</v>
      </c>
      <c r="G72" s="69" t="s">
        <v>135</v>
      </c>
      <c r="H72" s="69" t="s">
        <v>135</v>
      </c>
    </row>
    <row r="73" spans="1:8" ht="41.25" customHeight="1" x14ac:dyDescent="0.35">
      <c r="A73" s="71" t="s">
        <v>144</v>
      </c>
      <c r="B73" s="71"/>
      <c r="C73" s="71"/>
      <c r="D73" s="71"/>
      <c r="E73" s="69" t="s">
        <v>135</v>
      </c>
      <c r="F73" s="69" t="s">
        <v>135</v>
      </c>
      <c r="G73" s="69" t="s">
        <v>135</v>
      </c>
      <c r="H73" s="69" t="s">
        <v>135</v>
      </c>
    </row>
    <row r="74" spans="1:8" ht="55.5" customHeight="1" x14ac:dyDescent="0.35">
      <c r="A74" s="71" t="s">
        <v>146</v>
      </c>
      <c r="B74" s="71"/>
      <c r="C74" s="71"/>
      <c r="D74" s="71"/>
      <c r="E74" s="69" t="s">
        <v>135</v>
      </c>
      <c r="F74" s="69" t="s">
        <v>135</v>
      </c>
      <c r="G74" s="69" t="s">
        <v>135</v>
      </c>
      <c r="H74" s="69" t="s">
        <v>135</v>
      </c>
    </row>
    <row r="75" spans="1:8" ht="36.75" customHeight="1" x14ac:dyDescent="0.35">
      <c r="A75" s="71" t="s">
        <v>147</v>
      </c>
      <c r="B75" s="71"/>
      <c r="C75" s="71"/>
      <c r="D75" s="71"/>
      <c r="E75" s="69" t="s">
        <v>661</v>
      </c>
      <c r="F75" s="69" t="s">
        <v>135</v>
      </c>
      <c r="G75" s="69" t="s">
        <v>135</v>
      </c>
      <c r="H75" s="69" t="s">
        <v>135</v>
      </c>
    </row>
    <row r="76" spans="1:8" ht="29.25" customHeight="1" x14ac:dyDescent="0.35">
      <c r="A76" s="73" t="s">
        <v>149</v>
      </c>
      <c r="B76" s="73"/>
      <c r="C76" s="73"/>
      <c r="D76" s="73"/>
      <c r="E76" s="74" t="s">
        <v>135</v>
      </c>
      <c r="F76" s="74" t="s">
        <v>135</v>
      </c>
      <c r="G76" s="74" t="s">
        <v>135</v>
      </c>
      <c r="H76" s="74" t="s">
        <v>135</v>
      </c>
    </row>
    <row r="77" spans="1:8" ht="43" customHeight="1" x14ac:dyDescent="0.35">
      <c r="A77" s="71" t="s">
        <v>150</v>
      </c>
      <c r="B77" s="71"/>
      <c r="C77" s="71"/>
      <c r="D77" s="71"/>
      <c r="E77" s="69" t="s">
        <v>135</v>
      </c>
      <c r="F77" s="69" t="s">
        <v>135</v>
      </c>
      <c r="G77" s="69" t="s">
        <v>135</v>
      </c>
      <c r="H77" s="69" t="s">
        <v>135</v>
      </c>
    </row>
    <row r="78" spans="1:8" ht="31" customHeight="1" x14ac:dyDescent="0.35">
      <c r="A78" s="71" t="s">
        <v>152</v>
      </c>
      <c r="B78" s="71"/>
      <c r="C78" s="71"/>
      <c r="D78" s="71"/>
      <c r="E78" s="69" t="s">
        <v>662</v>
      </c>
      <c r="F78" s="69" t="s">
        <v>135</v>
      </c>
      <c r="G78" s="69" t="s">
        <v>135</v>
      </c>
      <c r="H78" s="69" t="s">
        <v>135</v>
      </c>
    </row>
    <row r="79" spans="1:8" ht="25.5" customHeight="1" x14ac:dyDescent="0.35">
      <c r="A79" s="71" t="s">
        <v>153</v>
      </c>
      <c r="B79" s="71"/>
      <c r="C79" s="71"/>
      <c r="D79" s="71"/>
      <c r="E79" s="69" t="s">
        <v>663</v>
      </c>
      <c r="F79" s="69" t="s">
        <v>135</v>
      </c>
      <c r="G79" s="69" t="s">
        <v>135</v>
      </c>
      <c r="H79" s="69" t="s">
        <v>135</v>
      </c>
    </row>
    <row r="80" spans="1:8" ht="25" customHeight="1" x14ac:dyDescent="0.35">
      <c r="A80" s="71" t="s">
        <v>154</v>
      </c>
      <c r="B80" s="71"/>
      <c r="C80" s="71"/>
      <c r="D80" s="71"/>
      <c r="E80" s="69" t="s">
        <v>135</v>
      </c>
      <c r="F80" s="69" t="s">
        <v>135</v>
      </c>
      <c r="G80" s="69" t="s">
        <v>135</v>
      </c>
      <c r="H80" s="69" t="s">
        <v>135</v>
      </c>
    </row>
    <row r="81" spans="1:8" x14ac:dyDescent="0.35">
      <c r="A81" s="75" t="s">
        <v>155</v>
      </c>
      <c r="B81" s="75"/>
      <c r="C81" s="75"/>
      <c r="D81" s="75"/>
      <c r="E81" s="76" t="s">
        <v>135</v>
      </c>
      <c r="F81" s="76" t="s">
        <v>135</v>
      </c>
      <c r="G81" s="76" t="s">
        <v>135</v>
      </c>
      <c r="H81" s="76" t="s">
        <v>135</v>
      </c>
    </row>
    <row r="82" spans="1:8" ht="35.5" customHeight="1" x14ac:dyDescent="0.35">
      <c r="B82" s="2" t="s">
        <v>664</v>
      </c>
      <c r="E82" s="36"/>
      <c r="F82" s="36"/>
      <c r="G82" s="36"/>
      <c r="H82" s="77" t="s">
        <v>156</v>
      </c>
    </row>
    <row r="83" spans="1:8" ht="40.5" customHeight="1" x14ac:dyDescent="0.35">
      <c r="A83" s="78" t="s">
        <v>157</v>
      </c>
      <c r="B83" s="78"/>
      <c r="C83" s="78"/>
      <c r="D83" s="78"/>
      <c r="E83" s="78"/>
      <c r="F83" s="78"/>
      <c r="G83" s="78"/>
      <c r="H83" s="78"/>
    </row>
    <row r="84" spans="1:8" ht="36" customHeight="1" x14ac:dyDescent="0.35">
      <c r="A84" s="79" t="s">
        <v>158</v>
      </c>
      <c r="B84" s="79"/>
      <c r="C84" s="80" t="s">
        <v>665</v>
      </c>
      <c r="D84" s="80"/>
      <c r="E84" s="80"/>
      <c r="F84" s="80"/>
      <c r="G84" s="80"/>
      <c r="H84" s="80"/>
    </row>
    <row r="85" spans="1:8" ht="36.75" customHeight="1" x14ac:dyDescent="0.35">
      <c r="A85" s="21" t="s">
        <v>159</v>
      </c>
      <c r="B85" s="21"/>
      <c r="C85" s="9" t="s">
        <v>666</v>
      </c>
      <c r="D85" s="9"/>
      <c r="E85" s="9"/>
      <c r="F85" s="9"/>
      <c r="G85" s="9"/>
      <c r="H85" s="9"/>
    </row>
    <row r="86" spans="1:8" ht="41.5" customHeight="1" x14ac:dyDescent="0.35">
      <c r="A86" s="21" t="s">
        <v>160</v>
      </c>
      <c r="B86" s="21"/>
      <c r="C86" s="9"/>
      <c r="D86" s="9"/>
      <c r="E86" s="9"/>
      <c r="F86" s="9"/>
      <c r="G86" s="9"/>
      <c r="H86" s="9"/>
    </row>
    <row r="87" spans="1:8" ht="38.25" customHeight="1" x14ac:dyDescent="0.35">
      <c r="A87" s="21" t="s">
        <v>162</v>
      </c>
      <c r="B87" s="21"/>
      <c r="C87" s="9"/>
      <c r="D87" s="9"/>
      <c r="E87" s="9"/>
      <c r="F87" s="9"/>
      <c r="G87" s="9"/>
      <c r="H87" s="9"/>
    </row>
    <row r="88" spans="1:8" ht="29.25" customHeight="1" x14ac:dyDescent="0.35">
      <c r="A88" s="21" t="s">
        <v>163</v>
      </c>
      <c r="B88" s="21"/>
      <c r="C88" s="9" t="s">
        <v>667</v>
      </c>
      <c r="D88" s="9"/>
      <c r="E88" s="9"/>
      <c r="F88" s="9"/>
      <c r="G88" s="9"/>
      <c r="H88" s="9"/>
    </row>
    <row r="89" spans="1:8" ht="43" customHeight="1" x14ac:dyDescent="0.35">
      <c r="A89" s="21" t="s">
        <v>164</v>
      </c>
      <c r="B89" s="21"/>
      <c r="C89" s="9"/>
      <c r="D89" s="9"/>
      <c r="E89" s="9"/>
      <c r="F89" s="9"/>
      <c r="G89" s="9"/>
      <c r="H89" s="9"/>
    </row>
    <row r="90" spans="1:8" x14ac:dyDescent="0.35">
      <c r="A90" s="21" t="s">
        <v>165</v>
      </c>
      <c r="B90" s="21"/>
      <c r="C90" s="9"/>
      <c r="D90" s="9"/>
      <c r="E90" s="9"/>
      <c r="F90" s="9"/>
      <c r="G90" s="9"/>
      <c r="H90" s="9"/>
    </row>
    <row r="91" spans="1:8" x14ac:dyDescent="0.35">
      <c r="A91" s="81" t="s">
        <v>166</v>
      </c>
      <c r="B91" s="81"/>
      <c r="C91" s="9"/>
      <c r="D91" s="9"/>
      <c r="E91" s="9"/>
      <c r="F91" s="9"/>
      <c r="G91" s="9"/>
      <c r="H91" s="9"/>
    </row>
    <row r="92" spans="1:8" ht="22.5" customHeight="1" x14ac:dyDescent="0.35">
      <c r="A92" s="81" t="s">
        <v>167</v>
      </c>
      <c r="B92" s="81"/>
      <c r="C92" s="9"/>
      <c r="D92" s="9"/>
      <c r="E92" s="9"/>
      <c r="F92" s="9"/>
      <c r="G92" s="9"/>
      <c r="H92" s="9"/>
    </row>
    <row r="93" spans="1:8" x14ac:dyDescent="0.35">
      <c r="A93" s="81" t="s">
        <v>169</v>
      </c>
      <c r="B93" s="81"/>
      <c r="C93" s="9" t="s">
        <v>668</v>
      </c>
      <c r="D93" s="9"/>
      <c r="E93" s="9"/>
      <c r="F93" s="9"/>
      <c r="G93" s="9"/>
      <c r="H93" s="9"/>
    </row>
    <row r="94" spans="1:8" ht="46.5" customHeight="1" x14ac:dyDescent="0.35">
      <c r="A94" s="81" t="s">
        <v>171</v>
      </c>
      <c r="B94" s="81"/>
      <c r="C94" s="82" t="s">
        <v>380</v>
      </c>
      <c r="D94" s="82"/>
      <c r="E94" s="82"/>
      <c r="F94" s="82"/>
      <c r="G94" s="82"/>
      <c r="H94" s="82"/>
    </row>
    <row r="95" spans="1:8" ht="31" customHeight="1" x14ac:dyDescent="0.35">
      <c r="A95" s="21" t="s">
        <v>173</v>
      </c>
      <c r="B95" s="21"/>
      <c r="C95" s="80" t="s">
        <v>174</v>
      </c>
      <c r="D95" s="80"/>
      <c r="E95" s="80"/>
      <c r="F95" s="80"/>
      <c r="G95" s="80"/>
      <c r="H95" s="80"/>
    </row>
    <row r="96" spans="1:8" ht="31" customHeight="1" x14ac:dyDescent="0.35">
      <c r="A96" s="21" t="s">
        <v>175</v>
      </c>
      <c r="B96" s="21"/>
      <c r="C96" s="9"/>
      <c r="D96" s="9"/>
      <c r="E96" s="9"/>
      <c r="F96" s="9"/>
      <c r="G96" s="9"/>
      <c r="H96" s="9"/>
    </row>
    <row r="97" spans="1:8" ht="23.5" customHeight="1" x14ac:dyDescent="0.35">
      <c r="A97" s="83"/>
      <c r="B97" s="83"/>
      <c r="C97" s="84"/>
      <c r="D97" s="84"/>
      <c r="E97" s="84"/>
      <c r="F97" s="84"/>
      <c r="G97" s="84"/>
      <c r="H97" s="84"/>
    </row>
    <row r="98" spans="1:8" ht="45.75" customHeight="1" x14ac:dyDescent="0.35">
      <c r="A98" s="83"/>
      <c r="B98" s="83"/>
      <c r="C98" s="84"/>
      <c r="D98" s="84"/>
      <c r="E98" s="84"/>
      <c r="F98" s="84"/>
      <c r="G98" s="84"/>
      <c r="H98" s="85" t="s">
        <v>176</v>
      </c>
    </row>
    <row r="99" spans="1:8" ht="36" customHeight="1" x14ac:dyDescent="0.35">
      <c r="A99" s="21" t="s">
        <v>177</v>
      </c>
      <c r="B99" s="21"/>
      <c r="C99" s="9" t="s">
        <v>669</v>
      </c>
      <c r="D99" s="9"/>
      <c r="E99" s="9"/>
      <c r="F99" s="9"/>
      <c r="G99" s="9"/>
      <c r="H99" s="9"/>
    </row>
    <row r="100" spans="1:8" ht="46.5" customHeight="1" x14ac:dyDescent="0.35">
      <c r="A100" s="21" t="s">
        <v>178</v>
      </c>
      <c r="B100" s="21"/>
      <c r="C100" s="9" t="s">
        <v>670</v>
      </c>
      <c r="D100" s="9"/>
      <c r="E100" s="9"/>
      <c r="F100" s="9"/>
      <c r="G100" s="9"/>
      <c r="H100" s="9"/>
    </row>
    <row r="101" spans="1:8" ht="69.75" customHeight="1" x14ac:dyDescent="0.35">
      <c r="A101" s="21" t="s">
        <v>180</v>
      </c>
      <c r="B101" s="21"/>
      <c r="C101" s="9" t="s">
        <v>671</v>
      </c>
      <c r="D101" s="9"/>
      <c r="E101" s="9"/>
      <c r="F101" s="9"/>
      <c r="G101" s="9"/>
      <c r="H101" s="9"/>
    </row>
    <row r="102" spans="1:8" ht="51.75" customHeight="1" x14ac:dyDescent="0.35">
      <c r="A102" s="21" t="s">
        <v>182</v>
      </c>
      <c r="B102" s="21"/>
      <c r="C102" s="9"/>
      <c r="D102" s="9"/>
      <c r="E102" s="9"/>
      <c r="F102" s="9"/>
      <c r="G102" s="9"/>
      <c r="H102" s="9"/>
    </row>
    <row r="103" spans="1:8" ht="34.5" customHeight="1" x14ac:dyDescent="0.35">
      <c r="A103" s="93" t="s">
        <v>183</v>
      </c>
      <c r="B103" s="93"/>
      <c r="C103" s="86" t="s">
        <v>322</v>
      </c>
      <c r="D103" s="86"/>
      <c r="E103" s="86"/>
      <c r="F103" s="86"/>
      <c r="G103" s="86"/>
      <c r="H103" s="86"/>
    </row>
    <row r="104" spans="1:8" ht="54" customHeight="1" x14ac:dyDescent="0.35">
      <c r="A104" s="45" t="s">
        <v>185</v>
      </c>
      <c r="B104" s="45"/>
      <c r="C104" s="80" t="s">
        <v>672</v>
      </c>
      <c r="D104" s="80"/>
      <c r="E104" s="80"/>
      <c r="F104" s="80"/>
      <c r="G104" s="80"/>
      <c r="H104" s="80"/>
    </row>
    <row r="105" spans="1:8" ht="54.75" customHeight="1" x14ac:dyDescent="0.35">
      <c r="A105" s="79" t="s">
        <v>187</v>
      </c>
      <c r="B105" s="79"/>
      <c r="C105" s="9"/>
      <c r="D105" s="9"/>
      <c r="E105" s="9"/>
      <c r="F105" s="9"/>
      <c r="G105" s="9"/>
      <c r="H105" s="9"/>
    </row>
    <row r="106" spans="1:8" ht="56.25" customHeight="1" x14ac:dyDescent="0.35">
      <c r="A106" s="21" t="s">
        <v>188</v>
      </c>
      <c r="B106" s="21"/>
      <c r="C106" s="9"/>
      <c r="D106" s="9"/>
      <c r="E106" s="9"/>
      <c r="F106" s="9"/>
      <c r="G106" s="9"/>
      <c r="H106" s="9"/>
    </row>
    <row r="107" spans="1:8" ht="40.5" customHeight="1" x14ac:dyDescent="0.35">
      <c r="A107" s="21" t="s">
        <v>189</v>
      </c>
      <c r="B107" s="21"/>
      <c r="C107" s="9"/>
      <c r="D107" s="9"/>
      <c r="E107" s="9"/>
      <c r="F107" s="9"/>
      <c r="G107" s="9"/>
      <c r="H107" s="9"/>
    </row>
  </sheetData>
  <mergeCells count="108">
    <mergeCell ref="A105:B105"/>
    <mergeCell ref="C105:H105"/>
    <mergeCell ref="A106:B106"/>
    <mergeCell ref="C106:H106"/>
    <mergeCell ref="A107:B107"/>
    <mergeCell ref="C107:H107"/>
    <mergeCell ref="A102:B102"/>
    <mergeCell ref="C102:H102"/>
    <mergeCell ref="A103:B103"/>
    <mergeCell ref="C103:H103"/>
    <mergeCell ref="A104:B104"/>
    <mergeCell ref="C104:H104"/>
    <mergeCell ref="A99:B99"/>
    <mergeCell ref="C99:H99"/>
    <mergeCell ref="A100:B100"/>
    <mergeCell ref="C100:H100"/>
    <mergeCell ref="A101:B101"/>
    <mergeCell ref="C101:H101"/>
    <mergeCell ref="A94:B94"/>
    <mergeCell ref="C94:H94"/>
    <mergeCell ref="A95:B95"/>
    <mergeCell ref="C95:H95"/>
    <mergeCell ref="A96:B96"/>
    <mergeCell ref="C96:H96"/>
    <mergeCell ref="A91:B91"/>
    <mergeCell ref="C91:H91"/>
    <mergeCell ref="A92:B92"/>
    <mergeCell ref="C92:H92"/>
    <mergeCell ref="A93:B93"/>
    <mergeCell ref="C93:H93"/>
    <mergeCell ref="A88:B88"/>
    <mergeCell ref="C88:H88"/>
    <mergeCell ref="A89:B89"/>
    <mergeCell ref="C89:H89"/>
    <mergeCell ref="A90:B90"/>
    <mergeCell ref="C90:H90"/>
    <mergeCell ref="A85:B85"/>
    <mergeCell ref="C85:H85"/>
    <mergeCell ref="A86:B86"/>
    <mergeCell ref="C86:H86"/>
    <mergeCell ref="A87:B87"/>
    <mergeCell ref="C87:H87"/>
    <mergeCell ref="A79:D79"/>
    <mergeCell ref="A80:D80"/>
    <mergeCell ref="A81:D81"/>
    <mergeCell ref="A83:H83"/>
    <mergeCell ref="A84:B84"/>
    <mergeCell ref="C84:H84"/>
    <mergeCell ref="A73:D73"/>
    <mergeCell ref="A74:D74"/>
    <mergeCell ref="A75:D75"/>
    <mergeCell ref="A76:D76"/>
    <mergeCell ref="A77:D77"/>
    <mergeCell ref="A78:D78"/>
    <mergeCell ref="A68:B68"/>
    <mergeCell ref="A69:D69"/>
    <mergeCell ref="E69:H69"/>
    <mergeCell ref="A70:D70"/>
    <mergeCell ref="A71:D71"/>
    <mergeCell ref="A72:D72"/>
    <mergeCell ref="A27:A28"/>
    <mergeCell ref="A38:B38"/>
    <mergeCell ref="A39:A46"/>
    <mergeCell ref="B47:H52"/>
    <mergeCell ref="A56:B56"/>
    <mergeCell ref="B61:H65"/>
    <mergeCell ref="A21:D21"/>
    <mergeCell ref="E21:H21"/>
    <mergeCell ref="A23:D23"/>
    <mergeCell ref="E23:G23"/>
    <mergeCell ref="A24:D24"/>
    <mergeCell ref="E24:H24"/>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D35F-DFC3-4DF7-B4A7-1C2E054D27A6}">
  <dimension ref="A1:O104"/>
  <sheetViews>
    <sheetView view="pageBreakPreview" zoomScale="72" zoomScaleNormal="100" zoomScaleSheetLayoutView="125" workbookViewId="0">
      <selection activeCell="O13" sqref="O13"/>
    </sheetView>
  </sheetViews>
  <sheetFormatPr defaultColWidth="11.81640625" defaultRowHeight="15.5" x14ac:dyDescent="0.35"/>
  <cols>
    <col min="1" max="1" width="13.08984375" style="2" customWidth="1"/>
    <col min="2" max="2" width="18.90625" style="2" customWidth="1"/>
    <col min="3" max="4" width="12" style="2" customWidth="1"/>
    <col min="5" max="6" width="14.90625" style="2" customWidth="1"/>
    <col min="7" max="7" width="16.36328125" style="2" customWidth="1"/>
    <col min="8" max="8" width="15.26953125" style="2" customWidth="1"/>
    <col min="9" max="11" width="11.81640625" style="2"/>
    <col min="12" max="12" width="12.90625" style="2" bestFit="1" customWidth="1"/>
    <col min="13" max="16384" width="11.81640625" style="2"/>
  </cols>
  <sheetData>
    <row r="1" spans="1:15" x14ac:dyDescent="0.35">
      <c r="A1" s="1" t="s">
        <v>0</v>
      </c>
      <c r="B1" s="1"/>
      <c r="C1" s="1"/>
      <c r="D1" s="1"/>
      <c r="H1" s="3" t="s">
        <v>1</v>
      </c>
    </row>
    <row r="2" spans="1:15" ht="24" customHeight="1" thickBot="1" x14ac:dyDescent="0.4">
      <c r="A2" s="4" t="s">
        <v>2</v>
      </c>
      <c r="B2" s="4"/>
      <c r="C2" s="4"/>
      <c r="D2" s="4"/>
      <c r="E2" s="5"/>
      <c r="F2" s="6"/>
    </row>
    <row r="3" spans="1:15" ht="19" customHeight="1" thickBot="1" x14ac:dyDescent="0.4">
      <c r="A3" s="7" t="s">
        <v>3</v>
      </c>
      <c r="B3" s="7"/>
      <c r="C3" s="7"/>
      <c r="D3" s="7"/>
      <c r="E3" s="8" t="s">
        <v>236</v>
      </c>
      <c r="F3" s="8"/>
      <c r="G3" s="8"/>
      <c r="H3" s="8"/>
    </row>
    <row r="4" spans="1:15" ht="42" customHeight="1" x14ac:dyDescent="0.35">
      <c r="A4" s="9" t="s">
        <v>5</v>
      </c>
      <c r="B4" s="9"/>
      <c r="C4" s="9"/>
      <c r="D4" s="9"/>
      <c r="E4" s="24" t="s">
        <v>237</v>
      </c>
      <c r="F4" s="10"/>
      <c r="G4" s="10"/>
      <c r="H4" s="10"/>
      <c r="K4" s="11" t="s">
        <v>7</v>
      </c>
      <c r="L4" s="12"/>
      <c r="M4" s="12"/>
      <c r="N4" s="12"/>
      <c r="O4" s="13"/>
    </row>
    <row r="5" spans="1:15" ht="40" customHeight="1" x14ac:dyDescent="0.35">
      <c r="A5" s="9" t="s">
        <v>8</v>
      </c>
      <c r="B5" s="9"/>
      <c r="C5" s="9"/>
      <c r="D5" s="9"/>
      <c r="E5" s="91" t="s">
        <v>238</v>
      </c>
      <c r="F5" s="92"/>
      <c r="G5" s="92"/>
      <c r="H5" s="92"/>
      <c r="I5" s="2" t="s">
        <v>239</v>
      </c>
      <c r="K5" s="14" t="s">
        <v>10</v>
      </c>
      <c r="O5" s="15"/>
    </row>
    <row r="6" spans="1:15" ht="79" customHeight="1" x14ac:dyDescent="0.35">
      <c r="A6" s="9" t="s">
        <v>11</v>
      </c>
      <c r="B6" s="9"/>
      <c r="C6" s="9"/>
      <c r="D6" s="9"/>
      <c r="E6" s="24" t="s">
        <v>240</v>
      </c>
      <c r="F6" s="24"/>
      <c r="G6" s="24"/>
      <c r="H6" s="24"/>
      <c r="K6" s="16" t="s">
        <v>13</v>
      </c>
      <c r="L6" s="17">
        <v>82</v>
      </c>
      <c r="O6" s="15"/>
    </row>
    <row r="7" spans="1:15" ht="19" customHeight="1" x14ac:dyDescent="0.35">
      <c r="A7" s="9" t="s">
        <v>14</v>
      </c>
      <c r="B7" s="9"/>
      <c r="C7" s="9"/>
      <c r="D7" s="9"/>
      <c r="E7" s="10" t="s">
        <v>241</v>
      </c>
      <c r="F7" s="10"/>
      <c r="G7" s="10"/>
      <c r="H7" s="10"/>
      <c r="K7" s="18" t="s">
        <v>16</v>
      </c>
      <c r="L7" s="17">
        <v>13200</v>
      </c>
      <c r="N7" s="19" t="s">
        <v>17</v>
      </c>
      <c r="O7" s="87">
        <f>L7/L6</f>
        <v>160.97560975609755</v>
      </c>
    </row>
    <row r="8" spans="1:15" ht="32.5" customHeight="1" x14ac:dyDescent="0.35">
      <c r="A8" s="21" t="s">
        <v>18</v>
      </c>
      <c r="B8" s="21"/>
      <c r="C8" s="21"/>
      <c r="D8" s="21"/>
      <c r="E8" s="24" t="s">
        <v>242</v>
      </c>
      <c r="F8" s="24"/>
      <c r="G8" s="24"/>
      <c r="H8" s="24"/>
      <c r="K8" s="18" t="s">
        <v>19</v>
      </c>
      <c r="L8" s="22">
        <v>17550</v>
      </c>
      <c r="N8" s="19" t="s">
        <v>20</v>
      </c>
      <c r="O8" s="23">
        <f>L8/L6</f>
        <v>214.02439024390245</v>
      </c>
    </row>
    <row r="9" spans="1:15" ht="50" customHeight="1" x14ac:dyDescent="0.35">
      <c r="A9" s="21" t="s">
        <v>21</v>
      </c>
      <c r="B9" s="21"/>
      <c r="C9" s="21"/>
      <c r="D9" s="21"/>
      <c r="E9" s="24" t="s">
        <v>243</v>
      </c>
      <c r="F9" s="24"/>
      <c r="G9" s="24"/>
      <c r="H9" s="24"/>
      <c r="K9" s="18" t="s">
        <v>23</v>
      </c>
      <c r="L9" s="17">
        <v>400</v>
      </c>
      <c r="N9" s="19" t="s">
        <v>24</v>
      </c>
      <c r="O9" s="25">
        <f>L9/L6</f>
        <v>4.8780487804878048</v>
      </c>
    </row>
    <row r="10" spans="1:15" ht="52" customHeight="1" x14ac:dyDescent="0.35">
      <c r="A10" s="21" t="s">
        <v>25</v>
      </c>
      <c r="B10" s="21"/>
      <c r="C10" s="21"/>
      <c r="D10" s="21"/>
      <c r="E10" s="24" t="s">
        <v>244</v>
      </c>
      <c r="F10" s="24"/>
      <c r="G10" s="24"/>
      <c r="H10" s="24"/>
      <c r="K10" s="18" t="s">
        <v>197</v>
      </c>
      <c r="L10" s="17">
        <f>14*30</f>
        <v>420</v>
      </c>
      <c r="N10" s="19" t="s">
        <v>28</v>
      </c>
      <c r="O10" s="25">
        <f>L10/L6</f>
        <v>5.1219512195121952</v>
      </c>
    </row>
    <row r="11" spans="1:15" ht="47" customHeight="1" x14ac:dyDescent="0.35">
      <c r="A11" s="21" t="s">
        <v>29</v>
      </c>
      <c r="B11" s="21"/>
      <c r="C11" s="21"/>
      <c r="D11" s="21"/>
      <c r="E11" s="24" t="s">
        <v>245</v>
      </c>
      <c r="F11" s="24"/>
      <c r="G11" s="24"/>
      <c r="H11" s="24"/>
      <c r="I11" s="27"/>
      <c r="K11" s="18" t="s">
        <v>31</v>
      </c>
      <c r="L11" s="28">
        <v>1206.4000000000001</v>
      </c>
      <c r="N11" s="19" t="s">
        <v>33</v>
      </c>
      <c r="O11" s="29">
        <f>(L11*L15)/L6</f>
        <v>25.746341463414637</v>
      </c>
    </row>
    <row r="12" spans="1:15" ht="19" customHeight="1" x14ac:dyDescent="0.35">
      <c r="A12" s="21" t="s">
        <v>34</v>
      </c>
      <c r="B12" s="21"/>
      <c r="C12" s="21"/>
      <c r="D12" s="21"/>
      <c r="E12" s="24" t="s">
        <v>246</v>
      </c>
      <c r="F12" s="24"/>
      <c r="G12" s="24"/>
      <c r="H12" s="24"/>
      <c r="I12" s="30"/>
      <c r="K12" s="18" t="s">
        <v>36</v>
      </c>
      <c r="L12" s="17" t="s">
        <v>44</v>
      </c>
      <c r="N12" s="19" t="s">
        <v>37</v>
      </c>
      <c r="O12" s="20">
        <v>0</v>
      </c>
    </row>
    <row r="13" spans="1:15" ht="48.75" customHeight="1" x14ac:dyDescent="0.35">
      <c r="A13" s="21" t="s">
        <v>38</v>
      </c>
      <c r="B13" s="21"/>
      <c r="C13" s="21"/>
      <c r="D13" s="21"/>
      <c r="E13" s="24" t="s">
        <v>247</v>
      </c>
      <c r="F13" s="24"/>
      <c r="G13" s="24"/>
      <c r="H13" s="24"/>
      <c r="I13" s="30"/>
      <c r="K13" s="18" t="s">
        <v>40</v>
      </c>
      <c r="L13" s="17">
        <v>0</v>
      </c>
      <c r="N13" s="19" t="s">
        <v>41</v>
      </c>
      <c r="O13" s="20">
        <f>L13/L6</f>
        <v>0</v>
      </c>
    </row>
    <row r="14" spans="1:15" ht="32.25" customHeight="1" x14ac:dyDescent="0.35">
      <c r="A14" s="21" t="s">
        <v>42</v>
      </c>
      <c r="B14" s="21"/>
      <c r="C14" s="21"/>
      <c r="D14" s="21"/>
      <c r="E14" s="24" t="s">
        <v>248</v>
      </c>
      <c r="F14" s="24"/>
      <c r="G14" s="24"/>
      <c r="H14" s="24"/>
      <c r="K14" s="18" t="s">
        <v>43</v>
      </c>
      <c r="L14" s="17">
        <f>327*L15</f>
        <v>572.25</v>
      </c>
      <c r="N14" s="19" t="s">
        <v>45</v>
      </c>
      <c r="O14" s="23">
        <f>(L14*L15)/L6</f>
        <v>12.21265243902439</v>
      </c>
    </row>
    <row r="15" spans="1:15" ht="34.5" customHeight="1" x14ac:dyDescent="0.35">
      <c r="A15" s="21" t="s">
        <v>46</v>
      </c>
      <c r="B15" s="21"/>
      <c r="C15" s="21"/>
      <c r="D15" s="21"/>
      <c r="E15" s="26" t="s">
        <v>249</v>
      </c>
      <c r="F15" s="26"/>
      <c r="G15" s="26"/>
      <c r="H15" s="26"/>
      <c r="I15" s="27"/>
      <c r="K15" s="18" t="s">
        <v>48</v>
      </c>
      <c r="L15" s="17">
        <v>1.75</v>
      </c>
      <c r="N15" s="19" t="s">
        <v>49</v>
      </c>
      <c r="O15" s="87">
        <f>L18/L6</f>
        <v>0</v>
      </c>
    </row>
    <row r="16" spans="1:15" ht="19" customHeight="1" x14ac:dyDescent="0.35">
      <c r="A16" s="21" t="s">
        <v>50</v>
      </c>
      <c r="B16" s="21"/>
      <c r="C16" s="21"/>
      <c r="D16" s="21"/>
      <c r="E16" s="24" t="s">
        <v>250</v>
      </c>
      <c r="F16" s="24"/>
      <c r="G16" s="24"/>
      <c r="H16" s="24"/>
      <c r="K16" s="32" t="s">
        <v>51</v>
      </c>
      <c r="L16" s="33">
        <v>5272</v>
      </c>
      <c r="N16" s="88" t="s">
        <v>52</v>
      </c>
      <c r="O16" s="35">
        <f>L16/L6</f>
        <v>64.292682926829272</v>
      </c>
    </row>
    <row r="17" spans="1:15" ht="19" customHeight="1" x14ac:dyDescent="0.35">
      <c r="A17" s="21" t="s">
        <v>53</v>
      </c>
      <c r="B17" s="21"/>
      <c r="C17" s="21"/>
      <c r="D17" s="21"/>
      <c r="E17" s="24" t="s">
        <v>251</v>
      </c>
      <c r="F17" s="24"/>
      <c r="G17" s="24"/>
      <c r="H17" s="24"/>
      <c r="L17" s="33" t="s">
        <v>44</v>
      </c>
    </row>
    <row r="18" spans="1:15" ht="19" customHeight="1" x14ac:dyDescent="0.35">
      <c r="A18" s="21" t="s">
        <v>54</v>
      </c>
      <c r="B18" s="21"/>
      <c r="C18" s="21"/>
      <c r="D18" s="21"/>
      <c r="E18" s="24" t="s">
        <v>252</v>
      </c>
      <c r="F18" s="24"/>
      <c r="G18" s="24"/>
      <c r="H18" s="24"/>
      <c r="K18" s="18" t="s">
        <v>55</v>
      </c>
      <c r="L18" s="17">
        <v>0</v>
      </c>
      <c r="N18" s="19" t="s">
        <v>57</v>
      </c>
      <c r="O18" s="23">
        <f>O8+O11+O14+O15+O16</f>
        <v>316.27606707317074</v>
      </c>
    </row>
    <row r="19" spans="1:15" ht="33" customHeight="1" thickBot="1" x14ac:dyDescent="0.4">
      <c r="A19" s="37" t="s">
        <v>58</v>
      </c>
      <c r="B19" s="21"/>
      <c r="C19" s="21"/>
      <c r="D19" s="21"/>
      <c r="E19" s="89" t="s">
        <v>253</v>
      </c>
      <c r="F19" s="89"/>
      <c r="G19" s="89"/>
      <c r="H19" s="89"/>
      <c r="K19" s="38"/>
      <c r="L19" s="5"/>
      <c r="M19" s="5"/>
      <c r="N19" s="90" t="s">
        <v>59</v>
      </c>
      <c r="O19" s="40">
        <f>O9+O12</f>
        <v>4.8780487804878048</v>
      </c>
    </row>
    <row r="20" spans="1:15" ht="52" customHeight="1" x14ac:dyDescent="0.35">
      <c r="A20" s="37" t="s">
        <v>60</v>
      </c>
      <c r="B20" s="21"/>
      <c r="C20" s="21"/>
      <c r="D20" s="21"/>
      <c r="E20" s="24" t="s">
        <v>254</v>
      </c>
      <c r="F20" s="24"/>
      <c r="G20" s="24"/>
      <c r="H20" s="24"/>
    </row>
    <row r="21" spans="1:15" ht="32.25" customHeight="1" x14ac:dyDescent="0.35">
      <c r="A21" s="37" t="s">
        <v>62</v>
      </c>
      <c r="B21" s="21"/>
      <c r="C21" s="21"/>
      <c r="D21" s="21"/>
      <c r="E21" s="93" t="s">
        <v>255</v>
      </c>
      <c r="F21" s="93"/>
      <c r="G21" s="93"/>
      <c r="H21" s="93"/>
    </row>
    <row r="22" spans="1:15" ht="21.75" customHeight="1" x14ac:dyDescent="0.35">
      <c r="A22" s="41"/>
      <c r="B22" s="42"/>
      <c r="C22" s="42"/>
      <c r="D22" s="42"/>
      <c r="E22" s="43"/>
      <c r="F22" s="43"/>
      <c r="G22" s="43"/>
      <c r="H22" s="43"/>
    </row>
    <row r="23" spans="1:15" ht="24" customHeight="1" x14ac:dyDescent="0.35">
      <c r="A23" s="44" t="s">
        <v>67</v>
      </c>
      <c r="B23" s="45"/>
      <c r="C23" s="45"/>
      <c r="D23" s="45"/>
      <c r="H23" s="46" t="s">
        <v>68</v>
      </c>
    </row>
    <row r="24" spans="1:15" ht="105.75" customHeight="1" x14ac:dyDescent="0.35">
      <c r="A24" s="44" t="s">
        <v>69</v>
      </c>
      <c r="B24" s="45"/>
      <c r="C24" s="45"/>
      <c r="D24" s="45"/>
      <c r="E24" s="47" t="s">
        <v>256</v>
      </c>
      <c r="F24" s="47"/>
      <c r="G24" s="47"/>
      <c r="H24" s="47"/>
    </row>
    <row r="25" spans="1:15" ht="47.25" customHeight="1" x14ac:dyDescent="0.35">
      <c r="A25" s="48" t="s">
        <v>71</v>
      </c>
      <c r="B25" s="48"/>
      <c r="C25" s="48"/>
      <c r="D25" s="48"/>
    </row>
    <row r="26" spans="1:15" ht="30" customHeight="1" x14ac:dyDescent="0.35">
      <c r="A26" s="49" t="s">
        <v>72</v>
      </c>
      <c r="B26" s="50"/>
      <c r="C26" s="51" t="s">
        <v>73</v>
      </c>
      <c r="D26" s="51" t="s">
        <v>74</v>
      </c>
      <c r="E26" s="51" t="s">
        <v>75</v>
      </c>
      <c r="F26" s="51" t="s">
        <v>76</v>
      </c>
      <c r="G26" s="52" t="s">
        <v>77</v>
      </c>
      <c r="H26" s="52" t="s">
        <v>78</v>
      </c>
    </row>
    <row r="27" spans="1:15" ht="30" customHeight="1" x14ac:dyDescent="0.35">
      <c r="A27" s="53"/>
      <c r="B27" s="50" t="s">
        <v>79</v>
      </c>
      <c r="C27" s="50" t="s">
        <v>80</v>
      </c>
      <c r="D27" s="50"/>
      <c r="E27" s="50"/>
      <c r="F27" s="50"/>
      <c r="G27" s="50"/>
      <c r="H27" s="50" t="s">
        <v>257</v>
      </c>
    </row>
    <row r="28" spans="1:15" ht="30" customHeight="1" x14ac:dyDescent="0.35">
      <c r="A28" s="54"/>
      <c r="B28" s="50" t="s">
        <v>81</v>
      </c>
      <c r="C28" s="50" t="s">
        <v>80</v>
      </c>
      <c r="D28" s="50" t="s">
        <v>258</v>
      </c>
      <c r="E28" s="50"/>
      <c r="F28" s="50" t="s">
        <v>259</v>
      </c>
      <c r="G28" s="50" t="s">
        <v>260</v>
      </c>
      <c r="H28" s="50" t="s">
        <v>261</v>
      </c>
    </row>
    <row r="29" spans="1:15" ht="30" customHeight="1" x14ac:dyDescent="0.35">
      <c r="A29" s="54"/>
      <c r="B29" s="50" t="s">
        <v>82</v>
      </c>
      <c r="C29" s="50" t="s">
        <v>80</v>
      </c>
      <c r="D29" s="50" t="s">
        <v>262</v>
      </c>
      <c r="E29" s="50"/>
      <c r="F29" s="50"/>
      <c r="G29" s="50"/>
      <c r="H29" s="50"/>
      <c r="J29" s="2">
        <f>160*60</f>
        <v>9600</v>
      </c>
    </row>
    <row r="30" spans="1:15" ht="30" customHeight="1" x14ac:dyDescent="0.35">
      <c r="A30" s="54"/>
      <c r="B30" s="50" t="s">
        <v>83</v>
      </c>
      <c r="C30" s="50" t="s">
        <v>84</v>
      </c>
      <c r="D30" s="50" t="s">
        <v>263</v>
      </c>
      <c r="E30" s="50"/>
      <c r="F30" s="50"/>
      <c r="G30" s="50"/>
      <c r="H30" s="50"/>
    </row>
    <row r="31" spans="1:15" ht="30" customHeight="1" x14ac:dyDescent="0.35">
      <c r="A31" s="54"/>
      <c r="B31" s="50" t="s">
        <v>264</v>
      </c>
      <c r="C31" s="50" t="s">
        <v>84</v>
      </c>
      <c r="D31" s="50" t="s">
        <v>265</v>
      </c>
      <c r="E31" s="50"/>
      <c r="F31" s="50"/>
      <c r="G31" s="50"/>
      <c r="H31" s="50" t="s">
        <v>266</v>
      </c>
    </row>
    <row r="32" spans="1:15" ht="30" customHeight="1" x14ac:dyDescent="0.35">
      <c r="A32" s="54"/>
      <c r="B32" s="50" t="s">
        <v>22</v>
      </c>
      <c r="C32" s="50" t="s">
        <v>84</v>
      </c>
      <c r="D32" s="50" t="s">
        <v>267</v>
      </c>
      <c r="E32" s="50"/>
      <c r="F32" s="50"/>
      <c r="G32" s="50"/>
      <c r="H32" s="50"/>
    </row>
    <row r="33" spans="1:13" ht="30" customHeight="1" x14ac:dyDescent="0.35">
      <c r="A33" s="54"/>
      <c r="B33" s="50" t="s">
        <v>90</v>
      </c>
      <c r="C33" s="50" t="s">
        <v>84</v>
      </c>
      <c r="D33" s="50"/>
      <c r="E33" s="50"/>
      <c r="F33" s="50"/>
      <c r="G33" s="50"/>
      <c r="H33" s="50"/>
    </row>
    <row r="34" spans="1:13" ht="31" x14ac:dyDescent="0.35">
      <c r="A34" s="54"/>
      <c r="B34" s="55" t="s">
        <v>91</v>
      </c>
      <c r="C34" s="50" t="s">
        <v>92</v>
      </c>
      <c r="D34" s="50" t="s">
        <v>268</v>
      </c>
      <c r="E34" s="50" t="s">
        <v>269</v>
      </c>
      <c r="F34" s="50"/>
      <c r="G34" s="50"/>
      <c r="H34" s="50" t="s">
        <v>270</v>
      </c>
    </row>
    <row r="35" spans="1:13" x14ac:dyDescent="0.35">
      <c r="B35" s="94" t="s">
        <v>271</v>
      </c>
    </row>
    <row r="36" spans="1:13" ht="29.25" customHeight="1" x14ac:dyDescent="0.35">
      <c r="B36" s="94" t="s">
        <v>272</v>
      </c>
    </row>
    <row r="37" spans="1:13" ht="31" customHeight="1" x14ac:dyDescent="0.35">
      <c r="A37" s="56" t="s">
        <v>96</v>
      </c>
      <c r="B37" s="57"/>
      <c r="H37" s="46" t="s">
        <v>97</v>
      </c>
      <c r="J37" s="2" t="s">
        <v>273</v>
      </c>
      <c r="K37" s="2">
        <f>12*30</f>
        <v>360</v>
      </c>
      <c r="L37" s="2">
        <f>1.99*K37</f>
        <v>716.4</v>
      </c>
    </row>
    <row r="38" spans="1:13" ht="40" customHeight="1" x14ac:dyDescent="0.35">
      <c r="A38" s="75" t="s">
        <v>98</v>
      </c>
      <c r="B38" s="55" t="s">
        <v>99</v>
      </c>
      <c r="C38" s="50" t="s">
        <v>100</v>
      </c>
      <c r="D38" s="50" t="s">
        <v>101</v>
      </c>
      <c r="E38" s="55" t="s">
        <v>102</v>
      </c>
      <c r="F38" s="55" t="s">
        <v>103</v>
      </c>
      <c r="G38" s="55" t="s">
        <v>104</v>
      </c>
      <c r="H38" s="55" t="s">
        <v>105</v>
      </c>
      <c r="J38" s="95" t="s">
        <v>274</v>
      </c>
      <c r="K38" s="2">
        <v>280</v>
      </c>
      <c r="L38" s="2">
        <f>K38*1.75</f>
        <v>490</v>
      </c>
      <c r="M38" s="2">
        <f>SUM(L37:L38)</f>
        <v>1206.4000000000001</v>
      </c>
    </row>
    <row r="39" spans="1:13" ht="40" customHeight="1" x14ac:dyDescent="0.35">
      <c r="A39" s="96"/>
      <c r="B39" s="50" t="s">
        <v>275</v>
      </c>
      <c r="C39" s="50"/>
      <c r="D39" s="50"/>
      <c r="E39" s="50"/>
      <c r="F39" s="50"/>
      <c r="G39" s="50"/>
      <c r="H39" s="50"/>
      <c r="J39" s="2" t="s">
        <v>276</v>
      </c>
    </row>
    <row r="40" spans="1:13" ht="40" customHeight="1" x14ac:dyDescent="0.35">
      <c r="A40" s="96"/>
      <c r="B40" s="50" t="s">
        <v>277</v>
      </c>
      <c r="C40" s="50"/>
      <c r="D40" s="50"/>
      <c r="E40" s="50" t="s">
        <v>278</v>
      </c>
      <c r="F40" s="50"/>
      <c r="G40" s="50"/>
      <c r="H40" s="50" t="s">
        <v>279</v>
      </c>
    </row>
    <row r="41" spans="1:13" ht="40" customHeight="1" x14ac:dyDescent="0.35">
      <c r="A41" s="96"/>
      <c r="B41" s="50" t="s">
        <v>280</v>
      </c>
      <c r="C41" s="50"/>
      <c r="D41" s="50"/>
      <c r="E41" s="50"/>
      <c r="F41" s="50" t="s">
        <v>281</v>
      </c>
      <c r="G41" s="50" t="s">
        <v>282</v>
      </c>
      <c r="H41" s="50"/>
      <c r="I41" s="2">
        <f>7*40</f>
        <v>280</v>
      </c>
      <c r="J41" s="2" t="s">
        <v>283</v>
      </c>
      <c r="K41" s="2">
        <v>1.75</v>
      </c>
    </row>
    <row r="42" spans="1:13" ht="40" customHeight="1" x14ac:dyDescent="0.35">
      <c r="A42" s="96"/>
      <c r="B42" s="50" t="s">
        <v>284</v>
      </c>
      <c r="C42" s="50"/>
      <c r="D42" s="50"/>
      <c r="E42" s="50"/>
      <c r="F42" s="50"/>
      <c r="G42" s="50" t="s">
        <v>285</v>
      </c>
      <c r="H42" s="50"/>
      <c r="L42" s="2" t="s">
        <v>108</v>
      </c>
      <c r="M42" s="2">
        <f>2*200</f>
        <v>400</v>
      </c>
    </row>
    <row r="43" spans="1:13" ht="40" customHeight="1" x14ac:dyDescent="0.35">
      <c r="A43" s="96"/>
      <c r="B43" s="50" t="s">
        <v>286</v>
      </c>
      <c r="C43" s="50"/>
      <c r="D43" s="50" t="s">
        <v>287</v>
      </c>
      <c r="E43" s="50" t="s">
        <v>288</v>
      </c>
      <c r="F43" s="50"/>
      <c r="G43" s="50"/>
      <c r="H43" s="97">
        <f>2000+3272</f>
        <v>5272</v>
      </c>
    </row>
    <row r="44" spans="1:13" ht="40" customHeight="1" x14ac:dyDescent="0.35">
      <c r="A44" s="96"/>
      <c r="B44" s="50" t="s">
        <v>289</v>
      </c>
      <c r="C44" s="50" t="s">
        <v>290</v>
      </c>
      <c r="D44" s="50">
        <f>8*3*2</f>
        <v>48</v>
      </c>
      <c r="E44" s="50" t="s">
        <v>291</v>
      </c>
      <c r="F44" s="50" t="s">
        <v>292</v>
      </c>
      <c r="G44" s="50"/>
      <c r="H44" s="50"/>
    </row>
    <row r="45" spans="1:13" x14ac:dyDescent="0.35">
      <c r="A45" s="96"/>
      <c r="B45" s="50" t="s">
        <v>293</v>
      </c>
      <c r="C45" s="50"/>
      <c r="D45" s="50">
        <f>30*3</f>
        <v>90</v>
      </c>
      <c r="E45" s="50" t="s">
        <v>294</v>
      </c>
      <c r="F45" s="50"/>
      <c r="G45" s="50"/>
      <c r="H45" s="50"/>
    </row>
    <row r="46" spans="1:13" x14ac:dyDescent="0.35">
      <c r="B46" s="66" t="s">
        <v>295</v>
      </c>
      <c r="C46" s="66"/>
      <c r="D46" s="66"/>
      <c r="E46" s="66"/>
      <c r="F46" s="66"/>
      <c r="G46" s="66"/>
      <c r="H46" s="66"/>
      <c r="I46" s="2" t="s">
        <v>296</v>
      </c>
    </row>
    <row r="47" spans="1:13" x14ac:dyDescent="0.35">
      <c r="B47" s="67"/>
      <c r="C47" s="67"/>
      <c r="D47" s="67"/>
      <c r="E47" s="67"/>
      <c r="F47" s="67"/>
      <c r="G47" s="67"/>
      <c r="H47" s="67"/>
      <c r="I47" s="2" t="s">
        <v>297</v>
      </c>
    </row>
    <row r="48" spans="1:13" x14ac:dyDescent="0.35">
      <c r="B48" s="67"/>
      <c r="C48" s="67"/>
      <c r="D48" s="67"/>
      <c r="E48" s="67"/>
      <c r="F48" s="67"/>
      <c r="G48" s="67"/>
      <c r="H48" s="67"/>
      <c r="I48" s="98" t="s">
        <v>298</v>
      </c>
    </row>
    <row r="49" spans="1:10" x14ac:dyDescent="0.35">
      <c r="B49" s="67"/>
      <c r="C49" s="67"/>
      <c r="D49" s="67"/>
      <c r="E49" s="67"/>
      <c r="F49" s="67"/>
      <c r="G49" s="67"/>
      <c r="H49" s="67"/>
      <c r="I49" s="2" t="s">
        <v>299</v>
      </c>
    </row>
    <row r="50" spans="1:10" x14ac:dyDescent="0.35">
      <c r="B50" s="67"/>
      <c r="C50" s="67"/>
      <c r="D50" s="67"/>
      <c r="E50" s="67"/>
      <c r="F50" s="67"/>
      <c r="G50" s="67"/>
      <c r="H50" s="67"/>
      <c r="I50" s="2">
        <f>9988-1750</f>
        <v>8238</v>
      </c>
      <c r="J50" s="2" t="s">
        <v>300</v>
      </c>
    </row>
    <row r="51" spans="1:10" x14ac:dyDescent="0.35">
      <c r="B51" s="67"/>
      <c r="C51" s="67"/>
      <c r="D51" s="67"/>
      <c r="E51" s="67"/>
      <c r="F51" s="67"/>
      <c r="G51" s="67"/>
      <c r="H51" s="67"/>
    </row>
    <row r="53" spans="1:10" ht="27" customHeight="1" x14ac:dyDescent="0.35"/>
    <row r="54" spans="1:10" ht="45" customHeight="1" x14ac:dyDescent="0.35">
      <c r="A54" s="56" t="s">
        <v>122</v>
      </c>
      <c r="B54" s="57"/>
      <c r="H54" s="46" t="s">
        <v>123</v>
      </c>
    </row>
    <row r="55" spans="1:10" ht="46.5" x14ac:dyDescent="0.35">
      <c r="A55" s="50"/>
      <c r="B55" s="55" t="s">
        <v>124</v>
      </c>
      <c r="C55" s="55" t="s">
        <v>125</v>
      </c>
      <c r="D55" s="55" t="s">
        <v>126</v>
      </c>
      <c r="E55" s="55" t="s">
        <v>127</v>
      </c>
      <c r="F55" s="55" t="s">
        <v>128</v>
      </c>
      <c r="G55" s="55" t="s">
        <v>129</v>
      </c>
      <c r="H55" s="63" t="s">
        <v>130</v>
      </c>
    </row>
    <row r="56" spans="1:10" ht="124" x14ac:dyDescent="0.35">
      <c r="A56" s="55" t="s">
        <v>131</v>
      </c>
      <c r="B56" s="50"/>
      <c r="C56" s="50"/>
      <c r="D56" s="50" t="s">
        <v>301</v>
      </c>
      <c r="E56" s="50"/>
      <c r="F56" s="50"/>
      <c r="G56" s="50"/>
      <c r="H56" s="64"/>
    </row>
    <row r="57" spans="1:10" ht="93" x14ac:dyDescent="0.35">
      <c r="A57" s="55" t="s">
        <v>132</v>
      </c>
      <c r="B57" s="50"/>
      <c r="C57" s="50"/>
      <c r="D57" s="50"/>
      <c r="E57" s="50"/>
      <c r="F57" s="50"/>
      <c r="G57" s="50"/>
      <c r="H57" s="64"/>
    </row>
    <row r="58" spans="1:10" ht="108.5" x14ac:dyDescent="0.35">
      <c r="A58" s="65" t="s">
        <v>133</v>
      </c>
      <c r="B58" s="50"/>
      <c r="C58" s="50"/>
      <c r="D58" s="50"/>
      <c r="E58" s="50"/>
      <c r="F58" s="50"/>
      <c r="G58" s="50"/>
      <c r="H58" s="64"/>
    </row>
    <row r="59" spans="1:10" x14ac:dyDescent="0.35">
      <c r="B59" s="66" t="s">
        <v>121</v>
      </c>
      <c r="C59" s="66"/>
      <c r="D59" s="66"/>
      <c r="E59" s="66"/>
      <c r="F59" s="66"/>
      <c r="G59" s="66"/>
      <c r="H59" s="66"/>
    </row>
    <row r="60" spans="1:10" x14ac:dyDescent="0.35">
      <c r="B60" s="67"/>
      <c r="C60" s="67"/>
      <c r="D60" s="67"/>
      <c r="E60" s="67"/>
      <c r="F60" s="67"/>
      <c r="G60" s="67"/>
      <c r="H60" s="67"/>
    </row>
    <row r="61" spans="1:10" x14ac:dyDescent="0.35">
      <c r="B61" s="67"/>
      <c r="C61" s="67"/>
      <c r="D61" s="67"/>
      <c r="E61" s="67"/>
      <c r="F61" s="67"/>
      <c r="G61" s="67"/>
      <c r="H61" s="67"/>
    </row>
    <row r="62" spans="1:10" x14ac:dyDescent="0.35">
      <c r="B62" s="67"/>
      <c r="C62" s="67"/>
      <c r="D62" s="67"/>
      <c r="E62" s="67"/>
      <c r="F62" s="67"/>
      <c r="G62" s="67"/>
      <c r="H62" s="67"/>
    </row>
    <row r="63" spans="1:10" x14ac:dyDescent="0.35">
      <c r="B63" s="67"/>
      <c r="C63" s="67"/>
      <c r="D63" s="67"/>
      <c r="E63" s="67"/>
      <c r="F63" s="67"/>
      <c r="G63" s="67"/>
      <c r="H63" s="67"/>
    </row>
    <row r="64" spans="1:10" x14ac:dyDescent="0.35">
      <c r="B64" s="36"/>
    </row>
    <row r="65" spans="1:8" ht="46.5" customHeight="1" x14ac:dyDescent="0.35">
      <c r="A65" s="68" t="s">
        <v>134</v>
      </c>
      <c r="B65" s="68"/>
      <c r="C65" s="69" t="s">
        <v>135</v>
      </c>
      <c r="D65" s="69" t="s">
        <v>135</v>
      </c>
      <c r="E65" s="69" t="s">
        <v>135</v>
      </c>
      <c r="F65" s="69" t="s">
        <v>135</v>
      </c>
      <c r="G65" s="69" t="s">
        <v>135</v>
      </c>
      <c r="H65" s="70" t="s">
        <v>136</v>
      </c>
    </row>
    <row r="66" spans="1:8" ht="52" customHeight="1" x14ac:dyDescent="0.35">
      <c r="A66" s="71" t="s">
        <v>137</v>
      </c>
      <c r="B66" s="71"/>
      <c r="C66" s="71"/>
      <c r="D66" s="71"/>
      <c r="E66" s="68" t="s">
        <v>302</v>
      </c>
      <c r="F66" s="68"/>
      <c r="G66" s="68"/>
      <c r="H66" s="68"/>
    </row>
    <row r="67" spans="1:8" ht="34" customHeight="1" x14ac:dyDescent="0.35">
      <c r="A67" s="71" t="s">
        <v>139</v>
      </c>
      <c r="B67" s="71"/>
      <c r="C67" s="71"/>
      <c r="D67" s="71"/>
      <c r="E67" s="69" t="s">
        <v>303</v>
      </c>
      <c r="F67" s="69" t="s">
        <v>135</v>
      </c>
      <c r="G67" s="69" t="s">
        <v>135</v>
      </c>
      <c r="H67" s="69" t="s">
        <v>135</v>
      </c>
    </row>
    <row r="68" spans="1:8" ht="27.75" customHeight="1" x14ac:dyDescent="0.35">
      <c r="A68" s="71" t="s">
        <v>141</v>
      </c>
      <c r="B68" s="71"/>
      <c r="C68" s="71"/>
      <c r="D68" s="71"/>
      <c r="E68" s="69" t="s">
        <v>304</v>
      </c>
      <c r="F68" s="69" t="s">
        <v>135</v>
      </c>
      <c r="G68" s="69" t="s">
        <v>135</v>
      </c>
      <c r="H68" s="69" t="s">
        <v>135</v>
      </c>
    </row>
    <row r="69" spans="1:8" ht="30" customHeight="1" x14ac:dyDescent="0.35">
      <c r="A69" s="71" t="s">
        <v>143</v>
      </c>
      <c r="B69" s="71"/>
      <c r="C69" s="71"/>
      <c r="D69" s="71"/>
      <c r="E69" s="69" t="s">
        <v>135</v>
      </c>
      <c r="F69" s="69" t="s">
        <v>135</v>
      </c>
      <c r="G69" s="69" t="s">
        <v>135</v>
      </c>
      <c r="H69" s="69" t="s">
        <v>135</v>
      </c>
    </row>
    <row r="70" spans="1:8" ht="33.75" customHeight="1" x14ac:dyDescent="0.35">
      <c r="A70" s="71" t="s">
        <v>144</v>
      </c>
      <c r="B70" s="71"/>
      <c r="C70" s="71"/>
      <c r="D70" s="71"/>
      <c r="E70" s="99" t="s">
        <v>305</v>
      </c>
      <c r="F70" s="99"/>
      <c r="G70" s="99"/>
      <c r="H70" s="99"/>
    </row>
    <row r="71" spans="1:8" ht="52" customHeight="1" x14ac:dyDescent="0.35">
      <c r="A71" s="71" t="s">
        <v>146</v>
      </c>
      <c r="B71" s="71"/>
      <c r="C71" s="71"/>
      <c r="D71" s="71"/>
      <c r="E71" s="69" t="s">
        <v>135</v>
      </c>
      <c r="F71" s="69" t="s">
        <v>135</v>
      </c>
      <c r="G71" s="69" t="s">
        <v>135</v>
      </c>
      <c r="H71" s="69" t="s">
        <v>135</v>
      </c>
    </row>
    <row r="72" spans="1:8" ht="32.5" customHeight="1" x14ac:dyDescent="0.35">
      <c r="A72" s="71" t="s">
        <v>147</v>
      </c>
      <c r="B72" s="71"/>
      <c r="C72" s="71"/>
      <c r="D72" s="71"/>
      <c r="E72" s="69" t="s">
        <v>306</v>
      </c>
      <c r="F72" s="69" t="s">
        <v>135</v>
      </c>
      <c r="G72" s="69" t="s">
        <v>135</v>
      </c>
      <c r="H72" s="69" t="s">
        <v>135</v>
      </c>
    </row>
    <row r="73" spans="1:8" ht="27.75" customHeight="1" x14ac:dyDescent="0.35">
      <c r="A73" s="73" t="s">
        <v>149</v>
      </c>
      <c r="B73" s="73"/>
      <c r="C73" s="73"/>
      <c r="D73" s="73"/>
      <c r="E73" s="74" t="s">
        <v>135</v>
      </c>
      <c r="F73" s="74" t="s">
        <v>135</v>
      </c>
      <c r="G73" s="74" t="s">
        <v>135</v>
      </c>
      <c r="H73" s="74" t="s">
        <v>135</v>
      </c>
    </row>
    <row r="74" spans="1:8" ht="27" customHeight="1" x14ac:dyDescent="0.35">
      <c r="A74" s="71" t="s">
        <v>150</v>
      </c>
      <c r="B74" s="71"/>
      <c r="C74" s="71"/>
      <c r="D74" s="71"/>
      <c r="E74" s="99" t="s">
        <v>307</v>
      </c>
      <c r="F74" s="99"/>
      <c r="G74" s="99"/>
      <c r="H74" s="99"/>
    </row>
    <row r="75" spans="1:8" ht="179" customHeight="1" x14ac:dyDescent="0.35">
      <c r="A75" s="71" t="s">
        <v>152</v>
      </c>
      <c r="B75" s="71"/>
      <c r="C75" s="71"/>
      <c r="D75" s="71"/>
      <c r="E75" s="69" t="s">
        <v>308</v>
      </c>
      <c r="F75" s="69" t="s">
        <v>309</v>
      </c>
      <c r="G75" s="69" t="s">
        <v>310</v>
      </c>
      <c r="H75" s="69" t="s">
        <v>311</v>
      </c>
    </row>
    <row r="76" spans="1:8" ht="204" customHeight="1" x14ac:dyDescent="0.35">
      <c r="A76" s="71" t="s">
        <v>153</v>
      </c>
      <c r="B76" s="71"/>
      <c r="C76" s="71"/>
      <c r="D76" s="71"/>
      <c r="E76" s="69" t="s">
        <v>312</v>
      </c>
      <c r="F76" s="69" t="s">
        <v>135</v>
      </c>
      <c r="G76" s="69" t="s">
        <v>135</v>
      </c>
      <c r="H76" s="69" t="s">
        <v>313</v>
      </c>
    </row>
    <row r="77" spans="1:8" ht="25" customHeight="1" x14ac:dyDescent="0.35">
      <c r="A77" s="71" t="s">
        <v>154</v>
      </c>
      <c r="B77" s="71"/>
      <c r="C77" s="71"/>
      <c r="D77" s="71"/>
      <c r="E77" s="69" t="s">
        <v>135</v>
      </c>
      <c r="F77" s="69" t="s">
        <v>135</v>
      </c>
      <c r="G77" s="69" t="s">
        <v>135</v>
      </c>
      <c r="H77" s="69" t="s">
        <v>135</v>
      </c>
    </row>
    <row r="78" spans="1:8" ht="24.75" customHeight="1" x14ac:dyDescent="0.35">
      <c r="A78" s="75" t="s">
        <v>155</v>
      </c>
      <c r="B78" s="75"/>
      <c r="C78" s="75"/>
      <c r="D78" s="75"/>
      <c r="E78" s="76" t="s">
        <v>135</v>
      </c>
      <c r="F78" s="76" t="s">
        <v>135</v>
      </c>
      <c r="G78" s="76" t="s">
        <v>135</v>
      </c>
      <c r="H78" s="76" t="s">
        <v>135</v>
      </c>
    </row>
    <row r="79" spans="1:8" ht="20.5" customHeight="1" x14ac:dyDescent="0.35">
      <c r="E79" s="36"/>
      <c r="F79" s="36"/>
      <c r="G79" s="36"/>
      <c r="H79" s="77" t="s">
        <v>156</v>
      </c>
    </row>
    <row r="80" spans="1:8" ht="40.5" customHeight="1" x14ac:dyDescent="0.35">
      <c r="A80" s="78" t="s">
        <v>157</v>
      </c>
      <c r="B80" s="78"/>
      <c r="C80" s="78"/>
      <c r="D80" s="78"/>
      <c r="E80" s="78"/>
      <c r="F80" s="78"/>
      <c r="G80" s="78"/>
      <c r="H80" s="78"/>
    </row>
    <row r="81" spans="1:9" ht="36" customHeight="1" x14ac:dyDescent="0.35">
      <c r="A81" s="79" t="s">
        <v>158</v>
      </c>
      <c r="B81" s="79"/>
      <c r="C81" s="80"/>
      <c r="D81" s="80"/>
      <c r="E81" s="80"/>
      <c r="F81" s="80"/>
      <c r="G81" s="80"/>
      <c r="H81" s="80"/>
    </row>
    <row r="82" spans="1:9" ht="36.75" customHeight="1" x14ac:dyDescent="0.35">
      <c r="A82" s="21" t="s">
        <v>159</v>
      </c>
      <c r="B82" s="21"/>
      <c r="C82" s="9" t="s">
        <v>314</v>
      </c>
      <c r="D82" s="9"/>
      <c r="E82" s="9"/>
      <c r="F82" s="9"/>
      <c r="G82" s="9"/>
      <c r="H82" s="9"/>
    </row>
    <row r="83" spans="1:9" ht="41.5" customHeight="1" x14ac:dyDescent="0.35">
      <c r="A83" s="21" t="s">
        <v>160</v>
      </c>
      <c r="B83" s="21"/>
      <c r="C83" s="9" t="s">
        <v>315</v>
      </c>
      <c r="D83" s="9"/>
      <c r="E83" s="9"/>
      <c r="F83" s="9"/>
      <c r="G83" s="9"/>
      <c r="H83" s="9"/>
    </row>
    <row r="84" spans="1:9" ht="38.25" customHeight="1" x14ac:dyDescent="0.35">
      <c r="A84" s="21" t="s">
        <v>162</v>
      </c>
      <c r="B84" s="21"/>
      <c r="C84" s="9"/>
      <c r="D84" s="9"/>
      <c r="E84" s="9"/>
      <c r="F84" s="9"/>
      <c r="G84" s="9"/>
      <c r="H84" s="9"/>
    </row>
    <row r="85" spans="1:9" ht="29.25" customHeight="1" x14ac:dyDescent="0.35">
      <c r="A85" s="21" t="s">
        <v>163</v>
      </c>
      <c r="B85" s="21"/>
      <c r="C85" s="9"/>
      <c r="D85" s="9"/>
      <c r="E85" s="9"/>
      <c r="F85" s="9"/>
      <c r="G85" s="9"/>
      <c r="H85" s="9"/>
    </row>
    <row r="86" spans="1:9" ht="43" customHeight="1" x14ac:dyDescent="0.35">
      <c r="A86" s="21" t="s">
        <v>164</v>
      </c>
      <c r="B86" s="21"/>
      <c r="C86" s="9" t="s">
        <v>316</v>
      </c>
      <c r="D86" s="9"/>
      <c r="E86" s="9"/>
      <c r="F86" s="9"/>
      <c r="G86" s="9"/>
      <c r="H86" s="9"/>
    </row>
    <row r="87" spans="1:9" x14ac:dyDescent="0.35">
      <c r="A87" s="21" t="s">
        <v>165</v>
      </c>
      <c r="B87" s="21"/>
      <c r="C87" s="9"/>
      <c r="D87" s="9"/>
      <c r="E87" s="9"/>
      <c r="F87" s="9"/>
      <c r="G87" s="9"/>
      <c r="H87" s="9"/>
    </row>
    <row r="88" spans="1:9" x14ac:dyDescent="0.35">
      <c r="A88" s="81" t="s">
        <v>166</v>
      </c>
      <c r="B88" s="81"/>
      <c r="C88" s="9"/>
      <c r="D88" s="9"/>
      <c r="E88" s="9"/>
      <c r="F88" s="9"/>
      <c r="G88" s="9"/>
      <c r="H88" s="9"/>
    </row>
    <row r="89" spans="1:9" ht="22.5" customHeight="1" x14ac:dyDescent="0.35">
      <c r="A89" s="81" t="s">
        <v>167</v>
      </c>
      <c r="B89" s="81"/>
      <c r="C89" s="9"/>
      <c r="D89" s="9"/>
      <c r="E89" s="9"/>
      <c r="F89" s="9"/>
      <c r="G89" s="9"/>
      <c r="H89" s="9"/>
    </row>
    <row r="90" spans="1:9" x14ac:dyDescent="0.35">
      <c r="A90" s="81" t="s">
        <v>169</v>
      </c>
      <c r="B90" s="81"/>
      <c r="C90" s="9" t="s">
        <v>317</v>
      </c>
      <c r="D90" s="9"/>
      <c r="E90" s="9"/>
      <c r="F90" s="9"/>
      <c r="G90" s="9"/>
      <c r="H90" s="9"/>
    </row>
    <row r="91" spans="1:9" ht="46.5" customHeight="1" x14ac:dyDescent="0.35">
      <c r="A91" s="81" t="s">
        <v>171</v>
      </c>
      <c r="B91" s="81"/>
      <c r="C91" s="82" t="s">
        <v>172</v>
      </c>
      <c r="D91" s="82"/>
      <c r="E91" s="82"/>
      <c r="F91" s="82"/>
      <c r="G91" s="82"/>
      <c r="H91" s="82"/>
    </row>
    <row r="92" spans="1:9" ht="31" customHeight="1" x14ac:dyDescent="0.35">
      <c r="A92" s="21" t="s">
        <v>173</v>
      </c>
      <c r="B92" s="21"/>
      <c r="C92" s="80" t="s">
        <v>174</v>
      </c>
      <c r="D92" s="80"/>
      <c r="E92" s="80"/>
      <c r="F92" s="80"/>
      <c r="G92" s="80"/>
      <c r="H92" s="80"/>
    </row>
    <row r="93" spans="1:9" ht="31" customHeight="1" x14ac:dyDescent="0.35">
      <c r="A93" s="21" t="s">
        <v>175</v>
      </c>
      <c r="B93" s="21"/>
      <c r="C93" s="9"/>
      <c r="D93" s="9"/>
      <c r="E93" s="9"/>
      <c r="F93" s="9"/>
      <c r="G93" s="9"/>
      <c r="H93" s="9"/>
    </row>
    <row r="94" spans="1:9" ht="23.5" customHeight="1" x14ac:dyDescent="0.35">
      <c r="A94" s="83"/>
      <c r="B94" s="83"/>
      <c r="C94" s="84"/>
      <c r="D94" s="84"/>
      <c r="E94" s="84"/>
      <c r="F94" s="84"/>
      <c r="G94" s="84"/>
      <c r="H94" s="84"/>
    </row>
    <row r="95" spans="1:9" ht="45.75" customHeight="1" x14ac:dyDescent="0.35">
      <c r="A95" s="83"/>
      <c r="B95" s="83"/>
      <c r="C95" s="84"/>
      <c r="D95" s="84"/>
      <c r="E95" s="84"/>
      <c r="F95" s="84"/>
      <c r="G95" s="84"/>
      <c r="H95" s="85" t="s">
        <v>176</v>
      </c>
    </row>
    <row r="96" spans="1:9" ht="36" customHeight="1" x14ac:dyDescent="0.35">
      <c r="A96" s="21" t="s">
        <v>177</v>
      </c>
      <c r="B96" s="21"/>
      <c r="C96" s="9" t="s">
        <v>318</v>
      </c>
      <c r="D96" s="9"/>
      <c r="E96" s="9"/>
      <c r="F96" s="9"/>
      <c r="G96" s="9"/>
      <c r="H96" s="9"/>
      <c r="I96" s="2" t="s">
        <v>319</v>
      </c>
    </row>
    <row r="97" spans="1:9" ht="46.5" customHeight="1" x14ac:dyDescent="0.35">
      <c r="A97" s="21" t="s">
        <v>178</v>
      </c>
      <c r="B97" s="21"/>
      <c r="C97" s="9"/>
      <c r="D97" s="9"/>
      <c r="E97" s="9"/>
      <c r="F97" s="9"/>
      <c r="G97" s="9"/>
      <c r="H97" s="9"/>
    </row>
    <row r="98" spans="1:9" ht="69.75" customHeight="1" x14ac:dyDescent="0.35">
      <c r="A98" s="21" t="s">
        <v>180</v>
      </c>
      <c r="B98" s="21"/>
      <c r="C98" s="9" t="s">
        <v>320</v>
      </c>
      <c r="D98" s="9"/>
      <c r="E98" s="9"/>
      <c r="F98" s="9"/>
      <c r="G98" s="9"/>
      <c r="H98" s="9"/>
      <c r="I98" s="2" t="s">
        <v>321</v>
      </c>
    </row>
    <row r="99" spans="1:9" ht="69.75" customHeight="1" x14ac:dyDescent="0.35">
      <c r="A99" s="21" t="s">
        <v>182</v>
      </c>
      <c r="B99" s="21"/>
      <c r="C99" s="9"/>
      <c r="D99" s="9"/>
      <c r="E99" s="9"/>
      <c r="F99" s="9"/>
      <c r="G99" s="9"/>
      <c r="H99" s="9"/>
    </row>
    <row r="100" spans="1:9" ht="34.5" customHeight="1" x14ac:dyDescent="0.35">
      <c r="A100" s="24" t="s">
        <v>183</v>
      </c>
      <c r="B100" s="24"/>
      <c r="C100" s="86" t="s">
        <v>322</v>
      </c>
      <c r="D100" s="86"/>
      <c r="E100" s="86"/>
      <c r="F100" s="86"/>
      <c r="G100" s="86"/>
      <c r="H100" s="86"/>
    </row>
    <row r="101" spans="1:9" ht="54" customHeight="1" x14ac:dyDescent="0.35">
      <c r="A101" s="21" t="s">
        <v>185</v>
      </c>
      <c r="B101" s="21"/>
      <c r="C101" s="80" t="s">
        <v>323</v>
      </c>
      <c r="D101" s="80"/>
      <c r="E101" s="80"/>
      <c r="F101" s="80"/>
      <c r="G101" s="80"/>
      <c r="H101" s="80"/>
    </row>
    <row r="102" spans="1:9" ht="54.75" customHeight="1" x14ac:dyDescent="0.35">
      <c r="A102" s="21" t="s">
        <v>187</v>
      </c>
      <c r="B102" s="21"/>
      <c r="C102" s="9"/>
      <c r="D102" s="9"/>
      <c r="E102" s="9"/>
      <c r="F102" s="9"/>
      <c r="G102" s="9"/>
      <c r="H102" s="9"/>
    </row>
    <row r="103" spans="1:9" ht="56.25" customHeight="1" x14ac:dyDescent="0.35">
      <c r="A103" s="21" t="s">
        <v>188</v>
      </c>
      <c r="B103" s="21"/>
      <c r="C103" s="9"/>
      <c r="D103" s="9"/>
      <c r="E103" s="9"/>
      <c r="F103" s="9"/>
      <c r="G103" s="9"/>
      <c r="H103" s="9"/>
    </row>
    <row r="104" spans="1:9" ht="47" customHeight="1" x14ac:dyDescent="0.35">
      <c r="A104" s="21" t="s">
        <v>189</v>
      </c>
      <c r="B104" s="21"/>
      <c r="C104" s="9"/>
      <c r="D104" s="9"/>
      <c r="E104" s="9"/>
      <c r="F104" s="9"/>
      <c r="G104" s="9"/>
      <c r="H104" s="9"/>
    </row>
  </sheetData>
  <mergeCells count="109">
    <mergeCell ref="A102:B102"/>
    <mergeCell ref="C102:H102"/>
    <mergeCell ref="A103:B103"/>
    <mergeCell ref="C103:H103"/>
    <mergeCell ref="A104:B104"/>
    <mergeCell ref="C104:H104"/>
    <mergeCell ref="A99:B99"/>
    <mergeCell ref="C99:H99"/>
    <mergeCell ref="A100:B100"/>
    <mergeCell ref="C100:H100"/>
    <mergeCell ref="A101:B101"/>
    <mergeCell ref="C101:H101"/>
    <mergeCell ref="A96:B96"/>
    <mergeCell ref="C96:H96"/>
    <mergeCell ref="A97:B97"/>
    <mergeCell ref="C97:H97"/>
    <mergeCell ref="A98:B98"/>
    <mergeCell ref="C98:H98"/>
    <mergeCell ref="A91:B91"/>
    <mergeCell ref="C91:H91"/>
    <mergeCell ref="A92:B92"/>
    <mergeCell ref="C92:H92"/>
    <mergeCell ref="A93:B93"/>
    <mergeCell ref="C93:H93"/>
    <mergeCell ref="A88:B88"/>
    <mergeCell ref="C88:H88"/>
    <mergeCell ref="A89:B89"/>
    <mergeCell ref="C89:H89"/>
    <mergeCell ref="A90:B90"/>
    <mergeCell ref="C90:H90"/>
    <mergeCell ref="A85:B85"/>
    <mergeCell ref="C85:H85"/>
    <mergeCell ref="A86:B86"/>
    <mergeCell ref="C86:H86"/>
    <mergeCell ref="A87:B87"/>
    <mergeCell ref="C87:H87"/>
    <mergeCell ref="A82:B82"/>
    <mergeCell ref="C82:H82"/>
    <mergeCell ref="A83:B83"/>
    <mergeCell ref="C83:H83"/>
    <mergeCell ref="A84:B84"/>
    <mergeCell ref="C84:H84"/>
    <mergeCell ref="A76:D76"/>
    <mergeCell ref="A77:D77"/>
    <mergeCell ref="A78:D78"/>
    <mergeCell ref="A80:H80"/>
    <mergeCell ref="A81:B81"/>
    <mergeCell ref="C81:H81"/>
    <mergeCell ref="A71:D71"/>
    <mergeCell ref="A72:D72"/>
    <mergeCell ref="A73:D73"/>
    <mergeCell ref="A74:D74"/>
    <mergeCell ref="E74:H74"/>
    <mergeCell ref="A75:D75"/>
    <mergeCell ref="A66:D66"/>
    <mergeCell ref="E66:H66"/>
    <mergeCell ref="A67:D67"/>
    <mergeCell ref="A68:D68"/>
    <mergeCell ref="A69:D69"/>
    <mergeCell ref="A70:D70"/>
    <mergeCell ref="E70:H70"/>
    <mergeCell ref="A37:B37"/>
    <mergeCell ref="A38:A45"/>
    <mergeCell ref="B46:H51"/>
    <mergeCell ref="A54:B54"/>
    <mergeCell ref="B59:H63"/>
    <mergeCell ref="A65:B65"/>
    <mergeCell ref="A21:D21"/>
    <mergeCell ref="E21:H21"/>
    <mergeCell ref="A23:D23"/>
    <mergeCell ref="A24:D24"/>
    <mergeCell ref="E24:H24"/>
    <mergeCell ref="A26:A27"/>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hyperlinks>
    <hyperlink ref="E5:H5" r:id="rId1" display="802-868-2131, choinierefamilyfarm@gmail.com_x000a_" xr:uid="{7F8D7969-ADB1-4FBF-B71D-53FDD849E86C}"/>
  </hyperlinks>
  <pageMargins left="0.7" right="0.7" top="0.75" bottom="0.75" header="0.3" footer="0.3"/>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7CEC2-8CD7-49EF-9583-B9A60F55A404}">
  <dimension ref="A1:O107"/>
  <sheetViews>
    <sheetView view="pageBreakPreview" zoomScale="44" zoomScaleNormal="100" zoomScaleSheetLayoutView="125" workbookViewId="0">
      <selection activeCell="G41" sqref="G41"/>
    </sheetView>
  </sheetViews>
  <sheetFormatPr defaultColWidth="11.81640625" defaultRowHeight="15.5" x14ac:dyDescent="0.35"/>
  <cols>
    <col min="1" max="1" width="13.08984375" style="2" customWidth="1"/>
    <col min="2" max="2" width="18.90625" style="2" customWidth="1"/>
    <col min="3" max="4" width="12" style="2" customWidth="1"/>
    <col min="5" max="6" width="14.90625" style="2" customWidth="1"/>
    <col min="7" max="7" width="16.36328125" style="2" customWidth="1"/>
    <col min="8" max="8" width="15.26953125" style="2" customWidth="1"/>
    <col min="9" max="10" width="11.81640625" style="2"/>
    <col min="11" max="11" width="17.26953125" style="2" customWidth="1"/>
    <col min="12" max="12" width="16.1796875" style="2" customWidth="1"/>
    <col min="13" max="16384" width="11.81640625" style="2"/>
  </cols>
  <sheetData>
    <row r="1" spans="1:15" x14ac:dyDescent="0.35">
      <c r="A1" s="1" t="s">
        <v>0</v>
      </c>
      <c r="B1" s="1"/>
      <c r="C1" s="1"/>
      <c r="D1" s="1"/>
      <c r="H1" s="3" t="s">
        <v>1</v>
      </c>
    </row>
    <row r="2" spans="1:15" ht="24" customHeight="1" thickBot="1" x14ac:dyDescent="0.4">
      <c r="A2" s="4" t="s">
        <v>2</v>
      </c>
      <c r="B2" s="4"/>
      <c r="C2" s="4"/>
      <c r="D2" s="4"/>
      <c r="E2" s="5"/>
      <c r="F2" s="6"/>
    </row>
    <row r="3" spans="1:15" ht="19" customHeight="1" thickBot="1" x14ac:dyDescent="0.4">
      <c r="A3" s="7" t="s">
        <v>3</v>
      </c>
      <c r="B3" s="7"/>
      <c r="C3" s="7"/>
      <c r="D3" s="7"/>
      <c r="E3" s="8" t="s">
        <v>324</v>
      </c>
      <c r="F3" s="8"/>
      <c r="G3" s="8"/>
      <c r="H3" s="8"/>
    </row>
    <row r="4" spans="1:15" ht="19" customHeight="1" x14ac:dyDescent="0.35">
      <c r="A4" s="9" t="s">
        <v>5</v>
      </c>
      <c r="B4" s="9"/>
      <c r="C4" s="9"/>
      <c r="D4" s="9"/>
      <c r="E4" s="10" t="s">
        <v>325</v>
      </c>
      <c r="F4" s="10"/>
      <c r="G4" s="10"/>
      <c r="H4" s="10"/>
      <c r="K4" s="100" t="s">
        <v>7</v>
      </c>
      <c r="L4" s="101"/>
      <c r="M4" s="101"/>
      <c r="N4" s="101"/>
      <c r="O4" s="102"/>
    </row>
    <row r="5" spans="1:15" ht="19" customHeight="1" x14ac:dyDescent="0.35">
      <c r="A5" s="9" t="s">
        <v>8</v>
      </c>
      <c r="B5" s="9"/>
      <c r="C5" s="9"/>
      <c r="D5" s="9"/>
      <c r="E5" s="92" t="s">
        <v>326</v>
      </c>
      <c r="F5" s="92"/>
      <c r="G5" s="92"/>
      <c r="H5" s="92"/>
      <c r="K5" s="103" t="s">
        <v>10</v>
      </c>
      <c r="L5" s="104"/>
      <c r="M5" s="104"/>
      <c r="N5" s="104"/>
      <c r="O5" s="105"/>
    </row>
    <row r="6" spans="1:15" ht="19" customHeight="1" x14ac:dyDescent="0.35">
      <c r="A6" s="9" t="s">
        <v>11</v>
      </c>
      <c r="B6" s="9"/>
      <c r="C6" s="9"/>
      <c r="D6" s="9"/>
      <c r="E6" s="10" t="s">
        <v>327</v>
      </c>
      <c r="F6" s="10"/>
      <c r="G6" s="10"/>
      <c r="H6" s="10"/>
      <c r="K6" s="106" t="s">
        <v>13</v>
      </c>
      <c r="L6" s="17">
        <v>50</v>
      </c>
      <c r="M6" s="104"/>
      <c r="N6" s="104"/>
      <c r="O6" s="105"/>
    </row>
    <row r="7" spans="1:15" ht="19" customHeight="1" x14ac:dyDescent="0.35">
      <c r="A7" s="9" t="s">
        <v>14</v>
      </c>
      <c r="B7" s="9"/>
      <c r="C7" s="9"/>
      <c r="D7" s="9"/>
      <c r="E7" s="10" t="s">
        <v>328</v>
      </c>
      <c r="F7" s="10"/>
      <c r="G7" s="10"/>
      <c r="H7" s="10"/>
      <c r="K7" s="107" t="s">
        <v>16</v>
      </c>
      <c r="L7" s="17">
        <v>4587</v>
      </c>
      <c r="M7" s="104"/>
      <c r="N7" s="108" t="s">
        <v>17</v>
      </c>
      <c r="O7" s="109">
        <f>L7/L6</f>
        <v>91.74</v>
      </c>
    </row>
    <row r="8" spans="1:15" ht="30.5" customHeight="1" x14ac:dyDescent="0.35">
      <c r="A8" s="21" t="s">
        <v>18</v>
      </c>
      <c r="B8" s="21"/>
      <c r="C8" s="21"/>
      <c r="D8" s="21"/>
      <c r="E8" s="24" t="s">
        <v>329</v>
      </c>
      <c r="F8" s="24"/>
      <c r="G8" s="24"/>
      <c r="H8" s="24"/>
      <c r="K8" s="107" t="s">
        <v>19</v>
      </c>
      <c r="L8" s="22">
        <v>600</v>
      </c>
      <c r="M8" s="104"/>
      <c r="N8" s="108" t="s">
        <v>20</v>
      </c>
      <c r="O8" s="110">
        <f>L8/L6</f>
        <v>12</v>
      </c>
    </row>
    <row r="9" spans="1:15" ht="43" customHeight="1" x14ac:dyDescent="0.35">
      <c r="A9" s="21" t="s">
        <v>330</v>
      </c>
      <c r="B9" s="21"/>
      <c r="C9" s="21"/>
      <c r="D9" s="21"/>
      <c r="E9" s="24" t="s">
        <v>331</v>
      </c>
      <c r="F9" s="24"/>
      <c r="G9" s="24"/>
      <c r="H9" s="24"/>
      <c r="K9" s="107" t="s">
        <v>23</v>
      </c>
      <c r="L9" s="17">
        <f>53+26+365</f>
        <v>444</v>
      </c>
      <c r="M9" s="104"/>
      <c r="N9" s="108" t="s">
        <v>24</v>
      </c>
      <c r="O9" s="111">
        <f>L9/L6</f>
        <v>8.8800000000000008</v>
      </c>
    </row>
    <row r="10" spans="1:15" ht="62" customHeight="1" x14ac:dyDescent="0.35">
      <c r="A10" s="21" t="s">
        <v>25</v>
      </c>
      <c r="B10" s="21"/>
      <c r="C10" s="21"/>
      <c r="D10" s="21"/>
      <c r="E10" s="26" t="s">
        <v>26</v>
      </c>
      <c r="F10" s="26"/>
      <c r="G10" s="26"/>
      <c r="H10" s="26"/>
      <c r="K10" s="107" t="s">
        <v>197</v>
      </c>
      <c r="L10" s="17">
        <v>0</v>
      </c>
      <c r="M10" s="104"/>
      <c r="N10" s="108" t="s">
        <v>28</v>
      </c>
      <c r="O10" s="111">
        <f>L10/L6</f>
        <v>0</v>
      </c>
    </row>
    <row r="11" spans="1:15" ht="54" customHeight="1" x14ac:dyDescent="0.35">
      <c r="A11" s="21" t="s">
        <v>29</v>
      </c>
      <c r="B11" s="21"/>
      <c r="C11" s="21"/>
      <c r="D11" s="21"/>
      <c r="E11" s="24" t="s">
        <v>332</v>
      </c>
      <c r="F11" s="24"/>
      <c r="G11" s="24"/>
      <c r="H11" s="24"/>
      <c r="K11" s="107" t="s">
        <v>31</v>
      </c>
      <c r="L11" s="28">
        <v>229</v>
      </c>
      <c r="M11" s="104"/>
      <c r="N11" s="108" t="s">
        <v>33</v>
      </c>
      <c r="O11" s="112">
        <f>(L11*L15)/L6</f>
        <v>8.0150000000000006</v>
      </c>
    </row>
    <row r="12" spans="1:15" ht="53" customHeight="1" x14ac:dyDescent="0.35">
      <c r="A12" s="21" t="s">
        <v>34</v>
      </c>
      <c r="B12" s="21"/>
      <c r="C12" s="21"/>
      <c r="D12" s="21"/>
      <c r="E12" s="24" t="s">
        <v>333</v>
      </c>
      <c r="F12" s="24"/>
      <c r="G12" s="24"/>
      <c r="H12" s="24"/>
      <c r="K12" s="107" t="s">
        <v>36</v>
      </c>
      <c r="L12" s="17">
        <f>I43+I44</f>
        <v>1660.5</v>
      </c>
      <c r="M12" s="104"/>
      <c r="N12" s="108" t="s">
        <v>37</v>
      </c>
      <c r="O12" s="113">
        <v>0</v>
      </c>
    </row>
    <row r="13" spans="1:15" ht="70" customHeight="1" x14ac:dyDescent="0.35">
      <c r="A13" s="21" t="s">
        <v>38</v>
      </c>
      <c r="B13" s="21"/>
      <c r="C13" s="21"/>
      <c r="D13" s="21"/>
      <c r="E13" s="24" t="s">
        <v>334</v>
      </c>
      <c r="F13" s="24"/>
      <c r="G13" s="24"/>
      <c r="H13" s="24"/>
      <c r="K13" s="107" t="s">
        <v>40</v>
      </c>
      <c r="L13" s="17">
        <v>0</v>
      </c>
      <c r="M13" s="104"/>
      <c r="N13" s="108" t="s">
        <v>41</v>
      </c>
      <c r="O13" s="113">
        <f>L13/L6</f>
        <v>0</v>
      </c>
    </row>
    <row r="14" spans="1:15" ht="32.25" customHeight="1" x14ac:dyDescent="0.35">
      <c r="A14" s="21" t="s">
        <v>42</v>
      </c>
      <c r="B14" s="21"/>
      <c r="C14" s="21"/>
      <c r="D14" s="21"/>
      <c r="E14" s="26" t="s">
        <v>26</v>
      </c>
      <c r="F14" s="26"/>
      <c r="G14" s="26"/>
      <c r="H14" s="26"/>
      <c r="K14" s="107" t="s">
        <v>43</v>
      </c>
      <c r="L14" s="28">
        <f>J45+K45</f>
        <v>2515.12</v>
      </c>
      <c r="M14" s="104"/>
      <c r="N14" s="108" t="s">
        <v>45</v>
      </c>
      <c r="O14" s="110">
        <f>(L14*L15)/L6</f>
        <v>88.029200000000003</v>
      </c>
    </row>
    <row r="15" spans="1:15" ht="19" customHeight="1" x14ac:dyDescent="0.35">
      <c r="A15" s="21" t="s">
        <v>46</v>
      </c>
      <c r="B15" s="21"/>
      <c r="C15" s="21"/>
      <c r="D15" s="21"/>
      <c r="E15" s="24" t="s">
        <v>335</v>
      </c>
      <c r="F15" s="24"/>
      <c r="G15" s="24"/>
      <c r="H15" s="24"/>
      <c r="K15" s="107" t="s">
        <v>48</v>
      </c>
      <c r="L15" s="17">
        <v>1.75</v>
      </c>
      <c r="M15" s="104"/>
      <c r="N15" s="108" t="s">
        <v>49</v>
      </c>
      <c r="O15" s="109">
        <f>L18/L6</f>
        <v>0</v>
      </c>
    </row>
    <row r="16" spans="1:15" ht="61" customHeight="1" x14ac:dyDescent="0.35">
      <c r="A16" s="21" t="s">
        <v>50</v>
      </c>
      <c r="B16" s="21"/>
      <c r="C16" s="21"/>
      <c r="D16" s="21"/>
      <c r="E16" s="26" t="s">
        <v>26</v>
      </c>
      <c r="F16" s="26"/>
      <c r="G16" s="26"/>
      <c r="H16" s="26"/>
      <c r="K16" s="114" t="s">
        <v>51</v>
      </c>
      <c r="L16" s="33">
        <v>0</v>
      </c>
      <c r="M16" s="104"/>
      <c r="N16" s="115" t="s">
        <v>52</v>
      </c>
      <c r="O16" s="116">
        <f>L16/L6</f>
        <v>0</v>
      </c>
    </row>
    <row r="17" spans="1:15" ht="40" customHeight="1" x14ac:dyDescent="0.35">
      <c r="A17" s="21" t="s">
        <v>53</v>
      </c>
      <c r="B17" s="21"/>
      <c r="C17" s="21"/>
      <c r="D17" s="21"/>
      <c r="E17" s="26" t="s">
        <v>26</v>
      </c>
      <c r="F17" s="26"/>
      <c r="G17" s="26"/>
      <c r="H17" s="26"/>
      <c r="K17" s="104"/>
      <c r="L17" s="33" t="s">
        <v>44</v>
      </c>
      <c r="M17" s="104"/>
      <c r="N17" s="104"/>
      <c r="O17" s="104"/>
    </row>
    <row r="18" spans="1:15" ht="19" customHeight="1" x14ac:dyDescent="0.35">
      <c r="A18" s="21" t="s">
        <v>54</v>
      </c>
      <c r="B18" s="21"/>
      <c r="C18" s="21"/>
      <c r="D18" s="21"/>
      <c r="E18" s="26" t="s">
        <v>26</v>
      </c>
      <c r="F18" s="26"/>
      <c r="G18" s="26"/>
      <c r="H18" s="26"/>
      <c r="K18" s="107" t="s">
        <v>55</v>
      </c>
      <c r="L18" s="17">
        <v>0</v>
      </c>
      <c r="M18" s="104"/>
      <c r="N18" s="108" t="s">
        <v>57</v>
      </c>
      <c r="O18" s="110">
        <f>O8+O11+O14+O15+O16</f>
        <v>108.0442</v>
      </c>
    </row>
    <row r="19" spans="1:15" ht="19" customHeight="1" thickBot="1" x14ac:dyDescent="0.4">
      <c r="A19" s="37" t="s">
        <v>58</v>
      </c>
      <c r="B19" s="21"/>
      <c r="C19" s="21"/>
      <c r="D19" s="21"/>
      <c r="E19" s="24">
        <v>1978</v>
      </c>
      <c r="F19" s="24"/>
      <c r="G19" s="24"/>
      <c r="H19" s="24"/>
      <c r="K19" s="117"/>
      <c r="L19" s="118"/>
      <c r="M19" s="118"/>
      <c r="N19" s="119" t="s">
        <v>59</v>
      </c>
      <c r="O19" s="120">
        <f>O9+O12</f>
        <v>8.8800000000000008</v>
      </c>
    </row>
    <row r="20" spans="1:15" ht="33.75" customHeight="1" x14ac:dyDescent="0.35">
      <c r="A20" s="37" t="s">
        <v>60</v>
      </c>
      <c r="B20" s="21"/>
      <c r="C20" s="21"/>
      <c r="D20" s="21"/>
      <c r="E20" s="24" t="s">
        <v>336</v>
      </c>
      <c r="F20" s="24"/>
      <c r="G20" s="24"/>
      <c r="H20" s="24"/>
      <c r="I20" s="2">
        <f>59*81-(48*4)</f>
        <v>4587</v>
      </c>
    </row>
    <row r="21" spans="1:15" ht="32.25" customHeight="1" x14ac:dyDescent="0.35">
      <c r="A21" s="37" t="s">
        <v>62</v>
      </c>
      <c r="B21" s="21"/>
      <c r="C21" s="21"/>
      <c r="D21" s="21"/>
      <c r="E21" s="24" t="s">
        <v>337</v>
      </c>
      <c r="F21" s="24"/>
      <c r="G21" s="24"/>
      <c r="H21" s="24"/>
    </row>
    <row r="22" spans="1:15" ht="32.25" customHeight="1" x14ac:dyDescent="0.35">
      <c r="A22" s="41"/>
      <c r="B22" s="42"/>
      <c r="C22" s="42"/>
      <c r="D22" s="42"/>
      <c r="E22" s="121"/>
      <c r="F22" s="121"/>
      <c r="G22" s="121"/>
      <c r="H22" s="43"/>
    </row>
    <row r="23" spans="1:15" ht="30" customHeight="1" x14ac:dyDescent="0.35">
      <c r="A23" s="44" t="s">
        <v>67</v>
      </c>
      <c r="B23" s="45"/>
      <c r="C23" s="45"/>
      <c r="D23" s="45"/>
      <c r="E23" s="2" t="s">
        <v>338</v>
      </c>
      <c r="H23" s="122" t="s">
        <v>68</v>
      </c>
    </row>
    <row r="24" spans="1:15" ht="111.75" customHeight="1" x14ac:dyDescent="0.35">
      <c r="A24" s="44" t="s">
        <v>339</v>
      </c>
      <c r="B24" s="45"/>
      <c r="C24" s="45"/>
      <c r="D24" s="45"/>
      <c r="E24" s="93" t="s">
        <v>340</v>
      </c>
      <c r="F24" s="93"/>
      <c r="G24" s="93"/>
      <c r="H24" s="43"/>
    </row>
    <row r="25" spans="1:15" ht="20.25" customHeight="1" x14ac:dyDescent="0.35">
      <c r="A25" s="36"/>
      <c r="B25" s="36"/>
      <c r="C25" s="36"/>
      <c r="D25" s="36"/>
    </row>
    <row r="26" spans="1:15" x14ac:dyDescent="0.35">
      <c r="A26" s="48" t="s">
        <v>71</v>
      </c>
      <c r="B26" s="48"/>
      <c r="C26" s="48"/>
      <c r="D26" s="48"/>
    </row>
    <row r="27" spans="1:15" ht="47.25" customHeight="1" x14ac:dyDescent="0.35">
      <c r="A27" s="49" t="s">
        <v>72</v>
      </c>
      <c r="B27" s="50"/>
      <c r="C27" s="51" t="s">
        <v>73</v>
      </c>
      <c r="D27" s="51" t="s">
        <v>74</v>
      </c>
      <c r="E27" s="51" t="s">
        <v>75</v>
      </c>
      <c r="F27" s="51" t="s">
        <v>76</v>
      </c>
      <c r="G27" s="52" t="s">
        <v>77</v>
      </c>
      <c r="H27" s="52" t="s">
        <v>78</v>
      </c>
    </row>
    <row r="28" spans="1:15" ht="30" customHeight="1" x14ac:dyDescent="0.35">
      <c r="A28" s="53"/>
      <c r="B28" s="50" t="s">
        <v>79</v>
      </c>
      <c r="C28" s="50" t="s">
        <v>80</v>
      </c>
      <c r="D28" s="50"/>
      <c r="E28" s="50"/>
      <c r="F28" s="50"/>
      <c r="G28" s="50"/>
      <c r="H28" s="50"/>
    </row>
    <row r="29" spans="1:15" ht="30" customHeight="1" x14ac:dyDescent="0.35">
      <c r="A29" s="54"/>
      <c r="B29" s="50" t="s">
        <v>81</v>
      </c>
      <c r="C29" s="50" t="s">
        <v>80</v>
      </c>
      <c r="D29" s="50"/>
      <c r="E29" s="50"/>
      <c r="F29" s="50"/>
      <c r="G29" s="50"/>
      <c r="H29" s="50"/>
    </row>
    <row r="30" spans="1:15" ht="30" customHeight="1" x14ac:dyDescent="0.35">
      <c r="A30" s="54"/>
      <c r="B30" s="50" t="s">
        <v>82</v>
      </c>
      <c r="C30" s="50" t="s">
        <v>80</v>
      </c>
      <c r="D30" s="50"/>
      <c r="E30" s="50"/>
      <c r="F30" s="50"/>
      <c r="G30" s="50"/>
      <c r="H30" s="50"/>
    </row>
    <row r="31" spans="1:15" ht="30" customHeight="1" x14ac:dyDescent="0.35">
      <c r="A31" s="54"/>
      <c r="B31" s="50" t="s">
        <v>83</v>
      </c>
      <c r="C31" s="50" t="s">
        <v>84</v>
      </c>
      <c r="D31" s="50"/>
      <c r="E31" s="50"/>
      <c r="F31" s="50"/>
      <c r="G31" s="50"/>
      <c r="H31" s="50"/>
    </row>
    <row r="32" spans="1:15" ht="30" customHeight="1" x14ac:dyDescent="0.35">
      <c r="A32" s="54"/>
      <c r="B32" s="50" t="s">
        <v>85</v>
      </c>
      <c r="C32" s="50" t="s">
        <v>84</v>
      </c>
      <c r="D32" s="50" t="s">
        <v>341</v>
      </c>
      <c r="E32" s="50" t="s">
        <v>342</v>
      </c>
      <c r="F32" s="50"/>
      <c r="G32" s="50" t="s">
        <v>343</v>
      </c>
      <c r="H32" s="50" t="s">
        <v>344</v>
      </c>
    </row>
    <row r="33" spans="1:12" ht="30" customHeight="1" x14ac:dyDescent="0.35">
      <c r="A33" s="54"/>
      <c r="B33" s="50" t="s">
        <v>22</v>
      </c>
      <c r="C33" s="50" t="s">
        <v>84</v>
      </c>
      <c r="D33" s="50"/>
      <c r="E33" s="50"/>
      <c r="F33" s="50"/>
      <c r="G33" s="50"/>
      <c r="H33" s="50"/>
    </row>
    <row r="34" spans="1:12" ht="30" customHeight="1" x14ac:dyDescent="0.35">
      <c r="A34" s="54"/>
      <c r="B34" s="50" t="s">
        <v>90</v>
      </c>
      <c r="C34" s="50" t="s">
        <v>84</v>
      </c>
      <c r="D34" s="50"/>
      <c r="E34" s="50"/>
      <c r="F34" s="50"/>
      <c r="G34" s="50"/>
      <c r="H34" s="50"/>
    </row>
    <row r="35" spans="1:12" ht="30" customHeight="1" x14ac:dyDescent="0.35">
      <c r="A35" s="54"/>
      <c r="B35" s="55" t="s">
        <v>91</v>
      </c>
      <c r="C35" s="50" t="s">
        <v>92</v>
      </c>
      <c r="D35" s="50"/>
      <c r="E35" s="50"/>
      <c r="F35" s="50"/>
      <c r="G35" s="50"/>
      <c r="H35" s="50"/>
    </row>
    <row r="38" spans="1:12" ht="29.25" customHeight="1" x14ac:dyDescent="0.35">
      <c r="A38" s="56" t="s">
        <v>96</v>
      </c>
      <c r="B38" s="57"/>
      <c r="H38" s="46" t="s">
        <v>97</v>
      </c>
    </row>
    <row r="39" spans="1:12" ht="31" customHeight="1" x14ac:dyDescent="0.35">
      <c r="A39" s="75" t="s">
        <v>98</v>
      </c>
      <c r="B39" s="55" t="s">
        <v>99</v>
      </c>
      <c r="C39" s="50" t="s">
        <v>100</v>
      </c>
      <c r="D39" s="50" t="s">
        <v>101</v>
      </c>
      <c r="E39" s="55" t="s">
        <v>102</v>
      </c>
      <c r="F39" s="55" t="s">
        <v>103</v>
      </c>
      <c r="G39" s="55" t="s">
        <v>104</v>
      </c>
      <c r="H39" s="55" t="s">
        <v>105</v>
      </c>
    </row>
    <row r="40" spans="1:12" ht="40" customHeight="1" x14ac:dyDescent="0.35">
      <c r="A40" s="96"/>
      <c r="B40" s="50" t="s">
        <v>345</v>
      </c>
      <c r="C40" s="50" t="s">
        <v>346</v>
      </c>
      <c r="D40" s="50" t="s">
        <v>347</v>
      </c>
      <c r="E40" s="50" t="s">
        <v>348</v>
      </c>
      <c r="F40" s="50"/>
      <c r="G40" s="50"/>
      <c r="H40" s="50"/>
      <c r="I40" s="2">
        <f>40*80/60</f>
        <v>53.333333333333336</v>
      </c>
      <c r="J40" s="2" t="s">
        <v>349</v>
      </c>
      <c r="L40" s="2">
        <v>53.3333333333333</v>
      </c>
    </row>
    <row r="41" spans="1:12" ht="40" customHeight="1" x14ac:dyDescent="0.35">
      <c r="A41" s="96"/>
      <c r="B41" s="50"/>
      <c r="C41" s="50"/>
      <c r="D41" s="50" t="s">
        <v>350</v>
      </c>
      <c r="E41" s="50"/>
      <c r="F41" s="50"/>
      <c r="G41" s="50"/>
      <c r="H41" s="50"/>
      <c r="I41" s="2">
        <f>80*18/15</f>
        <v>96</v>
      </c>
      <c r="J41" s="2" t="s">
        <v>351</v>
      </c>
      <c r="K41" s="123">
        <f>2.39*I41</f>
        <v>229.44</v>
      </c>
    </row>
    <row r="42" spans="1:12" ht="40" customHeight="1" x14ac:dyDescent="0.35">
      <c r="A42" s="96"/>
      <c r="B42" s="50" t="s">
        <v>352</v>
      </c>
      <c r="C42" s="50"/>
      <c r="D42" s="50" t="s">
        <v>353</v>
      </c>
      <c r="E42" s="50"/>
      <c r="F42" s="50"/>
      <c r="G42" s="50"/>
      <c r="H42" s="50"/>
      <c r="I42" s="2">
        <f>(0.5*52)+365</f>
        <v>391</v>
      </c>
    </row>
    <row r="43" spans="1:12" ht="40" customHeight="1" x14ac:dyDescent="0.35">
      <c r="A43" s="96"/>
      <c r="B43" s="50" t="s">
        <v>354</v>
      </c>
      <c r="C43" s="50"/>
      <c r="D43" s="50" t="s">
        <v>355</v>
      </c>
      <c r="E43" s="50" t="s">
        <v>356</v>
      </c>
      <c r="F43" s="50" t="s">
        <v>357</v>
      </c>
      <c r="G43" s="50"/>
      <c r="H43" s="50"/>
      <c r="I43" s="2">
        <f>7*7*30</f>
        <v>1470</v>
      </c>
      <c r="J43" s="2" t="s">
        <v>358</v>
      </c>
      <c r="K43" s="2">
        <f>(8*7*4.2)+(8*4*4.2)</f>
        <v>369.6</v>
      </c>
      <c r="L43" s="2" t="s">
        <v>359</v>
      </c>
    </row>
    <row r="44" spans="1:12" ht="40" customHeight="1" x14ac:dyDescent="0.35">
      <c r="A44" s="96"/>
      <c r="B44" s="50" t="s">
        <v>360</v>
      </c>
      <c r="C44" s="50" t="s">
        <v>361</v>
      </c>
      <c r="D44" s="50" t="s">
        <v>362</v>
      </c>
      <c r="E44" s="50"/>
      <c r="F44" s="50"/>
      <c r="G44" s="50"/>
      <c r="H44" s="50"/>
      <c r="I44" s="2">
        <v>190.5</v>
      </c>
      <c r="J44" s="2" t="s">
        <v>358</v>
      </c>
      <c r="K44" s="2">
        <v>2.2000000000000002</v>
      </c>
      <c r="L44" s="2" t="s">
        <v>363</v>
      </c>
    </row>
    <row r="45" spans="1:12" ht="40" customHeight="1" x14ac:dyDescent="0.35">
      <c r="A45" s="96"/>
      <c r="B45" s="50" t="s">
        <v>364</v>
      </c>
      <c r="C45" s="50"/>
      <c r="D45" s="50" t="s">
        <v>365</v>
      </c>
      <c r="E45" s="50"/>
      <c r="F45" s="50" t="s">
        <v>366</v>
      </c>
      <c r="G45" s="50"/>
      <c r="H45" s="50"/>
      <c r="J45" s="123">
        <f>920*1.85</f>
        <v>1702</v>
      </c>
      <c r="K45" s="123">
        <f>K43*K44</f>
        <v>813.12000000000012</v>
      </c>
    </row>
    <row r="46" spans="1:12" ht="40" customHeight="1" x14ac:dyDescent="0.35">
      <c r="A46" s="96"/>
      <c r="B46" s="50" t="s">
        <v>367</v>
      </c>
      <c r="C46" s="50" t="s">
        <v>368</v>
      </c>
      <c r="D46" s="50"/>
      <c r="E46" s="50"/>
      <c r="F46" s="50"/>
      <c r="G46" s="50"/>
      <c r="H46" s="50"/>
    </row>
    <row r="47" spans="1:12" x14ac:dyDescent="0.35">
      <c r="B47" s="61" t="s">
        <v>369</v>
      </c>
      <c r="C47" s="61"/>
      <c r="D47" s="61"/>
      <c r="E47" s="61"/>
      <c r="F47" s="61"/>
      <c r="G47" s="61"/>
      <c r="H47" s="61"/>
    </row>
    <row r="48" spans="1:12" x14ac:dyDescent="0.35">
      <c r="B48" s="62"/>
      <c r="C48" s="62"/>
      <c r="D48" s="62"/>
      <c r="E48" s="62"/>
      <c r="F48" s="62"/>
      <c r="G48" s="62"/>
      <c r="H48" s="62"/>
    </row>
    <row r="49" spans="1:8" x14ac:dyDescent="0.35">
      <c r="B49" s="62"/>
      <c r="C49" s="62"/>
      <c r="D49" s="62"/>
      <c r="E49" s="62"/>
      <c r="F49" s="62"/>
      <c r="G49" s="62"/>
      <c r="H49" s="62"/>
    </row>
    <row r="50" spans="1:8" x14ac:dyDescent="0.35">
      <c r="B50" s="62"/>
      <c r="C50" s="62"/>
      <c r="D50" s="62"/>
      <c r="E50" s="62"/>
      <c r="F50" s="62"/>
      <c r="G50" s="62"/>
      <c r="H50" s="62"/>
    </row>
    <row r="51" spans="1:8" x14ac:dyDescent="0.35">
      <c r="B51" s="62"/>
      <c r="C51" s="62"/>
      <c r="D51" s="62"/>
      <c r="E51" s="62"/>
      <c r="F51" s="62"/>
      <c r="G51" s="62"/>
      <c r="H51" s="62"/>
    </row>
    <row r="52" spans="1:8" x14ac:dyDescent="0.35">
      <c r="B52" s="62"/>
      <c r="C52" s="62"/>
      <c r="D52" s="62"/>
      <c r="E52" s="62"/>
      <c r="F52" s="62"/>
      <c r="G52" s="62"/>
      <c r="H52" s="62"/>
    </row>
    <row r="56" spans="1:8" ht="27" customHeight="1" x14ac:dyDescent="0.35">
      <c r="A56" s="56" t="s">
        <v>122</v>
      </c>
      <c r="B56" s="57"/>
      <c r="H56" s="46" t="s">
        <v>123</v>
      </c>
    </row>
    <row r="57" spans="1:8" ht="45" customHeight="1" x14ac:dyDescent="0.35">
      <c r="A57" s="50"/>
      <c r="B57" s="55" t="s">
        <v>124</v>
      </c>
      <c r="C57" s="55" t="s">
        <v>125</v>
      </c>
      <c r="D57" s="55" t="s">
        <v>126</v>
      </c>
      <c r="E57" s="55" t="s">
        <v>127</v>
      </c>
      <c r="F57" s="55" t="s">
        <v>128</v>
      </c>
      <c r="G57" s="55" t="s">
        <v>129</v>
      </c>
      <c r="H57" s="63" t="s">
        <v>130</v>
      </c>
    </row>
    <row r="58" spans="1:8" ht="124" x14ac:dyDescent="0.35">
      <c r="A58" s="55" t="s">
        <v>131</v>
      </c>
      <c r="B58" s="50"/>
      <c r="C58" s="50"/>
      <c r="D58" s="50"/>
      <c r="E58" s="50"/>
      <c r="F58" s="50"/>
      <c r="G58" s="50"/>
      <c r="H58" s="64"/>
    </row>
    <row r="59" spans="1:8" ht="93" x14ac:dyDescent="0.35">
      <c r="A59" s="55" t="s">
        <v>132</v>
      </c>
      <c r="B59" s="50"/>
      <c r="C59" s="50"/>
      <c r="D59" s="50"/>
      <c r="E59" s="50"/>
      <c r="F59" s="50"/>
      <c r="G59" s="50"/>
      <c r="H59" s="64"/>
    </row>
    <row r="60" spans="1:8" ht="108.5" x14ac:dyDescent="0.35">
      <c r="A60" s="65" t="s">
        <v>133</v>
      </c>
      <c r="B60" s="50"/>
      <c r="C60" s="50"/>
      <c r="D60" s="50"/>
      <c r="E60" s="50"/>
      <c r="F60" s="50"/>
      <c r="G60" s="50"/>
      <c r="H60" s="64"/>
    </row>
    <row r="61" spans="1:8" x14ac:dyDescent="0.35">
      <c r="B61" s="66" t="s">
        <v>121</v>
      </c>
      <c r="C61" s="66"/>
      <c r="D61" s="66"/>
      <c r="E61" s="66"/>
      <c r="F61" s="66"/>
      <c r="G61" s="66"/>
      <c r="H61" s="66"/>
    </row>
    <row r="62" spans="1:8" x14ac:dyDescent="0.35">
      <c r="B62" s="67"/>
      <c r="C62" s="67"/>
      <c r="D62" s="67"/>
      <c r="E62" s="67"/>
      <c r="F62" s="67"/>
      <c r="G62" s="67"/>
      <c r="H62" s="67"/>
    </row>
    <row r="63" spans="1:8" x14ac:dyDescent="0.35">
      <c r="B63" s="67"/>
      <c r="C63" s="67"/>
      <c r="D63" s="67"/>
      <c r="E63" s="67"/>
      <c r="F63" s="67"/>
      <c r="G63" s="67"/>
      <c r="H63" s="67"/>
    </row>
    <row r="64" spans="1:8" x14ac:dyDescent="0.35">
      <c r="B64" s="67"/>
      <c r="C64" s="67"/>
      <c r="D64" s="67"/>
      <c r="E64" s="67"/>
      <c r="F64" s="67"/>
      <c r="G64" s="67"/>
      <c r="H64" s="67"/>
    </row>
    <row r="65" spans="1:8" x14ac:dyDescent="0.35">
      <c r="B65" s="67"/>
      <c r="C65" s="67"/>
      <c r="D65" s="67"/>
      <c r="E65" s="67"/>
      <c r="F65" s="67"/>
      <c r="G65" s="67"/>
      <c r="H65" s="67"/>
    </row>
    <row r="66" spans="1:8" x14ac:dyDescent="0.35">
      <c r="B66" s="36"/>
    </row>
    <row r="67" spans="1:8" x14ac:dyDescent="0.35">
      <c r="B67" s="36"/>
    </row>
    <row r="68" spans="1:8" ht="46.5" customHeight="1" x14ac:dyDescent="0.35">
      <c r="A68" s="68" t="s">
        <v>134</v>
      </c>
      <c r="B68" s="68"/>
      <c r="C68" s="69" t="s">
        <v>135</v>
      </c>
      <c r="D68" s="69" t="s">
        <v>135</v>
      </c>
      <c r="E68" s="69" t="s">
        <v>135</v>
      </c>
      <c r="F68" s="69" t="s">
        <v>135</v>
      </c>
      <c r="G68" s="69" t="s">
        <v>135</v>
      </c>
      <c r="H68" s="70" t="s">
        <v>136</v>
      </c>
    </row>
    <row r="69" spans="1:8" ht="48" customHeight="1" x14ac:dyDescent="0.35">
      <c r="A69" s="71" t="s">
        <v>137</v>
      </c>
      <c r="B69" s="71"/>
      <c r="C69" s="71"/>
      <c r="D69" s="71"/>
      <c r="E69" s="68" t="s">
        <v>370</v>
      </c>
      <c r="F69" s="68"/>
      <c r="G69" s="68"/>
      <c r="H69" s="68"/>
    </row>
    <row r="70" spans="1:8" ht="38.5" customHeight="1" x14ac:dyDescent="0.35">
      <c r="A70" s="71" t="s">
        <v>139</v>
      </c>
      <c r="B70" s="71"/>
      <c r="C70" s="71"/>
      <c r="D70" s="71"/>
      <c r="E70" s="69" t="s">
        <v>371</v>
      </c>
      <c r="F70" s="69" t="s">
        <v>135</v>
      </c>
      <c r="G70" s="69" t="s">
        <v>135</v>
      </c>
      <c r="H70" s="69" t="s">
        <v>135</v>
      </c>
    </row>
    <row r="71" spans="1:8" ht="27.75" customHeight="1" x14ac:dyDescent="0.35">
      <c r="A71" s="71" t="s">
        <v>141</v>
      </c>
      <c r="B71" s="71"/>
      <c r="C71" s="71"/>
      <c r="D71" s="71"/>
      <c r="E71" s="69" t="s">
        <v>372</v>
      </c>
      <c r="F71" s="69" t="s">
        <v>135</v>
      </c>
      <c r="G71" s="69" t="s">
        <v>135</v>
      </c>
      <c r="H71" s="69" t="s">
        <v>135</v>
      </c>
    </row>
    <row r="72" spans="1:8" ht="39" customHeight="1" x14ac:dyDescent="0.35">
      <c r="A72" s="71" t="s">
        <v>143</v>
      </c>
      <c r="B72" s="71"/>
      <c r="C72" s="71"/>
      <c r="D72" s="71"/>
      <c r="E72" s="69" t="s">
        <v>373</v>
      </c>
      <c r="F72" s="69" t="s">
        <v>135</v>
      </c>
      <c r="G72" s="69" t="s">
        <v>135</v>
      </c>
      <c r="H72" s="69" t="s">
        <v>135</v>
      </c>
    </row>
    <row r="73" spans="1:8" ht="41.25" customHeight="1" x14ac:dyDescent="0.35">
      <c r="A73" s="71" t="s">
        <v>144</v>
      </c>
      <c r="B73" s="71"/>
      <c r="C73" s="71"/>
      <c r="D73" s="71"/>
      <c r="E73" s="69" t="s">
        <v>374</v>
      </c>
      <c r="F73" s="69" t="s">
        <v>135</v>
      </c>
      <c r="G73" s="69" t="s">
        <v>135</v>
      </c>
      <c r="H73" s="69" t="s">
        <v>135</v>
      </c>
    </row>
    <row r="74" spans="1:8" ht="55.5" customHeight="1" x14ac:dyDescent="0.35">
      <c r="A74" s="71" t="s">
        <v>146</v>
      </c>
      <c r="B74" s="71"/>
      <c r="C74" s="71"/>
      <c r="D74" s="71"/>
      <c r="E74" s="69" t="s">
        <v>135</v>
      </c>
      <c r="F74" s="69" t="s">
        <v>135</v>
      </c>
      <c r="G74" s="69" t="s">
        <v>135</v>
      </c>
      <c r="H74" s="69" t="s">
        <v>135</v>
      </c>
    </row>
    <row r="75" spans="1:8" ht="36.75" customHeight="1" x14ac:dyDescent="0.35">
      <c r="A75" s="71" t="s">
        <v>147</v>
      </c>
      <c r="B75" s="71"/>
      <c r="C75" s="71"/>
      <c r="D75" s="71"/>
      <c r="E75" s="69" t="s">
        <v>135</v>
      </c>
      <c r="F75" s="69" t="s">
        <v>135</v>
      </c>
      <c r="G75" s="69" t="s">
        <v>135</v>
      </c>
      <c r="H75" s="69" t="s">
        <v>135</v>
      </c>
    </row>
    <row r="76" spans="1:8" ht="29.25" customHeight="1" x14ac:dyDescent="0.35">
      <c r="A76" s="73" t="s">
        <v>149</v>
      </c>
      <c r="B76" s="73"/>
      <c r="C76" s="73"/>
      <c r="D76" s="73"/>
      <c r="E76" s="74" t="s">
        <v>135</v>
      </c>
      <c r="F76" s="74" t="s">
        <v>135</v>
      </c>
      <c r="G76" s="74" t="s">
        <v>135</v>
      </c>
      <c r="H76" s="74" t="s">
        <v>135</v>
      </c>
    </row>
    <row r="77" spans="1:8" ht="43" customHeight="1" x14ac:dyDescent="0.35">
      <c r="A77" s="71" t="s">
        <v>150</v>
      </c>
      <c r="B77" s="71"/>
      <c r="C77" s="71"/>
      <c r="D77" s="71"/>
      <c r="E77" s="69" t="s">
        <v>135</v>
      </c>
      <c r="F77" s="69" t="s">
        <v>135</v>
      </c>
      <c r="G77" s="69" t="s">
        <v>135</v>
      </c>
      <c r="H77" s="69" t="s">
        <v>135</v>
      </c>
    </row>
    <row r="78" spans="1:8" ht="31" customHeight="1" x14ac:dyDescent="0.35">
      <c r="A78" s="71" t="s">
        <v>152</v>
      </c>
      <c r="B78" s="71"/>
      <c r="C78" s="71"/>
      <c r="D78" s="71"/>
      <c r="E78" s="69" t="s">
        <v>370</v>
      </c>
      <c r="F78" s="69" t="s">
        <v>375</v>
      </c>
      <c r="G78" s="69" t="s">
        <v>135</v>
      </c>
      <c r="H78" s="69" t="s">
        <v>135</v>
      </c>
    </row>
    <row r="79" spans="1:8" ht="25.5" customHeight="1" x14ac:dyDescent="0.35">
      <c r="A79" s="71" t="s">
        <v>153</v>
      </c>
      <c r="B79" s="71"/>
      <c r="C79" s="71"/>
      <c r="D79" s="71"/>
      <c r="E79" s="69" t="s">
        <v>135</v>
      </c>
      <c r="F79" s="69" t="s">
        <v>135</v>
      </c>
      <c r="G79" s="69" t="s">
        <v>135</v>
      </c>
      <c r="H79" s="69" t="s">
        <v>135</v>
      </c>
    </row>
    <row r="80" spans="1:8" ht="25" customHeight="1" x14ac:dyDescent="0.35">
      <c r="A80" s="71" t="s">
        <v>154</v>
      </c>
      <c r="B80" s="71"/>
      <c r="C80" s="71"/>
      <c r="D80" s="71"/>
      <c r="E80" s="69" t="s">
        <v>135</v>
      </c>
      <c r="F80" s="69" t="s">
        <v>135</v>
      </c>
      <c r="G80" s="69" t="s">
        <v>135</v>
      </c>
      <c r="H80" s="69" t="s">
        <v>135</v>
      </c>
    </row>
    <row r="81" spans="1:8" x14ac:dyDescent="0.35">
      <c r="A81" s="75" t="s">
        <v>155</v>
      </c>
      <c r="B81" s="75"/>
      <c r="C81" s="75"/>
      <c r="D81" s="75"/>
      <c r="E81" s="76" t="s">
        <v>135</v>
      </c>
      <c r="F81" s="76" t="s">
        <v>135</v>
      </c>
      <c r="G81" s="76" t="s">
        <v>135</v>
      </c>
      <c r="H81" s="76" t="s">
        <v>135</v>
      </c>
    </row>
    <row r="82" spans="1:8" ht="35.5" customHeight="1" x14ac:dyDescent="0.35">
      <c r="E82" s="36"/>
      <c r="F82" s="36"/>
      <c r="G82" s="36"/>
      <c r="H82" s="77" t="s">
        <v>156</v>
      </c>
    </row>
    <row r="83" spans="1:8" ht="40.5" customHeight="1" x14ac:dyDescent="0.35">
      <c r="A83" s="78" t="s">
        <v>157</v>
      </c>
      <c r="B83" s="78"/>
      <c r="C83" s="78"/>
      <c r="D83" s="78"/>
      <c r="E83" s="78"/>
      <c r="F83" s="78"/>
      <c r="G83" s="78"/>
      <c r="H83" s="78"/>
    </row>
    <row r="84" spans="1:8" ht="36" customHeight="1" x14ac:dyDescent="0.35">
      <c r="A84" s="79" t="s">
        <v>158</v>
      </c>
      <c r="B84" s="79"/>
      <c r="C84" s="80" t="s">
        <v>376</v>
      </c>
      <c r="D84" s="80"/>
      <c r="E84" s="80"/>
      <c r="F84" s="80"/>
      <c r="G84" s="80"/>
      <c r="H84" s="80"/>
    </row>
    <row r="85" spans="1:8" ht="36.75" customHeight="1" x14ac:dyDescent="0.35">
      <c r="A85" s="21" t="s">
        <v>159</v>
      </c>
      <c r="B85" s="21"/>
      <c r="C85" s="9"/>
      <c r="D85" s="9"/>
      <c r="E85" s="9"/>
      <c r="F85" s="9"/>
      <c r="G85" s="9"/>
      <c r="H85" s="9"/>
    </row>
    <row r="86" spans="1:8" ht="41.5" customHeight="1" x14ac:dyDescent="0.35">
      <c r="A86" s="21" t="s">
        <v>160</v>
      </c>
      <c r="B86" s="21"/>
      <c r="C86" s="9" t="s">
        <v>377</v>
      </c>
      <c r="D86" s="9"/>
      <c r="E86" s="9"/>
      <c r="F86" s="9"/>
      <c r="G86" s="9"/>
      <c r="H86" s="9"/>
    </row>
    <row r="87" spans="1:8" ht="38.25" customHeight="1" x14ac:dyDescent="0.35">
      <c r="A87" s="21" t="s">
        <v>162</v>
      </c>
      <c r="B87" s="21"/>
      <c r="C87" s="9" t="s">
        <v>378</v>
      </c>
      <c r="D87" s="9"/>
      <c r="E87" s="9"/>
      <c r="F87" s="9"/>
      <c r="G87" s="9"/>
      <c r="H87" s="9"/>
    </row>
    <row r="88" spans="1:8" ht="29.25" customHeight="1" x14ac:dyDescent="0.35">
      <c r="A88" s="21" t="s">
        <v>163</v>
      </c>
      <c r="B88" s="21"/>
      <c r="C88" s="9"/>
      <c r="D88" s="9"/>
      <c r="E88" s="9"/>
      <c r="F88" s="9"/>
      <c r="G88" s="9"/>
      <c r="H88" s="9"/>
    </row>
    <row r="89" spans="1:8" ht="43" customHeight="1" x14ac:dyDescent="0.35">
      <c r="A89" s="21" t="s">
        <v>164</v>
      </c>
      <c r="B89" s="21"/>
      <c r="C89" s="9" t="s">
        <v>379</v>
      </c>
      <c r="D89" s="9"/>
      <c r="E89" s="9"/>
      <c r="F89" s="9"/>
      <c r="G89" s="9"/>
      <c r="H89" s="9"/>
    </row>
    <row r="90" spans="1:8" x14ac:dyDescent="0.35">
      <c r="A90" s="21" t="s">
        <v>165</v>
      </c>
      <c r="B90" s="21"/>
      <c r="C90" s="9"/>
      <c r="D90" s="9"/>
      <c r="E90" s="9"/>
      <c r="F90" s="9"/>
      <c r="G90" s="9"/>
      <c r="H90" s="9"/>
    </row>
    <row r="91" spans="1:8" x14ac:dyDescent="0.35">
      <c r="A91" s="81" t="s">
        <v>166</v>
      </c>
      <c r="B91" s="81"/>
      <c r="C91" s="9"/>
      <c r="D91" s="9"/>
      <c r="E91" s="9"/>
      <c r="F91" s="9"/>
      <c r="G91" s="9"/>
      <c r="H91" s="9"/>
    </row>
    <row r="92" spans="1:8" ht="22.5" customHeight="1" x14ac:dyDescent="0.35">
      <c r="A92" s="81" t="s">
        <v>167</v>
      </c>
      <c r="B92" s="81"/>
      <c r="C92" s="9"/>
      <c r="D92" s="9"/>
      <c r="E92" s="9"/>
      <c r="F92" s="9"/>
      <c r="G92" s="9"/>
      <c r="H92" s="9"/>
    </row>
    <row r="93" spans="1:8" x14ac:dyDescent="0.35">
      <c r="A93" s="81" t="s">
        <v>169</v>
      </c>
      <c r="B93" s="81"/>
      <c r="C93" s="9"/>
      <c r="D93" s="9"/>
      <c r="E93" s="9"/>
      <c r="F93" s="9"/>
      <c r="G93" s="9"/>
      <c r="H93" s="9"/>
    </row>
    <row r="94" spans="1:8" ht="46.5" customHeight="1" x14ac:dyDescent="0.35">
      <c r="A94" s="81" t="s">
        <v>171</v>
      </c>
      <c r="B94" s="81"/>
      <c r="C94" s="82" t="s">
        <v>380</v>
      </c>
      <c r="D94" s="82"/>
      <c r="E94" s="82"/>
      <c r="F94" s="82"/>
      <c r="G94" s="82"/>
      <c r="H94" s="82"/>
    </row>
    <row r="95" spans="1:8" ht="31" customHeight="1" x14ac:dyDescent="0.35">
      <c r="A95" s="21" t="s">
        <v>173</v>
      </c>
      <c r="B95" s="21"/>
      <c r="C95" s="80" t="s">
        <v>174</v>
      </c>
      <c r="D95" s="80"/>
      <c r="E95" s="80"/>
      <c r="F95" s="80"/>
      <c r="G95" s="80"/>
      <c r="H95" s="80"/>
    </row>
    <row r="96" spans="1:8" ht="31" customHeight="1" x14ac:dyDescent="0.35">
      <c r="A96" s="21" t="s">
        <v>175</v>
      </c>
      <c r="B96" s="21"/>
      <c r="C96" s="9"/>
      <c r="D96" s="9"/>
      <c r="E96" s="9"/>
      <c r="F96" s="9"/>
      <c r="G96" s="9"/>
      <c r="H96" s="9"/>
    </row>
    <row r="97" spans="1:8" ht="23.5" customHeight="1" x14ac:dyDescent="0.35">
      <c r="A97" s="83"/>
      <c r="B97" s="83"/>
      <c r="C97" s="84"/>
      <c r="D97" s="84"/>
      <c r="E97" s="84"/>
      <c r="F97" s="84"/>
      <c r="G97" s="84"/>
      <c r="H97" s="84"/>
    </row>
    <row r="98" spans="1:8" ht="45.75" customHeight="1" x14ac:dyDescent="0.35">
      <c r="A98" s="83"/>
      <c r="B98" s="83"/>
      <c r="C98" s="84"/>
      <c r="D98" s="84"/>
      <c r="E98" s="84"/>
      <c r="F98" s="84"/>
      <c r="G98" s="84"/>
      <c r="H98" s="85" t="s">
        <v>176</v>
      </c>
    </row>
    <row r="99" spans="1:8" ht="36" customHeight="1" x14ac:dyDescent="0.35">
      <c r="A99" s="21" t="s">
        <v>177</v>
      </c>
      <c r="B99" s="21"/>
      <c r="C99" s="9" t="s">
        <v>381</v>
      </c>
      <c r="D99" s="9"/>
      <c r="E99" s="9"/>
      <c r="F99" s="9"/>
      <c r="G99" s="9"/>
      <c r="H99" s="9"/>
    </row>
    <row r="100" spans="1:8" ht="46.5" customHeight="1" x14ac:dyDescent="0.35">
      <c r="A100" s="21" t="s">
        <v>178</v>
      </c>
      <c r="B100" s="21"/>
      <c r="C100" s="9" t="s">
        <v>382</v>
      </c>
      <c r="D100" s="9"/>
      <c r="E100" s="9"/>
      <c r="F100" s="9"/>
      <c r="G100" s="9"/>
      <c r="H100" s="9"/>
    </row>
    <row r="101" spans="1:8" ht="69.75" customHeight="1" x14ac:dyDescent="0.35">
      <c r="A101" s="21" t="s">
        <v>180</v>
      </c>
      <c r="B101" s="21"/>
      <c r="C101" s="9" t="s">
        <v>383</v>
      </c>
      <c r="D101" s="9"/>
      <c r="E101" s="9"/>
      <c r="F101" s="9"/>
      <c r="G101" s="9"/>
      <c r="H101" s="9"/>
    </row>
    <row r="102" spans="1:8" ht="51.75" customHeight="1" x14ac:dyDescent="0.35">
      <c r="A102" s="21" t="s">
        <v>182</v>
      </c>
      <c r="B102" s="21"/>
      <c r="C102" s="9"/>
      <c r="D102" s="9"/>
      <c r="E102" s="9"/>
      <c r="F102" s="9"/>
      <c r="G102" s="9"/>
      <c r="H102" s="9"/>
    </row>
    <row r="103" spans="1:8" ht="34.5" customHeight="1" x14ac:dyDescent="0.35">
      <c r="A103" s="93" t="s">
        <v>183</v>
      </c>
      <c r="B103" s="93"/>
      <c r="C103" s="93" t="s">
        <v>384</v>
      </c>
      <c r="D103" s="93"/>
      <c r="E103" s="93"/>
      <c r="F103" s="93"/>
      <c r="G103" s="93"/>
      <c r="H103" s="93"/>
    </row>
    <row r="104" spans="1:8" ht="54" customHeight="1" x14ac:dyDescent="0.35">
      <c r="A104" s="45" t="s">
        <v>185</v>
      </c>
      <c r="B104" s="45"/>
      <c r="C104" s="80" t="s">
        <v>385</v>
      </c>
      <c r="D104" s="80"/>
      <c r="E104" s="80"/>
      <c r="F104" s="80"/>
      <c r="G104" s="80"/>
      <c r="H104" s="80"/>
    </row>
    <row r="105" spans="1:8" ht="54.75" customHeight="1" x14ac:dyDescent="0.35">
      <c r="A105" s="79" t="s">
        <v>187</v>
      </c>
      <c r="B105" s="79"/>
      <c r="C105" s="9"/>
      <c r="D105" s="9"/>
      <c r="E105" s="9"/>
      <c r="F105" s="9"/>
      <c r="G105" s="9"/>
      <c r="H105" s="9"/>
    </row>
    <row r="106" spans="1:8" ht="56.25" customHeight="1" x14ac:dyDescent="0.35">
      <c r="A106" s="21" t="s">
        <v>188</v>
      </c>
      <c r="B106" s="21"/>
      <c r="C106" s="9" t="s">
        <v>386</v>
      </c>
      <c r="D106" s="9"/>
      <c r="E106" s="9"/>
      <c r="F106" s="9"/>
      <c r="G106" s="9"/>
      <c r="H106" s="9"/>
    </row>
    <row r="107" spans="1:8" ht="47" customHeight="1" x14ac:dyDescent="0.35">
      <c r="A107" s="21" t="s">
        <v>189</v>
      </c>
      <c r="B107" s="21"/>
      <c r="C107" s="9" t="s">
        <v>387</v>
      </c>
      <c r="D107" s="9"/>
      <c r="E107" s="9"/>
      <c r="F107" s="9"/>
      <c r="G107" s="9"/>
      <c r="H107" s="9"/>
    </row>
  </sheetData>
  <mergeCells count="107">
    <mergeCell ref="A106:B106"/>
    <mergeCell ref="C106:H106"/>
    <mergeCell ref="A107:B107"/>
    <mergeCell ref="C107:H107"/>
    <mergeCell ref="A103:B103"/>
    <mergeCell ref="C103:H103"/>
    <mergeCell ref="A104:B104"/>
    <mergeCell ref="C104:H104"/>
    <mergeCell ref="A105:B105"/>
    <mergeCell ref="C105:H105"/>
    <mergeCell ref="A100:B100"/>
    <mergeCell ref="C100:H100"/>
    <mergeCell ref="A101:B101"/>
    <mergeCell ref="C101:H101"/>
    <mergeCell ref="A102:B102"/>
    <mergeCell ref="C102:H102"/>
    <mergeCell ref="A95:B95"/>
    <mergeCell ref="C95:H95"/>
    <mergeCell ref="A96:B96"/>
    <mergeCell ref="C96:H96"/>
    <mergeCell ref="A99:B99"/>
    <mergeCell ref="C99:H99"/>
    <mergeCell ref="A92:B92"/>
    <mergeCell ref="C92:H92"/>
    <mergeCell ref="A93:B93"/>
    <mergeCell ref="C93:H93"/>
    <mergeCell ref="A94:B94"/>
    <mergeCell ref="C94:H94"/>
    <mergeCell ref="A89:B89"/>
    <mergeCell ref="C89:H89"/>
    <mergeCell ref="A90:B90"/>
    <mergeCell ref="C90:H90"/>
    <mergeCell ref="A91:B91"/>
    <mergeCell ref="C91:H91"/>
    <mergeCell ref="A86:B86"/>
    <mergeCell ref="C86:H86"/>
    <mergeCell ref="A87:B87"/>
    <mergeCell ref="C87:H87"/>
    <mergeCell ref="A88:B88"/>
    <mergeCell ref="C88:H88"/>
    <mergeCell ref="A80:D80"/>
    <mergeCell ref="A81:D81"/>
    <mergeCell ref="A83:H83"/>
    <mergeCell ref="A84:B84"/>
    <mergeCell ref="C84:H84"/>
    <mergeCell ref="A85:B85"/>
    <mergeCell ref="C85:H85"/>
    <mergeCell ref="A74:D74"/>
    <mergeCell ref="A75:D75"/>
    <mergeCell ref="A76:D76"/>
    <mergeCell ref="A77:D77"/>
    <mergeCell ref="A78:D78"/>
    <mergeCell ref="A79:D79"/>
    <mergeCell ref="A69:D69"/>
    <mergeCell ref="E69:H69"/>
    <mergeCell ref="A70:D70"/>
    <mergeCell ref="A71:D71"/>
    <mergeCell ref="A72:D72"/>
    <mergeCell ref="A73:D73"/>
    <mergeCell ref="A38:B38"/>
    <mergeCell ref="A39:A46"/>
    <mergeCell ref="B47:H52"/>
    <mergeCell ref="A56:B56"/>
    <mergeCell ref="B61:H65"/>
    <mergeCell ref="A68:B68"/>
    <mergeCell ref="A21:D21"/>
    <mergeCell ref="E21:H21"/>
    <mergeCell ref="A23:D23"/>
    <mergeCell ref="A24:D24"/>
    <mergeCell ref="E24:G24"/>
    <mergeCell ref="A27:A28"/>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hyperlinks>
    <hyperlink ref="E5:H5" r:id="rId1" display="802-752-7169, holyokefarm@gmail.com" xr:uid="{5AB073E3-3D5B-4F09-9461-9FBA388331D7}"/>
  </hyperlinks>
  <pageMargins left="0.7" right="0.7" top="0.75" bottom="0.75" header="0.3" footer="0.3"/>
  <pageSetup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828BD-9759-45DB-AAE3-95F9E1532E06}">
  <dimension ref="A1:O104"/>
  <sheetViews>
    <sheetView view="pageBreakPreview" topLeftCell="D1" zoomScale="77" zoomScaleNormal="100" zoomScaleSheetLayoutView="150" workbookViewId="0">
      <selection activeCell="I16" sqref="I16"/>
    </sheetView>
  </sheetViews>
  <sheetFormatPr defaultColWidth="11.81640625" defaultRowHeight="15.5" x14ac:dyDescent="0.35"/>
  <cols>
    <col min="1" max="1" width="13.08984375" style="2" customWidth="1"/>
    <col min="2" max="2" width="18.90625" style="2" customWidth="1"/>
    <col min="3" max="4" width="12" style="2" customWidth="1"/>
    <col min="5" max="6" width="14.90625" style="2" customWidth="1"/>
    <col min="7" max="7" width="16.36328125" style="2" customWidth="1"/>
    <col min="8" max="8" width="15.26953125" style="2" customWidth="1"/>
    <col min="9" max="10" width="11.81640625" style="2"/>
    <col min="11" max="11" width="21.81640625" style="2" customWidth="1"/>
    <col min="12" max="13" width="11.81640625" style="2"/>
    <col min="14" max="14" width="27.08984375" style="2" customWidth="1"/>
    <col min="15" max="16384" width="11.81640625" style="2"/>
  </cols>
  <sheetData>
    <row r="1" spans="1:15" x14ac:dyDescent="0.35">
      <c r="A1" s="1" t="s">
        <v>0</v>
      </c>
      <c r="B1" s="1"/>
      <c r="C1" s="1"/>
      <c r="D1" s="1"/>
      <c r="H1" s="3" t="s">
        <v>1</v>
      </c>
    </row>
    <row r="2" spans="1:15" ht="24" customHeight="1" thickBot="1" x14ac:dyDescent="0.4">
      <c r="A2" s="4" t="s">
        <v>2</v>
      </c>
      <c r="B2" s="4"/>
      <c r="C2" s="4"/>
      <c r="D2" s="4"/>
      <c r="E2" s="5"/>
      <c r="F2" s="6"/>
    </row>
    <row r="3" spans="1:15" ht="19" customHeight="1" thickBot="1" x14ac:dyDescent="0.4">
      <c r="A3" s="7" t="s">
        <v>3</v>
      </c>
      <c r="B3" s="7"/>
      <c r="C3" s="7"/>
      <c r="D3" s="7"/>
      <c r="E3" s="8" t="s">
        <v>388</v>
      </c>
      <c r="F3" s="8"/>
      <c r="G3" s="8"/>
      <c r="H3" s="8"/>
    </row>
    <row r="4" spans="1:15" ht="19" customHeight="1" x14ac:dyDescent="0.35">
      <c r="A4" s="9" t="s">
        <v>5</v>
      </c>
      <c r="B4" s="9"/>
      <c r="C4" s="9"/>
      <c r="D4" s="9"/>
      <c r="E4" s="10" t="s">
        <v>389</v>
      </c>
      <c r="F4" s="10"/>
      <c r="G4" s="10"/>
      <c r="H4" s="10"/>
      <c r="K4" s="11" t="s">
        <v>7</v>
      </c>
      <c r="L4" s="12"/>
      <c r="M4" s="12"/>
      <c r="N4" s="12"/>
      <c r="O4" s="13"/>
    </row>
    <row r="5" spans="1:15" ht="19" customHeight="1" x14ac:dyDescent="0.35">
      <c r="A5" s="9" t="s">
        <v>8</v>
      </c>
      <c r="B5" s="9"/>
      <c r="C5" s="9"/>
      <c r="D5" s="9"/>
      <c r="E5" s="10" t="s">
        <v>390</v>
      </c>
      <c r="F5" s="10"/>
      <c r="G5" s="10"/>
      <c r="H5" s="10"/>
      <c r="K5" s="14" t="s">
        <v>10</v>
      </c>
      <c r="O5" s="15"/>
    </row>
    <row r="6" spans="1:15" ht="19" customHeight="1" x14ac:dyDescent="0.35">
      <c r="A6" s="9" t="s">
        <v>11</v>
      </c>
      <c r="B6" s="9"/>
      <c r="C6" s="9"/>
      <c r="D6" s="9"/>
      <c r="E6" s="10" t="s">
        <v>391</v>
      </c>
      <c r="F6" s="10"/>
      <c r="G6" s="10"/>
      <c r="H6" s="10"/>
      <c r="K6" s="16" t="s">
        <v>13</v>
      </c>
      <c r="L6" s="17">
        <v>43</v>
      </c>
      <c r="O6" s="15"/>
    </row>
    <row r="7" spans="1:15" ht="19" customHeight="1" x14ac:dyDescent="0.35">
      <c r="A7" s="9" t="s">
        <v>14</v>
      </c>
      <c r="B7" s="9"/>
      <c r="C7" s="9"/>
      <c r="D7" s="9"/>
      <c r="E7" s="10" t="s">
        <v>392</v>
      </c>
      <c r="F7" s="10"/>
      <c r="G7" s="10"/>
      <c r="H7" s="10"/>
      <c r="K7" s="18" t="s">
        <v>16</v>
      </c>
      <c r="L7" s="17">
        <v>4750</v>
      </c>
      <c r="N7" s="19" t="s">
        <v>17</v>
      </c>
      <c r="O7" s="87">
        <f>L7/L6</f>
        <v>110.46511627906976</v>
      </c>
    </row>
    <row r="8" spans="1:15" ht="32.5" customHeight="1" x14ac:dyDescent="0.35">
      <c r="A8" s="21" t="s">
        <v>18</v>
      </c>
      <c r="B8" s="21"/>
      <c r="C8" s="21"/>
      <c r="D8" s="21"/>
      <c r="E8" s="24" t="s">
        <v>393</v>
      </c>
      <c r="F8" s="24"/>
      <c r="G8" s="24"/>
      <c r="H8" s="24"/>
      <c r="K8" s="18" t="s">
        <v>19</v>
      </c>
      <c r="L8" s="17">
        <f>7720+3600+3360</f>
        <v>14680</v>
      </c>
      <c r="N8" s="19" t="s">
        <v>20</v>
      </c>
      <c r="O8" s="23">
        <f>L8/L6</f>
        <v>341.39534883720933</v>
      </c>
    </row>
    <row r="9" spans="1:15" ht="19" customHeight="1" x14ac:dyDescent="0.35">
      <c r="A9" s="21" t="s">
        <v>21</v>
      </c>
      <c r="B9" s="21"/>
      <c r="C9" s="21"/>
      <c r="D9" s="21"/>
      <c r="E9" s="24" t="s">
        <v>394</v>
      </c>
      <c r="F9" s="24"/>
      <c r="G9" s="24"/>
      <c r="H9" s="24"/>
      <c r="K9" s="18" t="s">
        <v>23</v>
      </c>
      <c r="L9" s="17">
        <v>232</v>
      </c>
      <c r="N9" s="19" t="s">
        <v>24</v>
      </c>
      <c r="O9" s="87">
        <f>L9/L6</f>
        <v>5.3953488372093021</v>
      </c>
    </row>
    <row r="10" spans="1:15" ht="19" customHeight="1" x14ac:dyDescent="0.35">
      <c r="A10" s="21" t="s">
        <v>25</v>
      </c>
      <c r="B10" s="21"/>
      <c r="C10" s="21"/>
      <c r="D10" s="21"/>
      <c r="E10" s="24" t="s">
        <v>395</v>
      </c>
      <c r="F10" s="24"/>
      <c r="G10" s="24"/>
      <c r="H10" s="24"/>
      <c r="K10" s="18" t="s">
        <v>197</v>
      </c>
      <c r="L10" s="17">
        <f>185/2</f>
        <v>92.5</v>
      </c>
      <c r="N10" s="19" t="s">
        <v>28</v>
      </c>
      <c r="O10" s="87">
        <f>L10/L6</f>
        <v>2.1511627906976742</v>
      </c>
    </row>
    <row r="11" spans="1:15" ht="19" customHeight="1" x14ac:dyDescent="0.35">
      <c r="A11" s="21" t="s">
        <v>29</v>
      </c>
      <c r="B11" s="21"/>
      <c r="C11" s="21"/>
      <c r="D11" s="21"/>
      <c r="E11" s="24" t="s">
        <v>396</v>
      </c>
      <c r="F11" s="24"/>
      <c r="G11" s="24"/>
      <c r="H11" s="24"/>
      <c r="I11" s="27"/>
      <c r="K11" s="18" t="s">
        <v>31</v>
      </c>
      <c r="L11" s="28">
        <f>F39</f>
        <v>331.15000000000003</v>
      </c>
      <c r="N11" s="19" t="s">
        <v>33</v>
      </c>
      <c r="O11" s="29">
        <f>(L11*L15)/L6</f>
        <v>0</v>
      </c>
    </row>
    <row r="12" spans="1:15" ht="19" customHeight="1" x14ac:dyDescent="0.35">
      <c r="A12" s="21" t="s">
        <v>34</v>
      </c>
      <c r="B12" s="21"/>
      <c r="C12" s="21"/>
      <c r="D12" s="21"/>
      <c r="E12" s="24" t="s">
        <v>397</v>
      </c>
      <c r="F12" s="24"/>
      <c r="G12" s="24"/>
      <c r="H12" s="24"/>
      <c r="I12" s="30"/>
      <c r="K12" s="18" t="s">
        <v>36</v>
      </c>
      <c r="L12" s="17">
        <v>232</v>
      </c>
      <c r="N12" s="19" t="s">
        <v>37</v>
      </c>
      <c r="O12" s="20">
        <f>L12/L6</f>
        <v>5.3953488372093021</v>
      </c>
    </row>
    <row r="13" spans="1:15" ht="48.75" customHeight="1" x14ac:dyDescent="0.35">
      <c r="A13" s="21" t="s">
        <v>38</v>
      </c>
      <c r="B13" s="21"/>
      <c r="C13" s="21"/>
      <c r="D13" s="21"/>
      <c r="E13" s="24" t="s">
        <v>398</v>
      </c>
      <c r="F13" s="24"/>
      <c r="G13" s="24"/>
      <c r="H13" s="24"/>
      <c r="I13" s="30"/>
      <c r="K13" s="18" t="s">
        <v>40</v>
      </c>
      <c r="L13" s="17">
        <v>0</v>
      </c>
      <c r="N13" s="19" t="s">
        <v>41</v>
      </c>
      <c r="O13" s="87">
        <f>L13/L6</f>
        <v>0</v>
      </c>
    </row>
    <row r="14" spans="1:15" ht="32.25" customHeight="1" x14ac:dyDescent="0.35">
      <c r="A14" s="21" t="s">
        <v>42</v>
      </c>
      <c r="B14" s="21"/>
      <c r="C14" s="21"/>
      <c r="D14" s="21"/>
      <c r="E14" s="24" t="s">
        <v>399</v>
      </c>
      <c r="F14" s="24"/>
      <c r="G14" s="24"/>
      <c r="H14" s="24"/>
      <c r="K14" s="18" t="s">
        <v>43</v>
      </c>
      <c r="L14" s="17">
        <v>0</v>
      </c>
      <c r="N14" s="19" t="s">
        <v>45</v>
      </c>
      <c r="O14" s="87">
        <f>(L14*L15)/L6</f>
        <v>0</v>
      </c>
    </row>
    <row r="15" spans="1:15" ht="34.5" customHeight="1" x14ac:dyDescent="0.35">
      <c r="A15" s="21" t="s">
        <v>46</v>
      </c>
      <c r="B15" s="21"/>
      <c r="C15" s="21"/>
      <c r="D15" s="21"/>
      <c r="E15" s="24" t="s">
        <v>400</v>
      </c>
      <c r="F15" s="24"/>
      <c r="G15" s="24"/>
      <c r="H15" s="24"/>
      <c r="I15" s="27"/>
      <c r="K15" s="18" t="s">
        <v>48</v>
      </c>
      <c r="L15" s="17">
        <v>0</v>
      </c>
      <c r="N15" s="19" t="s">
        <v>49</v>
      </c>
      <c r="O15" s="87">
        <f>L18/L6</f>
        <v>0</v>
      </c>
    </row>
    <row r="16" spans="1:15" ht="34" customHeight="1" x14ac:dyDescent="0.35">
      <c r="A16" s="21" t="s">
        <v>50</v>
      </c>
      <c r="B16" s="21"/>
      <c r="C16" s="21"/>
      <c r="D16" s="21"/>
      <c r="E16" s="24" t="s">
        <v>401</v>
      </c>
      <c r="F16" s="24"/>
      <c r="G16" s="24"/>
      <c r="H16" s="24"/>
      <c r="K16" s="32" t="s">
        <v>51</v>
      </c>
      <c r="L16" s="33">
        <f>6000+750</f>
        <v>6750</v>
      </c>
      <c r="N16" s="88" t="s">
        <v>52</v>
      </c>
      <c r="O16" s="124">
        <f>L16/L6</f>
        <v>156.97674418604652</v>
      </c>
    </row>
    <row r="17" spans="1:15" ht="19" customHeight="1" x14ac:dyDescent="0.35">
      <c r="A17" s="21" t="s">
        <v>53</v>
      </c>
      <c r="B17" s="21"/>
      <c r="C17" s="21"/>
      <c r="D17" s="21"/>
      <c r="E17" s="24" t="s">
        <v>402</v>
      </c>
      <c r="F17" s="24"/>
      <c r="G17" s="24"/>
      <c r="H17" s="24"/>
    </row>
    <row r="18" spans="1:15" ht="19" customHeight="1" x14ac:dyDescent="0.35">
      <c r="A18" s="21" t="s">
        <v>54</v>
      </c>
      <c r="B18" s="21"/>
      <c r="C18" s="21"/>
      <c r="D18" s="21"/>
      <c r="E18" s="24" t="s">
        <v>403</v>
      </c>
      <c r="F18" s="24"/>
      <c r="G18" s="24"/>
      <c r="H18" s="24"/>
      <c r="K18" s="18" t="s">
        <v>55</v>
      </c>
      <c r="L18" s="17">
        <v>0</v>
      </c>
      <c r="N18" s="19" t="s">
        <v>57</v>
      </c>
      <c r="O18" s="23">
        <f>O8+O11+O14+O15+O16</f>
        <v>498.37209302325584</v>
      </c>
    </row>
    <row r="19" spans="1:15" ht="19" customHeight="1" thickBot="1" x14ac:dyDescent="0.4">
      <c r="A19" s="37" t="s">
        <v>58</v>
      </c>
      <c r="B19" s="21"/>
      <c r="C19" s="21"/>
      <c r="D19" s="21"/>
      <c r="E19" s="89" t="s">
        <v>404</v>
      </c>
      <c r="F19" s="89"/>
      <c r="G19" s="89"/>
      <c r="H19" s="89"/>
      <c r="I19" s="27" t="s">
        <v>44</v>
      </c>
      <c r="K19" s="38"/>
      <c r="L19" s="5"/>
      <c r="M19" s="5"/>
      <c r="N19" s="90" t="s">
        <v>59</v>
      </c>
      <c r="O19" s="40">
        <f>O9+O12</f>
        <v>10.790697674418604</v>
      </c>
    </row>
    <row r="20" spans="1:15" ht="19" customHeight="1" x14ac:dyDescent="0.35">
      <c r="A20" s="37" t="s">
        <v>60</v>
      </c>
      <c r="B20" s="21"/>
      <c r="C20" s="21"/>
      <c r="D20" s="21"/>
      <c r="E20" s="24">
        <v>4750</v>
      </c>
      <c r="F20" s="24"/>
      <c r="G20" s="24"/>
      <c r="H20" s="24"/>
      <c r="N20" s="36" t="s">
        <v>405</v>
      </c>
    </row>
    <row r="21" spans="1:15" ht="32.25" customHeight="1" x14ac:dyDescent="0.35">
      <c r="A21" s="37" t="s">
        <v>62</v>
      </c>
      <c r="B21" s="21"/>
      <c r="C21" s="21"/>
      <c r="D21" s="21"/>
      <c r="E21" s="24" t="s">
        <v>406</v>
      </c>
      <c r="F21" s="24"/>
      <c r="G21" s="24"/>
      <c r="H21" s="24"/>
      <c r="N21" s="2" t="s">
        <v>407</v>
      </c>
    </row>
    <row r="22" spans="1:15" ht="34" customHeight="1" x14ac:dyDescent="0.35">
      <c r="A22" s="41"/>
      <c r="B22" s="42"/>
      <c r="C22" s="42"/>
      <c r="D22" s="42"/>
      <c r="E22" s="43"/>
      <c r="F22" s="43"/>
      <c r="G22" s="43"/>
      <c r="H22" s="43"/>
      <c r="N22" s="36" t="s">
        <v>408</v>
      </c>
    </row>
    <row r="23" spans="1:15" ht="24" customHeight="1" x14ac:dyDescent="0.35">
      <c r="A23" s="44" t="s">
        <v>67</v>
      </c>
      <c r="B23" s="45"/>
      <c r="C23" s="45"/>
      <c r="D23" s="45"/>
      <c r="E23" s="2" t="s">
        <v>409</v>
      </c>
      <c r="H23" s="46" t="s">
        <v>68</v>
      </c>
    </row>
    <row r="24" spans="1:15" ht="105.75" customHeight="1" x14ac:dyDescent="0.35">
      <c r="A24" s="44" t="s">
        <v>69</v>
      </c>
      <c r="B24" s="45"/>
      <c r="C24" s="45"/>
      <c r="D24" s="45"/>
      <c r="E24" s="47" t="s">
        <v>410</v>
      </c>
      <c r="F24" s="47"/>
      <c r="G24" s="47"/>
      <c r="H24" s="47"/>
    </row>
    <row r="25" spans="1:15" ht="47.25" customHeight="1" x14ac:dyDescent="0.35">
      <c r="A25" s="48" t="s">
        <v>71</v>
      </c>
      <c r="B25" s="48"/>
      <c r="C25" s="48"/>
      <c r="D25" s="48"/>
    </row>
    <row r="26" spans="1:15" ht="30" customHeight="1" x14ac:dyDescent="0.35">
      <c r="A26" s="49" t="s">
        <v>72</v>
      </c>
      <c r="B26" s="50" t="s">
        <v>411</v>
      </c>
      <c r="C26" s="51" t="s">
        <v>73</v>
      </c>
      <c r="D26" s="51" t="s">
        <v>74</v>
      </c>
      <c r="E26" s="51" t="s">
        <v>75</v>
      </c>
      <c r="F26" s="51" t="s">
        <v>76</v>
      </c>
      <c r="G26" s="52" t="s">
        <v>77</v>
      </c>
      <c r="H26" s="52" t="s">
        <v>78</v>
      </c>
    </row>
    <row r="27" spans="1:15" ht="30" customHeight="1" x14ac:dyDescent="0.35">
      <c r="A27" s="53"/>
      <c r="B27" s="50" t="s">
        <v>81</v>
      </c>
      <c r="C27" s="50" t="s">
        <v>80</v>
      </c>
      <c r="D27" s="50"/>
      <c r="E27" s="50"/>
      <c r="F27" s="50"/>
      <c r="G27" s="50"/>
      <c r="H27" s="50"/>
    </row>
    <row r="28" spans="1:15" ht="30" customHeight="1" x14ac:dyDescent="0.35">
      <c r="A28" s="54"/>
      <c r="B28" s="50" t="s">
        <v>82</v>
      </c>
      <c r="C28" s="50" t="s">
        <v>80</v>
      </c>
      <c r="D28" s="50">
        <v>193</v>
      </c>
      <c r="E28" s="50">
        <v>40</v>
      </c>
      <c r="F28" s="50">
        <f>E28*D28</f>
        <v>7720</v>
      </c>
      <c r="G28" s="50"/>
      <c r="H28" s="50"/>
    </row>
    <row r="29" spans="1:15" ht="30" customHeight="1" x14ac:dyDescent="0.35">
      <c r="A29" s="54"/>
      <c r="B29" s="50" t="s">
        <v>82</v>
      </c>
      <c r="C29" s="50" t="s">
        <v>80</v>
      </c>
      <c r="D29" s="50">
        <v>96</v>
      </c>
      <c r="E29" s="50">
        <v>35</v>
      </c>
      <c r="F29" s="50">
        <f>E29*D29</f>
        <v>3360</v>
      </c>
      <c r="G29" s="50" t="s">
        <v>412</v>
      </c>
      <c r="H29" s="50"/>
    </row>
    <row r="30" spans="1:15" ht="30" customHeight="1" x14ac:dyDescent="0.35">
      <c r="A30" s="54"/>
      <c r="B30" s="50" t="s">
        <v>83</v>
      </c>
      <c r="C30" s="50" t="s">
        <v>413</v>
      </c>
      <c r="D30" s="50">
        <v>10</v>
      </c>
      <c r="E30" s="50"/>
      <c r="F30" s="50" t="s">
        <v>414</v>
      </c>
      <c r="G30" s="50" t="s">
        <v>415</v>
      </c>
      <c r="H30" s="50" t="s">
        <v>416</v>
      </c>
    </row>
    <row r="31" spans="1:15" ht="30" customHeight="1" x14ac:dyDescent="0.35">
      <c r="A31" s="54"/>
      <c r="B31" s="50" t="s">
        <v>85</v>
      </c>
      <c r="C31" s="50" t="s">
        <v>84</v>
      </c>
      <c r="D31" s="50"/>
      <c r="E31" s="50"/>
      <c r="F31" s="50"/>
      <c r="G31" s="50"/>
      <c r="H31" s="50"/>
    </row>
    <row r="32" spans="1:15" ht="30" customHeight="1" x14ac:dyDescent="0.35">
      <c r="A32" s="54"/>
      <c r="B32" s="50" t="s">
        <v>22</v>
      </c>
      <c r="C32" s="50" t="s">
        <v>84</v>
      </c>
      <c r="D32" s="50">
        <v>2</v>
      </c>
      <c r="E32" s="50">
        <v>1800</v>
      </c>
      <c r="F32" s="50">
        <v>3600</v>
      </c>
      <c r="G32" s="50"/>
      <c r="H32" s="50" t="s">
        <v>417</v>
      </c>
    </row>
    <row r="33" spans="1:9" ht="30" customHeight="1" x14ac:dyDescent="0.35">
      <c r="A33" s="54"/>
      <c r="B33" s="50" t="s">
        <v>90</v>
      </c>
      <c r="C33" s="50" t="s">
        <v>84</v>
      </c>
      <c r="D33" s="50"/>
      <c r="E33" s="50"/>
      <c r="F33" s="50"/>
      <c r="G33" s="50"/>
      <c r="H33" s="50"/>
    </row>
    <row r="34" spans="1:9" ht="31" x14ac:dyDescent="0.35">
      <c r="A34" s="54"/>
      <c r="B34" s="55" t="s">
        <v>91</v>
      </c>
      <c r="C34" s="50" t="s">
        <v>92</v>
      </c>
      <c r="D34" s="50"/>
      <c r="E34" s="50"/>
      <c r="F34" s="50"/>
      <c r="G34" s="50"/>
      <c r="H34" s="50"/>
    </row>
    <row r="35" spans="1:9" x14ac:dyDescent="0.35">
      <c r="B35" s="94" t="s">
        <v>418</v>
      </c>
    </row>
    <row r="36" spans="1:9" ht="29.25" customHeight="1" x14ac:dyDescent="0.35"/>
    <row r="37" spans="1:9" ht="31" customHeight="1" x14ac:dyDescent="0.35">
      <c r="A37" s="56" t="s">
        <v>96</v>
      </c>
      <c r="B37" s="57"/>
      <c r="H37" s="46" t="s">
        <v>97</v>
      </c>
    </row>
    <row r="38" spans="1:9" ht="40" customHeight="1" x14ac:dyDescent="0.35">
      <c r="A38" s="125" t="s">
        <v>98</v>
      </c>
      <c r="B38" s="55" t="s">
        <v>99</v>
      </c>
      <c r="C38" s="50" t="s">
        <v>100</v>
      </c>
      <c r="D38" s="50" t="s">
        <v>101</v>
      </c>
      <c r="E38" s="55" t="s">
        <v>102</v>
      </c>
      <c r="F38" s="55" t="s">
        <v>103</v>
      </c>
      <c r="G38" s="55" t="s">
        <v>104</v>
      </c>
      <c r="H38" s="55" t="s">
        <v>105</v>
      </c>
    </row>
    <row r="39" spans="1:9" ht="40" customHeight="1" x14ac:dyDescent="0.35">
      <c r="A39" s="126"/>
      <c r="B39" s="50" t="s">
        <v>419</v>
      </c>
      <c r="C39" s="50" t="s">
        <v>420</v>
      </c>
      <c r="D39" s="50" t="s">
        <v>421</v>
      </c>
      <c r="E39" s="127">
        <f>2*0.5*185</f>
        <v>185</v>
      </c>
      <c r="F39" s="2">
        <f>1.79*E39</f>
        <v>331.15000000000003</v>
      </c>
      <c r="G39" s="50" t="s">
        <v>422</v>
      </c>
      <c r="H39" s="50"/>
      <c r="I39" s="2" t="s">
        <v>423</v>
      </c>
    </row>
    <row r="40" spans="1:9" ht="40" customHeight="1" x14ac:dyDescent="0.35">
      <c r="A40" s="126"/>
      <c r="B40" s="50" t="s">
        <v>424</v>
      </c>
      <c r="C40" s="50"/>
      <c r="D40" s="50"/>
      <c r="E40" s="50"/>
      <c r="F40" s="50" t="s">
        <v>425</v>
      </c>
      <c r="G40" s="50"/>
      <c r="H40" s="50"/>
    </row>
    <row r="41" spans="1:9" ht="40" customHeight="1" x14ac:dyDescent="0.35">
      <c r="A41" s="126"/>
      <c r="B41" s="50" t="s">
        <v>426</v>
      </c>
      <c r="C41" s="50"/>
      <c r="D41" s="50"/>
      <c r="E41" s="50"/>
      <c r="F41" s="50" t="s">
        <v>427</v>
      </c>
      <c r="G41" s="50"/>
      <c r="H41" s="50"/>
    </row>
    <row r="42" spans="1:9" ht="40" customHeight="1" x14ac:dyDescent="0.35">
      <c r="A42" s="126"/>
      <c r="B42" s="50" t="s">
        <v>428</v>
      </c>
      <c r="C42" s="50" t="s">
        <v>429</v>
      </c>
      <c r="D42" s="50" t="s">
        <v>430</v>
      </c>
      <c r="E42" s="50"/>
      <c r="F42" s="50"/>
      <c r="G42" s="50"/>
      <c r="H42" s="50"/>
    </row>
    <row r="43" spans="1:9" ht="40" customHeight="1" x14ac:dyDescent="0.35">
      <c r="A43" s="126"/>
      <c r="B43" s="50" t="s">
        <v>431</v>
      </c>
      <c r="C43" s="50"/>
      <c r="D43" s="50"/>
      <c r="E43" s="50"/>
      <c r="F43" s="50"/>
      <c r="G43" s="50"/>
      <c r="H43" s="50"/>
    </row>
    <row r="44" spans="1:9" ht="40" customHeight="1" x14ac:dyDescent="0.35">
      <c r="A44" s="126"/>
      <c r="B44" s="50" t="s">
        <v>432</v>
      </c>
      <c r="C44" s="50"/>
      <c r="D44" s="50"/>
      <c r="E44" s="50"/>
      <c r="F44" s="50"/>
      <c r="G44" s="50"/>
      <c r="H44" s="50"/>
    </row>
    <row r="45" spans="1:9" x14ac:dyDescent="0.35">
      <c r="A45" s="126"/>
      <c r="B45" s="50"/>
      <c r="C45" s="50"/>
      <c r="D45" s="50"/>
      <c r="E45" s="50"/>
      <c r="F45" s="50"/>
      <c r="G45" s="50"/>
      <c r="H45" s="50"/>
    </row>
    <row r="46" spans="1:9" x14ac:dyDescent="0.35">
      <c r="B46" s="61" t="s">
        <v>433</v>
      </c>
      <c r="C46" s="61"/>
      <c r="D46" s="61"/>
      <c r="E46" s="61"/>
      <c r="F46" s="61"/>
      <c r="G46" s="61"/>
      <c r="H46" s="61"/>
    </row>
    <row r="47" spans="1:9" x14ac:dyDescent="0.35">
      <c r="B47" s="62"/>
      <c r="C47" s="62"/>
      <c r="D47" s="62"/>
      <c r="E47" s="62"/>
      <c r="F47" s="62"/>
      <c r="G47" s="62"/>
      <c r="H47" s="62"/>
    </row>
    <row r="48" spans="1:9" x14ac:dyDescent="0.35">
      <c r="B48" s="62"/>
      <c r="C48" s="62"/>
      <c r="D48" s="62"/>
      <c r="E48" s="62"/>
      <c r="F48" s="62"/>
      <c r="G48" s="62"/>
      <c r="H48" s="62"/>
    </row>
    <row r="49" spans="1:8" x14ac:dyDescent="0.35">
      <c r="B49" s="62"/>
      <c r="C49" s="62"/>
      <c r="D49" s="62"/>
      <c r="E49" s="62"/>
      <c r="F49" s="62"/>
      <c r="G49" s="62"/>
      <c r="H49" s="62"/>
    </row>
    <row r="50" spans="1:8" x14ac:dyDescent="0.35">
      <c r="B50" s="62"/>
      <c r="C50" s="62"/>
      <c r="D50" s="62"/>
      <c r="E50" s="62"/>
      <c r="F50" s="62"/>
      <c r="G50" s="62"/>
      <c r="H50" s="62"/>
    </row>
    <row r="51" spans="1:8" x14ac:dyDescent="0.35">
      <c r="B51" s="62"/>
      <c r="C51" s="62"/>
      <c r="D51" s="62"/>
      <c r="E51" s="62"/>
      <c r="F51" s="62"/>
      <c r="G51" s="62"/>
      <c r="H51" s="62"/>
    </row>
    <row r="53" spans="1:8" ht="27" customHeight="1" x14ac:dyDescent="0.35"/>
    <row r="54" spans="1:8" ht="45" customHeight="1" x14ac:dyDescent="0.35">
      <c r="A54" s="56" t="s">
        <v>122</v>
      </c>
      <c r="B54" s="57"/>
      <c r="H54" s="46" t="s">
        <v>123</v>
      </c>
    </row>
    <row r="55" spans="1:8" ht="46.5" x14ac:dyDescent="0.35">
      <c r="A55" s="50"/>
      <c r="B55" s="55" t="s">
        <v>124</v>
      </c>
      <c r="C55" s="55" t="s">
        <v>125</v>
      </c>
      <c r="D55" s="55" t="s">
        <v>126</v>
      </c>
      <c r="E55" s="55" t="s">
        <v>127</v>
      </c>
      <c r="F55" s="55" t="s">
        <v>128</v>
      </c>
      <c r="G55" s="55" t="s">
        <v>129</v>
      </c>
      <c r="H55" s="63" t="s">
        <v>130</v>
      </c>
    </row>
    <row r="56" spans="1:8" ht="124" x14ac:dyDescent="0.35">
      <c r="A56" s="55" t="s">
        <v>131</v>
      </c>
      <c r="B56" s="50"/>
      <c r="C56" s="50"/>
      <c r="D56" s="50"/>
      <c r="E56" s="50"/>
      <c r="F56" s="50"/>
      <c r="G56" s="50" t="s">
        <v>434</v>
      </c>
      <c r="H56" s="64"/>
    </row>
    <row r="57" spans="1:8" ht="93" x14ac:dyDescent="0.35">
      <c r="A57" s="55" t="s">
        <v>132</v>
      </c>
      <c r="B57" s="50" t="s">
        <v>435</v>
      </c>
      <c r="C57" s="50"/>
      <c r="D57" s="50"/>
      <c r="E57" s="50"/>
      <c r="F57" s="50"/>
      <c r="G57" s="50"/>
      <c r="H57" s="64"/>
    </row>
    <row r="58" spans="1:8" ht="108.5" x14ac:dyDescent="0.35">
      <c r="A58" s="65" t="s">
        <v>133</v>
      </c>
      <c r="B58" s="50"/>
      <c r="C58" s="50"/>
      <c r="D58" s="50"/>
      <c r="E58" s="50"/>
      <c r="F58" s="50"/>
      <c r="G58" s="50"/>
      <c r="H58" s="64"/>
    </row>
    <row r="59" spans="1:8" x14ac:dyDescent="0.35">
      <c r="B59" s="66" t="s">
        <v>121</v>
      </c>
      <c r="C59" s="66"/>
      <c r="D59" s="66"/>
      <c r="E59" s="66"/>
      <c r="F59" s="66"/>
      <c r="G59" s="66"/>
      <c r="H59" s="66"/>
    </row>
    <row r="60" spans="1:8" x14ac:dyDescent="0.35">
      <c r="B60" s="67"/>
      <c r="C60" s="67"/>
      <c r="D60" s="67"/>
      <c r="E60" s="67"/>
      <c r="F60" s="67"/>
      <c r="G60" s="67"/>
      <c r="H60" s="67"/>
    </row>
    <row r="61" spans="1:8" x14ac:dyDescent="0.35">
      <c r="B61" s="67"/>
      <c r="C61" s="67"/>
      <c r="D61" s="67"/>
      <c r="E61" s="67"/>
      <c r="F61" s="67"/>
      <c r="G61" s="67"/>
      <c r="H61" s="67"/>
    </row>
    <row r="62" spans="1:8" x14ac:dyDescent="0.35">
      <c r="B62" s="67"/>
      <c r="C62" s="67"/>
      <c r="D62" s="67"/>
      <c r="E62" s="67"/>
      <c r="F62" s="67"/>
      <c r="G62" s="67"/>
      <c r="H62" s="67"/>
    </row>
    <row r="63" spans="1:8" x14ac:dyDescent="0.35">
      <c r="B63" s="67"/>
      <c r="C63" s="67"/>
      <c r="D63" s="67"/>
      <c r="E63" s="67"/>
      <c r="F63" s="67"/>
      <c r="G63" s="67"/>
      <c r="H63" s="67"/>
    </row>
    <row r="64" spans="1:8" x14ac:dyDescent="0.35">
      <c r="B64" s="36"/>
    </row>
    <row r="65" spans="1:8" ht="46.5" customHeight="1" x14ac:dyDescent="0.35">
      <c r="A65" s="68" t="s">
        <v>134</v>
      </c>
      <c r="B65" s="68"/>
      <c r="C65" s="69" t="s">
        <v>135</v>
      </c>
      <c r="D65" s="69" t="s">
        <v>135</v>
      </c>
      <c r="E65" s="69" t="s">
        <v>135</v>
      </c>
      <c r="F65" s="69" t="s">
        <v>135</v>
      </c>
      <c r="G65" s="69" t="s">
        <v>135</v>
      </c>
      <c r="H65" s="70" t="s">
        <v>136</v>
      </c>
    </row>
    <row r="66" spans="1:8" ht="52" customHeight="1" x14ac:dyDescent="0.35">
      <c r="A66" s="71" t="s">
        <v>137</v>
      </c>
      <c r="B66" s="71"/>
      <c r="C66" s="71"/>
      <c r="D66" s="71"/>
      <c r="E66" s="68" t="s">
        <v>436</v>
      </c>
      <c r="F66" s="68"/>
      <c r="G66" s="68"/>
      <c r="H66" s="68"/>
    </row>
    <row r="67" spans="1:8" ht="34" customHeight="1" x14ac:dyDescent="0.35">
      <c r="A67" s="71" t="s">
        <v>139</v>
      </c>
      <c r="B67" s="71"/>
      <c r="C67" s="71"/>
      <c r="D67" s="71"/>
      <c r="E67" s="69" t="s">
        <v>437</v>
      </c>
      <c r="F67" s="69" t="s">
        <v>135</v>
      </c>
      <c r="G67" s="69" t="s">
        <v>135</v>
      </c>
      <c r="H67" s="69" t="s">
        <v>135</v>
      </c>
    </row>
    <row r="68" spans="1:8" ht="27.75" customHeight="1" x14ac:dyDescent="0.35">
      <c r="A68" s="71" t="s">
        <v>141</v>
      </c>
      <c r="B68" s="71"/>
      <c r="C68" s="71"/>
      <c r="D68" s="71"/>
      <c r="E68" s="69" t="s">
        <v>438</v>
      </c>
      <c r="F68" s="69" t="s">
        <v>135</v>
      </c>
      <c r="G68" s="69" t="s">
        <v>135</v>
      </c>
      <c r="H68" s="69" t="s">
        <v>135</v>
      </c>
    </row>
    <row r="69" spans="1:8" ht="30" customHeight="1" x14ac:dyDescent="0.35">
      <c r="A69" s="71" t="s">
        <v>143</v>
      </c>
      <c r="B69" s="71"/>
      <c r="C69" s="71"/>
      <c r="D69" s="71"/>
      <c r="E69" s="69" t="s">
        <v>439</v>
      </c>
      <c r="F69" s="69" t="s">
        <v>135</v>
      </c>
      <c r="G69" s="69" t="s">
        <v>135</v>
      </c>
      <c r="H69" s="69" t="s">
        <v>135</v>
      </c>
    </row>
    <row r="70" spans="1:8" ht="33.75" customHeight="1" x14ac:dyDescent="0.35">
      <c r="A70" s="71" t="s">
        <v>144</v>
      </c>
      <c r="B70" s="71"/>
      <c r="C70" s="71"/>
      <c r="D70" s="71"/>
      <c r="E70" s="69" t="s">
        <v>440</v>
      </c>
      <c r="F70" s="69" t="s">
        <v>441</v>
      </c>
      <c r="G70" s="69" t="s">
        <v>442</v>
      </c>
      <c r="H70" s="69" t="s">
        <v>135</v>
      </c>
    </row>
    <row r="71" spans="1:8" ht="52" customHeight="1" x14ac:dyDescent="0.35">
      <c r="A71" s="71" t="s">
        <v>146</v>
      </c>
      <c r="B71" s="71"/>
      <c r="C71" s="71"/>
      <c r="D71" s="71"/>
      <c r="E71" s="69" t="s">
        <v>443</v>
      </c>
      <c r="F71" s="69" t="s">
        <v>135</v>
      </c>
      <c r="G71" s="69" t="s">
        <v>135</v>
      </c>
      <c r="H71" s="69" t="s">
        <v>135</v>
      </c>
    </row>
    <row r="72" spans="1:8" ht="32.5" customHeight="1" x14ac:dyDescent="0.35">
      <c r="A72" s="71" t="s">
        <v>147</v>
      </c>
      <c r="B72" s="71"/>
      <c r="C72" s="71"/>
      <c r="D72" s="71"/>
      <c r="E72" s="69" t="s">
        <v>444</v>
      </c>
      <c r="F72" s="69" t="s">
        <v>135</v>
      </c>
      <c r="G72" s="69" t="s">
        <v>135</v>
      </c>
      <c r="H72" s="69" t="s">
        <v>135</v>
      </c>
    </row>
    <row r="73" spans="1:8" ht="27.75" customHeight="1" x14ac:dyDescent="0.35">
      <c r="A73" s="73" t="s">
        <v>149</v>
      </c>
      <c r="B73" s="73"/>
      <c r="C73" s="73"/>
      <c r="D73" s="73"/>
      <c r="E73" s="74" t="s">
        <v>444</v>
      </c>
      <c r="F73" s="74" t="s">
        <v>445</v>
      </c>
      <c r="G73" s="74" t="s">
        <v>135</v>
      </c>
      <c r="H73" s="74" t="s">
        <v>135</v>
      </c>
    </row>
    <row r="74" spans="1:8" ht="27" customHeight="1" x14ac:dyDescent="0.35">
      <c r="A74" s="71" t="s">
        <v>150</v>
      </c>
      <c r="B74" s="71"/>
      <c r="C74" s="71"/>
      <c r="D74" s="71"/>
      <c r="E74" s="69" t="s">
        <v>446</v>
      </c>
      <c r="F74" s="69" t="s">
        <v>135</v>
      </c>
      <c r="G74" s="69" t="s">
        <v>135</v>
      </c>
      <c r="H74" s="69" t="s">
        <v>135</v>
      </c>
    </row>
    <row r="75" spans="1:8" ht="54" customHeight="1" x14ac:dyDescent="0.35">
      <c r="A75" s="71" t="s">
        <v>152</v>
      </c>
      <c r="B75" s="71"/>
      <c r="C75" s="71"/>
      <c r="D75" s="71"/>
      <c r="E75" s="69" t="s">
        <v>447</v>
      </c>
      <c r="F75" s="69" t="s">
        <v>135</v>
      </c>
      <c r="G75" s="69" t="s">
        <v>135</v>
      </c>
      <c r="H75" s="69" t="s">
        <v>135</v>
      </c>
    </row>
    <row r="76" spans="1:8" ht="25.5" customHeight="1" x14ac:dyDescent="0.35">
      <c r="A76" s="71" t="s">
        <v>153</v>
      </c>
      <c r="B76" s="71"/>
      <c r="C76" s="71"/>
      <c r="D76" s="71"/>
      <c r="E76" s="69" t="s">
        <v>448</v>
      </c>
      <c r="F76" s="69" t="s">
        <v>135</v>
      </c>
      <c r="G76" s="69" t="s">
        <v>135</v>
      </c>
      <c r="H76" s="69" t="s">
        <v>135</v>
      </c>
    </row>
    <row r="77" spans="1:8" ht="25" customHeight="1" x14ac:dyDescent="0.35">
      <c r="A77" s="71" t="s">
        <v>154</v>
      </c>
      <c r="B77" s="71"/>
      <c r="C77" s="71"/>
      <c r="D77" s="71"/>
      <c r="E77" s="69" t="s">
        <v>449</v>
      </c>
      <c r="F77" s="69" t="s">
        <v>135</v>
      </c>
      <c r="G77" s="69" t="s">
        <v>135</v>
      </c>
      <c r="H77" s="69" t="s">
        <v>135</v>
      </c>
    </row>
    <row r="78" spans="1:8" ht="24.75" customHeight="1" x14ac:dyDescent="0.35">
      <c r="A78" s="75" t="s">
        <v>155</v>
      </c>
      <c r="B78" s="75"/>
      <c r="C78" s="75"/>
      <c r="D78" s="75"/>
      <c r="E78" s="76" t="s">
        <v>450</v>
      </c>
      <c r="F78" s="76" t="s">
        <v>135</v>
      </c>
      <c r="G78" s="76" t="s">
        <v>135</v>
      </c>
      <c r="H78" s="76" t="s">
        <v>135</v>
      </c>
    </row>
    <row r="79" spans="1:8" ht="20.5" customHeight="1" x14ac:dyDescent="0.35">
      <c r="E79" s="36"/>
      <c r="F79" s="36"/>
      <c r="G79" s="36"/>
      <c r="H79" s="77" t="s">
        <v>156</v>
      </c>
    </row>
    <row r="80" spans="1:8" ht="40.5" customHeight="1" x14ac:dyDescent="0.35">
      <c r="A80" s="78" t="s">
        <v>157</v>
      </c>
      <c r="B80" s="78"/>
      <c r="C80" s="78"/>
      <c r="D80" s="78"/>
      <c r="E80" s="78"/>
      <c r="F80" s="78"/>
      <c r="G80" s="78"/>
      <c r="H80" s="78"/>
    </row>
    <row r="81" spans="1:8" ht="36" customHeight="1" x14ac:dyDescent="0.35">
      <c r="A81" s="79" t="s">
        <v>158</v>
      </c>
      <c r="B81" s="79"/>
      <c r="C81" s="80" t="s">
        <v>451</v>
      </c>
      <c r="D81" s="80"/>
      <c r="E81" s="80"/>
      <c r="F81" s="80"/>
      <c r="G81" s="80"/>
      <c r="H81" s="80"/>
    </row>
    <row r="82" spans="1:8" ht="36.75" customHeight="1" x14ac:dyDescent="0.35">
      <c r="A82" s="21" t="s">
        <v>159</v>
      </c>
      <c r="B82" s="21"/>
      <c r="C82" s="9"/>
      <c r="D82" s="9"/>
      <c r="E82" s="9"/>
      <c r="F82" s="9"/>
      <c r="G82" s="9"/>
      <c r="H82" s="9"/>
    </row>
    <row r="83" spans="1:8" ht="41.5" customHeight="1" x14ac:dyDescent="0.35">
      <c r="A83" s="21" t="s">
        <v>160</v>
      </c>
      <c r="B83" s="21"/>
      <c r="C83" s="9" t="s">
        <v>452</v>
      </c>
      <c r="D83" s="9"/>
      <c r="E83" s="9"/>
      <c r="F83" s="9"/>
      <c r="G83" s="9"/>
      <c r="H83" s="9"/>
    </row>
    <row r="84" spans="1:8" ht="38.25" customHeight="1" x14ac:dyDescent="0.35">
      <c r="A84" s="21" t="s">
        <v>162</v>
      </c>
      <c r="B84" s="21"/>
      <c r="C84" s="9"/>
      <c r="D84" s="9"/>
      <c r="E84" s="9"/>
      <c r="F84" s="9"/>
      <c r="G84" s="9"/>
      <c r="H84" s="9"/>
    </row>
    <row r="85" spans="1:8" ht="29.25" customHeight="1" x14ac:dyDescent="0.35">
      <c r="A85" s="21" t="s">
        <v>163</v>
      </c>
      <c r="B85" s="21"/>
      <c r="C85" s="9" t="s">
        <v>453</v>
      </c>
      <c r="D85" s="9"/>
      <c r="E85" s="9"/>
      <c r="F85" s="9"/>
      <c r="G85" s="9"/>
      <c r="H85" s="9"/>
    </row>
    <row r="86" spans="1:8" ht="43" customHeight="1" x14ac:dyDescent="0.35">
      <c r="A86" s="21" t="s">
        <v>164</v>
      </c>
      <c r="B86" s="21"/>
      <c r="C86" s="9" t="s">
        <v>454</v>
      </c>
      <c r="D86" s="9"/>
      <c r="E86" s="9"/>
      <c r="F86" s="9"/>
      <c r="G86" s="9"/>
      <c r="H86" s="9"/>
    </row>
    <row r="87" spans="1:8" x14ac:dyDescent="0.35">
      <c r="A87" s="21" t="s">
        <v>165</v>
      </c>
      <c r="B87" s="21"/>
      <c r="C87" s="9" t="s">
        <v>452</v>
      </c>
      <c r="D87" s="9"/>
      <c r="E87" s="9"/>
      <c r="F87" s="9"/>
      <c r="G87" s="9"/>
      <c r="H87" s="9"/>
    </row>
    <row r="88" spans="1:8" x14ac:dyDescent="0.35">
      <c r="A88" s="81" t="s">
        <v>166</v>
      </c>
      <c r="B88" s="81"/>
      <c r="C88" s="9" t="s">
        <v>444</v>
      </c>
      <c r="D88" s="9"/>
      <c r="E88" s="9"/>
      <c r="F88" s="9"/>
      <c r="G88" s="9"/>
      <c r="H88" s="9"/>
    </row>
    <row r="89" spans="1:8" ht="22.5" customHeight="1" x14ac:dyDescent="0.35">
      <c r="A89" s="81" t="s">
        <v>167</v>
      </c>
      <c r="B89" s="81"/>
      <c r="C89" s="9" t="s">
        <v>444</v>
      </c>
      <c r="D89" s="9"/>
      <c r="E89" s="9"/>
      <c r="F89" s="9"/>
      <c r="G89" s="9"/>
      <c r="H89" s="9"/>
    </row>
    <row r="90" spans="1:8" x14ac:dyDescent="0.35">
      <c r="A90" s="81" t="s">
        <v>169</v>
      </c>
      <c r="B90" s="81"/>
      <c r="C90" s="9" t="s">
        <v>444</v>
      </c>
      <c r="D90" s="9"/>
      <c r="E90" s="9"/>
      <c r="F90" s="9"/>
      <c r="G90" s="9"/>
      <c r="H90" s="9"/>
    </row>
    <row r="91" spans="1:8" ht="46.5" customHeight="1" x14ac:dyDescent="0.35">
      <c r="A91" s="81" t="s">
        <v>171</v>
      </c>
      <c r="B91" s="81"/>
      <c r="C91" s="82" t="s">
        <v>172</v>
      </c>
      <c r="D91" s="82"/>
      <c r="E91" s="82"/>
      <c r="F91" s="82"/>
      <c r="G91" s="82"/>
      <c r="H91" s="82"/>
    </row>
    <row r="92" spans="1:8" ht="31" customHeight="1" x14ac:dyDescent="0.35">
      <c r="A92" s="21" t="s">
        <v>173</v>
      </c>
      <c r="B92" s="21"/>
      <c r="C92" s="80" t="s">
        <v>174</v>
      </c>
      <c r="D92" s="80"/>
      <c r="E92" s="80"/>
      <c r="F92" s="80"/>
      <c r="G92" s="80"/>
      <c r="H92" s="80"/>
    </row>
    <row r="93" spans="1:8" ht="31" customHeight="1" x14ac:dyDescent="0.35">
      <c r="A93" s="21" t="s">
        <v>175</v>
      </c>
      <c r="B93" s="21"/>
      <c r="C93" s="9"/>
      <c r="D93" s="9"/>
      <c r="E93" s="9"/>
      <c r="F93" s="9"/>
      <c r="G93" s="9"/>
      <c r="H93" s="9"/>
    </row>
    <row r="94" spans="1:8" ht="23.5" customHeight="1" x14ac:dyDescent="0.35">
      <c r="A94" s="83"/>
      <c r="B94" s="83"/>
      <c r="C94" s="84"/>
      <c r="D94" s="84"/>
      <c r="E94" s="84"/>
      <c r="F94" s="84"/>
      <c r="G94" s="84"/>
      <c r="H94" s="84"/>
    </row>
    <row r="95" spans="1:8" ht="45.75" customHeight="1" x14ac:dyDescent="0.35">
      <c r="A95" s="83"/>
      <c r="B95" s="83"/>
      <c r="C95" s="84"/>
      <c r="D95" s="84"/>
      <c r="E95" s="84"/>
      <c r="F95" s="84"/>
      <c r="G95" s="84"/>
      <c r="H95" s="85" t="s">
        <v>176</v>
      </c>
    </row>
    <row r="96" spans="1:8" ht="36" customHeight="1" x14ac:dyDescent="0.35">
      <c r="A96" s="21" t="s">
        <v>177</v>
      </c>
      <c r="B96" s="21"/>
      <c r="C96" s="9" t="s">
        <v>455</v>
      </c>
      <c r="D96" s="9"/>
      <c r="E96" s="9"/>
      <c r="F96" s="9"/>
      <c r="G96" s="9"/>
      <c r="H96" s="9"/>
    </row>
    <row r="97" spans="1:8" ht="46.5" customHeight="1" x14ac:dyDescent="0.35">
      <c r="A97" s="21" t="s">
        <v>178</v>
      </c>
      <c r="B97" s="21"/>
      <c r="C97" s="9"/>
      <c r="D97" s="9"/>
      <c r="E97" s="9"/>
      <c r="F97" s="9"/>
      <c r="G97" s="9"/>
      <c r="H97" s="9"/>
    </row>
    <row r="98" spans="1:8" ht="51.5" customHeight="1" x14ac:dyDescent="0.35">
      <c r="A98" s="21" t="s">
        <v>180</v>
      </c>
      <c r="B98" s="21"/>
      <c r="C98" s="9" t="s">
        <v>456</v>
      </c>
      <c r="D98" s="9"/>
      <c r="E98" s="9"/>
      <c r="F98" s="9"/>
      <c r="G98" s="9"/>
      <c r="H98" s="9"/>
    </row>
    <row r="99" spans="1:8" ht="57" customHeight="1" x14ac:dyDescent="0.35">
      <c r="A99" s="128" t="s">
        <v>182</v>
      </c>
      <c r="B99" s="128"/>
      <c r="C99" s="9"/>
      <c r="D99" s="9"/>
      <c r="E99" s="9"/>
      <c r="F99" s="9"/>
      <c r="G99" s="9"/>
      <c r="H99" s="9"/>
    </row>
    <row r="100" spans="1:8" ht="53.5" customHeight="1" x14ac:dyDescent="0.35">
      <c r="A100" s="24" t="s">
        <v>183</v>
      </c>
      <c r="B100" s="24"/>
      <c r="C100" s="129" t="s">
        <v>457</v>
      </c>
      <c r="D100" s="129"/>
      <c r="E100" s="129"/>
      <c r="F100" s="129"/>
      <c r="G100" s="129"/>
      <c r="H100" s="129"/>
    </row>
    <row r="101" spans="1:8" ht="32" customHeight="1" x14ac:dyDescent="0.35">
      <c r="A101" s="21" t="s">
        <v>185</v>
      </c>
      <c r="B101" s="21"/>
      <c r="C101" s="80"/>
      <c r="D101" s="80"/>
      <c r="E101" s="80"/>
      <c r="F101" s="80"/>
      <c r="G101" s="80"/>
      <c r="H101" s="80"/>
    </row>
    <row r="102" spans="1:8" ht="54.75" customHeight="1" x14ac:dyDescent="0.35">
      <c r="A102" s="21" t="s">
        <v>187</v>
      </c>
      <c r="B102" s="21"/>
      <c r="C102" s="9" t="s">
        <v>458</v>
      </c>
      <c r="D102" s="9"/>
      <c r="E102" s="9"/>
      <c r="F102" s="9"/>
      <c r="G102" s="9"/>
      <c r="H102" s="9"/>
    </row>
    <row r="103" spans="1:8" ht="56.25" customHeight="1" x14ac:dyDescent="0.35">
      <c r="A103" s="21" t="s">
        <v>188</v>
      </c>
      <c r="B103" s="21"/>
      <c r="C103" s="9" t="s">
        <v>459</v>
      </c>
      <c r="D103" s="9"/>
      <c r="E103" s="9"/>
      <c r="F103" s="9"/>
      <c r="G103" s="9"/>
      <c r="H103" s="9"/>
    </row>
    <row r="104" spans="1:8" x14ac:dyDescent="0.35">
      <c r="A104" s="21" t="s">
        <v>189</v>
      </c>
      <c r="B104" s="21"/>
      <c r="C104" s="9"/>
      <c r="D104" s="9"/>
      <c r="E104" s="9"/>
      <c r="F104" s="9"/>
      <c r="G104" s="9"/>
      <c r="H104" s="9"/>
    </row>
  </sheetData>
  <mergeCells count="107">
    <mergeCell ref="A103:B103"/>
    <mergeCell ref="C103:H103"/>
    <mergeCell ref="A104:B104"/>
    <mergeCell ref="C104:H104"/>
    <mergeCell ref="A100:B100"/>
    <mergeCell ref="C100:H100"/>
    <mergeCell ref="A101:B101"/>
    <mergeCell ref="C101:H101"/>
    <mergeCell ref="A102:B102"/>
    <mergeCell ref="C102:H102"/>
    <mergeCell ref="A97:B97"/>
    <mergeCell ref="C97:H97"/>
    <mergeCell ref="A98:B98"/>
    <mergeCell ref="C98:H98"/>
    <mergeCell ref="A99:B99"/>
    <mergeCell ref="C99:H99"/>
    <mergeCell ref="A92:B92"/>
    <mergeCell ref="C92:H92"/>
    <mergeCell ref="A93:B93"/>
    <mergeCell ref="C93:H93"/>
    <mergeCell ref="A96:B96"/>
    <mergeCell ref="C96:H96"/>
    <mergeCell ref="A89:B89"/>
    <mergeCell ref="C89:H89"/>
    <mergeCell ref="A90:B90"/>
    <mergeCell ref="C90:H90"/>
    <mergeCell ref="A91:B91"/>
    <mergeCell ref="C91:H91"/>
    <mergeCell ref="A86:B86"/>
    <mergeCell ref="C86:H86"/>
    <mergeCell ref="A87:B87"/>
    <mergeCell ref="C87:H87"/>
    <mergeCell ref="A88:B88"/>
    <mergeCell ref="C88:H88"/>
    <mergeCell ref="A83:B83"/>
    <mergeCell ref="C83:H83"/>
    <mergeCell ref="A84:B84"/>
    <mergeCell ref="C84:H84"/>
    <mergeCell ref="A85:B85"/>
    <mergeCell ref="C85:H85"/>
    <mergeCell ref="A77:D77"/>
    <mergeCell ref="A78:D78"/>
    <mergeCell ref="A80:H80"/>
    <mergeCell ref="A81:B81"/>
    <mergeCell ref="C81:H81"/>
    <mergeCell ref="A82:B82"/>
    <mergeCell ref="C82:H82"/>
    <mergeCell ref="A71:D71"/>
    <mergeCell ref="A72:D72"/>
    <mergeCell ref="A73:D73"/>
    <mergeCell ref="A74:D74"/>
    <mergeCell ref="A75:D75"/>
    <mergeCell ref="A76:D76"/>
    <mergeCell ref="A66:D66"/>
    <mergeCell ref="E66:H66"/>
    <mergeCell ref="A67:D67"/>
    <mergeCell ref="A68:D68"/>
    <mergeCell ref="A69:D69"/>
    <mergeCell ref="A70:D70"/>
    <mergeCell ref="A37:B37"/>
    <mergeCell ref="A38:A45"/>
    <mergeCell ref="B46:H51"/>
    <mergeCell ref="A54:B54"/>
    <mergeCell ref="B59:H63"/>
    <mergeCell ref="A65:B65"/>
    <mergeCell ref="A21:D21"/>
    <mergeCell ref="E21:H21"/>
    <mergeCell ref="A23:D23"/>
    <mergeCell ref="A24:D24"/>
    <mergeCell ref="E24:H24"/>
    <mergeCell ref="A26:A27"/>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3767A-F975-4431-9E79-95EECBEB7B80}">
  <dimension ref="A1:R104"/>
  <sheetViews>
    <sheetView view="pageBreakPreview" zoomScale="52" zoomScaleNormal="100" zoomScaleSheetLayoutView="52" workbookViewId="0">
      <selection activeCell="I86" sqref="I86:N86"/>
    </sheetView>
  </sheetViews>
  <sheetFormatPr defaultColWidth="11.81640625" defaultRowHeight="15.5" x14ac:dyDescent="0.35"/>
  <cols>
    <col min="1" max="1" width="13.26953125" style="2" customWidth="1"/>
    <col min="2" max="2" width="18.90625" style="2" customWidth="1"/>
    <col min="3" max="3" width="12" style="2" customWidth="1"/>
    <col min="4" max="4" width="12.1796875" style="2" customWidth="1"/>
    <col min="5" max="6" width="14.90625" style="2" customWidth="1"/>
    <col min="7" max="7" width="16.54296875" style="2" customWidth="1"/>
    <col min="8" max="8" width="15.26953125" style="2" customWidth="1"/>
    <col min="9" max="9" width="11.81640625" style="2"/>
    <col min="10" max="10" width="14" style="2" customWidth="1"/>
    <col min="11" max="12" width="11.81640625" style="2"/>
    <col min="13" max="13" width="14.7265625" style="2" customWidth="1"/>
    <col min="14" max="16384" width="11.81640625" style="2"/>
  </cols>
  <sheetData>
    <row r="1" spans="1:16" x14ac:dyDescent="0.35">
      <c r="A1" s="1" t="s">
        <v>0</v>
      </c>
      <c r="B1" s="1"/>
      <c r="C1" s="1"/>
      <c r="D1" s="1"/>
      <c r="H1" s="3" t="s">
        <v>1</v>
      </c>
    </row>
    <row r="2" spans="1:16" ht="24" customHeight="1" thickBot="1" x14ac:dyDescent="0.4">
      <c r="A2" s="4" t="s">
        <v>2</v>
      </c>
      <c r="B2" s="4"/>
      <c r="C2" s="4"/>
      <c r="D2" s="4"/>
      <c r="E2" s="5"/>
      <c r="F2" s="6"/>
    </row>
    <row r="3" spans="1:16" ht="19" customHeight="1" x14ac:dyDescent="0.35">
      <c r="A3" s="7" t="s">
        <v>3</v>
      </c>
      <c r="B3" s="7"/>
      <c r="C3" s="7"/>
      <c r="D3" s="7"/>
      <c r="E3" s="8" t="s">
        <v>741</v>
      </c>
      <c r="F3" s="8"/>
      <c r="G3" s="8"/>
      <c r="H3" s="8"/>
    </row>
    <row r="4" spans="1:16" ht="19" customHeight="1" x14ac:dyDescent="0.35">
      <c r="A4" s="9" t="s">
        <v>5</v>
      </c>
      <c r="B4" s="9"/>
      <c r="C4" s="9"/>
      <c r="D4" s="9"/>
      <c r="E4" s="10" t="s">
        <v>742</v>
      </c>
      <c r="F4" s="10"/>
      <c r="G4" s="10"/>
      <c r="H4" s="10"/>
      <c r="J4" s="19" t="s">
        <v>7</v>
      </c>
      <c r="K4" s="19"/>
      <c r="L4" s="19"/>
      <c r="M4" s="19"/>
      <c r="N4" s="19"/>
    </row>
    <row r="5" spans="1:16" ht="19" customHeight="1" x14ac:dyDescent="0.35">
      <c r="A5" s="9" t="s">
        <v>8</v>
      </c>
      <c r="B5" s="9"/>
      <c r="C5" s="9"/>
      <c r="D5" s="9"/>
      <c r="E5" s="10" t="s">
        <v>743</v>
      </c>
      <c r="F5" s="10"/>
      <c r="G5" s="10"/>
      <c r="H5" s="10"/>
      <c r="J5" s="19" t="s">
        <v>10</v>
      </c>
      <c r="K5" s="19"/>
      <c r="L5" s="19"/>
      <c r="M5" s="19"/>
      <c r="N5" s="19"/>
    </row>
    <row r="6" spans="1:16" ht="19" customHeight="1" x14ac:dyDescent="0.35">
      <c r="A6" s="9" t="s">
        <v>11</v>
      </c>
      <c r="B6" s="9"/>
      <c r="C6" s="9"/>
      <c r="D6" s="9"/>
      <c r="E6" s="10" t="s">
        <v>744</v>
      </c>
      <c r="F6" s="10"/>
      <c r="G6" s="10"/>
      <c r="H6" s="10"/>
      <c r="J6" s="19" t="s">
        <v>13</v>
      </c>
      <c r="K6" s="17">
        <v>65</v>
      </c>
      <c r="L6" s="19"/>
      <c r="M6" s="19"/>
      <c r="N6" s="138"/>
    </row>
    <row r="7" spans="1:16" ht="19" customHeight="1" x14ac:dyDescent="0.35">
      <c r="A7" s="9" t="s">
        <v>14</v>
      </c>
      <c r="B7" s="9"/>
      <c r="C7" s="9"/>
      <c r="D7" s="9"/>
      <c r="E7" s="10" t="s">
        <v>194</v>
      </c>
      <c r="F7" s="10"/>
      <c r="G7" s="10"/>
      <c r="H7" s="10"/>
      <c r="J7" s="19" t="s">
        <v>16</v>
      </c>
      <c r="K7" s="17">
        <f>65*J25</f>
        <v>1053.7673611111113</v>
      </c>
      <c r="L7" s="19"/>
      <c r="M7" s="19" t="s">
        <v>17</v>
      </c>
      <c r="N7" s="138">
        <f>K7/K6</f>
        <v>16.211805555555557</v>
      </c>
    </row>
    <row r="8" spans="1:16" ht="54" customHeight="1" x14ac:dyDescent="0.35">
      <c r="A8" s="21" t="s">
        <v>18</v>
      </c>
      <c r="B8" s="21"/>
      <c r="C8" s="21"/>
      <c r="D8" s="21"/>
      <c r="E8" s="10" t="s">
        <v>745</v>
      </c>
      <c r="F8" s="10"/>
      <c r="G8" s="10"/>
      <c r="H8" s="10"/>
      <c r="J8" s="31" t="s">
        <v>19</v>
      </c>
      <c r="K8" s="142">
        <f>320+(5815*0.78)</f>
        <v>4855.7</v>
      </c>
      <c r="L8" s="19"/>
      <c r="M8" s="31" t="s">
        <v>20</v>
      </c>
      <c r="N8" s="138">
        <f>K8/K6</f>
        <v>74.703076923076921</v>
      </c>
      <c r="O8" s="27" t="s">
        <v>746</v>
      </c>
      <c r="P8" s="2">
        <f>13.5/3</f>
        <v>4.5</v>
      </c>
    </row>
    <row r="9" spans="1:16" ht="60" customHeight="1" x14ac:dyDescent="0.35">
      <c r="A9" s="21" t="s">
        <v>21</v>
      </c>
      <c r="B9" s="21"/>
      <c r="C9" s="21"/>
      <c r="D9" s="21"/>
      <c r="E9" s="24" t="s">
        <v>747</v>
      </c>
      <c r="F9" s="24"/>
      <c r="G9" s="24"/>
      <c r="H9" s="24"/>
      <c r="J9" s="143" t="s">
        <v>23</v>
      </c>
      <c r="K9" s="142">
        <v>0</v>
      </c>
      <c r="L9" s="19"/>
      <c r="M9" s="31" t="s">
        <v>24</v>
      </c>
      <c r="N9" s="138">
        <f>K9/K6</f>
        <v>0</v>
      </c>
      <c r="O9" s="2" t="s">
        <v>748</v>
      </c>
    </row>
    <row r="10" spans="1:16" ht="50" customHeight="1" x14ac:dyDescent="0.35">
      <c r="A10" s="21" t="s">
        <v>25</v>
      </c>
      <c r="B10" s="21"/>
      <c r="C10" s="21"/>
      <c r="D10" s="21"/>
      <c r="E10" s="26" t="s">
        <v>26</v>
      </c>
      <c r="F10" s="26"/>
      <c r="G10" s="26"/>
      <c r="H10" s="26"/>
      <c r="J10" s="31" t="s">
        <v>749</v>
      </c>
      <c r="K10" s="17">
        <f>(10*8*4)/60</f>
        <v>5.333333333333333</v>
      </c>
      <c r="L10" s="19"/>
      <c r="M10" s="31" t="s">
        <v>28</v>
      </c>
      <c r="N10" s="138">
        <f>K10/K6</f>
        <v>8.2051282051282051E-2</v>
      </c>
    </row>
    <row r="11" spans="1:16" ht="49" customHeight="1" x14ac:dyDescent="0.35">
      <c r="A11" s="21" t="s">
        <v>29</v>
      </c>
      <c r="B11" s="21"/>
      <c r="C11" s="21"/>
      <c r="D11" s="21"/>
      <c r="E11" s="24" t="s">
        <v>750</v>
      </c>
      <c r="F11" s="24"/>
      <c r="G11" s="24"/>
      <c r="H11" s="24"/>
      <c r="I11" s="27"/>
      <c r="J11" s="31" t="s">
        <v>31</v>
      </c>
      <c r="K11" s="17">
        <v>32</v>
      </c>
      <c r="L11" s="19"/>
      <c r="M11" s="31" t="s">
        <v>33</v>
      </c>
      <c r="N11" s="138">
        <f>K11/K6</f>
        <v>0.49230769230769234</v>
      </c>
    </row>
    <row r="12" spans="1:16" ht="54" customHeight="1" x14ac:dyDescent="0.35">
      <c r="A12" s="21" t="s">
        <v>34</v>
      </c>
      <c r="B12" s="21"/>
      <c r="C12" s="21"/>
      <c r="D12" s="21"/>
      <c r="E12" s="24" t="s">
        <v>751</v>
      </c>
      <c r="F12" s="24"/>
      <c r="G12" s="24"/>
      <c r="H12" s="24"/>
      <c r="I12" s="30"/>
      <c r="J12" s="31" t="s">
        <v>36</v>
      </c>
      <c r="K12" s="17">
        <f>(1*8*4*7)+(20*3*1)</f>
        <v>284</v>
      </c>
      <c r="L12" s="19"/>
      <c r="M12" s="31" t="s">
        <v>37</v>
      </c>
      <c r="N12" s="138">
        <f>K12/K6</f>
        <v>4.3692307692307688</v>
      </c>
    </row>
    <row r="13" spans="1:16" ht="83" customHeight="1" x14ac:dyDescent="0.35">
      <c r="A13" s="21" t="s">
        <v>38</v>
      </c>
      <c r="B13" s="21"/>
      <c r="C13" s="21"/>
      <c r="D13" s="21"/>
      <c r="E13" s="24" t="s">
        <v>752</v>
      </c>
      <c r="F13" s="24"/>
      <c r="G13" s="24"/>
      <c r="H13" s="24"/>
      <c r="I13" s="30"/>
      <c r="J13" s="31" t="s">
        <v>40</v>
      </c>
      <c r="K13" s="17">
        <v>50</v>
      </c>
      <c r="L13" s="19"/>
      <c r="M13" s="31" t="s">
        <v>41</v>
      </c>
      <c r="N13" s="138">
        <f>K13/K6</f>
        <v>0.76923076923076927</v>
      </c>
    </row>
    <row r="14" spans="1:16" ht="58" customHeight="1" x14ac:dyDescent="0.35">
      <c r="A14" s="21" t="s">
        <v>42</v>
      </c>
      <c r="B14" s="21"/>
      <c r="C14" s="21"/>
      <c r="D14" s="21"/>
      <c r="E14" s="26" t="s">
        <v>26</v>
      </c>
      <c r="F14" s="26"/>
      <c r="G14" s="26"/>
      <c r="H14" s="26"/>
      <c r="J14" s="31" t="s">
        <v>43</v>
      </c>
      <c r="K14" s="17">
        <v>150</v>
      </c>
      <c r="L14" s="19"/>
      <c r="M14" s="31" t="s">
        <v>45</v>
      </c>
      <c r="N14" s="138">
        <f>(K14*K15)/K6</f>
        <v>5.1923076923076925</v>
      </c>
    </row>
    <row r="15" spans="1:16" ht="34.5" customHeight="1" x14ac:dyDescent="0.35">
      <c r="A15" s="21" t="s">
        <v>46</v>
      </c>
      <c r="B15" s="21"/>
      <c r="C15" s="21"/>
      <c r="D15" s="21"/>
      <c r="E15" s="26" t="s">
        <v>26</v>
      </c>
      <c r="F15" s="26"/>
      <c r="G15" s="26"/>
      <c r="H15" s="26"/>
      <c r="I15" s="27"/>
      <c r="J15" s="31" t="s">
        <v>48</v>
      </c>
      <c r="K15" s="17">
        <v>2.25</v>
      </c>
      <c r="L15" s="19"/>
      <c r="M15" s="31" t="s">
        <v>49</v>
      </c>
      <c r="N15" s="138">
        <f>K18/K6</f>
        <v>1.5384615384615385</v>
      </c>
    </row>
    <row r="16" spans="1:16" ht="58" customHeight="1" x14ac:dyDescent="0.35">
      <c r="A16" s="21" t="s">
        <v>50</v>
      </c>
      <c r="B16" s="21"/>
      <c r="C16" s="21"/>
      <c r="D16" s="21"/>
      <c r="E16" s="26" t="s">
        <v>26</v>
      </c>
      <c r="F16" s="26"/>
      <c r="G16" s="26"/>
      <c r="H16" s="26"/>
      <c r="J16" s="31" t="s">
        <v>51</v>
      </c>
      <c r="K16" s="17">
        <v>4852</v>
      </c>
      <c r="L16" s="19"/>
      <c r="M16" s="31" t="s">
        <v>52</v>
      </c>
      <c r="N16" s="138">
        <v>156.976744</v>
      </c>
    </row>
    <row r="17" spans="1:14" ht="19" customHeight="1" x14ac:dyDescent="0.35">
      <c r="A17" s="21" t="s">
        <v>53</v>
      </c>
      <c r="B17" s="21"/>
      <c r="C17" s="21"/>
      <c r="D17" s="21"/>
      <c r="E17" s="26" t="s">
        <v>26</v>
      </c>
      <c r="F17" s="26"/>
      <c r="G17" s="26"/>
      <c r="H17" s="26"/>
      <c r="J17" s="19"/>
      <c r="K17" s="17"/>
      <c r="L17" s="19"/>
      <c r="M17" s="19"/>
      <c r="N17" s="138"/>
    </row>
    <row r="18" spans="1:14" ht="19" customHeight="1" x14ac:dyDescent="0.35">
      <c r="A18" s="21" t="s">
        <v>54</v>
      </c>
      <c r="B18" s="21"/>
      <c r="C18" s="21"/>
      <c r="D18" s="21"/>
      <c r="E18" s="26" t="s">
        <v>26</v>
      </c>
      <c r="F18" s="26"/>
      <c r="G18" s="26"/>
      <c r="H18" s="26"/>
      <c r="J18" s="19" t="s">
        <v>55</v>
      </c>
      <c r="K18" s="17">
        <v>100</v>
      </c>
      <c r="L18" s="19"/>
      <c r="M18" s="19" t="s">
        <v>57</v>
      </c>
      <c r="N18" s="138">
        <f>+N15+N14+N11+N8</f>
        <v>81.926153846153838</v>
      </c>
    </row>
    <row r="19" spans="1:14" ht="19" customHeight="1" x14ac:dyDescent="0.35">
      <c r="A19" s="37" t="s">
        <v>58</v>
      </c>
      <c r="B19" s="21"/>
      <c r="C19" s="21"/>
      <c r="D19" s="21"/>
      <c r="E19" s="24" t="s">
        <v>753</v>
      </c>
      <c r="F19" s="24"/>
      <c r="G19" s="24"/>
      <c r="H19" s="24"/>
      <c r="J19" s="19"/>
      <c r="K19" s="19"/>
      <c r="L19" s="19"/>
      <c r="M19" s="19" t="s">
        <v>59</v>
      </c>
      <c r="N19" s="138">
        <f>N12+N9</f>
        <v>4.3692307692307688</v>
      </c>
    </row>
    <row r="20" spans="1:14" ht="36.5" customHeight="1" x14ac:dyDescent="0.35">
      <c r="A20" s="37" t="s">
        <v>60</v>
      </c>
      <c r="B20" s="21"/>
      <c r="C20" s="21"/>
      <c r="D20" s="21"/>
      <c r="E20" s="24" t="s">
        <v>754</v>
      </c>
      <c r="F20" s="24"/>
      <c r="G20" s="24"/>
      <c r="H20" s="24"/>
    </row>
    <row r="21" spans="1:14" ht="31.5" customHeight="1" x14ac:dyDescent="0.35">
      <c r="A21" s="37" t="s">
        <v>62</v>
      </c>
      <c r="B21" s="21"/>
      <c r="C21" s="21"/>
      <c r="D21" s="21"/>
      <c r="E21" s="24" t="s">
        <v>755</v>
      </c>
      <c r="F21" s="24"/>
      <c r="G21" s="24"/>
      <c r="H21" s="24"/>
    </row>
    <row r="22" spans="1:14" ht="21.5" customHeight="1" x14ac:dyDescent="0.35">
      <c r="A22" s="41"/>
      <c r="B22" s="42"/>
      <c r="C22" s="42"/>
      <c r="D22" s="42"/>
      <c r="E22" s="43"/>
      <c r="F22" s="43"/>
      <c r="G22" s="43"/>
      <c r="H22" s="43"/>
    </row>
    <row r="23" spans="1:14" ht="24" customHeight="1" x14ac:dyDescent="0.35">
      <c r="A23" s="44" t="s">
        <v>67</v>
      </c>
      <c r="B23" s="45"/>
      <c r="C23" s="45"/>
      <c r="D23" s="45"/>
      <c r="H23" s="46" t="s">
        <v>68</v>
      </c>
    </row>
    <row r="24" spans="1:14" ht="114" customHeight="1" x14ac:dyDescent="0.35">
      <c r="A24" s="44" t="s">
        <v>69</v>
      </c>
      <c r="B24" s="45"/>
      <c r="C24" s="45"/>
      <c r="D24" s="45"/>
      <c r="E24" s="47" t="s">
        <v>756</v>
      </c>
      <c r="F24" s="47"/>
      <c r="G24" s="47"/>
      <c r="H24" s="47"/>
      <c r="J24" s="2">
        <f>40.25*58</f>
        <v>2334.5</v>
      </c>
      <c r="K24" s="2" t="s">
        <v>757</v>
      </c>
    </row>
    <row r="25" spans="1:14" ht="28" customHeight="1" x14ac:dyDescent="0.35">
      <c r="A25" s="48" t="s">
        <v>71</v>
      </c>
      <c r="B25" s="48"/>
      <c r="C25" s="48"/>
      <c r="D25" s="48"/>
      <c r="J25" s="2">
        <f>J24/144</f>
        <v>16.211805555555557</v>
      </c>
      <c r="K25" s="2" t="s">
        <v>758</v>
      </c>
    </row>
    <row r="26" spans="1:14" ht="30" customHeight="1" x14ac:dyDescent="0.35">
      <c r="A26" s="49" t="s">
        <v>72</v>
      </c>
      <c r="B26" s="50"/>
      <c r="C26" s="51" t="s">
        <v>73</v>
      </c>
      <c r="D26" s="51" t="s">
        <v>74</v>
      </c>
      <c r="E26" s="51" t="s">
        <v>75</v>
      </c>
      <c r="F26" s="51" t="s">
        <v>76</v>
      </c>
      <c r="G26" s="52" t="s">
        <v>77</v>
      </c>
      <c r="H26" s="52" t="s">
        <v>78</v>
      </c>
    </row>
    <row r="27" spans="1:14" ht="30" customHeight="1" x14ac:dyDescent="0.35">
      <c r="A27" s="53"/>
      <c r="B27" s="50" t="s">
        <v>79</v>
      </c>
      <c r="C27" s="50" t="s">
        <v>80</v>
      </c>
      <c r="D27" s="50"/>
      <c r="E27" s="50"/>
      <c r="F27" s="50"/>
      <c r="G27" s="50"/>
      <c r="H27" s="50"/>
    </row>
    <row r="28" spans="1:14" ht="30" customHeight="1" x14ac:dyDescent="0.35">
      <c r="A28" s="54"/>
      <c r="B28" s="50" t="s">
        <v>81</v>
      </c>
      <c r="C28" s="50" t="s">
        <v>80</v>
      </c>
      <c r="D28" s="50"/>
      <c r="E28" s="50"/>
      <c r="F28" s="50"/>
      <c r="G28" s="50"/>
      <c r="H28" s="50"/>
    </row>
    <row r="29" spans="1:14" ht="30" customHeight="1" x14ac:dyDescent="0.35">
      <c r="A29" s="54"/>
      <c r="B29" s="50" t="s">
        <v>82</v>
      </c>
      <c r="C29" s="50" t="s">
        <v>80</v>
      </c>
      <c r="D29" s="50"/>
      <c r="E29" s="50"/>
      <c r="F29" s="50"/>
      <c r="G29" s="50"/>
      <c r="H29" s="50"/>
    </row>
    <row r="30" spans="1:14" ht="30" customHeight="1" x14ac:dyDescent="0.35">
      <c r="A30" s="54"/>
      <c r="B30" s="50" t="s">
        <v>83</v>
      </c>
      <c r="C30" s="50" t="s">
        <v>84</v>
      </c>
      <c r="D30" s="50"/>
      <c r="E30" s="50"/>
      <c r="F30" s="50"/>
      <c r="G30" s="50"/>
      <c r="H30" s="50"/>
    </row>
    <row r="31" spans="1:14" ht="30" customHeight="1" x14ac:dyDescent="0.35">
      <c r="A31" s="54"/>
      <c r="B31" s="50" t="s">
        <v>85</v>
      </c>
      <c r="C31" s="50" t="s">
        <v>84</v>
      </c>
      <c r="D31" s="50" t="s">
        <v>759</v>
      </c>
      <c r="E31" s="141">
        <v>1925</v>
      </c>
      <c r="F31" s="141">
        <v>5815</v>
      </c>
      <c r="G31" s="50" t="s">
        <v>77</v>
      </c>
      <c r="H31" s="50" t="s">
        <v>760</v>
      </c>
    </row>
    <row r="32" spans="1:14" ht="30" customHeight="1" x14ac:dyDescent="0.35">
      <c r="A32" s="54"/>
      <c r="B32" s="50" t="s">
        <v>22</v>
      </c>
      <c r="C32" s="50" t="s">
        <v>84</v>
      </c>
      <c r="D32" s="50"/>
      <c r="E32" s="50"/>
      <c r="F32" s="50"/>
      <c r="G32" s="50" t="s">
        <v>761</v>
      </c>
      <c r="H32" s="50" t="s">
        <v>762</v>
      </c>
    </row>
    <row r="33" spans="1:18" ht="30" customHeight="1" x14ac:dyDescent="0.35">
      <c r="A33" s="54"/>
      <c r="B33" s="50" t="s">
        <v>90</v>
      </c>
      <c r="C33" s="50" t="s">
        <v>84</v>
      </c>
      <c r="D33" s="50"/>
      <c r="E33" s="50"/>
      <c r="F33" s="50"/>
      <c r="G33" s="50"/>
      <c r="H33" s="50"/>
    </row>
    <row r="34" spans="1:18" ht="31" x14ac:dyDescent="0.35">
      <c r="A34" s="54"/>
      <c r="B34" s="55" t="s">
        <v>91</v>
      </c>
      <c r="C34" s="50" t="s">
        <v>92</v>
      </c>
      <c r="D34" s="50" t="s">
        <v>763</v>
      </c>
      <c r="E34" s="50" t="s">
        <v>764</v>
      </c>
      <c r="F34" s="141">
        <v>320</v>
      </c>
      <c r="G34" s="50"/>
      <c r="H34" s="50" t="s">
        <v>765</v>
      </c>
    </row>
    <row r="36" spans="1:18" ht="29" customHeight="1" x14ac:dyDescent="0.35"/>
    <row r="37" spans="1:18" ht="31" customHeight="1" x14ac:dyDescent="0.35">
      <c r="A37" s="56" t="s">
        <v>96</v>
      </c>
      <c r="B37" s="57"/>
      <c r="H37" s="46" t="s">
        <v>97</v>
      </c>
    </row>
    <row r="38" spans="1:18" ht="40" customHeight="1" x14ac:dyDescent="0.35">
      <c r="A38" s="58" t="s">
        <v>98</v>
      </c>
      <c r="B38" s="55" t="s">
        <v>99</v>
      </c>
      <c r="C38" s="50" t="s">
        <v>100</v>
      </c>
      <c r="D38" s="50" t="s">
        <v>101</v>
      </c>
      <c r="E38" s="55" t="s">
        <v>102</v>
      </c>
      <c r="F38" s="55" t="s">
        <v>103</v>
      </c>
      <c r="G38" s="55" t="s">
        <v>104</v>
      </c>
      <c r="H38" s="55" t="s">
        <v>105</v>
      </c>
      <c r="K38" s="56" t="s">
        <v>766</v>
      </c>
      <c r="L38" s="57"/>
      <c r="R38" s="46" t="s">
        <v>97</v>
      </c>
    </row>
    <row r="39" spans="1:18" ht="40" customHeight="1" x14ac:dyDescent="0.35">
      <c r="A39" s="59"/>
      <c r="B39" s="50" t="s">
        <v>767</v>
      </c>
      <c r="C39" s="50"/>
      <c r="D39" s="50"/>
      <c r="E39" s="50"/>
      <c r="F39" s="50"/>
      <c r="G39" s="50"/>
      <c r="H39" s="50"/>
      <c r="K39" s="58" t="s">
        <v>98</v>
      </c>
      <c r="L39" s="55" t="s">
        <v>99</v>
      </c>
      <c r="M39" s="50" t="s">
        <v>100</v>
      </c>
      <c r="N39" s="50" t="s">
        <v>101</v>
      </c>
      <c r="O39" s="55" t="s">
        <v>102</v>
      </c>
      <c r="P39" s="55" t="s">
        <v>103</v>
      </c>
      <c r="Q39" s="55" t="s">
        <v>104</v>
      </c>
      <c r="R39" s="55" t="s">
        <v>105</v>
      </c>
    </row>
    <row r="40" spans="1:18" ht="40" customHeight="1" x14ac:dyDescent="0.35">
      <c r="A40" s="59"/>
      <c r="B40" s="50" t="s">
        <v>768</v>
      </c>
      <c r="C40" s="50" t="s">
        <v>769</v>
      </c>
      <c r="D40" s="50"/>
      <c r="E40" s="50"/>
      <c r="F40" s="50"/>
      <c r="G40" s="50"/>
      <c r="H40" s="50"/>
      <c r="K40" s="59"/>
      <c r="L40" s="50" t="s">
        <v>770</v>
      </c>
      <c r="M40" s="50" t="s">
        <v>771</v>
      </c>
      <c r="N40" s="50" t="s">
        <v>772</v>
      </c>
      <c r="O40" s="50" t="s">
        <v>773</v>
      </c>
      <c r="P40" s="50" t="s">
        <v>774</v>
      </c>
      <c r="Q40" s="50"/>
      <c r="R40" s="50"/>
    </row>
    <row r="41" spans="1:18" ht="40" customHeight="1" x14ac:dyDescent="0.35">
      <c r="A41" s="59"/>
      <c r="B41" s="50" t="s">
        <v>775</v>
      </c>
      <c r="C41" s="50"/>
      <c r="D41" s="50"/>
      <c r="E41" s="50"/>
      <c r="F41" s="50"/>
      <c r="G41" s="50"/>
      <c r="H41" s="50" t="s">
        <v>776</v>
      </c>
      <c r="K41" s="59"/>
      <c r="L41" s="50" t="s">
        <v>777</v>
      </c>
      <c r="M41" s="50" t="s">
        <v>778</v>
      </c>
      <c r="N41" s="50" t="s">
        <v>779</v>
      </c>
      <c r="O41" s="50"/>
      <c r="P41" s="50"/>
      <c r="Q41" s="50" t="s">
        <v>780</v>
      </c>
      <c r="R41" s="50"/>
    </row>
    <row r="42" spans="1:18" ht="40" customHeight="1" x14ac:dyDescent="0.35">
      <c r="A42" s="59"/>
      <c r="B42" s="50" t="s">
        <v>781</v>
      </c>
      <c r="C42" s="50"/>
      <c r="D42" s="50"/>
      <c r="E42" s="50"/>
      <c r="F42" s="50"/>
      <c r="G42" s="50"/>
      <c r="H42" s="50"/>
      <c r="K42" s="59"/>
      <c r="L42" s="50" t="s">
        <v>782</v>
      </c>
      <c r="M42" s="50" t="s">
        <v>783</v>
      </c>
      <c r="N42" s="50"/>
      <c r="O42" s="50"/>
      <c r="P42" s="50"/>
      <c r="Q42" s="50" t="s">
        <v>784</v>
      </c>
      <c r="R42" s="50"/>
    </row>
    <row r="43" spans="1:18" ht="40" customHeight="1" x14ac:dyDescent="0.35">
      <c r="A43" s="59"/>
      <c r="B43" s="50" t="s">
        <v>785</v>
      </c>
      <c r="C43" s="50"/>
      <c r="D43" s="50"/>
      <c r="E43" s="50"/>
      <c r="F43" s="50"/>
      <c r="G43" s="50"/>
      <c r="H43" s="50"/>
      <c r="K43" s="59"/>
      <c r="L43" s="50" t="s">
        <v>786</v>
      </c>
      <c r="M43" s="50"/>
      <c r="N43" s="50"/>
      <c r="O43" s="50"/>
      <c r="P43" s="50"/>
      <c r="Q43" s="50"/>
      <c r="R43" s="50"/>
    </row>
    <row r="44" spans="1:18" ht="40" customHeight="1" x14ac:dyDescent="0.35">
      <c r="A44" s="59"/>
      <c r="B44" s="50" t="s">
        <v>787</v>
      </c>
      <c r="C44" s="50"/>
      <c r="D44" s="50"/>
      <c r="E44" s="50"/>
      <c r="F44" s="50"/>
      <c r="G44" s="50"/>
      <c r="H44" s="50"/>
      <c r="K44" s="59"/>
      <c r="L44" s="50" t="s">
        <v>788</v>
      </c>
      <c r="M44" s="50"/>
      <c r="N44" s="50"/>
      <c r="O44" s="50"/>
      <c r="P44" s="50"/>
      <c r="Q44" s="141">
        <v>4852</v>
      </c>
      <c r="R44" s="50"/>
    </row>
    <row r="45" spans="1:18" x14ac:dyDescent="0.35">
      <c r="A45" s="59"/>
      <c r="B45" s="50" t="s">
        <v>789</v>
      </c>
      <c r="C45" s="50"/>
      <c r="D45" s="50"/>
      <c r="E45" s="50"/>
      <c r="F45" s="50"/>
      <c r="G45" s="50"/>
      <c r="H45" s="50"/>
      <c r="K45" s="59"/>
      <c r="L45" s="50" t="s">
        <v>790</v>
      </c>
      <c r="M45" s="50" t="s">
        <v>791</v>
      </c>
      <c r="N45" s="50" t="s">
        <v>792</v>
      </c>
      <c r="O45" s="50" t="s">
        <v>793</v>
      </c>
      <c r="P45" s="50" t="s">
        <v>794</v>
      </c>
      <c r="Q45" s="50"/>
      <c r="R45" s="50"/>
    </row>
    <row r="46" spans="1:18" ht="15.5" customHeight="1" x14ac:dyDescent="0.35">
      <c r="A46" s="60"/>
      <c r="B46" s="61" t="s">
        <v>795</v>
      </c>
      <c r="C46" s="61"/>
      <c r="D46" s="61"/>
      <c r="E46" s="61"/>
      <c r="F46" s="61"/>
      <c r="G46" s="61"/>
      <c r="H46" s="61"/>
      <c r="K46" s="59"/>
      <c r="L46" s="50"/>
      <c r="M46" s="50"/>
      <c r="N46" s="50"/>
      <c r="O46" s="50"/>
      <c r="P46" s="50"/>
      <c r="Q46" s="50"/>
      <c r="R46" s="50"/>
    </row>
    <row r="47" spans="1:18" x14ac:dyDescent="0.35">
      <c r="A47" s="60"/>
      <c r="B47" s="62"/>
      <c r="C47" s="62"/>
      <c r="D47" s="62"/>
      <c r="E47" s="62"/>
      <c r="F47" s="62"/>
      <c r="G47" s="62"/>
      <c r="H47" s="62"/>
    </row>
    <row r="48" spans="1:18" x14ac:dyDescent="0.35">
      <c r="B48" s="62"/>
      <c r="C48" s="62"/>
      <c r="D48" s="62"/>
      <c r="E48" s="62"/>
      <c r="F48" s="62"/>
      <c r="G48" s="62"/>
      <c r="H48" s="62"/>
    </row>
    <row r="49" spans="1:8" x14ac:dyDescent="0.35">
      <c r="B49" s="62"/>
      <c r="C49" s="62"/>
      <c r="D49" s="62"/>
      <c r="E49" s="62"/>
      <c r="F49" s="62"/>
      <c r="G49" s="62"/>
      <c r="H49" s="62"/>
    </row>
    <row r="50" spans="1:8" x14ac:dyDescent="0.35">
      <c r="B50" s="62"/>
      <c r="C50" s="62"/>
      <c r="D50" s="62"/>
      <c r="E50" s="62"/>
      <c r="F50" s="62"/>
      <c r="G50" s="62"/>
      <c r="H50" s="62"/>
    </row>
    <row r="51" spans="1:8" x14ac:dyDescent="0.35">
      <c r="B51" s="62"/>
      <c r="C51" s="62"/>
      <c r="D51" s="62"/>
      <c r="E51" s="62"/>
      <c r="F51" s="62"/>
      <c r="G51" s="62"/>
      <c r="H51" s="62"/>
    </row>
    <row r="53" spans="1:8" ht="27" customHeight="1" x14ac:dyDescent="0.35"/>
    <row r="54" spans="1:8" ht="45" customHeight="1" x14ac:dyDescent="0.35">
      <c r="A54" s="56" t="s">
        <v>122</v>
      </c>
      <c r="B54" s="57"/>
      <c r="H54" s="46" t="s">
        <v>123</v>
      </c>
    </row>
    <row r="55" spans="1:8" ht="46.5" x14ac:dyDescent="0.35">
      <c r="A55" s="50"/>
      <c r="B55" s="55" t="s">
        <v>124</v>
      </c>
      <c r="C55" s="55" t="s">
        <v>125</v>
      </c>
      <c r="D55" s="55" t="s">
        <v>126</v>
      </c>
      <c r="E55" s="55" t="s">
        <v>127</v>
      </c>
      <c r="F55" s="55" t="s">
        <v>128</v>
      </c>
      <c r="G55" s="55" t="s">
        <v>129</v>
      </c>
      <c r="H55" s="63" t="s">
        <v>130</v>
      </c>
    </row>
    <row r="56" spans="1:8" ht="108.5" x14ac:dyDescent="0.35">
      <c r="A56" s="55" t="s">
        <v>131</v>
      </c>
      <c r="B56" s="50"/>
      <c r="C56" s="50"/>
      <c r="D56" s="50"/>
      <c r="E56" s="50"/>
      <c r="F56" s="50"/>
      <c r="G56" s="50"/>
      <c r="H56" s="64"/>
    </row>
    <row r="57" spans="1:8" ht="93" x14ac:dyDescent="0.35">
      <c r="A57" s="55" t="s">
        <v>132</v>
      </c>
      <c r="B57" s="50"/>
      <c r="C57" s="50"/>
      <c r="D57" s="50"/>
      <c r="E57" s="50"/>
      <c r="F57" s="50"/>
      <c r="G57" s="50"/>
      <c r="H57" s="64"/>
    </row>
    <row r="58" spans="1:8" ht="108.5" x14ac:dyDescent="0.35">
      <c r="A58" s="65" t="s">
        <v>133</v>
      </c>
      <c r="B58" s="50"/>
      <c r="C58" s="50"/>
      <c r="D58" s="50"/>
      <c r="E58" s="50"/>
      <c r="F58" s="50"/>
      <c r="G58" s="50"/>
      <c r="H58" s="64"/>
    </row>
    <row r="59" spans="1:8" x14ac:dyDescent="0.35">
      <c r="B59" s="66" t="s">
        <v>121</v>
      </c>
      <c r="C59" s="66"/>
      <c r="D59" s="66"/>
      <c r="E59" s="66"/>
      <c r="F59" s="66"/>
      <c r="G59" s="66"/>
      <c r="H59" s="66"/>
    </row>
    <row r="60" spans="1:8" x14ac:dyDescent="0.35">
      <c r="B60" s="67"/>
      <c r="C60" s="67"/>
      <c r="D60" s="67"/>
      <c r="E60" s="67"/>
      <c r="F60" s="67"/>
      <c r="G60" s="67"/>
      <c r="H60" s="67"/>
    </row>
    <row r="61" spans="1:8" x14ac:dyDescent="0.35">
      <c r="B61" s="67"/>
      <c r="C61" s="67"/>
      <c r="D61" s="67"/>
      <c r="E61" s="67"/>
      <c r="F61" s="67"/>
      <c r="G61" s="67"/>
      <c r="H61" s="67"/>
    </row>
    <row r="62" spans="1:8" x14ac:dyDescent="0.35">
      <c r="B62" s="67"/>
      <c r="C62" s="67"/>
      <c r="D62" s="67"/>
      <c r="E62" s="67"/>
      <c r="F62" s="67"/>
      <c r="G62" s="67"/>
      <c r="H62" s="67"/>
    </row>
    <row r="63" spans="1:8" x14ac:dyDescent="0.35">
      <c r="B63" s="67"/>
      <c r="C63" s="67"/>
      <c r="D63" s="67"/>
      <c r="E63" s="67"/>
      <c r="F63" s="67"/>
      <c r="G63" s="67"/>
      <c r="H63" s="67"/>
    </row>
    <row r="64" spans="1:8" x14ac:dyDescent="0.35">
      <c r="B64" s="36"/>
    </row>
    <row r="65" spans="1:15" ht="46.5" customHeight="1" x14ac:dyDescent="0.35">
      <c r="A65" s="68" t="s">
        <v>134</v>
      </c>
      <c r="B65" s="68"/>
      <c r="C65" s="69" t="s">
        <v>135</v>
      </c>
      <c r="D65" s="69" t="s">
        <v>135</v>
      </c>
      <c r="E65" s="69" t="s">
        <v>135</v>
      </c>
      <c r="F65" s="69" t="s">
        <v>135</v>
      </c>
      <c r="G65" s="69" t="s">
        <v>135</v>
      </c>
      <c r="H65" s="70" t="s">
        <v>136</v>
      </c>
    </row>
    <row r="66" spans="1:15" ht="52" customHeight="1" x14ac:dyDescent="0.35">
      <c r="A66" s="71" t="s">
        <v>137</v>
      </c>
      <c r="B66" s="71"/>
      <c r="C66" s="71"/>
      <c r="D66" s="71"/>
      <c r="E66" s="68"/>
      <c r="F66" s="68"/>
      <c r="G66" s="68"/>
      <c r="H66" s="68"/>
      <c r="I66" s="80" t="s">
        <v>796</v>
      </c>
      <c r="J66" s="80"/>
      <c r="K66" s="80"/>
      <c r="L66" s="80"/>
      <c r="M66" s="80"/>
      <c r="N66" s="80"/>
      <c r="O66" s="2" t="s">
        <v>797</v>
      </c>
    </row>
    <row r="67" spans="1:15" ht="34" customHeight="1" x14ac:dyDescent="0.35">
      <c r="A67" s="71" t="s">
        <v>139</v>
      </c>
      <c r="B67" s="71"/>
      <c r="C67" s="71"/>
      <c r="D67" s="71"/>
      <c r="E67" s="69" t="s">
        <v>135</v>
      </c>
      <c r="F67" s="69" t="s">
        <v>135</v>
      </c>
      <c r="G67" s="69" t="s">
        <v>135</v>
      </c>
      <c r="H67" s="69" t="s">
        <v>135</v>
      </c>
      <c r="I67" s="9"/>
      <c r="J67" s="9"/>
      <c r="K67" s="9"/>
      <c r="L67" s="9"/>
      <c r="M67" s="9"/>
      <c r="N67" s="9"/>
    </row>
    <row r="68" spans="1:15" ht="27.5" customHeight="1" x14ac:dyDescent="0.35">
      <c r="A68" s="71" t="s">
        <v>141</v>
      </c>
      <c r="B68" s="71"/>
      <c r="C68" s="71"/>
      <c r="D68" s="71"/>
      <c r="E68" s="69" t="s">
        <v>135</v>
      </c>
      <c r="F68" s="69" t="s">
        <v>135</v>
      </c>
      <c r="G68" s="69" t="s">
        <v>135</v>
      </c>
      <c r="H68" s="69" t="s">
        <v>135</v>
      </c>
      <c r="I68" s="9"/>
      <c r="J68" s="9"/>
      <c r="K68" s="9"/>
      <c r="L68" s="9"/>
      <c r="M68" s="9"/>
      <c r="N68" s="9"/>
    </row>
    <row r="69" spans="1:15" ht="30" customHeight="1" x14ac:dyDescent="0.35">
      <c r="A69" s="71" t="s">
        <v>143</v>
      </c>
      <c r="B69" s="71"/>
      <c r="C69" s="71"/>
      <c r="D69" s="71"/>
      <c r="E69" s="69" t="s">
        <v>135</v>
      </c>
      <c r="F69" s="69" t="s">
        <v>135</v>
      </c>
      <c r="G69" s="69" t="s">
        <v>135</v>
      </c>
      <c r="H69" s="69" t="s">
        <v>135</v>
      </c>
      <c r="I69" s="9"/>
      <c r="J69" s="9"/>
      <c r="K69" s="9"/>
      <c r="L69" s="9"/>
      <c r="M69" s="9"/>
      <c r="N69" s="9"/>
    </row>
    <row r="70" spans="1:15" ht="33.5" customHeight="1" x14ac:dyDescent="0.35">
      <c r="A70" s="71" t="s">
        <v>144</v>
      </c>
      <c r="B70" s="71"/>
      <c r="C70" s="71"/>
      <c r="D70" s="71"/>
      <c r="E70" s="69" t="s">
        <v>135</v>
      </c>
      <c r="F70" s="69" t="s">
        <v>135</v>
      </c>
      <c r="G70" s="69" t="s">
        <v>135</v>
      </c>
      <c r="H70" s="69" t="s">
        <v>135</v>
      </c>
      <c r="I70" s="9"/>
      <c r="J70" s="9"/>
      <c r="K70" s="9"/>
      <c r="L70" s="9"/>
      <c r="M70" s="9"/>
      <c r="N70" s="9"/>
    </row>
    <row r="71" spans="1:15" ht="52" customHeight="1" x14ac:dyDescent="0.35">
      <c r="A71" s="72" t="s">
        <v>146</v>
      </c>
      <c r="B71" s="72"/>
      <c r="C71" s="72"/>
      <c r="D71" s="72"/>
      <c r="E71" s="69" t="s">
        <v>135</v>
      </c>
      <c r="F71" s="69" t="s">
        <v>135</v>
      </c>
      <c r="G71" s="69" t="s">
        <v>135</v>
      </c>
      <c r="H71" s="69" t="s">
        <v>135</v>
      </c>
      <c r="I71" s="9" t="s">
        <v>798</v>
      </c>
      <c r="J71" s="9"/>
      <c r="K71" s="9"/>
      <c r="L71" s="9"/>
      <c r="M71" s="9"/>
      <c r="N71" s="9"/>
    </row>
    <row r="72" spans="1:15" ht="32.5" customHeight="1" x14ac:dyDescent="0.35">
      <c r="A72" s="71" t="s">
        <v>147</v>
      </c>
      <c r="B72" s="71"/>
      <c r="C72" s="71"/>
      <c r="D72" s="71"/>
      <c r="E72" s="69" t="s">
        <v>135</v>
      </c>
      <c r="F72" s="69" t="s">
        <v>135</v>
      </c>
      <c r="G72" s="69" t="s">
        <v>135</v>
      </c>
      <c r="H72" s="69" t="s">
        <v>135</v>
      </c>
      <c r="I72" s="9"/>
      <c r="J72" s="9"/>
      <c r="K72" s="9"/>
      <c r="L72" s="9"/>
      <c r="M72" s="9"/>
      <c r="N72" s="9"/>
    </row>
    <row r="73" spans="1:15" ht="27.5" customHeight="1" x14ac:dyDescent="0.35">
      <c r="A73" s="73" t="s">
        <v>149</v>
      </c>
      <c r="B73" s="73"/>
      <c r="C73" s="73"/>
      <c r="D73" s="73"/>
      <c r="E73" s="74" t="s">
        <v>135</v>
      </c>
      <c r="F73" s="74" t="s">
        <v>135</v>
      </c>
      <c r="G73" s="74" t="s">
        <v>135</v>
      </c>
      <c r="H73" s="74" t="s">
        <v>135</v>
      </c>
      <c r="I73" s="9"/>
      <c r="J73" s="9"/>
      <c r="K73" s="9"/>
      <c r="L73" s="9"/>
      <c r="M73" s="9"/>
      <c r="N73" s="9"/>
    </row>
    <row r="74" spans="1:15" ht="27" customHeight="1" x14ac:dyDescent="0.35">
      <c r="A74" s="71" t="s">
        <v>150</v>
      </c>
      <c r="B74" s="71"/>
      <c r="C74" s="71"/>
      <c r="D74" s="71"/>
      <c r="E74" s="69" t="s">
        <v>135</v>
      </c>
      <c r="F74" s="69" t="s">
        <v>135</v>
      </c>
      <c r="G74" s="69" t="s">
        <v>135</v>
      </c>
      <c r="H74" s="69" t="s">
        <v>135</v>
      </c>
      <c r="I74" s="9"/>
      <c r="J74" s="9"/>
      <c r="K74" s="9"/>
      <c r="L74" s="9"/>
      <c r="M74" s="9"/>
      <c r="N74" s="9"/>
    </row>
    <row r="75" spans="1:15" ht="54" customHeight="1" x14ac:dyDescent="0.35">
      <c r="A75" s="71" t="s">
        <v>152</v>
      </c>
      <c r="B75" s="71"/>
      <c r="C75" s="71"/>
      <c r="D75" s="71"/>
      <c r="E75" s="69" t="s">
        <v>135</v>
      </c>
      <c r="F75" s="69" t="s">
        <v>135</v>
      </c>
      <c r="G75" s="69" t="s">
        <v>135</v>
      </c>
      <c r="H75" s="69" t="s">
        <v>135</v>
      </c>
      <c r="I75" s="9"/>
      <c r="J75" s="9"/>
      <c r="K75" s="9"/>
      <c r="L75" s="9"/>
      <c r="M75" s="9"/>
      <c r="N75" s="9"/>
    </row>
    <row r="76" spans="1:15" ht="25.5" customHeight="1" x14ac:dyDescent="0.35">
      <c r="A76" s="72" t="s">
        <v>153</v>
      </c>
      <c r="B76" s="72"/>
      <c r="C76" s="72"/>
      <c r="D76" s="72"/>
      <c r="E76" s="69" t="s">
        <v>135</v>
      </c>
      <c r="F76" s="69" t="s">
        <v>135</v>
      </c>
      <c r="G76" s="69" t="s">
        <v>135</v>
      </c>
      <c r="H76" s="69" t="s">
        <v>135</v>
      </c>
      <c r="I76" s="82" t="s">
        <v>172</v>
      </c>
      <c r="J76" s="82"/>
      <c r="K76" s="82"/>
      <c r="L76" s="82"/>
      <c r="M76" s="82"/>
      <c r="N76" s="82"/>
    </row>
    <row r="77" spans="1:15" ht="25" customHeight="1" x14ac:dyDescent="0.35">
      <c r="A77" s="71" t="s">
        <v>154</v>
      </c>
      <c r="B77" s="71"/>
      <c r="C77" s="71"/>
      <c r="D77" s="71"/>
      <c r="E77" s="69" t="s">
        <v>135</v>
      </c>
      <c r="F77" s="69" t="s">
        <v>135</v>
      </c>
      <c r="G77" s="69" t="s">
        <v>135</v>
      </c>
      <c r="H77" s="69" t="s">
        <v>135</v>
      </c>
      <c r="I77" s="80" t="s">
        <v>799</v>
      </c>
      <c r="J77" s="80"/>
      <c r="K77" s="80"/>
      <c r="L77" s="80"/>
      <c r="M77" s="80"/>
      <c r="N77" s="80"/>
    </row>
    <row r="78" spans="1:15" ht="24.5" customHeight="1" x14ac:dyDescent="0.35">
      <c r="A78" s="75" t="s">
        <v>155</v>
      </c>
      <c r="B78" s="75"/>
      <c r="C78" s="75"/>
      <c r="D78" s="75"/>
      <c r="E78" s="76" t="s">
        <v>135</v>
      </c>
      <c r="F78" s="76" t="s">
        <v>135</v>
      </c>
      <c r="G78" s="76" t="s">
        <v>135</v>
      </c>
      <c r="H78" s="76" t="s">
        <v>135</v>
      </c>
      <c r="I78" s="9"/>
      <c r="J78" s="9"/>
      <c r="K78" s="9"/>
      <c r="L78" s="9"/>
      <c r="M78" s="9"/>
      <c r="N78" s="9"/>
    </row>
    <row r="79" spans="1:15" ht="20.5" customHeight="1" x14ac:dyDescent="0.35">
      <c r="E79" s="36"/>
      <c r="F79" s="36"/>
      <c r="G79" s="36"/>
      <c r="H79" s="77" t="s">
        <v>156</v>
      </c>
      <c r="I79" s="84"/>
      <c r="J79" s="84"/>
      <c r="K79" s="84"/>
      <c r="L79" s="84"/>
      <c r="M79" s="84"/>
      <c r="N79" s="84"/>
    </row>
    <row r="80" spans="1:15" ht="40.5" customHeight="1" x14ac:dyDescent="0.35">
      <c r="A80" s="78" t="s">
        <v>157</v>
      </c>
      <c r="B80" s="78"/>
      <c r="C80" s="78"/>
      <c r="D80" s="78"/>
      <c r="E80" s="78"/>
      <c r="F80" s="78"/>
      <c r="G80" s="78"/>
      <c r="H80" s="78"/>
      <c r="I80" s="84"/>
      <c r="J80" s="84"/>
      <c r="K80" s="84"/>
      <c r="L80" s="84"/>
      <c r="M80" s="84"/>
      <c r="N80" s="85" t="s">
        <v>176</v>
      </c>
    </row>
    <row r="81" spans="1:14" ht="36" customHeight="1" x14ac:dyDescent="0.35">
      <c r="A81" s="79" t="s">
        <v>158</v>
      </c>
      <c r="B81" s="79"/>
      <c r="C81" s="80"/>
      <c r="D81" s="80"/>
      <c r="E81" s="80"/>
      <c r="F81" s="80"/>
      <c r="G81" s="80"/>
      <c r="H81" s="80"/>
      <c r="I81" s="9" t="s">
        <v>800</v>
      </c>
      <c r="J81" s="9"/>
      <c r="K81" s="9"/>
      <c r="L81" s="9"/>
      <c r="M81" s="9"/>
      <c r="N81" s="9"/>
    </row>
    <row r="82" spans="1:14" ht="36.5" customHeight="1" x14ac:dyDescent="0.35">
      <c r="A82" s="21" t="s">
        <v>159</v>
      </c>
      <c r="B82" s="21"/>
      <c r="C82" s="9"/>
      <c r="D82" s="9"/>
      <c r="E82" s="9"/>
      <c r="F82" s="9"/>
      <c r="G82" s="9"/>
      <c r="H82" s="9"/>
      <c r="I82" s="9" t="s">
        <v>801</v>
      </c>
      <c r="J82" s="9"/>
      <c r="K82" s="9"/>
      <c r="L82" s="9"/>
      <c r="M82" s="9"/>
      <c r="N82" s="9"/>
    </row>
    <row r="83" spans="1:14" ht="41.5" customHeight="1" x14ac:dyDescent="0.35">
      <c r="A83" s="21" t="s">
        <v>160</v>
      </c>
      <c r="B83" s="21"/>
      <c r="C83" s="9"/>
      <c r="D83" s="9"/>
      <c r="E83" s="9"/>
      <c r="F83" s="9"/>
      <c r="G83" s="9"/>
      <c r="H83" s="9"/>
      <c r="I83" s="9" t="s">
        <v>802</v>
      </c>
      <c r="J83" s="9"/>
      <c r="K83" s="9"/>
      <c r="L83" s="9"/>
      <c r="M83" s="9"/>
      <c r="N83" s="9"/>
    </row>
    <row r="84" spans="1:14" ht="38" customHeight="1" x14ac:dyDescent="0.35">
      <c r="A84" s="21" t="s">
        <v>162</v>
      </c>
      <c r="B84" s="21"/>
      <c r="C84" s="9"/>
      <c r="D84" s="9"/>
      <c r="E84" s="9"/>
      <c r="F84" s="9"/>
      <c r="G84" s="9"/>
      <c r="H84" s="9"/>
      <c r="I84" s="9" t="s">
        <v>803</v>
      </c>
      <c r="J84" s="9"/>
      <c r="K84" s="9"/>
      <c r="L84" s="9"/>
      <c r="M84" s="9"/>
      <c r="N84" s="9"/>
    </row>
    <row r="85" spans="1:14" ht="29" customHeight="1" x14ac:dyDescent="0.35">
      <c r="A85" s="21" t="s">
        <v>163</v>
      </c>
      <c r="B85" s="21"/>
      <c r="C85" s="9"/>
      <c r="D85" s="9"/>
      <c r="E85" s="9"/>
      <c r="F85" s="9"/>
      <c r="G85" s="9"/>
      <c r="H85" s="9"/>
      <c r="I85" s="86" t="s">
        <v>184</v>
      </c>
      <c r="J85" s="86"/>
      <c r="K85" s="86"/>
      <c r="L85" s="86"/>
      <c r="M85" s="86"/>
      <c r="N85" s="86"/>
    </row>
    <row r="86" spans="1:14" ht="43" customHeight="1" x14ac:dyDescent="0.35">
      <c r="A86" s="21" t="s">
        <v>164</v>
      </c>
      <c r="B86" s="21"/>
      <c r="C86" s="9"/>
      <c r="D86" s="9"/>
      <c r="E86" s="9"/>
      <c r="F86" s="9"/>
      <c r="G86" s="9"/>
      <c r="H86" s="9"/>
      <c r="I86" s="80" t="s">
        <v>804</v>
      </c>
      <c r="J86" s="80"/>
      <c r="K86" s="80"/>
      <c r="L86" s="80"/>
      <c r="M86" s="80"/>
      <c r="N86" s="80"/>
    </row>
    <row r="87" spans="1:14" x14ac:dyDescent="0.35">
      <c r="A87" s="21" t="s">
        <v>165</v>
      </c>
      <c r="B87" s="21"/>
      <c r="C87" s="9"/>
      <c r="D87" s="9"/>
      <c r="E87" s="9"/>
      <c r="F87" s="9"/>
      <c r="G87" s="9"/>
      <c r="H87" s="9"/>
      <c r="I87" s="9" t="s">
        <v>805</v>
      </c>
      <c r="J87" s="9"/>
      <c r="K87" s="9"/>
      <c r="L87" s="9"/>
      <c r="M87" s="9"/>
      <c r="N87" s="9"/>
    </row>
    <row r="88" spans="1:14" x14ac:dyDescent="0.35">
      <c r="A88" s="81" t="s">
        <v>166</v>
      </c>
      <c r="B88" s="81"/>
      <c r="C88" s="9"/>
      <c r="D88" s="9"/>
      <c r="E88" s="9"/>
      <c r="F88" s="9"/>
      <c r="G88" s="9"/>
      <c r="H88" s="9"/>
      <c r="I88" s="9" t="s">
        <v>806</v>
      </c>
      <c r="J88" s="9"/>
      <c r="K88" s="9"/>
      <c r="L88" s="9"/>
      <c r="M88" s="9"/>
      <c r="N88" s="9"/>
    </row>
    <row r="89" spans="1:14" ht="22.5" customHeight="1" x14ac:dyDescent="0.35">
      <c r="A89" s="81" t="s">
        <v>167</v>
      </c>
      <c r="B89" s="81"/>
      <c r="C89" s="9"/>
      <c r="D89" s="9"/>
      <c r="E89" s="9"/>
      <c r="F89" s="9"/>
      <c r="G89" s="9"/>
      <c r="H89" s="9"/>
      <c r="I89" s="9" t="s">
        <v>807</v>
      </c>
      <c r="J89" s="9"/>
      <c r="K89" s="9"/>
      <c r="L89" s="9"/>
      <c r="M89" s="9"/>
      <c r="N89" s="9"/>
    </row>
    <row r="90" spans="1:14" x14ac:dyDescent="0.35">
      <c r="A90" s="81" t="s">
        <v>169</v>
      </c>
      <c r="B90" s="81"/>
      <c r="C90" s="9"/>
      <c r="D90" s="9"/>
      <c r="E90" s="9"/>
      <c r="F90" s="9"/>
      <c r="G90" s="9"/>
      <c r="H90" s="9"/>
    </row>
    <row r="91" spans="1:14" ht="46.5" customHeight="1" x14ac:dyDescent="0.35">
      <c r="A91" s="81" t="s">
        <v>171</v>
      </c>
      <c r="B91" s="81"/>
      <c r="C91" s="82" t="s">
        <v>172</v>
      </c>
      <c r="D91" s="82"/>
      <c r="E91" s="82"/>
      <c r="F91" s="82"/>
      <c r="G91" s="82"/>
      <c r="H91" s="82"/>
    </row>
    <row r="92" spans="1:14" ht="31" customHeight="1" x14ac:dyDescent="0.35">
      <c r="A92" s="21" t="s">
        <v>173</v>
      </c>
      <c r="B92" s="21"/>
      <c r="C92" s="80" t="s">
        <v>174</v>
      </c>
      <c r="D92" s="80"/>
      <c r="E92" s="80"/>
      <c r="F92" s="80"/>
      <c r="G92" s="80"/>
      <c r="H92" s="80"/>
    </row>
    <row r="93" spans="1:14" ht="31" customHeight="1" x14ac:dyDescent="0.35">
      <c r="A93" s="21" t="s">
        <v>175</v>
      </c>
      <c r="B93" s="21"/>
      <c r="C93" s="9"/>
      <c r="D93" s="9"/>
      <c r="E93" s="9"/>
      <c r="F93" s="9"/>
      <c r="G93" s="9"/>
      <c r="H93" s="9"/>
    </row>
    <row r="94" spans="1:14" ht="23.5" customHeight="1" x14ac:dyDescent="0.35">
      <c r="A94" s="83"/>
      <c r="B94" s="83"/>
      <c r="C94" s="84"/>
      <c r="D94" s="84"/>
      <c r="E94" s="84"/>
      <c r="F94" s="84"/>
      <c r="G94" s="84"/>
      <c r="H94" s="84"/>
    </row>
    <row r="95" spans="1:14" ht="45.5" customHeight="1" x14ac:dyDescent="0.35">
      <c r="A95" s="83"/>
      <c r="B95" s="83"/>
      <c r="C95" s="84"/>
      <c r="D95" s="84"/>
      <c r="E95" s="84"/>
      <c r="F95" s="84"/>
      <c r="G95" s="84"/>
      <c r="H95" s="85" t="s">
        <v>176</v>
      </c>
    </row>
    <row r="96" spans="1:14" ht="36" customHeight="1" x14ac:dyDescent="0.35">
      <c r="A96" s="21" t="s">
        <v>177</v>
      </c>
      <c r="B96" s="21"/>
      <c r="C96" s="9"/>
      <c r="D96" s="9"/>
      <c r="E96" s="9"/>
      <c r="F96" s="9"/>
      <c r="G96" s="9"/>
      <c r="H96" s="9"/>
    </row>
    <row r="97" spans="1:8" ht="46.5" customHeight="1" x14ac:dyDescent="0.35">
      <c r="A97" s="21" t="s">
        <v>178</v>
      </c>
      <c r="B97" s="21"/>
      <c r="C97" s="9"/>
      <c r="D97" s="9"/>
      <c r="E97" s="9"/>
      <c r="F97" s="9"/>
      <c r="G97" s="9"/>
      <c r="H97" s="9"/>
    </row>
    <row r="98" spans="1:8" ht="47" customHeight="1" x14ac:dyDescent="0.35">
      <c r="A98" s="21" t="s">
        <v>180</v>
      </c>
      <c r="B98" s="21"/>
      <c r="C98" s="9"/>
      <c r="D98" s="9"/>
      <c r="E98" s="9"/>
      <c r="F98" s="9"/>
      <c r="G98" s="9"/>
      <c r="H98" s="9"/>
    </row>
    <row r="99" spans="1:8" ht="69.75" customHeight="1" x14ac:dyDescent="0.35">
      <c r="A99" s="21" t="s">
        <v>182</v>
      </c>
      <c r="B99" s="21"/>
      <c r="C99" s="9"/>
      <c r="D99" s="9"/>
      <c r="E99" s="9"/>
      <c r="F99" s="9"/>
      <c r="G99" s="9"/>
      <c r="H99" s="9"/>
    </row>
    <row r="100" spans="1:8" ht="34.5" customHeight="1" x14ac:dyDescent="0.35">
      <c r="A100" s="24" t="s">
        <v>183</v>
      </c>
      <c r="B100" s="24"/>
      <c r="C100" s="86" t="s">
        <v>184</v>
      </c>
      <c r="D100" s="86"/>
      <c r="E100" s="86"/>
      <c r="F100" s="86"/>
      <c r="G100" s="86"/>
      <c r="H100" s="86"/>
    </row>
    <row r="101" spans="1:8" ht="39.5" customHeight="1" x14ac:dyDescent="0.35">
      <c r="A101" s="21" t="s">
        <v>185</v>
      </c>
      <c r="B101" s="21"/>
      <c r="C101" s="80"/>
      <c r="D101" s="80"/>
      <c r="E101" s="80"/>
      <c r="F101" s="80"/>
      <c r="G101" s="80"/>
      <c r="H101" s="80"/>
    </row>
    <row r="102" spans="1:8" ht="54.5" customHeight="1" x14ac:dyDescent="0.35">
      <c r="A102" s="21" t="s">
        <v>187</v>
      </c>
      <c r="B102" s="21"/>
      <c r="C102" s="9"/>
      <c r="D102" s="9"/>
      <c r="E102" s="9"/>
      <c r="F102" s="9"/>
      <c r="G102" s="9"/>
      <c r="H102" s="9"/>
    </row>
    <row r="103" spans="1:8" ht="56" customHeight="1" x14ac:dyDescent="0.35">
      <c r="A103" s="21" t="s">
        <v>188</v>
      </c>
      <c r="B103" s="21"/>
      <c r="C103" s="9"/>
      <c r="D103" s="9"/>
      <c r="E103" s="9"/>
      <c r="F103" s="9"/>
      <c r="G103" s="9"/>
      <c r="H103" s="9"/>
    </row>
    <row r="104" spans="1:8" ht="45" customHeight="1" x14ac:dyDescent="0.35">
      <c r="A104" s="21" t="s">
        <v>189</v>
      </c>
      <c r="B104" s="21"/>
      <c r="C104" s="9"/>
      <c r="D104" s="9"/>
      <c r="E104" s="9"/>
      <c r="F104" s="9"/>
      <c r="G104" s="9"/>
      <c r="H104" s="9"/>
    </row>
  </sheetData>
  <mergeCells count="131">
    <mergeCell ref="A104:B104"/>
    <mergeCell ref="C104:H104"/>
    <mergeCell ref="A101:B101"/>
    <mergeCell ref="C101:H101"/>
    <mergeCell ref="A102:B102"/>
    <mergeCell ref="C102:H102"/>
    <mergeCell ref="A103:B103"/>
    <mergeCell ref="C103:H103"/>
    <mergeCell ref="A98:B98"/>
    <mergeCell ref="C98:H98"/>
    <mergeCell ref="A99:B99"/>
    <mergeCell ref="C99:H99"/>
    <mergeCell ref="A100:B100"/>
    <mergeCell ref="C100:H100"/>
    <mergeCell ref="A93:B93"/>
    <mergeCell ref="C93:H93"/>
    <mergeCell ref="A96:B96"/>
    <mergeCell ref="C96:H96"/>
    <mergeCell ref="A97:B97"/>
    <mergeCell ref="C97:H97"/>
    <mergeCell ref="A90:B90"/>
    <mergeCell ref="C90:H90"/>
    <mergeCell ref="A91:B91"/>
    <mergeCell ref="C91:H91"/>
    <mergeCell ref="A92:B92"/>
    <mergeCell ref="C92:H92"/>
    <mergeCell ref="A88:B88"/>
    <mergeCell ref="C88:H88"/>
    <mergeCell ref="I88:N88"/>
    <mergeCell ref="A89:B89"/>
    <mergeCell ref="C89:H89"/>
    <mergeCell ref="I89:N89"/>
    <mergeCell ref="A86:B86"/>
    <mergeCell ref="C86:H86"/>
    <mergeCell ref="I86:N86"/>
    <mergeCell ref="A87:B87"/>
    <mergeCell ref="C87:H87"/>
    <mergeCell ref="I87:N87"/>
    <mergeCell ref="A84:B84"/>
    <mergeCell ref="C84:H84"/>
    <mergeCell ref="I84:N84"/>
    <mergeCell ref="A85:B85"/>
    <mergeCell ref="C85:H85"/>
    <mergeCell ref="I85:N85"/>
    <mergeCell ref="A82:B82"/>
    <mergeCell ref="C82:H82"/>
    <mergeCell ref="I82:N82"/>
    <mergeCell ref="A83:B83"/>
    <mergeCell ref="C83:H83"/>
    <mergeCell ref="I83:N83"/>
    <mergeCell ref="A77:D77"/>
    <mergeCell ref="I77:N77"/>
    <mergeCell ref="A78:D78"/>
    <mergeCell ref="I78:N78"/>
    <mergeCell ref="A80:H80"/>
    <mergeCell ref="A81:B81"/>
    <mergeCell ref="C81:H81"/>
    <mergeCell ref="I81:N81"/>
    <mergeCell ref="A74:D74"/>
    <mergeCell ref="I74:N74"/>
    <mergeCell ref="A75:D75"/>
    <mergeCell ref="I75:N75"/>
    <mergeCell ref="A76:D76"/>
    <mergeCell ref="I76:N76"/>
    <mergeCell ref="A71:D71"/>
    <mergeCell ref="I71:N71"/>
    <mergeCell ref="A72:D72"/>
    <mergeCell ref="I72:N72"/>
    <mergeCell ref="A73:D73"/>
    <mergeCell ref="I73:N73"/>
    <mergeCell ref="A68:D68"/>
    <mergeCell ref="I68:N68"/>
    <mergeCell ref="A69:D69"/>
    <mergeCell ref="I69:N69"/>
    <mergeCell ref="A70:D70"/>
    <mergeCell ref="I70:N70"/>
    <mergeCell ref="B59:H63"/>
    <mergeCell ref="A65:B65"/>
    <mergeCell ref="A66:D66"/>
    <mergeCell ref="E66:H66"/>
    <mergeCell ref="I66:N66"/>
    <mergeCell ref="A67:D67"/>
    <mergeCell ref="I67:N67"/>
    <mergeCell ref="A37:B37"/>
    <mergeCell ref="A38:A45"/>
    <mergeCell ref="K38:L38"/>
    <mergeCell ref="K39:K46"/>
    <mergeCell ref="B46:H51"/>
    <mergeCell ref="A54:B54"/>
    <mergeCell ref="A21:D21"/>
    <mergeCell ref="E21:H21"/>
    <mergeCell ref="A23:D23"/>
    <mergeCell ref="A24:D24"/>
    <mergeCell ref="E24:H24"/>
    <mergeCell ref="A26:A27"/>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FDB7E-A3DE-4534-A84F-274E7DF59A1B}">
  <dimension ref="A1:O107"/>
  <sheetViews>
    <sheetView zoomScale="53" zoomScaleNormal="125" workbookViewId="0">
      <selection activeCell="Q17" sqref="Q17"/>
    </sheetView>
  </sheetViews>
  <sheetFormatPr defaultColWidth="11.81640625" defaultRowHeight="15.5" x14ac:dyDescent="0.35"/>
  <cols>
    <col min="1" max="1" width="13.08984375" style="2" customWidth="1"/>
    <col min="2" max="2" width="18.90625" style="2" customWidth="1"/>
    <col min="3" max="4" width="12" style="2" customWidth="1"/>
    <col min="5" max="6" width="14.90625" style="2" customWidth="1"/>
    <col min="7" max="7" width="16.36328125" style="2" customWidth="1"/>
    <col min="8" max="8" width="15.26953125" style="2" customWidth="1"/>
    <col min="9" max="10" width="11.81640625" style="2"/>
    <col min="11" max="11" width="17.453125" style="2" customWidth="1"/>
    <col min="12" max="16384" width="11.81640625" style="2"/>
  </cols>
  <sheetData>
    <row r="1" spans="1:15" x14ac:dyDescent="0.35">
      <c r="A1" s="1" t="s">
        <v>0</v>
      </c>
      <c r="B1" s="1"/>
      <c r="C1" s="1"/>
      <c r="D1" s="1"/>
      <c r="H1" s="3" t="s">
        <v>1</v>
      </c>
    </row>
    <row r="2" spans="1:15" ht="24" customHeight="1" thickBot="1" x14ac:dyDescent="0.4">
      <c r="A2" s="4" t="s">
        <v>2</v>
      </c>
      <c r="B2" s="4"/>
      <c r="C2" s="4"/>
      <c r="D2" s="4"/>
      <c r="E2" s="5"/>
      <c r="F2" s="6"/>
    </row>
    <row r="3" spans="1:15" ht="19" customHeight="1" thickBot="1" x14ac:dyDescent="0.4">
      <c r="A3" s="7" t="s">
        <v>3</v>
      </c>
      <c r="B3" s="7"/>
      <c r="C3" s="7"/>
      <c r="D3" s="7"/>
      <c r="E3" s="8" t="s">
        <v>588</v>
      </c>
      <c r="F3" s="8"/>
      <c r="G3" s="8"/>
      <c r="H3" s="8"/>
    </row>
    <row r="4" spans="1:15" ht="19" customHeight="1" x14ac:dyDescent="0.35">
      <c r="A4" s="9" t="s">
        <v>5</v>
      </c>
      <c r="B4" s="9"/>
      <c r="C4" s="9"/>
      <c r="D4" s="9"/>
      <c r="E4" s="10" t="s">
        <v>589</v>
      </c>
      <c r="F4" s="10"/>
      <c r="G4" s="10"/>
      <c r="H4" s="10"/>
      <c r="K4" s="11" t="s">
        <v>7</v>
      </c>
      <c r="L4" s="12"/>
      <c r="M4" s="12"/>
      <c r="N4" s="12"/>
      <c r="O4" s="13"/>
    </row>
    <row r="5" spans="1:15" ht="19" customHeight="1" x14ac:dyDescent="0.35">
      <c r="A5" s="9" t="s">
        <v>8</v>
      </c>
      <c r="B5" s="9"/>
      <c r="C5" s="9"/>
      <c r="D5" s="9"/>
      <c r="E5" s="92" t="s">
        <v>590</v>
      </c>
      <c r="F5" s="92"/>
      <c r="G5" s="92"/>
      <c r="H5" s="92"/>
      <c r="K5" s="14" t="s">
        <v>10</v>
      </c>
      <c r="O5" s="15"/>
    </row>
    <row r="6" spans="1:15" ht="19" customHeight="1" x14ac:dyDescent="0.35">
      <c r="A6" s="9" t="s">
        <v>11</v>
      </c>
      <c r="B6" s="9"/>
      <c r="C6" s="9"/>
      <c r="D6" s="9"/>
      <c r="E6" s="10" t="s">
        <v>591</v>
      </c>
      <c r="F6" s="10"/>
      <c r="G6" s="10"/>
      <c r="H6" s="10"/>
      <c r="K6" s="16" t="s">
        <v>13</v>
      </c>
      <c r="L6" s="17">
        <v>96</v>
      </c>
      <c r="O6" s="15"/>
    </row>
    <row r="7" spans="1:15" ht="32" customHeight="1" x14ac:dyDescent="0.35">
      <c r="A7" s="9" t="s">
        <v>14</v>
      </c>
      <c r="B7" s="9"/>
      <c r="C7" s="9"/>
      <c r="D7" s="9"/>
      <c r="E7" s="10" t="s">
        <v>328</v>
      </c>
      <c r="F7" s="10"/>
      <c r="G7" s="10"/>
      <c r="H7" s="10"/>
      <c r="K7" s="18" t="s">
        <v>16</v>
      </c>
      <c r="L7" s="17">
        <f>L24+L25+L26</f>
        <v>6566.3333333333339</v>
      </c>
      <c r="N7" s="19" t="s">
        <v>17</v>
      </c>
      <c r="O7" s="20">
        <f>L7/L6</f>
        <v>68.399305555555557</v>
      </c>
    </row>
    <row r="8" spans="1:15" ht="42" customHeight="1" x14ac:dyDescent="0.35">
      <c r="A8" s="21" t="s">
        <v>18</v>
      </c>
      <c r="B8" s="21"/>
      <c r="C8" s="21"/>
      <c r="D8" s="21"/>
      <c r="E8" s="24" t="s">
        <v>592</v>
      </c>
      <c r="F8" s="24"/>
      <c r="G8" s="24"/>
      <c r="H8" s="24"/>
      <c r="K8" s="18" t="s">
        <v>19</v>
      </c>
      <c r="L8" s="22">
        <v>8750</v>
      </c>
      <c r="N8" s="19" t="s">
        <v>20</v>
      </c>
      <c r="O8" s="23">
        <f>L8/L6</f>
        <v>91.145833333333329</v>
      </c>
    </row>
    <row r="9" spans="1:15" ht="37" customHeight="1" x14ac:dyDescent="0.35">
      <c r="A9" s="21" t="s">
        <v>330</v>
      </c>
      <c r="B9" s="21"/>
      <c r="C9" s="21"/>
      <c r="D9" s="21"/>
      <c r="E9" s="24" t="s">
        <v>22</v>
      </c>
      <c r="F9" s="24"/>
      <c r="G9" s="24"/>
      <c r="H9" s="24"/>
      <c r="K9" s="18" t="s">
        <v>23</v>
      </c>
      <c r="L9" s="17">
        <f>K41</f>
        <v>273.75</v>
      </c>
      <c r="N9" s="19" t="s">
        <v>24</v>
      </c>
      <c r="O9" s="25">
        <f>L9/L6</f>
        <v>2.8515625</v>
      </c>
    </row>
    <row r="10" spans="1:15" ht="36" customHeight="1" x14ac:dyDescent="0.35">
      <c r="A10" s="21" t="s">
        <v>25</v>
      </c>
      <c r="B10" s="21"/>
      <c r="C10" s="21"/>
      <c r="D10" s="21"/>
      <c r="E10" s="26" t="s">
        <v>26</v>
      </c>
      <c r="F10" s="26"/>
      <c r="G10" s="26"/>
      <c r="H10" s="26"/>
      <c r="K10" s="18" t="s">
        <v>27</v>
      </c>
      <c r="L10" s="17">
        <f>L9</f>
        <v>273.75</v>
      </c>
      <c r="N10" s="19" t="s">
        <v>28</v>
      </c>
      <c r="O10" s="25">
        <f>L10/L6</f>
        <v>2.8515625</v>
      </c>
    </row>
    <row r="11" spans="1:15" ht="44" customHeight="1" x14ac:dyDescent="0.35">
      <c r="A11" s="21" t="s">
        <v>29</v>
      </c>
      <c r="B11" s="21"/>
      <c r="C11" s="21"/>
      <c r="D11" s="21"/>
      <c r="E11" s="24" t="s">
        <v>593</v>
      </c>
      <c r="F11" s="24"/>
      <c r="G11" s="24"/>
      <c r="H11" s="24"/>
      <c r="K11" s="18" t="s">
        <v>31</v>
      </c>
      <c r="L11" s="28">
        <v>21.9</v>
      </c>
      <c r="N11" s="19" t="s">
        <v>33</v>
      </c>
      <c r="O11" s="29">
        <f>(L11*L15)/L6</f>
        <v>0.40834375000000001</v>
      </c>
    </row>
    <row r="12" spans="1:15" ht="43" customHeight="1" x14ac:dyDescent="0.35">
      <c r="A12" s="21" t="s">
        <v>34</v>
      </c>
      <c r="B12" s="21"/>
      <c r="C12" s="21"/>
      <c r="D12" s="21"/>
      <c r="E12" s="24" t="s">
        <v>594</v>
      </c>
      <c r="F12" s="24"/>
      <c r="G12" s="24"/>
      <c r="H12" s="24"/>
      <c r="K12" s="18" t="s">
        <v>36</v>
      </c>
      <c r="L12" s="17">
        <f>L41</f>
        <v>412.5</v>
      </c>
      <c r="N12" s="19" t="s">
        <v>37</v>
      </c>
      <c r="O12" s="20">
        <f>L12/L6</f>
        <v>4.296875</v>
      </c>
    </row>
    <row r="13" spans="1:15" ht="57" customHeight="1" x14ac:dyDescent="0.35">
      <c r="A13" s="21" t="s">
        <v>38</v>
      </c>
      <c r="B13" s="21"/>
      <c r="C13" s="21"/>
      <c r="D13" s="21"/>
      <c r="E13" s="24" t="s">
        <v>595</v>
      </c>
      <c r="F13" s="24"/>
      <c r="G13" s="24"/>
      <c r="H13" s="24"/>
      <c r="K13" s="18" t="s">
        <v>40</v>
      </c>
      <c r="L13" s="17">
        <f>L12</f>
        <v>412.5</v>
      </c>
      <c r="N13" s="19" t="s">
        <v>41</v>
      </c>
      <c r="O13" s="20">
        <f>L13/L6</f>
        <v>4.296875</v>
      </c>
    </row>
    <row r="14" spans="1:15" ht="32.25" customHeight="1" x14ac:dyDescent="0.35">
      <c r="A14" s="21" t="s">
        <v>42</v>
      </c>
      <c r="B14" s="21"/>
      <c r="C14" s="21"/>
      <c r="D14" s="21"/>
      <c r="E14" s="26" t="s">
        <v>26</v>
      </c>
      <c r="F14" s="26"/>
      <c r="G14" s="26"/>
      <c r="H14" s="26"/>
      <c r="K14" s="18" t="s">
        <v>43</v>
      </c>
      <c r="L14" s="17">
        <f>L40</f>
        <v>140</v>
      </c>
      <c r="M14" s="2" t="s">
        <v>44</v>
      </c>
      <c r="N14" s="19" t="s">
        <v>45</v>
      </c>
      <c r="O14" s="23">
        <f>(L14*L15)/L6</f>
        <v>2.6104166666666666</v>
      </c>
    </row>
    <row r="15" spans="1:15" ht="19" customHeight="1" x14ac:dyDescent="0.35">
      <c r="A15" s="21" t="s">
        <v>46</v>
      </c>
      <c r="B15" s="21"/>
      <c r="C15" s="21"/>
      <c r="D15" s="21"/>
      <c r="E15" s="24" t="s">
        <v>22</v>
      </c>
      <c r="F15" s="24"/>
      <c r="G15" s="24"/>
      <c r="H15" s="24"/>
      <c r="K15" s="18" t="s">
        <v>48</v>
      </c>
      <c r="L15" s="17">
        <v>1.79</v>
      </c>
      <c r="N15" s="19" t="s">
        <v>49</v>
      </c>
      <c r="O15" s="23">
        <f>L18/L6</f>
        <v>0</v>
      </c>
    </row>
    <row r="16" spans="1:15" ht="37" customHeight="1" x14ac:dyDescent="0.35">
      <c r="A16" s="21" t="s">
        <v>50</v>
      </c>
      <c r="B16" s="21"/>
      <c r="C16" s="21"/>
      <c r="D16" s="21"/>
      <c r="E16" s="26" t="s">
        <v>26</v>
      </c>
      <c r="F16" s="26"/>
      <c r="G16" s="26"/>
      <c r="H16" s="26"/>
      <c r="K16" s="32" t="s">
        <v>51</v>
      </c>
      <c r="L16" s="33">
        <f>C44</f>
        <v>7875</v>
      </c>
      <c r="N16" s="88" t="s">
        <v>52</v>
      </c>
      <c r="O16" s="35">
        <f>L16/L6</f>
        <v>82.03125</v>
      </c>
    </row>
    <row r="17" spans="1:15" ht="19" customHeight="1" x14ac:dyDescent="0.35">
      <c r="A17" s="21" t="s">
        <v>53</v>
      </c>
      <c r="B17" s="21"/>
      <c r="C17" s="21"/>
      <c r="D17" s="21"/>
      <c r="E17" s="26" t="s">
        <v>26</v>
      </c>
      <c r="F17" s="26"/>
      <c r="G17" s="26"/>
      <c r="H17" s="26"/>
      <c r="L17" s="33" t="s">
        <v>44</v>
      </c>
    </row>
    <row r="18" spans="1:15" ht="19" customHeight="1" x14ac:dyDescent="0.35">
      <c r="A18" s="21" t="s">
        <v>54</v>
      </c>
      <c r="B18" s="21"/>
      <c r="C18" s="21"/>
      <c r="D18" s="21"/>
      <c r="E18" s="26" t="s">
        <v>26</v>
      </c>
      <c r="F18" s="26"/>
      <c r="G18" s="26"/>
      <c r="H18" s="26"/>
      <c r="K18" s="18" t="s">
        <v>55</v>
      </c>
      <c r="L18" s="17">
        <v>0</v>
      </c>
      <c r="N18" s="19" t="s">
        <v>57</v>
      </c>
      <c r="O18" s="23">
        <f>O8+O11+O14+O15+O16</f>
        <v>176.19584374999999</v>
      </c>
    </row>
    <row r="19" spans="1:15" ht="19" customHeight="1" thickBot="1" x14ac:dyDescent="0.4">
      <c r="A19" s="37" t="s">
        <v>58</v>
      </c>
      <c r="B19" s="21"/>
      <c r="C19" s="21"/>
      <c r="D19" s="21"/>
      <c r="E19" s="24" t="s">
        <v>596</v>
      </c>
      <c r="F19" s="24"/>
      <c r="G19" s="24"/>
      <c r="H19" s="24"/>
      <c r="K19" s="38"/>
      <c r="L19" s="5"/>
      <c r="M19" s="5"/>
      <c r="N19" s="90" t="s">
        <v>59</v>
      </c>
      <c r="O19" s="40">
        <f>O9+O12</f>
        <v>7.1484375</v>
      </c>
    </row>
    <row r="20" spans="1:15" ht="33.75" customHeight="1" x14ac:dyDescent="0.35">
      <c r="A20" s="37" t="s">
        <v>60</v>
      </c>
      <c r="B20" s="21"/>
      <c r="C20" s="21"/>
      <c r="D20" s="21"/>
      <c r="E20" s="24" t="s">
        <v>597</v>
      </c>
      <c r="F20" s="24"/>
      <c r="G20" s="24"/>
      <c r="H20" s="24"/>
      <c r="I20" s="2" t="s">
        <v>470</v>
      </c>
    </row>
    <row r="21" spans="1:15" ht="32.25" customHeight="1" x14ac:dyDescent="0.35">
      <c r="A21" s="37" t="s">
        <v>62</v>
      </c>
      <c r="B21" s="21"/>
      <c r="C21" s="21"/>
      <c r="D21" s="21"/>
      <c r="E21" s="24" t="s">
        <v>598</v>
      </c>
      <c r="F21" s="24"/>
      <c r="G21" s="24"/>
      <c r="H21" s="24"/>
    </row>
    <row r="22" spans="1:15" ht="32.25" customHeight="1" x14ac:dyDescent="0.35">
      <c r="A22" s="41"/>
      <c r="B22" s="42"/>
      <c r="C22" s="42"/>
      <c r="D22" s="42"/>
      <c r="E22" s="121"/>
      <c r="F22" s="121"/>
      <c r="G22" s="121"/>
      <c r="H22" s="43"/>
      <c r="K22" s="2">
        <f>88*46</f>
        <v>4048</v>
      </c>
    </row>
    <row r="23" spans="1:15" ht="30" customHeight="1" x14ac:dyDescent="0.35">
      <c r="A23" s="44" t="s">
        <v>67</v>
      </c>
      <c r="B23" s="45"/>
      <c r="C23" s="45"/>
      <c r="D23" s="45"/>
      <c r="E23" s="93"/>
      <c r="F23" s="93"/>
      <c r="G23" s="93"/>
      <c r="H23" s="122" t="s">
        <v>68</v>
      </c>
      <c r="K23" s="2">
        <f>12*12</f>
        <v>144</v>
      </c>
    </row>
    <row r="24" spans="1:15" ht="111.75" customHeight="1" x14ac:dyDescent="0.35">
      <c r="A24" s="44" t="s">
        <v>339</v>
      </c>
      <c r="B24" s="45"/>
      <c r="C24" s="45"/>
      <c r="D24" s="45"/>
      <c r="E24" s="47" t="s">
        <v>599</v>
      </c>
      <c r="F24" s="47"/>
      <c r="G24" s="47"/>
      <c r="H24" s="47"/>
      <c r="K24" s="2">
        <f>K22/K23</f>
        <v>28.111111111111111</v>
      </c>
      <c r="L24" s="2">
        <f>(64+35)*K24</f>
        <v>2783</v>
      </c>
      <c r="M24" s="2" t="s">
        <v>600</v>
      </c>
    </row>
    <row r="25" spans="1:15" ht="20.25" customHeight="1" x14ac:dyDescent="0.35">
      <c r="A25" s="36"/>
      <c r="B25" s="36"/>
      <c r="C25" s="36"/>
      <c r="D25" s="36"/>
      <c r="L25" s="2">
        <f>(10*32*(46/12))*2</f>
        <v>2453.3333333333335</v>
      </c>
      <c r="M25" s="2" t="s">
        <v>601</v>
      </c>
    </row>
    <row r="26" spans="1:15" x14ac:dyDescent="0.35">
      <c r="A26" s="48" t="s">
        <v>71</v>
      </c>
      <c r="B26" s="48"/>
      <c r="C26" s="48"/>
      <c r="D26" s="48"/>
      <c r="L26" s="2">
        <f>3.8*35*10</f>
        <v>1330</v>
      </c>
      <c r="M26" s="2" t="s">
        <v>601</v>
      </c>
    </row>
    <row r="27" spans="1:15" ht="47.25" customHeight="1" x14ac:dyDescent="0.35">
      <c r="A27" s="49" t="s">
        <v>72</v>
      </c>
      <c r="B27" s="50"/>
      <c r="C27" s="51" t="s">
        <v>73</v>
      </c>
      <c r="D27" s="51" t="s">
        <v>74</v>
      </c>
      <c r="E27" s="51" t="s">
        <v>75</v>
      </c>
      <c r="F27" s="51" t="s">
        <v>76</v>
      </c>
      <c r="G27" s="52" t="s">
        <v>77</v>
      </c>
      <c r="H27" s="52" t="s">
        <v>78</v>
      </c>
    </row>
    <row r="28" spans="1:15" ht="30" customHeight="1" x14ac:dyDescent="0.35">
      <c r="A28" s="53"/>
      <c r="B28" s="50" t="s">
        <v>79</v>
      </c>
      <c r="C28" s="50" t="s">
        <v>80</v>
      </c>
      <c r="D28" s="50"/>
      <c r="E28" s="50"/>
      <c r="F28" s="50"/>
      <c r="G28" s="50"/>
      <c r="H28" s="50"/>
    </row>
    <row r="29" spans="1:15" ht="30" customHeight="1" x14ac:dyDescent="0.35">
      <c r="A29" s="54"/>
      <c r="B29" s="50" t="s">
        <v>81</v>
      </c>
      <c r="C29" s="50" t="s">
        <v>80</v>
      </c>
      <c r="D29" s="50"/>
      <c r="E29" s="50"/>
      <c r="F29" s="50"/>
      <c r="G29" s="50"/>
      <c r="H29" s="50"/>
    </row>
    <row r="30" spans="1:15" ht="30" customHeight="1" x14ac:dyDescent="0.35">
      <c r="A30" s="54"/>
      <c r="B30" s="50" t="s">
        <v>82</v>
      </c>
      <c r="C30" s="50" t="s">
        <v>80</v>
      </c>
      <c r="D30" s="50"/>
      <c r="E30" s="50"/>
      <c r="F30" s="50"/>
      <c r="G30" s="50"/>
      <c r="H30" s="50"/>
    </row>
    <row r="31" spans="1:15" ht="30" customHeight="1" x14ac:dyDescent="0.35">
      <c r="A31" s="54"/>
      <c r="B31" s="50" t="s">
        <v>83</v>
      </c>
      <c r="C31" s="50" t="s">
        <v>84</v>
      </c>
      <c r="D31" s="50"/>
      <c r="E31" s="50"/>
      <c r="F31" s="50"/>
      <c r="G31" s="50"/>
      <c r="H31" s="50"/>
    </row>
    <row r="32" spans="1:15" ht="30" customHeight="1" x14ac:dyDescent="0.35">
      <c r="A32" s="54"/>
      <c r="B32" s="50" t="s">
        <v>85</v>
      </c>
      <c r="C32" s="50" t="s">
        <v>84</v>
      </c>
      <c r="D32" s="50"/>
      <c r="E32" s="50"/>
      <c r="F32" s="50"/>
      <c r="G32" s="50"/>
      <c r="H32" s="50"/>
    </row>
    <row r="33" spans="1:12" ht="30" customHeight="1" x14ac:dyDescent="0.35">
      <c r="A33" s="54"/>
      <c r="B33" s="50" t="s">
        <v>22</v>
      </c>
      <c r="C33" s="50" t="s">
        <v>84</v>
      </c>
      <c r="D33" s="50" t="s">
        <v>602</v>
      </c>
      <c r="E33" s="50"/>
      <c r="F33" s="50"/>
      <c r="G33" s="50"/>
      <c r="H33" s="50"/>
    </row>
    <row r="34" spans="1:12" ht="30" customHeight="1" x14ac:dyDescent="0.35">
      <c r="A34" s="54"/>
      <c r="B34" s="50" t="s">
        <v>90</v>
      </c>
      <c r="C34" s="50" t="s">
        <v>84</v>
      </c>
      <c r="D34" s="50"/>
      <c r="E34" s="50"/>
      <c r="F34" s="50"/>
      <c r="G34" s="50"/>
      <c r="H34" s="50"/>
    </row>
    <row r="35" spans="1:12" ht="30" customHeight="1" x14ac:dyDescent="0.35">
      <c r="A35" s="54"/>
      <c r="B35" s="55" t="s">
        <v>91</v>
      </c>
      <c r="C35" s="50" t="s">
        <v>92</v>
      </c>
      <c r="D35" s="50"/>
      <c r="E35" s="50"/>
      <c r="F35" s="50"/>
      <c r="G35" s="50"/>
      <c r="H35" s="50"/>
    </row>
    <row r="38" spans="1:12" ht="29.25" customHeight="1" x14ac:dyDescent="0.35">
      <c r="A38" s="56" t="s">
        <v>96</v>
      </c>
      <c r="B38" s="57"/>
      <c r="H38" s="46" t="s">
        <v>97</v>
      </c>
    </row>
    <row r="39" spans="1:12" ht="31" customHeight="1" x14ac:dyDescent="0.35">
      <c r="A39" s="75" t="s">
        <v>98</v>
      </c>
      <c r="B39" s="55" t="s">
        <v>99</v>
      </c>
      <c r="C39" s="50" t="s">
        <v>100</v>
      </c>
      <c r="D39" s="50" t="s">
        <v>101</v>
      </c>
      <c r="E39" s="55" t="s">
        <v>102</v>
      </c>
      <c r="F39" s="55" t="s">
        <v>103</v>
      </c>
      <c r="G39" s="55" t="s">
        <v>104</v>
      </c>
      <c r="H39" s="55" t="s">
        <v>105</v>
      </c>
      <c r="K39" s="133" t="s">
        <v>603</v>
      </c>
      <c r="L39" s="133" t="s">
        <v>604</v>
      </c>
    </row>
    <row r="40" spans="1:12" ht="40" customHeight="1" x14ac:dyDescent="0.35">
      <c r="A40" s="96"/>
      <c r="B40" s="50" t="s">
        <v>605</v>
      </c>
      <c r="C40" s="50" t="s">
        <v>606</v>
      </c>
      <c r="D40" s="50" t="s">
        <v>607</v>
      </c>
      <c r="E40" s="50" t="s">
        <v>608</v>
      </c>
      <c r="F40" s="50"/>
      <c r="G40" s="50"/>
      <c r="H40" s="50"/>
      <c r="J40" s="2" t="s">
        <v>609</v>
      </c>
      <c r="K40" s="2">
        <f>0.06*365</f>
        <v>21.9</v>
      </c>
      <c r="L40" s="2">
        <f>(0.5*215)+(50*0.5)+(30*0.25)</f>
        <v>140</v>
      </c>
    </row>
    <row r="41" spans="1:12" ht="40" customHeight="1" x14ac:dyDescent="0.35">
      <c r="A41" s="96"/>
      <c r="B41" s="50" t="s">
        <v>610</v>
      </c>
      <c r="C41" s="50"/>
      <c r="D41" s="50" t="s">
        <v>611</v>
      </c>
      <c r="E41" s="50" t="s">
        <v>452</v>
      </c>
      <c r="F41" s="50"/>
      <c r="G41" s="50"/>
      <c r="H41" s="50"/>
      <c r="J41" s="2" t="s">
        <v>612</v>
      </c>
      <c r="K41" s="2">
        <f>(0.25*365)+(0.5*365)</f>
        <v>273.75</v>
      </c>
      <c r="L41" s="2">
        <f>(1.5*215)+(0.5*150)+(30*0.5)</f>
        <v>412.5</v>
      </c>
    </row>
    <row r="42" spans="1:12" ht="40" customHeight="1" x14ac:dyDescent="0.35">
      <c r="A42" s="96"/>
      <c r="B42" s="50" t="s">
        <v>613</v>
      </c>
      <c r="C42" s="50"/>
      <c r="D42" s="50"/>
      <c r="E42" s="50"/>
      <c r="F42" s="50"/>
      <c r="G42" s="50"/>
      <c r="H42" s="50"/>
    </row>
    <row r="43" spans="1:12" ht="40" customHeight="1" x14ac:dyDescent="0.35">
      <c r="A43" s="96"/>
      <c r="B43" s="50" t="s">
        <v>614</v>
      </c>
      <c r="C43" s="50"/>
      <c r="D43" s="50"/>
      <c r="E43" s="50"/>
      <c r="F43" s="50"/>
      <c r="G43" s="50"/>
      <c r="H43" s="50"/>
    </row>
    <row r="44" spans="1:12" ht="40" customHeight="1" x14ac:dyDescent="0.35">
      <c r="A44" s="96"/>
      <c r="B44" s="50"/>
      <c r="C44" s="50">
        <v>7875</v>
      </c>
      <c r="D44" s="50" t="s">
        <v>615</v>
      </c>
      <c r="E44" s="50"/>
      <c r="F44" s="50"/>
      <c r="G44" s="50"/>
      <c r="H44" s="50"/>
      <c r="I44" s="27" t="s">
        <v>44</v>
      </c>
    </row>
    <row r="45" spans="1:12" ht="40" customHeight="1" x14ac:dyDescent="0.35">
      <c r="A45" s="96"/>
      <c r="B45" s="50"/>
      <c r="C45" s="50"/>
      <c r="D45" s="50"/>
      <c r="E45" s="50"/>
      <c r="F45" s="50"/>
      <c r="G45" s="50"/>
      <c r="H45" s="50"/>
    </row>
    <row r="46" spans="1:12" ht="40" customHeight="1" x14ac:dyDescent="0.35">
      <c r="A46" s="96"/>
      <c r="B46" s="50"/>
      <c r="C46" s="50"/>
      <c r="D46" s="50"/>
      <c r="E46" s="50"/>
      <c r="F46" s="50"/>
      <c r="G46" s="50"/>
      <c r="H46" s="50"/>
    </row>
    <row r="47" spans="1:12" x14ac:dyDescent="0.35">
      <c r="B47" s="61" t="s">
        <v>121</v>
      </c>
      <c r="C47" s="61"/>
      <c r="D47" s="61"/>
      <c r="E47" s="61"/>
      <c r="F47" s="61"/>
      <c r="G47" s="61"/>
      <c r="H47" s="61"/>
    </row>
    <row r="48" spans="1:12" x14ac:dyDescent="0.35">
      <c r="B48" s="62"/>
      <c r="C48" s="62"/>
      <c r="D48" s="62"/>
      <c r="E48" s="62"/>
      <c r="F48" s="62"/>
      <c r="G48" s="62"/>
      <c r="H48" s="62"/>
    </row>
    <row r="49" spans="1:8" x14ac:dyDescent="0.35">
      <c r="B49" s="62"/>
      <c r="C49" s="62"/>
      <c r="D49" s="62"/>
      <c r="E49" s="62"/>
      <c r="F49" s="62"/>
      <c r="G49" s="62"/>
      <c r="H49" s="62"/>
    </row>
    <row r="50" spans="1:8" x14ac:dyDescent="0.35">
      <c r="B50" s="62"/>
      <c r="C50" s="62"/>
      <c r="D50" s="62"/>
      <c r="E50" s="62"/>
      <c r="F50" s="62"/>
      <c r="G50" s="62"/>
      <c r="H50" s="62"/>
    </row>
    <row r="51" spans="1:8" x14ac:dyDescent="0.35">
      <c r="B51" s="62"/>
      <c r="C51" s="62"/>
      <c r="D51" s="62"/>
      <c r="E51" s="62"/>
      <c r="F51" s="62"/>
      <c r="G51" s="62"/>
      <c r="H51" s="62"/>
    </row>
    <row r="52" spans="1:8" x14ac:dyDescent="0.35">
      <c r="B52" s="62"/>
      <c r="C52" s="62"/>
      <c r="D52" s="62"/>
      <c r="E52" s="62"/>
      <c r="F52" s="62"/>
      <c r="G52" s="62"/>
      <c r="H52" s="62"/>
    </row>
    <row r="56" spans="1:8" ht="27" customHeight="1" x14ac:dyDescent="0.35">
      <c r="A56" s="56" t="s">
        <v>122</v>
      </c>
      <c r="B56" s="57"/>
      <c r="H56" s="46" t="s">
        <v>123</v>
      </c>
    </row>
    <row r="57" spans="1:8" ht="45" customHeight="1" x14ac:dyDescent="0.35">
      <c r="A57" s="50"/>
      <c r="B57" s="55" t="s">
        <v>124</v>
      </c>
      <c r="C57" s="55" t="s">
        <v>125</v>
      </c>
      <c r="D57" s="55" t="s">
        <v>126</v>
      </c>
      <c r="E57" s="55" t="s">
        <v>127</v>
      </c>
      <c r="F57" s="55" t="s">
        <v>128</v>
      </c>
      <c r="G57" s="55" t="s">
        <v>129</v>
      </c>
      <c r="H57" s="63" t="s">
        <v>130</v>
      </c>
    </row>
    <row r="58" spans="1:8" ht="108.5" x14ac:dyDescent="0.35">
      <c r="A58" s="55" t="s">
        <v>131</v>
      </c>
      <c r="B58" s="50"/>
      <c r="C58" s="50"/>
      <c r="D58" s="50"/>
      <c r="E58" s="50"/>
      <c r="F58" s="50"/>
      <c r="G58" s="50"/>
      <c r="H58" s="64"/>
    </row>
    <row r="59" spans="1:8" ht="93" x14ac:dyDescent="0.35">
      <c r="A59" s="55" t="s">
        <v>132</v>
      </c>
      <c r="B59" s="50"/>
      <c r="C59" s="50"/>
      <c r="D59" s="50"/>
      <c r="E59" s="50"/>
      <c r="F59" s="50"/>
      <c r="G59" s="50"/>
      <c r="H59" s="64"/>
    </row>
    <row r="60" spans="1:8" ht="108.5" x14ac:dyDescent="0.35">
      <c r="A60" s="65" t="s">
        <v>133</v>
      </c>
      <c r="B60" s="50"/>
      <c r="C60" s="50"/>
      <c r="D60" s="50"/>
      <c r="E60" s="50"/>
      <c r="F60" s="50"/>
      <c r="G60" s="50"/>
      <c r="H60" s="64"/>
    </row>
    <row r="61" spans="1:8" x14ac:dyDescent="0.35">
      <c r="B61" s="66" t="s">
        <v>121</v>
      </c>
      <c r="C61" s="66"/>
      <c r="D61" s="66"/>
      <c r="E61" s="66"/>
      <c r="F61" s="66"/>
      <c r="G61" s="66"/>
      <c r="H61" s="66"/>
    </row>
    <row r="62" spans="1:8" x14ac:dyDescent="0.35">
      <c r="B62" s="67"/>
      <c r="C62" s="67"/>
      <c r="D62" s="67"/>
      <c r="E62" s="67"/>
      <c r="F62" s="67"/>
      <c r="G62" s="67"/>
      <c r="H62" s="67"/>
    </row>
    <row r="63" spans="1:8" x14ac:dyDescent="0.35">
      <c r="B63" s="67"/>
      <c r="C63" s="67"/>
      <c r="D63" s="67"/>
      <c r="E63" s="67"/>
      <c r="F63" s="67"/>
      <c r="G63" s="67"/>
      <c r="H63" s="67"/>
    </row>
    <row r="64" spans="1:8" x14ac:dyDescent="0.35">
      <c r="B64" s="67"/>
      <c r="C64" s="67"/>
      <c r="D64" s="67"/>
      <c r="E64" s="67"/>
      <c r="F64" s="67"/>
      <c r="G64" s="67"/>
      <c r="H64" s="67"/>
    </row>
    <row r="65" spans="1:8" x14ac:dyDescent="0.35">
      <c r="B65" s="67"/>
      <c r="C65" s="67"/>
      <c r="D65" s="67"/>
      <c r="E65" s="67"/>
      <c r="F65" s="67"/>
      <c r="G65" s="67"/>
      <c r="H65" s="67"/>
    </row>
    <row r="66" spans="1:8" x14ac:dyDescent="0.35">
      <c r="B66" s="36"/>
    </row>
    <row r="67" spans="1:8" x14ac:dyDescent="0.35">
      <c r="B67" s="36"/>
    </row>
    <row r="68" spans="1:8" ht="46.5" customHeight="1" x14ac:dyDescent="0.35">
      <c r="A68" s="68" t="s">
        <v>134</v>
      </c>
      <c r="B68" s="68"/>
      <c r="C68" s="69" t="s">
        <v>135</v>
      </c>
      <c r="D68" s="69" t="s">
        <v>135</v>
      </c>
      <c r="E68" s="69" t="s">
        <v>135</v>
      </c>
      <c r="F68" s="69" t="s">
        <v>135</v>
      </c>
      <c r="G68" s="69" t="s">
        <v>135</v>
      </c>
      <c r="H68" s="70" t="s">
        <v>136</v>
      </c>
    </row>
    <row r="69" spans="1:8" ht="48" customHeight="1" x14ac:dyDescent="0.35">
      <c r="A69" s="71" t="s">
        <v>137</v>
      </c>
      <c r="B69" s="71"/>
      <c r="C69" s="71"/>
      <c r="D69" s="71"/>
      <c r="E69" s="68" t="s">
        <v>616</v>
      </c>
      <c r="F69" s="68"/>
      <c r="G69" s="68"/>
      <c r="H69" s="68"/>
    </row>
    <row r="70" spans="1:8" ht="38.5" customHeight="1" x14ac:dyDescent="0.35">
      <c r="A70" s="71" t="s">
        <v>139</v>
      </c>
      <c r="B70" s="71"/>
      <c r="C70" s="71"/>
      <c r="D70" s="71"/>
      <c r="E70" s="69" t="s">
        <v>617</v>
      </c>
      <c r="F70" s="69" t="s">
        <v>135</v>
      </c>
      <c r="G70" s="69" t="s">
        <v>135</v>
      </c>
      <c r="H70" s="69" t="s">
        <v>135</v>
      </c>
    </row>
    <row r="71" spans="1:8" ht="27.75" customHeight="1" x14ac:dyDescent="0.35">
      <c r="A71" s="71" t="s">
        <v>141</v>
      </c>
      <c r="B71" s="71"/>
      <c r="C71" s="71"/>
      <c r="D71" s="71"/>
      <c r="E71" s="69" t="s">
        <v>618</v>
      </c>
      <c r="F71" s="69" t="s">
        <v>135</v>
      </c>
      <c r="G71" s="69" t="s">
        <v>135</v>
      </c>
      <c r="H71" s="69" t="s">
        <v>135</v>
      </c>
    </row>
    <row r="72" spans="1:8" ht="25" customHeight="1" x14ac:dyDescent="0.35">
      <c r="A72" s="71" t="s">
        <v>143</v>
      </c>
      <c r="B72" s="71"/>
      <c r="C72" s="71"/>
      <c r="D72" s="71"/>
      <c r="E72" s="69" t="s">
        <v>135</v>
      </c>
      <c r="F72" s="69" t="s">
        <v>135</v>
      </c>
      <c r="G72" s="69" t="s">
        <v>135</v>
      </c>
      <c r="H72" s="69" t="s">
        <v>135</v>
      </c>
    </row>
    <row r="73" spans="1:8" ht="41.25" customHeight="1" x14ac:dyDescent="0.35">
      <c r="A73" s="71" t="s">
        <v>144</v>
      </c>
      <c r="B73" s="71"/>
      <c r="C73" s="71"/>
      <c r="D73" s="71"/>
      <c r="E73" s="69" t="s">
        <v>135</v>
      </c>
      <c r="F73" s="69" t="s">
        <v>135</v>
      </c>
      <c r="G73" s="69" t="s">
        <v>135</v>
      </c>
      <c r="H73" s="69" t="s">
        <v>135</v>
      </c>
    </row>
    <row r="74" spans="1:8" ht="55.5" customHeight="1" x14ac:dyDescent="0.35">
      <c r="A74" s="71" t="s">
        <v>146</v>
      </c>
      <c r="B74" s="71"/>
      <c r="C74" s="71"/>
      <c r="D74" s="71"/>
      <c r="E74" s="69" t="s">
        <v>135</v>
      </c>
      <c r="F74" s="69" t="s">
        <v>135</v>
      </c>
      <c r="G74" s="69" t="s">
        <v>135</v>
      </c>
      <c r="H74" s="69" t="s">
        <v>135</v>
      </c>
    </row>
    <row r="75" spans="1:8" ht="36.75" customHeight="1" x14ac:dyDescent="0.35">
      <c r="A75" s="71" t="s">
        <v>147</v>
      </c>
      <c r="B75" s="71"/>
      <c r="C75" s="71"/>
      <c r="D75" s="71"/>
      <c r="E75" s="69" t="s">
        <v>444</v>
      </c>
      <c r="F75" s="69" t="s">
        <v>135</v>
      </c>
      <c r="G75" s="69" t="s">
        <v>135</v>
      </c>
      <c r="H75" s="69" t="s">
        <v>135</v>
      </c>
    </row>
    <row r="76" spans="1:8" ht="29.25" customHeight="1" x14ac:dyDescent="0.35">
      <c r="A76" s="73" t="s">
        <v>149</v>
      </c>
      <c r="B76" s="73"/>
      <c r="C76" s="73"/>
      <c r="D76" s="73"/>
      <c r="E76" s="74" t="s">
        <v>135</v>
      </c>
      <c r="F76" s="74" t="s">
        <v>135</v>
      </c>
      <c r="G76" s="74" t="s">
        <v>135</v>
      </c>
      <c r="H76" s="74" t="s">
        <v>135</v>
      </c>
    </row>
    <row r="77" spans="1:8" ht="43" customHeight="1" x14ac:dyDescent="0.35">
      <c r="A77" s="71" t="s">
        <v>150</v>
      </c>
      <c r="B77" s="71"/>
      <c r="C77" s="71"/>
      <c r="D77" s="71"/>
      <c r="E77" s="69" t="s">
        <v>444</v>
      </c>
      <c r="F77" s="69" t="s">
        <v>135</v>
      </c>
      <c r="G77" s="69" t="s">
        <v>135</v>
      </c>
      <c r="H77" s="69" t="s">
        <v>135</v>
      </c>
    </row>
    <row r="78" spans="1:8" ht="31" customHeight="1" x14ac:dyDescent="0.35">
      <c r="A78" s="71" t="s">
        <v>152</v>
      </c>
      <c r="B78" s="71"/>
      <c r="C78" s="71"/>
      <c r="D78" s="71"/>
      <c r="E78" s="69" t="s">
        <v>619</v>
      </c>
      <c r="F78" s="69" t="s">
        <v>135</v>
      </c>
      <c r="G78" s="69" t="s">
        <v>135</v>
      </c>
      <c r="H78" s="69" t="s">
        <v>135</v>
      </c>
    </row>
    <row r="79" spans="1:8" ht="25.5" customHeight="1" x14ac:dyDescent="0.35">
      <c r="A79" s="71" t="s">
        <v>153</v>
      </c>
      <c r="B79" s="71"/>
      <c r="C79" s="71"/>
      <c r="D79" s="71"/>
      <c r="E79" s="69" t="s">
        <v>135</v>
      </c>
      <c r="F79" s="69" t="s">
        <v>135</v>
      </c>
      <c r="G79" s="69" t="s">
        <v>135</v>
      </c>
      <c r="H79" s="69" t="s">
        <v>135</v>
      </c>
    </row>
    <row r="80" spans="1:8" ht="25" customHeight="1" x14ac:dyDescent="0.35">
      <c r="A80" s="71" t="s">
        <v>154</v>
      </c>
      <c r="B80" s="71"/>
      <c r="C80" s="71"/>
      <c r="D80" s="71"/>
      <c r="E80" s="69" t="s">
        <v>135</v>
      </c>
      <c r="F80" s="69" t="s">
        <v>135</v>
      </c>
      <c r="G80" s="69" t="s">
        <v>135</v>
      </c>
      <c r="H80" s="69" t="s">
        <v>135</v>
      </c>
    </row>
    <row r="81" spans="1:8" x14ac:dyDescent="0.35">
      <c r="A81" s="75" t="s">
        <v>155</v>
      </c>
      <c r="B81" s="75"/>
      <c r="C81" s="75"/>
      <c r="D81" s="75"/>
      <c r="E81" s="76" t="s">
        <v>135</v>
      </c>
      <c r="F81" s="76" t="s">
        <v>135</v>
      </c>
      <c r="G81" s="76" t="s">
        <v>135</v>
      </c>
      <c r="H81" s="76" t="s">
        <v>135</v>
      </c>
    </row>
    <row r="82" spans="1:8" ht="35.5" customHeight="1" x14ac:dyDescent="0.35">
      <c r="E82" s="36"/>
      <c r="F82" s="36"/>
      <c r="G82" s="36"/>
      <c r="H82" s="77" t="s">
        <v>156</v>
      </c>
    </row>
    <row r="83" spans="1:8" ht="40.5" customHeight="1" x14ac:dyDescent="0.35">
      <c r="A83" s="78" t="s">
        <v>157</v>
      </c>
      <c r="B83" s="78"/>
      <c r="C83" s="78"/>
      <c r="D83" s="78"/>
      <c r="E83" s="78"/>
      <c r="F83" s="78"/>
      <c r="G83" s="78"/>
      <c r="H83" s="78"/>
    </row>
    <row r="84" spans="1:8" ht="36" customHeight="1" x14ac:dyDescent="0.35">
      <c r="A84" s="79" t="s">
        <v>158</v>
      </c>
      <c r="B84" s="79"/>
      <c r="C84" s="80" t="s">
        <v>620</v>
      </c>
      <c r="D84" s="80"/>
      <c r="E84" s="80"/>
      <c r="F84" s="80"/>
      <c r="G84" s="80"/>
      <c r="H84" s="80"/>
    </row>
    <row r="85" spans="1:8" ht="36.75" customHeight="1" x14ac:dyDescent="0.35">
      <c r="A85" s="21" t="s">
        <v>159</v>
      </c>
      <c r="B85" s="21"/>
      <c r="C85" s="9"/>
      <c r="D85" s="9"/>
      <c r="E85" s="9"/>
      <c r="F85" s="9"/>
      <c r="G85" s="9"/>
      <c r="H85" s="9"/>
    </row>
    <row r="86" spans="1:8" ht="41.5" customHeight="1" x14ac:dyDescent="0.35">
      <c r="A86" s="21" t="s">
        <v>160</v>
      </c>
      <c r="B86" s="21"/>
      <c r="C86" s="9"/>
      <c r="D86" s="9"/>
      <c r="E86" s="9"/>
      <c r="F86" s="9"/>
      <c r="G86" s="9"/>
      <c r="H86" s="9"/>
    </row>
    <row r="87" spans="1:8" ht="38.25" customHeight="1" x14ac:dyDescent="0.35">
      <c r="A87" s="21" t="s">
        <v>162</v>
      </c>
      <c r="B87" s="21"/>
      <c r="C87" s="9"/>
      <c r="D87" s="9"/>
      <c r="E87" s="9"/>
      <c r="F87" s="9"/>
      <c r="G87" s="9"/>
      <c r="H87" s="9"/>
    </row>
    <row r="88" spans="1:8" ht="29.25" customHeight="1" x14ac:dyDescent="0.35">
      <c r="A88" s="21" t="s">
        <v>163</v>
      </c>
      <c r="B88" s="21"/>
      <c r="C88" s="9"/>
      <c r="D88" s="9"/>
      <c r="E88" s="9"/>
      <c r="F88" s="9"/>
      <c r="G88" s="9"/>
      <c r="H88" s="9"/>
    </row>
    <row r="89" spans="1:8" ht="43" customHeight="1" x14ac:dyDescent="0.35">
      <c r="A89" s="21" t="s">
        <v>164</v>
      </c>
      <c r="B89" s="21"/>
      <c r="C89" s="9"/>
      <c r="D89" s="9"/>
      <c r="E89" s="9"/>
      <c r="F89" s="9"/>
      <c r="G89" s="9"/>
      <c r="H89" s="9"/>
    </row>
    <row r="90" spans="1:8" x14ac:dyDescent="0.35">
      <c r="A90" s="21" t="s">
        <v>165</v>
      </c>
      <c r="B90" s="21"/>
      <c r="C90" s="9"/>
      <c r="D90" s="9"/>
      <c r="E90" s="9"/>
      <c r="F90" s="9"/>
      <c r="G90" s="9"/>
      <c r="H90" s="9"/>
    </row>
    <row r="91" spans="1:8" x14ac:dyDescent="0.35">
      <c r="A91" s="81" t="s">
        <v>166</v>
      </c>
      <c r="B91" s="81"/>
      <c r="C91" s="9"/>
      <c r="D91" s="9"/>
      <c r="E91" s="9"/>
      <c r="F91" s="9"/>
      <c r="G91" s="9"/>
      <c r="H91" s="9"/>
    </row>
    <row r="92" spans="1:8" ht="22.5" customHeight="1" x14ac:dyDescent="0.35">
      <c r="A92" s="81" t="s">
        <v>167</v>
      </c>
      <c r="B92" s="81"/>
      <c r="C92" s="9"/>
      <c r="D92" s="9"/>
      <c r="E92" s="9"/>
      <c r="F92" s="9"/>
      <c r="G92" s="9"/>
      <c r="H92" s="9"/>
    </row>
    <row r="93" spans="1:8" x14ac:dyDescent="0.35">
      <c r="A93" s="81" t="s">
        <v>169</v>
      </c>
      <c r="B93" s="81"/>
      <c r="C93" s="9"/>
      <c r="D93" s="9"/>
      <c r="E93" s="9"/>
      <c r="F93" s="9"/>
      <c r="G93" s="9"/>
      <c r="H93" s="9"/>
    </row>
    <row r="94" spans="1:8" ht="46.5" customHeight="1" x14ac:dyDescent="0.35">
      <c r="A94" s="81" t="s">
        <v>171</v>
      </c>
      <c r="B94" s="81"/>
      <c r="C94" s="82" t="s">
        <v>380</v>
      </c>
      <c r="D94" s="82"/>
      <c r="E94" s="82"/>
      <c r="F94" s="82"/>
      <c r="G94" s="82"/>
      <c r="H94" s="82"/>
    </row>
    <row r="95" spans="1:8" ht="31" customHeight="1" x14ac:dyDescent="0.35">
      <c r="A95" s="21" t="s">
        <v>173</v>
      </c>
      <c r="B95" s="21"/>
      <c r="C95" s="80" t="s">
        <v>174</v>
      </c>
      <c r="D95" s="80"/>
      <c r="E95" s="80"/>
      <c r="F95" s="80"/>
      <c r="G95" s="80"/>
      <c r="H95" s="80"/>
    </row>
    <row r="96" spans="1:8" ht="31" customHeight="1" x14ac:dyDescent="0.35">
      <c r="A96" s="21" t="s">
        <v>175</v>
      </c>
      <c r="B96" s="21"/>
      <c r="C96" s="9"/>
      <c r="D96" s="9"/>
      <c r="E96" s="9"/>
      <c r="F96" s="9"/>
      <c r="G96" s="9"/>
      <c r="H96" s="9"/>
    </row>
    <row r="97" spans="1:8" ht="23.5" customHeight="1" x14ac:dyDescent="0.35">
      <c r="A97" s="83"/>
      <c r="B97" s="83"/>
      <c r="C97" s="84"/>
      <c r="D97" s="84"/>
      <c r="E97" s="84"/>
      <c r="F97" s="84"/>
      <c r="G97" s="84"/>
      <c r="H97" s="84"/>
    </row>
    <row r="98" spans="1:8" ht="45.75" customHeight="1" x14ac:dyDescent="0.35">
      <c r="A98" s="83"/>
      <c r="B98" s="83"/>
      <c r="C98" s="84"/>
      <c r="D98" s="84"/>
      <c r="E98" s="84"/>
      <c r="F98" s="84"/>
      <c r="G98" s="84"/>
      <c r="H98" s="85" t="s">
        <v>176</v>
      </c>
    </row>
    <row r="99" spans="1:8" ht="36" customHeight="1" x14ac:dyDescent="0.35">
      <c r="A99" s="21" t="s">
        <v>177</v>
      </c>
      <c r="B99" s="21"/>
      <c r="C99" s="9" t="s">
        <v>621</v>
      </c>
      <c r="D99" s="9"/>
      <c r="E99" s="9"/>
      <c r="F99" s="9"/>
      <c r="G99" s="9"/>
      <c r="H99" s="9"/>
    </row>
    <row r="100" spans="1:8" ht="46.5" customHeight="1" x14ac:dyDescent="0.35">
      <c r="A100" s="21" t="s">
        <v>178</v>
      </c>
      <c r="B100" s="21"/>
      <c r="C100" s="9"/>
      <c r="D100" s="9"/>
      <c r="E100" s="9"/>
      <c r="F100" s="9"/>
      <c r="G100" s="9"/>
      <c r="H100" s="9"/>
    </row>
    <row r="101" spans="1:8" ht="69.75" customHeight="1" x14ac:dyDescent="0.35">
      <c r="A101" s="21" t="s">
        <v>180</v>
      </c>
      <c r="B101" s="21"/>
      <c r="C101" s="9" t="s">
        <v>622</v>
      </c>
      <c r="D101" s="9"/>
      <c r="E101" s="9"/>
      <c r="F101" s="9"/>
      <c r="G101" s="9"/>
      <c r="H101" s="9"/>
    </row>
    <row r="102" spans="1:8" ht="51.75" customHeight="1" x14ac:dyDescent="0.35">
      <c r="A102" s="21" t="s">
        <v>182</v>
      </c>
      <c r="B102" s="21"/>
      <c r="C102" s="9"/>
      <c r="D102" s="9"/>
      <c r="E102" s="9"/>
      <c r="F102" s="9"/>
      <c r="G102" s="9"/>
      <c r="H102" s="9"/>
    </row>
    <row r="103" spans="1:8" ht="34.5" customHeight="1" x14ac:dyDescent="0.35">
      <c r="A103" s="93" t="s">
        <v>183</v>
      </c>
      <c r="B103" s="93"/>
      <c r="C103" s="86" t="s">
        <v>623</v>
      </c>
      <c r="D103" s="86"/>
      <c r="E103" s="86"/>
      <c r="F103" s="86"/>
      <c r="G103" s="86"/>
      <c r="H103" s="86"/>
    </row>
    <row r="104" spans="1:8" ht="54" customHeight="1" x14ac:dyDescent="0.35">
      <c r="A104" s="45" t="s">
        <v>185</v>
      </c>
      <c r="B104" s="45"/>
      <c r="C104" s="80" t="s">
        <v>624</v>
      </c>
      <c r="D104" s="80"/>
      <c r="E104" s="80"/>
      <c r="F104" s="80"/>
      <c r="G104" s="80"/>
      <c r="H104" s="80"/>
    </row>
    <row r="105" spans="1:8" ht="54.75" customHeight="1" x14ac:dyDescent="0.35">
      <c r="A105" s="79" t="s">
        <v>187</v>
      </c>
      <c r="B105" s="79"/>
      <c r="C105" s="9"/>
      <c r="D105" s="9"/>
      <c r="E105" s="9"/>
      <c r="F105" s="9"/>
      <c r="G105" s="9"/>
      <c r="H105" s="9"/>
    </row>
    <row r="106" spans="1:8" ht="56.25" customHeight="1" x14ac:dyDescent="0.35">
      <c r="A106" s="21" t="s">
        <v>188</v>
      </c>
      <c r="B106" s="21"/>
      <c r="C106" s="9"/>
      <c r="D106" s="9"/>
      <c r="E106" s="9"/>
      <c r="F106" s="9"/>
      <c r="G106" s="9"/>
      <c r="H106" s="9"/>
    </row>
    <row r="107" spans="1:8" x14ac:dyDescent="0.35">
      <c r="A107" s="21" t="s">
        <v>189</v>
      </c>
      <c r="B107" s="21"/>
      <c r="C107" s="9"/>
      <c r="D107" s="9"/>
      <c r="E107" s="9"/>
      <c r="F107" s="9"/>
      <c r="G107" s="9"/>
      <c r="H107" s="9"/>
    </row>
  </sheetData>
  <mergeCells count="108">
    <mergeCell ref="A105:B105"/>
    <mergeCell ref="C105:H105"/>
    <mergeCell ref="A106:B106"/>
    <mergeCell ref="C106:H106"/>
    <mergeCell ref="A107:B107"/>
    <mergeCell ref="C107:H107"/>
    <mergeCell ref="A102:B102"/>
    <mergeCell ref="C102:H102"/>
    <mergeCell ref="A103:B103"/>
    <mergeCell ref="C103:H103"/>
    <mergeCell ref="A104:B104"/>
    <mergeCell ref="C104:H104"/>
    <mergeCell ref="A99:B99"/>
    <mergeCell ref="C99:H99"/>
    <mergeCell ref="A100:B100"/>
    <mergeCell ref="C100:H100"/>
    <mergeCell ref="A101:B101"/>
    <mergeCell ref="C101:H101"/>
    <mergeCell ref="A94:B94"/>
    <mergeCell ref="C94:H94"/>
    <mergeCell ref="A95:B95"/>
    <mergeCell ref="C95:H95"/>
    <mergeCell ref="A96:B96"/>
    <mergeCell ref="C96:H96"/>
    <mergeCell ref="A91:B91"/>
    <mergeCell ref="C91:H91"/>
    <mergeCell ref="A92:B92"/>
    <mergeCell ref="C92:H92"/>
    <mergeCell ref="A93:B93"/>
    <mergeCell ref="C93:H93"/>
    <mergeCell ref="A88:B88"/>
    <mergeCell ref="C88:H88"/>
    <mergeCell ref="A89:B89"/>
    <mergeCell ref="C89:H89"/>
    <mergeCell ref="A90:B90"/>
    <mergeCell ref="C90:H90"/>
    <mergeCell ref="A85:B85"/>
    <mergeCell ref="C85:H85"/>
    <mergeCell ref="A86:B86"/>
    <mergeCell ref="C86:H86"/>
    <mergeCell ref="A87:B87"/>
    <mergeCell ref="C87:H87"/>
    <mergeCell ref="A79:D79"/>
    <mergeCell ref="A80:D80"/>
    <mergeCell ref="A81:D81"/>
    <mergeCell ref="A83:H83"/>
    <mergeCell ref="A84:B84"/>
    <mergeCell ref="C84:H84"/>
    <mergeCell ref="A73:D73"/>
    <mergeCell ref="A74:D74"/>
    <mergeCell ref="A75:D75"/>
    <mergeCell ref="A76:D76"/>
    <mergeCell ref="A77:D77"/>
    <mergeCell ref="A78:D78"/>
    <mergeCell ref="A68:B68"/>
    <mergeCell ref="A69:D69"/>
    <mergeCell ref="E69:H69"/>
    <mergeCell ref="A70:D70"/>
    <mergeCell ref="A71:D71"/>
    <mergeCell ref="A72:D72"/>
    <mergeCell ref="A27:A28"/>
    <mergeCell ref="A38:B38"/>
    <mergeCell ref="A39:A46"/>
    <mergeCell ref="B47:H52"/>
    <mergeCell ref="A56:B56"/>
    <mergeCell ref="B61:H65"/>
    <mergeCell ref="A21:D21"/>
    <mergeCell ref="E21:H21"/>
    <mergeCell ref="A23:D23"/>
    <mergeCell ref="E23:G23"/>
    <mergeCell ref="A24:D24"/>
    <mergeCell ref="E24:H24"/>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pageMargins left="0.7" right="0.7" top="0.75" bottom="0.75" header="0.3" footer="0.3"/>
  <pageSetup orientation="landscape"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E2D85-D51F-4C46-8DAC-CE7EFEF380E1}">
  <sheetPr>
    <pageSetUpPr fitToPage="1"/>
  </sheetPr>
  <dimension ref="A1:O107"/>
  <sheetViews>
    <sheetView view="pageBreakPreview" zoomScale="53" zoomScaleNormal="100" zoomScaleSheetLayoutView="125" workbookViewId="0">
      <selection activeCell="F13" sqref="F13:I13"/>
    </sheetView>
  </sheetViews>
  <sheetFormatPr defaultColWidth="11.81640625" defaultRowHeight="15.5" x14ac:dyDescent="0.35"/>
  <cols>
    <col min="1" max="1" width="11.81640625" style="2"/>
    <col min="2" max="2" width="13.08984375" style="2" customWidth="1"/>
    <col min="3" max="3" width="18.90625" style="2" customWidth="1"/>
    <col min="4" max="5" width="12" style="2" customWidth="1"/>
    <col min="6" max="7" width="14.90625" style="2" customWidth="1"/>
    <col min="8" max="8" width="16.36328125" style="2" customWidth="1"/>
    <col min="9" max="9" width="15.26953125" style="2" customWidth="1"/>
    <col min="10" max="10" width="20.7265625" style="2" customWidth="1"/>
    <col min="11" max="11" width="16" style="2" customWidth="1"/>
    <col min="12" max="12" width="12.90625" style="2" bestFit="1" customWidth="1"/>
    <col min="13" max="13" width="11.81640625" style="2"/>
    <col min="14" max="14" width="29.6328125" style="2" customWidth="1"/>
    <col min="15" max="16384" width="11.81640625" style="2"/>
  </cols>
  <sheetData>
    <row r="1" spans="1:15" x14ac:dyDescent="0.35">
      <c r="A1" s="2" t="s">
        <v>44</v>
      </c>
      <c r="B1" s="1" t="s">
        <v>0</v>
      </c>
      <c r="C1" s="1"/>
      <c r="D1" s="1"/>
      <c r="E1" s="1"/>
      <c r="I1" s="3" t="s">
        <v>1</v>
      </c>
    </row>
    <row r="2" spans="1:15" ht="24" customHeight="1" thickBot="1" x14ac:dyDescent="0.4">
      <c r="B2" s="4" t="s">
        <v>2</v>
      </c>
      <c r="C2" s="4"/>
      <c r="D2" s="4"/>
      <c r="E2" s="4"/>
      <c r="F2" s="130">
        <v>44146</v>
      </c>
      <c r="G2" s="131" t="s">
        <v>460</v>
      </c>
      <c r="H2" s="132"/>
      <c r="I2" s="132"/>
    </row>
    <row r="3" spans="1:15" ht="19" customHeight="1" thickBot="1" x14ac:dyDescent="0.4">
      <c r="A3" s="2">
        <v>1</v>
      </c>
      <c r="B3" s="7" t="s">
        <v>3</v>
      </c>
      <c r="C3" s="7"/>
      <c r="D3" s="7"/>
      <c r="E3" s="7"/>
      <c r="F3" s="8" t="s">
        <v>461</v>
      </c>
      <c r="G3" s="8"/>
      <c r="H3" s="8"/>
      <c r="I3" s="8"/>
    </row>
    <row r="4" spans="1:15" ht="19" customHeight="1" x14ac:dyDescent="0.35">
      <c r="A4" s="2">
        <f>1+A3</f>
        <v>2</v>
      </c>
      <c r="B4" s="9" t="s">
        <v>5</v>
      </c>
      <c r="C4" s="9"/>
      <c r="D4" s="9"/>
      <c r="E4" s="9"/>
      <c r="F4" s="10" t="s">
        <v>462</v>
      </c>
      <c r="G4" s="10"/>
      <c r="H4" s="10"/>
      <c r="I4" s="10"/>
      <c r="K4" s="11" t="s">
        <v>7</v>
      </c>
      <c r="L4" s="12"/>
      <c r="M4" s="12"/>
      <c r="N4" s="12"/>
      <c r="O4" s="13"/>
    </row>
    <row r="5" spans="1:15" ht="19" customHeight="1" x14ac:dyDescent="0.35">
      <c r="A5" s="2">
        <f t="shared" ref="A5:A23" si="0">1+A4</f>
        <v>3</v>
      </c>
      <c r="B5" s="9" t="s">
        <v>8</v>
      </c>
      <c r="C5" s="9"/>
      <c r="D5" s="9"/>
      <c r="E5" s="9"/>
      <c r="F5" s="92" t="s">
        <v>463</v>
      </c>
      <c r="G5" s="92"/>
      <c r="H5" s="92"/>
      <c r="I5" s="92"/>
      <c r="K5" s="14" t="s">
        <v>10</v>
      </c>
      <c r="O5" s="15"/>
    </row>
    <row r="6" spans="1:15" ht="19" customHeight="1" x14ac:dyDescent="0.35">
      <c r="A6" s="2">
        <f t="shared" si="0"/>
        <v>4</v>
      </c>
      <c r="B6" s="9" t="s">
        <v>11</v>
      </c>
      <c r="C6" s="9"/>
      <c r="D6" s="9"/>
      <c r="E6" s="9"/>
      <c r="F6" s="10" t="s">
        <v>464</v>
      </c>
      <c r="G6" s="10"/>
      <c r="H6" s="10"/>
      <c r="I6" s="10"/>
      <c r="K6" s="16" t="s">
        <v>13</v>
      </c>
      <c r="L6" s="17">
        <v>58</v>
      </c>
      <c r="O6" s="15"/>
    </row>
    <row r="7" spans="1:15" ht="19" customHeight="1" x14ac:dyDescent="0.35">
      <c r="A7" s="2">
        <f t="shared" si="0"/>
        <v>5</v>
      </c>
      <c r="B7" s="9" t="s">
        <v>14</v>
      </c>
      <c r="C7" s="9"/>
      <c r="D7" s="9"/>
      <c r="E7" s="9"/>
      <c r="F7" s="10" t="s">
        <v>328</v>
      </c>
      <c r="G7" s="10"/>
      <c r="H7" s="10"/>
      <c r="I7" s="10"/>
      <c r="K7" s="18" t="s">
        <v>16</v>
      </c>
      <c r="L7" s="17">
        <v>2825</v>
      </c>
      <c r="N7" s="19" t="s">
        <v>17</v>
      </c>
      <c r="O7" s="20">
        <f>L7/L6</f>
        <v>48.706896551724135</v>
      </c>
    </row>
    <row r="8" spans="1:15" ht="19" customHeight="1" x14ac:dyDescent="0.35">
      <c r="A8" s="2">
        <f t="shared" si="0"/>
        <v>6</v>
      </c>
      <c r="B8" s="21" t="s">
        <v>18</v>
      </c>
      <c r="C8" s="21"/>
      <c r="D8" s="21"/>
      <c r="E8" s="21"/>
      <c r="F8" s="24" t="s">
        <v>465</v>
      </c>
      <c r="G8" s="24"/>
      <c r="H8" s="24"/>
      <c r="I8" s="24"/>
      <c r="K8" s="18" t="s">
        <v>19</v>
      </c>
      <c r="L8" s="22">
        <f>3800+J32</f>
        <v>10373</v>
      </c>
      <c r="N8" s="19" t="s">
        <v>20</v>
      </c>
      <c r="O8" s="23">
        <f>L8/L6</f>
        <v>178.84482758620689</v>
      </c>
    </row>
    <row r="9" spans="1:15" ht="19" customHeight="1" x14ac:dyDescent="0.35">
      <c r="A9" s="2">
        <f t="shared" si="0"/>
        <v>7</v>
      </c>
      <c r="B9" s="21" t="s">
        <v>330</v>
      </c>
      <c r="C9" s="21"/>
      <c r="D9" s="21"/>
      <c r="E9" s="21"/>
      <c r="F9" s="24" t="s">
        <v>331</v>
      </c>
      <c r="G9" s="24"/>
      <c r="H9" s="24"/>
      <c r="I9" s="24"/>
      <c r="K9" s="18" t="s">
        <v>23</v>
      </c>
      <c r="L9" s="17">
        <f>0.5*365</f>
        <v>182.5</v>
      </c>
      <c r="N9" s="19" t="s">
        <v>24</v>
      </c>
      <c r="O9" s="25">
        <f>L9/L6</f>
        <v>3.146551724137931</v>
      </c>
    </row>
    <row r="10" spans="1:15" ht="48" customHeight="1" x14ac:dyDescent="0.35">
      <c r="A10" s="2">
        <f t="shared" si="0"/>
        <v>8</v>
      </c>
      <c r="B10" s="21" t="s">
        <v>25</v>
      </c>
      <c r="C10" s="21"/>
      <c r="D10" s="21"/>
      <c r="E10" s="21"/>
      <c r="F10" s="26" t="s">
        <v>26</v>
      </c>
      <c r="G10" s="26"/>
      <c r="H10" s="26"/>
      <c r="I10" s="26"/>
      <c r="K10" s="18" t="s">
        <v>197</v>
      </c>
      <c r="L10" s="17">
        <f>L9</f>
        <v>182.5</v>
      </c>
      <c r="N10" s="19" t="s">
        <v>28</v>
      </c>
      <c r="O10" s="25">
        <f>L10/L6</f>
        <v>3.146551724137931</v>
      </c>
    </row>
    <row r="11" spans="1:15" ht="50" customHeight="1" x14ac:dyDescent="0.35">
      <c r="A11" s="2">
        <f t="shared" si="0"/>
        <v>9</v>
      </c>
      <c r="B11" s="21" t="s">
        <v>29</v>
      </c>
      <c r="C11" s="21"/>
      <c r="D11" s="21"/>
      <c r="E11" s="21"/>
      <c r="F11" s="24" t="s">
        <v>466</v>
      </c>
      <c r="G11" s="24"/>
      <c r="H11" s="24"/>
      <c r="I11" s="24"/>
      <c r="K11" s="18" t="s">
        <v>31</v>
      </c>
      <c r="L11" s="28">
        <f>0.33*L10</f>
        <v>60.225000000000001</v>
      </c>
      <c r="N11" s="19" t="s">
        <v>33</v>
      </c>
      <c r="O11" s="29">
        <f>(L11*L15)/L6</f>
        <v>1.8586681034482759</v>
      </c>
    </row>
    <row r="12" spans="1:15" ht="49" customHeight="1" x14ac:dyDescent="0.35">
      <c r="A12" s="2">
        <f t="shared" si="0"/>
        <v>10</v>
      </c>
      <c r="B12" s="21" t="s">
        <v>34</v>
      </c>
      <c r="C12" s="21"/>
      <c r="D12" s="21"/>
      <c r="E12" s="21"/>
      <c r="F12" s="24" t="s">
        <v>467</v>
      </c>
      <c r="G12" s="24"/>
      <c r="H12" s="24"/>
      <c r="I12" s="24"/>
      <c r="K12" s="18" t="s">
        <v>36</v>
      </c>
      <c r="L12" s="17">
        <f>J48</f>
        <v>182.5</v>
      </c>
      <c r="N12" s="19" t="s">
        <v>37</v>
      </c>
      <c r="O12" s="20">
        <f>L12/L6</f>
        <v>3.146551724137931</v>
      </c>
    </row>
    <row r="13" spans="1:15" ht="64" customHeight="1" x14ac:dyDescent="0.35">
      <c r="A13" s="2">
        <f t="shared" si="0"/>
        <v>11</v>
      </c>
      <c r="B13" s="21" t="s">
        <v>38</v>
      </c>
      <c r="C13" s="21"/>
      <c r="D13" s="21"/>
      <c r="E13" s="21"/>
      <c r="F13" s="24" t="s">
        <v>39</v>
      </c>
      <c r="G13" s="24"/>
      <c r="H13" s="24"/>
      <c r="I13" s="24"/>
      <c r="K13" s="18" t="s">
        <v>40</v>
      </c>
      <c r="L13" s="17">
        <f>L12</f>
        <v>182.5</v>
      </c>
      <c r="N13" s="19" t="s">
        <v>41</v>
      </c>
      <c r="O13" s="20">
        <f>L13/L6</f>
        <v>3.146551724137931</v>
      </c>
    </row>
    <row r="14" spans="1:15" ht="52" customHeight="1" x14ac:dyDescent="0.35">
      <c r="A14" s="2">
        <f t="shared" si="0"/>
        <v>12</v>
      </c>
      <c r="B14" s="21" t="s">
        <v>42</v>
      </c>
      <c r="C14" s="21"/>
      <c r="D14" s="21"/>
      <c r="E14" s="21"/>
      <c r="F14" s="26" t="s">
        <v>26</v>
      </c>
      <c r="G14" s="26"/>
      <c r="H14" s="26"/>
      <c r="I14" s="26"/>
      <c r="K14" s="18" t="s">
        <v>43</v>
      </c>
      <c r="L14" s="17">
        <f>137.25+(52*1.5)</f>
        <v>215.25</v>
      </c>
      <c r="M14" s="2" t="s">
        <v>468</v>
      </c>
      <c r="N14" s="19" t="s">
        <v>45</v>
      </c>
      <c r="O14" s="23">
        <f>(L14*L15)/L6</f>
        <v>6.6430603448275862</v>
      </c>
    </row>
    <row r="15" spans="1:15" ht="51" customHeight="1" x14ac:dyDescent="0.35">
      <c r="A15" s="2">
        <f t="shared" si="0"/>
        <v>13</v>
      </c>
      <c r="B15" s="21" t="s">
        <v>46</v>
      </c>
      <c r="C15" s="21"/>
      <c r="D15" s="21"/>
      <c r="E15" s="21"/>
      <c r="F15" s="24" t="s">
        <v>335</v>
      </c>
      <c r="G15" s="24"/>
      <c r="H15" s="24"/>
      <c r="I15" s="24"/>
      <c r="K15" s="18" t="s">
        <v>48</v>
      </c>
      <c r="L15" s="17">
        <v>1.79</v>
      </c>
      <c r="N15" s="19" t="s">
        <v>49</v>
      </c>
      <c r="O15" s="23">
        <f>L18/L6</f>
        <v>10.344827586206897</v>
      </c>
    </row>
    <row r="16" spans="1:15" ht="51" customHeight="1" x14ac:dyDescent="0.35">
      <c r="A16" s="2">
        <f t="shared" si="0"/>
        <v>14</v>
      </c>
      <c r="B16" s="21" t="s">
        <v>50</v>
      </c>
      <c r="C16" s="21"/>
      <c r="D16" s="21"/>
      <c r="E16" s="21"/>
      <c r="F16" s="26" t="s">
        <v>26</v>
      </c>
      <c r="G16" s="26"/>
      <c r="H16" s="26"/>
      <c r="I16" s="26"/>
      <c r="K16" s="32" t="s">
        <v>51</v>
      </c>
      <c r="L16" s="33">
        <v>0</v>
      </c>
      <c r="N16" s="88" t="s">
        <v>52</v>
      </c>
      <c r="O16" s="35">
        <f>L16/L6</f>
        <v>0</v>
      </c>
    </row>
    <row r="17" spans="1:15" ht="19" customHeight="1" x14ac:dyDescent="0.35">
      <c r="A17" s="2">
        <f t="shared" si="0"/>
        <v>15</v>
      </c>
      <c r="B17" s="21" t="s">
        <v>53</v>
      </c>
      <c r="C17" s="21"/>
      <c r="D17" s="21"/>
      <c r="E17" s="21"/>
      <c r="F17" s="26" t="s">
        <v>26</v>
      </c>
      <c r="G17" s="26"/>
      <c r="H17" s="26"/>
      <c r="I17" s="26"/>
      <c r="L17" s="33" t="s">
        <v>44</v>
      </c>
    </row>
    <row r="18" spans="1:15" ht="19" customHeight="1" x14ac:dyDescent="0.35">
      <c r="A18" s="2">
        <f t="shared" si="0"/>
        <v>16</v>
      </c>
      <c r="B18" s="21" t="s">
        <v>54</v>
      </c>
      <c r="C18" s="21"/>
      <c r="D18" s="21"/>
      <c r="E18" s="21"/>
      <c r="F18" s="26" t="s">
        <v>26</v>
      </c>
      <c r="G18" s="26"/>
      <c r="H18" s="26"/>
      <c r="I18" s="26"/>
      <c r="K18" s="18" t="s">
        <v>55</v>
      </c>
      <c r="L18" s="17">
        <v>600</v>
      </c>
      <c r="N18" s="19" t="s">
        <v>57</v>
      </c>
      <c r="O18" s="23">
        <f>O8+O11+O14+O15+O16</f>
        <v>197.69138362068963</v>
      </c>
    </row>
    <row r="19" spans="1:15" ht="19" customHeight="1" thickBot="1" x14ac:dyDescent="0.4">
      <c r="A19" s="2">
        <f t="shared" si="0"/>
        <v>17</v>
      </c>
      <c r="B19" s="37" t="s">
        <v>58</v>
      </c>
      <c r="C19" s="21"/>
      <c r="D19" s="21"/>
      <c r="E19" s="21"/>
      <c r="F19" s="24">
        <v>1994</v>
      </c>
      <c r="G19" s="24"/>
      <c r="H19" s="24"/>
      <c r="I19" s="24"/>
      <c r="K19" s="38"/>
      <c r="L19" s="5"/>
      <c r="M19" s="5"/>
      <c r="N19" s="90" t="s">
        <v>59</v>
      </c>
      <c r="O19" s="40">
        <f>O9+O12</f>
        <v>6.2931034482758621</v>
      </c>
    </row>
    <row r="20" spans="1:15" ht="68" customHeight="1" x14ac:dyDescent="0.35">
      <c r="A20" s="2">
        <f t="shared" si="0"/>
        <v>18</v>
      </c>
      <c r="B20" s="37" t="s">
        <v>60</v>
      </c>
      <c r="C20" s="21"/>
      <c r="D20" s="21"/>
      <c r="E20" s="21"/>
      <c r="F20" s="24" t="s">
        <v>469</v>
      </c>
      <c r="G20" s="24"/>
      <c r="H20" s="24"/>
      <c r="I20" s="24"/>
      <c r="J20" s="36" t="s">
        <v>470</v>
      </c>
    </row>
    <row r="21" spans="1:15" ht="32.25" customHeight="1" x14ac:dyDescent="0.35">
      <c r="A21" s="2">
        <f t="shared" si="0"/>
        <v>19</v>
      </c>
      <c r="B21" s="37" t="s">
        <v>62</v>
      </c>
      <c r="C21" s="21"/>
      <c r="D21" s="21"/>
      <c r="E21" s="21"/>
      <c r="F21" s="24" t="s">
        <v>471</v>
      </c>
      <c r="G21" s="24"/>
      <c r="H21" s="24"/>
      <c r="I21" s="24"/>
      <c r="J21" s="2">
        <f>57/69</f>
        <v>0.82608695652173914</v>
      </c>
    </row>
    <row r="22" spans="1:15" ht="32.25" customHeight="1" x14ac:dyDescent="0.35">
      <c r="A22" s="2">
        <f t="shared" si="0"/>
        <v>20</v>
      </c>
      <c r="B22" s="41"/>
      <c r="C22" s="42"/>
      <c r="D22" s="42"/>
      <c r="E22" s="42"/>
      <c r="F22" s="121"/>
      <c r="G22" s="121"/>
      <c r="H22" s="121"/>
      <c r="I22" s="43"/>
    </row>
    <row r="23" spans="1:15" ht="64" customHeight="1" x14ac:dyDescent="0.35">
      <c r="A23" s="2">
        <f t="shared" si="0"/>
        <v>21</v>
      </c>
      <c r="B23" s="44" t="s">
        <v>67</v>
      </c>
      <c r="C23" s="45"/>
      <c r="D23" s="45"/>
      <c r="E23" s="45"/>
      <c r="F23" s="93" t="s">
        <v>472</v>
      </c>
      <c r="G23" s="93"/>
      <c r="H23" s="93"/>
      <c r="I23" s="122" t="s">
        <v>68</v>
      </c>
      <c r="J23" s="2">
        <f>1115+950+760</f>
        <v>2825</v>
      </c>
    </row>
    <row r="24" spans="1:15" ht="111.75" customHeight="1" x14ac:dyDescent="0.35">
      <c r="B24" s="44" t="s">
        <v>339</v>
      </c>
      <c r="C24" s="45"/>
      <c r="D24" s="45"/>
      <c r="E24" s="45"/>
      <c r="F24" s="47" t="s">
        <v>473</v>
      </c>
      <c r="G24" s="47"/>
      <c r="H24" s="47"/>
      <c r="I24" s="47"/>
      <c r="J24" s="2" t="s">
        <v>474</v>
      </c>
    </row>
    <row r="25" spans="1:15" ht="20.25" customHeight="1" x14ac:dyDescent="0.35">
      <c r="B25" s="36"/>
      <c r="C25" s="36"/>
      <c r="D25" s="36"/>
      <c r="E25" s="36"/>
    </row>
    <row r="26" spans="1:15" x14ac:dyDescent="0.35">
      <c r="B26" s="48" t="s">
        <v>71</v>
      </c>
      <c r="C26" s="48"/>
      <c r="D26" s="48"/>
      <c r="E26" s="48"/>
    </row>
    <row r="27" spans="1:15" ht="47.25" customHeight="1" x14ac:dyDescent="0.35">
      <c r="B27" s="49" t="s">
        <v>72</v>
      </c>
      <c r="C27" s="50"/>
      <c r="D27" s="51" t="s">
        <v>73</v>
      </c>
      <c r="E27" s="51" t="s">
        <v>74</v>
      </c>
      <c r="F27" s="51" t="s">
        <v>75</v>
      </c>
      <c r="G27" s="51" t="s">
        <v>76</v>
      </c>
      <c r="H27" s="52" t="s">
        <v>77</v>
      </c>
      <c r="I27" s="52" t="s">
        <v>78</v>
      </c>
    </row>
    <row r="28" spans="1:15" ht="30" customHeight="1" x14ac:dyDescent="0.35">
      <c r="A28" s="2">
        <v>22</v>
      </c>
      <c r="B28" s="53"/>
      <c r="C28" s="50" t="s">
        <v>79</v>
      </c>
      <c r="D28" s="50" t="s">
        <v>80</v>
      </c>
      <c r="E28" s="50"/>
      <c r="F28" s="50"/>
      <c r="G28" s="50"/>
      <c r="H28" s="50"/>
      <c r="I28" s="50"/>
    </row>
    <row r="29" spans="1:15" ht="30" customHeight="1" x14ac:dyDescent="0.35">
      <c r="A29" s="2">
        <v>23</v>
      </c>
      <c r="B29" s="54"/>
      <c r="C29" s="50" t="s">
        <v>81</v>
      </c>
      <c r="D29" s="50" t="s">
        <v>80</v>
      </c>
      <c r="E29" s="50"/>
      <c r="F29" s="50"/>
      <c r="G29" s="50"/>
      <c r="H29" s="50"/>
      <c r="I29" s="50"/>
    </row>
    <row r="30" spans="1:15" ht="30" customHeight="1" x14ac:dyDescent="0.35">
      <c r="A30" s="2">
        <v>24</v>
      </c>
      <c r="B30" s="54"/>
      <c r="C30" s="50" t="s">
        <v>82</v>
      </c>
      <c r="D30" s="50" t="s">
        <v>80</v>
      </c>
      <c r="E30" s="50"/>
      <c r="F30" s="50"/>
      <c r="G30" s="50"/>
      <c r="H30" s="50"/>
      <c r="I30" s="50"/>
      <c r="J30" s="2" t="s">
        <v>475</v>
      </c>
    </row>
    <row r="31" spans="1:15" ht="30" customHeight="1" x14ac:dyDescent="0.35">
      <c r="A31" s="2">
        <v>25</v>
      </c>
      <c r="B31" s="54"/>
      <c r="C31" s="50" t="s">
        <v>83</v>
      </c>
      <c r="D31" s="50" t="s">
        <v>84</v>
      </c>
      <c r="E31" s="50"/>
      <c r="F31" s="50"/>
      <c r="G31" s="50"/>
      <c r="H31" s="50"/>
      <c r="I31" s="50"/>
    </row>
    <row r="32" spans="1:15" ht="30" customHeight="1" x14ac:dyDescent="0.35">
      <c r="A32" s="2">
        <v>26</v>
      </c>
      <c r="B32" s="54"/>
      <c r="C32" s="50" t="s">
        <v>85</v>
      </c>
      <c r="D32" s="50" t="s">
        <v>84</v>
      </c>
      <c r="E32" s="50"/>
      <c r="F32" s="50"/>
      <c r="G32" s="50" t="s">
        <v>476</v>
      </c>
      <c r="H32" s="50"/>
      <c r="I32" s="50" t="s">
        <v>477</v>
      </c>
      <c r="J32" s="2">
        <v>6573</v>
      </c>
    </row>
    <row r="33" spans="1:10" ht="30" customHeight="1" x14ac:dyDescent="0.35">
      <c r="A33" s="2">
        <v>27</v>
      </c>
      <c r="B33" s="54"/>
      <c r="C33" s="50" t="s">
        <v>22</v>
      </c>
      <c r="D33" s="50" t="s">
        <v>84</v>
      </c>
      <c r="E33" s="50"/>
      <c r="F33" s="50"/>
      <c r="G33" s="50">
        <v>3800</v>
      </c>
      <c r="H33" s="50"/>
      <c r="I33" s="50"/>
      <c r="J33" s="2" t="s">
        <v>478</v>
      </c>
    </row>
    <row r="34" spans="1:10" ht="30" customHeight="1" x14ac:dyDescent="0.35">
      <c r="A34" s="2">
        <v>28</v>
      </c>
      <c r="B34" s="54"/>
      <c r="C34" s="50" t="s">
        <v>90</v>
      </c>
      <c r="D34" s="50" t="s">
        <v>84</v>
      </c>
      <c r="E34" s="50"/>
      <c r="F34" s="50"/>
      <c r="G34" s="50"/>
      <c r="H34" s="50"/>
      <c r="I34" s="50"/>
    </row>
    <row r="35" spans="1:10" ht="30" customHeight="1" x14ac:dyDescent="0.35">
      <c r="A35" s="2">
        <v>29</v>
      </c>
      <c r="B35" s="54"/>
      <c r="C35" s="55" t="s">
        <v>91</v>
      </c>
      <c r="D35" s="50" t="s">
        <v>92</v>
      </c>
      <c r="E35" s="50"/>
      <c r="F35" s="50"/>
      <c r="G35" s="50"/>
      <c r="H35" s="50"/>
      <c r="I35" s="50"/>
      <c r="J35" s="2" t="s">
        <v>479</v>
      </c>
    </row>
    <row r="38" spans="1:10" ht="29.25" customHeight="1" x14ac:dyDescent="0.35">
      <c r="B38" s="56" t="s">
        <v>96</v>
      </c>
      <c r="C38" s="57"/>
      <c r="I38" s="46" t="s">
        <v>97</v>
      </c>
    </row>
    <row r="39" spans="1:10" ht="31" customHeight="1" x14ac:dyDescent="0.35">
      <c r="B39" s="75" t="s">
        <v>98</v>
      </c>
      <c r="C39" s="55" t="s">
        <v>99</v>
      </c>
      <c r="D39" s="50" t="s">
        <v>100</v>
      </c>
      <c r="E39" s="50" t="s">
        <v>101</v>
      </c>
      <c r="F39" s="55" t="s">
        <v>102</v>
      </c>
      <c r="G39" s="55" t="s">
        <v>103</v>
      </c>
      <c r="H39" s="55" t="s">
        <v>104</v>
      </c>
      <c r="I39" s="55" t="s">
        <v>105</v>
      </c>
    </row>
    <row r="40" spans="1:10" ht="40" customHeight="1" x14ac:dyDescent="0.35">
      <c r="A40" s="2">
        <v>30</v>
      </c>
      <c r="B40" s="96"/>
      <c r="C40" s="50" t="s">
        <v>480</v>
      </c>
      <c r="D40" s="50"/>
      <c r="E40" s="50">
        <v>0.5</v>
      </c>
      <c r="F40" s="50" t="s">
        <v>481</v>
      </c>
      <c r="G40" s="50"/>
      <c r="H40" s="50"/>
      <c r="I40" s="50"/>
      <c r="J40" s="2" t="s">
        <v>482</v>
      </c>
    </row>
    <row r="41" spans="1:10" ht="40" customHeight="1" x14ac:dyDescent="0.35">
      <c r="A41" s="2">
        <v>31</v>
      </c>
      <c r="B41" s="96"/>
      <c r="C41" s="50" t="s">
        <v>483</v>
      </c>
      <c r="D41" s="50" t="s">
        <v>484</v>
      </c>
      <c r="E41" s="50" t="s">
        <v>485</v>
      </c>
      <c r="F41" s="50"/>
      <c r="G41" s="50"/>
      <c r="H41" s="50" t="s">
        <v>486</v>
      </c>
      <c r="I41" s="50" t="s">
        <v>487</v>
      </c>
    </row>
    <row r="42" spans="1:10" ht="40" customHeight="1" x14ac:dyDescent="0.35">
      <c r="A42" s="2">
        <v>32</v>
      </c>
      <c r="B42" s="96"/>
      <c r="C42" s="50" t="s">
        <v>488</v>
      </c>
      <c r="D42" s="50"/>
      <c r="E42" s="50" t="s">
        <v>489</v>
      </c>
      <c r="F42" s="50" t="s">
        <v>490</v>
      </c>
      <c r="G42" s="50"/>
      <c r="H42" s="50" t="s">
        <v>491</v>
      </c>
      <c r="I42" s="50"/>
      <c r="J42" s="2" t="s">
        <v>492</v>
      </c>
    </row>
    <row r="43" spans="1:10" ht="40" customHeight="1" x14ac:dyDescent="0.35">
      <c r="A43" s="2">
        <v>33</v>
      </c>
      <c r="B43" s="96"/>
      <c r="C43" s="50" t="s">
        <v>493</v>
      </c>
      <c r="D43" s="50"/>
      <c r="E43" s="50"/>
      <c r="F43" s="50"/>
      <c r="G43" s="50"/>
      <c r="H43" s="50" t="s">
        <v>494</v>
      </c>
      <c r="I43" s="50"/>
      <c r="J43" s="2" t="s">
        <v>495</v>
      </c>
    </row>
    <row r="44" spans="1:10" ht="40" customHeight="1" x14ac:dyDescent="0.35">
      <c r="A44" s="2">
        <v>34</v>
      </c>
      <c r="B44" s="96"/>
      <c r="C44" s="50" t="s">
        <v>496</v>
      </c>
      <c r="D44" s="50"/>
      <c r="E44" s="50"/>
      <c r="F44" s="50"/>
      <c r="G44" s="50" t="s">
        <v>497</v>
      </c>
      <c r="H44" s="50"/>
      <c r="I44" s="50"/>
      <c r="J44" s="2" t="s">
        <v>498</v>
      </c>
    </row>
    <row r="45" spans="1:10" ht="40" customHeight="1" x14ac:dyDescent="0.35">
      <c r="A45" s="2">
        <v>35</v>
      </c>
      <c r="B45" s="96"/>
      <c r="C45" s="50" t="s">
        <v>499</v>
      </c>
      <c r="D45" s="50"/>
      <c r="E45" s="50"/>
      <c r="F45" s="50"/>
      <c r="G45" s="50" t="s">
        <v>500</v>
      </c>
      <c r="H45" s="50"/>
      <c r="I45" s="50"/>
      <c r="J45" s="2" t="s">
        <v>501</v>
      </c>
    </row>
    <row r="46" spans="1:10" ht="40" customHeight="1" x14ac:dyDescent="0.35">
      <c r="A46" s="2">
        <v>36</v>
      </c>
      <c r="B46" s="96"/>
      <c r="C46" s="50" t="s">
        <v>502</v>
      </c>
      <c r="D46" s="50"/>
      <c r="E46" s="50"/>
      <c r="F46" s="50"/>
      <c r="G46" s="50"/>
      <c r="H46" s="50"/>
      <c r="I46" s="50"/>
      <c r="J46" s="2" t="s">
        <v>503</v>
      </c>
    </row>
    <row r="47" spans="1:10" x14ac:dyDescent="0.35">
      <c r="C47" s="61" t="s">
        <v>504</v>
      </c>
      <c r="D47" s="61"/>
      <c r="E47" s="61"/>
      <c r="F47" s="61"/>
      <c r="G47" s="61"/>
      <c r="H47" s="61"/>
      <c r="I47" s="61"/>
    </row>
    <row r="48" spans="1:10" x14ac:dyDescent="0.35">
      <c r="C48" s="62"/>
      <c r="D48" s="62"/>
      <c r="E48" s="62"/>
      <c r="F48" s="62"/>
      <c r="G48" s="62"/>
      <c r="H48" s="62"/>
      <c r="I48" s="62"/>
      <c r="J48" s="2">
        <f>20+31.5+40+52+24+15</f>
        <v>182.5</v>
      </c>
    </row>
    <row r="49" spans="1:9" x14ac:dyDescent="0.35">
      <c r="C49" s="62"/>
      <c r="D49" s="62"/>
      <c r="E49" s="62"/>
      <c r="F49" s="62"/>
      <c r="G49" s="62"/>
      <c r="H49" s="62"/>
      <c r="I49" s="62"/>
    </row>
    <row r="50" spans="1:9" x14ac:dyDescent="0.35">
      <c r="C50" s="62"/>
      <c r="D50" s="62"/>
      <c r="E50" s="62"/>
      <c r="F50" s="62"/>
      <c r="G50" s="62"/>
      <c r="H50" s="62"/>
      <c r="I50" s="62"/>
    </row>
    <row r="51" spans="1:9" x14ac:dyDescent="0.35">
      <c r="C51" s="62"/>
      <c r="D51" s="62"/>
      <c r="E51" s="62"/>
      <c r="F51" s="62"/>
      <c r="G51" s="62"/>
      <c r="H51" s="62"/>
      <c r="I51" s="62"/>
    </row>
    <row r="52" spans="1:9" x14ac:dyDescent="0.35">
      <c r="C52" s="62"/>
      <c r="D52" s="62"/>
      <c r="E52" s="62"/>
      <c r="F52" s="62"/>
      <c r="G52" s="62"/>
      <c r="H52" s="62"/>
      <c r="I52" s="62"/>
    </row>
    <row r="56" spans="1:9" ht="27" customHeight="1" x14ac:dyDescent="0.35">
      <c r="B56" s="56" t="s">
        <v>122</v>
      </c>
      <c r="C56" s="57"/>
      <c r="I56" s="46" t="s">
        <v>123</v>
      </c>
    </row>
    <row r="57" spans="1:9" ht="45" customHeight="1" x14ac:dyDescent="0.35">
      <c r="B57" s="50"/>
      <c r="C57" s="55" t="s">
        <v>124</v>
      </c>
      <c r="D57" s="55" t="s">
        <v>125</v>
      </c>
      <c r="E57" s="55" t="s">
        <v>126</v>
      </c>
      <c r="F57" s="55" t="s">
        <v>127</v>
      </c>
      <c r="G57" s="55" t="s">
        <v>128</v>
      </c>
      <c r="H57" s="55" t="s">
        <v>129</v>
      </c>
      <c r="I57" s="63" t="s">
        <v>130</v>
      </c>
    </row>
    <row r="58" spans="1:9" ht="124" x14ac:dyDescent="0.35">
      <c r="A58" s="2">
        <v>37</v>
      </c>
      <c r="B58" s="55" t="s">
        <v>131</v>
      </c>
      <c r="C58" s="50" t="s">
        <v>505</v>
      </c>
      <c r="D58" s="50"/>
      <c r="E58" s="50"/>
      <c r="F58" s="50"/>
      <c r="G58" s="50"/>
      <c r="H58" s="50" t="s">
        <v>506</v>
      </c>
      <c r="I58" s="64"/>
    </row>
    <row r="59" spans="1:9" ht="93" x14ac:dyDescent="0.35">
      <c r="A59" s="2">
        <v>38</v>
      </c>
      <c r="B59" s="55" t="s">
        <v>132</v>
      </c>
      <c r="C59" s="50" t="s">
        <v>507</v>
      </c>
      <c r="D59" s="50"/>
      <c r="E59" s="50"/>
      <c r="F59" s="50"/>
      <c r="G59" s="50"/>
      <c r="H59" s="50"/>
      <c r="I59" s="64"/>
    </row>
    <row r="60" spans="1:9" ht="108.5" x14ac:dyDescent="0.35">
      <c r="A60" s="2">
        <v>39</v>
      </c>
      <c r="B60" s="65" t="s">
        <v>133</v>
      </c>
      <c r="C60" s="50" t="s">
        <v>508</v>
      </c>
      <c r="D60" s="50"/>
      <c r="E60" s="50"/>
      <c r="F60" s="50"/>
      <c r="G60" s="50"/>
      <c r="H60" s="50"/>
      <c r="I60" s="64"/>
    </row>
    <row r="61" spans="1:9" x14ac:dyDescent="0.35">
      <c r="A61" s="2" t="s">
        <v>44</v>
      </c>
      <c r="C61" s="66" t="s">
        <v>121</v>
      </c>
      <c r="D61" s="66"/>
      <c r="E61" s="66"/>
      <c r="F61" s="66"/>
      <c r="G61" s="66"/>
      <c r="H61" s="66"/>
      <c r="I61" s="66"/>
    </row>
    <row r="62" spans="1:9" x14ac:dyDescent="0.35">
      <c r="C62" s="67"/>
      <c r="D62" s="67"/>
      <c r="E62" s="67"/>
      <c r="F62" s="67"/>
      <c r="G62" s="67"/>
      <c r="H62" s="67"/>
      <c r="I62" s="67"/>
    </row>
    <row r="63" spans="1:9" x14ac:dyDescent="0.35">
      <c r="C63" s="67"/>
      <c r="D63" s="67"/>
      <c r="E63" s="67"/>
      <c r="F63" s="67"/>
      <c r="G63" s="67"/>
      <c r="H63" s="67"/>
      <c r="I63" s="67"/>
    </row>
    <row r="64" spans="1:9" x14ac:dyDescent="0.35">
      <c r="C64" s="67"/>
      <c r="D64" s="67"/>
      <c r="E64" s="67"/>
      <c r="F64" s="67"/>
      <c r="G64" s="67"/>
      <c r="H64" s="67"/>
      <c r="I64" s="67"/>
    </row>
    <row r="65" spans="1:10" x14ac:dyDescent="0.35">
      <c r="C65" s="67"/>
      <c r="D65" s="67"/>
      <c r="E65" s="67"/>
      <c r="F65" s="67"/>
      <c r="G65" s="67"/>
      <c r="H65" s="67"/>
      <c r="I65" s="67"/>
    </row>
    <row r="66" spans="1:10" x14ac:dyDescent="0.35">
      <c r="C66" s="36"/>
    </row>
    <row r="67" spans="1:10" x14ac:dyDescent="0.35">
      <c r="C67" s="36"/>
    </row>
    <row r="68" spans="1:10" ht="46.5" customHeight="1" x14ac:dyDescent="0.35">
      <c r="B68" s="68" t="s">
        <v>134</v>
      </c>
      <c r="C68" s="68"/>
      <c r="D68" s="69" t="s">
        <v>135</v>
      </c>
      <c r="E68" s="69" t="s">
        <v>135</v>
      </c>
      <c r="F68" s="69" t="s">
        <v>135</v>
      </c>
      <c r="G68" s="69" t="s">
        <v>135</v>
      </c>
      <c r="H68" s="69" t="s">
        <v>135</v>
      </c>
      <c r="I68" s="70" t="s">
        <v>136</v>
      </c>
    </row>
    <row r="69" spans="1:10" ht="48" customHeight="1" x14ac:dyDescent="0.35">
      <c r="A69" s="2">
        <v>40</v>
      </c>
      <c r="B69" s="71" t="s">
        <v>137</v>
      </c>
      <c r="C69" s="71"/>
      <c r="D69" s="71"/>
      <c r="E69" s="71"/>
      <c r="F69" s="68" t="s">
        <v>509</v>
      </c>
      <c r="G69" s="68"/>
      <c r="H69" s="68"/>
      <c r="I69" s="68"/>
    </row>
    <row r="70" spans="1:10" ht="68" customHeight="1" x14ac:dyDescent="0.35">
      <c r="A70" s="2">
        <v>41</v>
      </c>
      <c r="B70" s="71" t="s">
        <v>139</v>
      </c>
      <c r="C70" s="71"/>
      <c r="D70" s="71"/>
      <c r="E70" s="71"/>
      <c r="F70" s="69" t="s">
        <v>135</v>
      </c>
      <c r="G70" s="69" t="s">
        <v>135</v>
      </c>
      <c r="H70" s="69" t="s">
        <v>510</v>
      </c>
      <c r="I70" s="69" t="s">
        <v>135</v>
      </c>
    </row>
    <row r="71" spans="1:10" ht="27.75" customHeight="1" x14ac:dyDescent="0.35">
      <c r="A71" s="2">
        <v>42</v>
      </c>
      <c r="B71" s="71" t="s">
        <v>141</v>
      </c>
      <c r="C71" s="71"/>
      <c r="D71" s="71"/>
      <c r="E71" s="71"/>
      <c r="F71" s="69" t="s">
        <v>135</v>
      </c>
      <c r="G71" s="69" t="s">
        <v>135</v>
      </c>
      <c r="H71" s="69" t="s">
        <v>135</v>
      </c>
      <c r="I71" s="69" t="s">
        <v>135</v>
      </c>
      <c r="J71" s="133" t="s">
        <v>511</v>
      </c>
    </row>
    <row r="72" spans="1:10" ht="25" customHeight="1" x14ac:dyDescent="0.35">
      <c r="A72" s="2">
        <v>43</v>
      </c>
      <c r="B72" s="71" t="s">
        <v>143</v>
      </c>
      <c r="C72" s="71"/>
      <c r="D72" s="71"/>
      <c r="E72" s="71"/>
      <c r="F72" s="69" t="s">
        <v>135</v>
      </c>
      <c r="G72" s="69" t="s">
        <v>135</v>
      </c>
      <c r="H72" s="69" t="s">
        <v>135</v>
      </c>
      <c r="I72" s="69" t="s">
        <v>135</v>
      </c>
      <c r="J72" s="133" t="s">
        <v>512</v>
      </c>
    </row>
    <row r="73" spans="1:10" ht="41.25" customHeight="1" x14ac:dyDescent="0.35">
      <c r="A73" s="2">
        <v>44</v>
      </c>
      <c r="B73" s="71" t="s">
        <v>144</v>
      </c>
      <c r="C73" s="71"/>
      <c r="D73" s="71"/>
      <c r="E73" s="71"/>
      <c r="F73" s="69" t="s">
        <v>135</v>
      </c>
      <c r="G73" s="69" t="s">
        <v>135</v>
      </c>
      <c r="H73" s="69" t="s">
        <v>135</v>
      </c>
      <c r="I73" s="69" t="s">
        <v>444</v>
      </c>
      <c r="J73" s="133" t="s">
        <v>513</v>
      </c>
    </row>
    <row r="74" spans="1:10" ht="55.5" customHeight="1" x14ac:dyDescent="0.35">
      <c r="A74" s="2">
        <v>45</v>
      </c>
      <c r="B74" s="71" t="s">
        <v>146</v>
      </c>
      <c r="C74" s="71"/>
      <c r="D74" s="71"/>
      <c r="E74" s="71"/>
      <c r="F74" s="69" t="s">
        <v>135</v>
      </c>
      <c r="G74" s="69" t="s">
        <v>514</v>
      </c>
      <c r="H74" s="69" t="s">
        <v>135</v>
      </c>
      <c r="I74" s="69" t="s">
        <v>135</v>
      </c>
    </row>
    <row r="75" spans="1:10" ht="36.75" customHeight="1" x14ac:dyDescent="0.35">
      <c r="A75" s="2">
        <v>46</v>
      </c>
      <c r="B75" s="71" t="s">
        <v>147</v>
      </c>
      <c r="C75" s="71"/>
      <c r="D75" s="71"/>
      <c r="E75" s="71"/>
      <c r="F75" s="69" t="s">
        <v>135</v>
      </c>
      <c r="G75" s="69" t="s">
        <v>515</v>
      </c>
      <c r="H75" s="69" t="s">
        <v>135</v>
      </c>
      <c r="I75" s="69" t="s">
        <v>135</v>
      </c>
    </row>
    <row r="76" spans="1:10" ht="29.25" customHeight="1" x14ac:dyDescent="0.35">
      <c r="A76" s="2">
        <v>47</v>
      </c>
      <c r="B76" s="73" t="s">
        <v>149</v>
      </c>
      <c r="C76" s="73"/>
      <c r="D76" s="73"/>
      <c r="E76" s="73"/>
      <c r="F76" s="74" t="s">
        <v>135</v>
      </c>
      <c r="G76" s="74" t="s">
        <v>514</v>
      </c>
      <c r="H76" s="74" t="s">
        <v>135</v>
      </c>
      <c r="I76" s="74" t="s">
        <v>135</v>
      </c>
    </row>
    <row r="77" spans="1:10" ht="43" customHeight="1" x14ac:dyDescent="0.35">
      <c r="A77" s="2">
        <v>48</v>
      </c>
      <c r="B77" s="71" t="s">
        <v>150</v>
      </c>
      <c r="C77" s="71"/>
      <c r="D77" s="71"/>
      <c r="E77" s="71"/>
      <c r="F77" s="69" t="s">
        <v>135</v>
      </c>
      <c r="G77" s="69" t="s">
        <v>516</v>
      </c>
      <c r="H77" s="69" t="s">
        <v>135</v>
      </c>
      <c r="I77" s="69" t="s">
        <v>135</v>
      </c>
    </row>
    <row r="78" spans="1:10" ht="31" customHeight="1" x14ac:dyDescent="0.35">
      <c r="A78" s="2">
        <v>49</v>
      </c>
      <c r="B78" s="71" t="s">
        <v>152</v>
      </c>
      <c r="C78" s="71"/>
      <c r="D78" s="71"/>
      <c r="E78" s="71"/>
      <c r="F78" s="69" t="s">
        <v>135</v>
      </c>
      <c r="G78" s="69" t="s">
        <v>517</v>
      </c>
      <c r="H78" s="69" t="s">
        <v>135</v>
      </c>
      <c r="I78" s="69" t="s">
        <v>135</v>
      </c>
      <c r="J78" s="133" t="s">
        <v>518</v>
      </c>
    </row>
    <row r="79" spans="1:10" ht="25.5" customHeight="1" x14ac:dyDescent="0.35">
      <c r="A79" s="2">
        <v>50</v>
      </c>
      <c r="B79" s="71" t="s">
        <v>153</v>
      </c>
      <c r="C79" s="71"/>
      <c r="D79" s="71"/>
      <c r="E79" s="71"/>
      <c r="F79" s="69" t="s">
        <v>135</v>
      </c>
      <c r="G79" s="69" t="s">
        <v>519</v>
      </c>
      <c r="H79" s="69" t="s">
        <v>135</v>
      </c>
      <c r="I79" s="69" t="s">
        <v>135</v>
      </c>
    </row>
    <row r="80" spans="1:10" ht="25" customHeight="1" x14ac:dyDescent="0.35">
      <c r="A80" s="2">
        <v>51</v>
      </c>
      <c r="B80" s="71" t="s">
        <v>154</v>
      </c>
      <c r="C80" s="71"/>
      <c r="D80" s="71"/>
      <c r="E80" s="71"/>
      <c r="F80" s="69" t="s">
        <v>135</v>
      </c>
      <c r="G80" s="69" t="s">
        <v>520</v>
      </c>
      <c r="H80" s="69" t="s">
        <v>135</v>
      </c>
      <c r="I80" s="69" t="s">
        <v>135</v>
      </c>
    </row>
    <row r="81" spans="1:10" ht="62" x14ac:dyDescent="0.35">
      <c r="A81" s="2">
        <v>52</v>
      </c>
      <c r="B81" s="75" t="s">
        <v>155</v>
      </c>
      <c r="C81" s="75"/>
      <c r="D81" s="75"/>
      <c r="E81" s="75"/>
      <c r="F81" s="76" t="s">
        <v>135</v>
      </c>
      <c r="G81" s="76" t="s">
        <v>521</v>
      </c>
      <c r="H81" s="76" t="s">
        <v>135</v>
      </c>
      <c r="I81" s="76" t="s">
        <v>135</v>
      </c>
    </row>
    <row r="82" spans="1:10" ht="35.5" customHeight="1" x14ac:dyDescent="0.35">
      <c r="A82" s="2" t="s">
        <v>44</v>
      </c>
      <c r="F82" s="36"/>
      <c r="G82" s="36"/>
      <c r="H82" s="36"/>
      <c r="I82" s="77" t="s">
        <v>156</v>
      </c>
    </row>
    <row r="83" spans="1:10" ht="40.5" customHeight="1" x14ac:dyDescent="0.35">
      <c r="B83" s="78" t="s">
        <v>157</v>
      </c>
      <c r="C83" s="78"/>
      <c r="D83" s="78"/>
      <c r="E83" s="78"/>
      <c r="F83" s="78"/>
      <c r="G83" s="78"/>
      <c r="H83" s="78"/>
      <c r="I83" s="78"/>
    </row>
    <row r="84" spans="1:10" ht="36" customHeight="1" x14ac:dyDescent="0.35">
      <c r="A84" s="2">
        <v>53</v>
      </c>
      <c r="B84" s="79" t="s">
        <v>158</v>
      </c>
      <c r="C84" s="79"/>
      <c r="D84" s="80" t="s">
        <v>522</v>
      </c>
      <c r="E84" s="80"/>
      <c r="F84" s="80"/>
      <c r="G84" s="80"/>
      <c r="H84" s="80"/>
      <c r="I84" s="80"/>
      <c r="J84" s="2" t="s">
        <v>523</v>
      </c>
    </row>
    <row r="85" spans="1:10" ht="36.75" customHeight="1" x14ac:dyDescent="0.35">
      <c r="A85" s="2">
        <v>54</v>
      </c>
      <c r="B85" s="21" t="s">
        <v>159</v>
      </c>
      <c r="C85" s="21"/>
      <c r="D85" s="9" t="s">
        <v>524</v>
      </c>
      <c r="E85" s="9"/>
      <c r="F85" s="9"/>
      <c r="G85" s="9"/>
      <c r="H85" s="9"/>
      <c r="I85" s="9"/>
    </row>
    <row r="86" spans="1:10" ht="41.5" customHeight="1" x14ac:dyDescent="0.35">
      <c r="A86" s="2">
        <v>55</v>
      </c>
      <c r="B86" s="21" t="s">
        <v>160</v>
      </c>
      <c r="C86" s="21"/>
      <c r="D86" s="9" t="s">
        <v>525</v>
      </c>
      <c r="E86" s="9"/>
      <c r="F86" s="9"/>
      <c r="G86" s="9"/>
      <c r="H86" s="9"/>
      <c r="I86" s="9"/>
    </row>
    <row r="87" spans="1:10" ht="38.25" customHeight="1" x14ac:dyDescent="0.35">
      <c r="A87" s="2">
        <v>56</v>
      </c>
      <c r="B87" s="21" t="s">
        <v>162</v>
      </c>
      <c r="C87" s="21"/>
      <c r="D87" s="9" t="s">
        <v>444</v>
      </c>
      <c r="E87" s="9"/>
      <c r="F87" s="9"/>
      <c r="G87" s="9"/>
      <c r="H87" s="9"/>
      <c r="I87" s="9"/>
    </row>
    <row r="88" spans="1:10" ht="29.25" customHeight="1" x14ac:dyDescent="0.35">
      <c r="A88" s="2">
        <v>57</v>
      </c>
      <c r="B88" s="21" t="s">
        <v>163</v>
      </c>
      <c r="C88" s="21"/>
      <c r="D88" s="9" t="s">
        <v>444</v>
      </c>
      <c r="E88" s="9"/>
      <c r="F88" s="9"/>
      <c r="G88" s="9"/>
      <c r="H88" s="9"/>
      <c r="I88" s="9"/>
    </row>
    <row r="89" spans="1:10" ht="43" customHeight="1" x14ac:dyDescent="0.35">
      <c r="A89" s="2">
        <v>58</v>
      </c>
      <c r="B89" s="21" t="s">
        <v>164</v>
      </c>
      <c r="C89" s="21"/>
      <c r="D89" s="9" t="s">
        <v>526</v>
      </c>
      <c r="E89" s="9"/>
      <c r="F89" s="9"/>
      <c r="G89" s="9"/>
      <c r="H89" s="9"/>
      <c r="I89" s="9"/>
      <c r="J89" s="2" t="s">
        <v>527</v>
      </c>
    </row>
    <row r="90" spans="1:10" x14ac:dyDescent="0.35">
      <c r="A90" s="2">
        <v>59</v>
      </c>
      <c r="B90" s="21" t="s">
        <v>165</v>
      </c>
      <c r="C90" s="21"/>
      <c r="D90" s="9" t="s">
        <v>528</v>
      </c>
      <c r="E90" s="9"/>
      <c r="F90" s="9"/>
      <c r="G90" s="9"/>
      <c r="H90" s="9"/>
      <c r="I90" s="9"/>
    </row>
    <row r="91" spans="1:10" x14ac:dyDescent="0.35">
      <c r="A91" s="2">
        <v>60</v>
      </c>
      <c r="B91" s="81" t="s">
        <v>166</v>
      </c>
      <c r="C91" s="81"/>
      <c r="D91" s="9" t="s">
        <v>444</v>
      </c>
      <c r="E91" s="9"/>
      <c r="F91" s="9"/>
      <c r="G91" s="9"/>
      <c r="H91" s="9"/>
      <c r="I91" s="9"/>
    </row>
    <row r="92" spans="1:10" ht="22.5" customHeight="1" x14ac:dyDescent="0.35">
      <c r="A92" s="2">
        <v>61</v>
      </c>
      <c r="B92" s="81" t="s">
        <v>167</v>
      </c>
      <c r="C92" s="81"/>
      <c r="D92" s="9" t="s">
        <v>444</v>
      </c>
      <c r="E92" s="9"/>
      <c r="F92" s="9"/>
      <c r="G92" s="9"/>
      <c r="H92" s="9"/>
      <c r="I92" s="9"/>
    </row>
    <row r="93" spans="1:10" x14ac:dyDescent="0.35">
      <c r="A93" s="2">
        <v>62</v>
      </c>
      <c r="B93" s="81" t="s">
        <v>169</v>
      </c>
      <c r="C93" s="81"/>
      <c r="D93" s="9" t="s">
        <v>529</v>
      </c>
      <c r="E93" s="9"/>
      <c r="F93" s="9"/>
      <c r="G93" s="9"/>
      <c r="H93" s="9"/>
      <c r="I93" s="9"/>
    </row>
    <row r="94" spans="1:10" ht="46.5" customHeight="1" x14ac:dyDescent="0.35">
      <c r="A94" s="2">
        <v>63</v>
      </c>
      <c r="B94" s="81" t="s">
        <v>171</v>
      </c>
      <c r="C94" s="81"/>
      <c r="D94" s="82" t="s">
        <v>380</v>
      </c>
      <c r="E94" s="82"/>
      <c r="F94" s="82"/>
      <c r="G94" s="82"/>
      <c r="H94" s="82"/>
      <c r="I94" s="82"/>
      <c r="J94" s="2" t="s">
        <v>530</v>
      </c>
    </row>
    <row r="95" spans="1:10" ht="31" customHeight="1" x14ac:dyDescent="0.35">
      <c r="A95" s="2">
        <v>64</v>
      </c>
      <c r="B95" s="21" t="s">
        <v>173</v>
      </c>
      <c r="C95" s="21"/>
      <c r="D95" s="80" t="s">
        <v>174</v>
      </c>
      <c r="E95" s="80"/>
      <c r="F95" s="80"/>
      <c r="G95" s="80"/>
      <c r="H95" s="80"/>
      <c r="I95" s="80"/>
      <c r="J95" s="2" t="s">
        <v>531</v>
      </c>
    </row>
    <row r="96" spans="1:10" ht="31" customHeight="1" x14ac:dyDescent="0.35">
      <c r="A96" s="2">
        <v>65</v>
      </c>
      <c r="B96" s="21" t="s">
        <v>175</v>
      </c>
      <c r="C96" s="21"/>
      <c r="D96" s="9" t="s">
        <v>444</v>
      </c>
      <c r="E96" s="9"/>
      <c r="F96" s="9"/>
      <c r="G96" s="9"/>
      <c r="H96" s="9"/>
      <c r="I96" s="9"/>
    </row>
    <row r="97" spans="1:9" ht="23.5" customHeight="1" x14ac:dyDescent="0.35">
      <c r="B97" s="83"/>
      <c r="C97" s="83"/>
      <c r="D97" s="84"/>
      <c r="E97" s="84"/>
      <c r="F97" s="84"/>
      <c r="G97" s="84"/>
      <c r="H97" s="84"/>
      <c r="I97" s="84"/>
    </row>
    <row r="98" spans="1:9" ht="45.75" customHeight="1" x14ac:dyDescent="0.35">
      <c r="B98" s="83"/>
      <c r="C98" s="83"/>
      <c r="D98" s="84"/>
      <c r="E98" s="84"/>
      <c r="F98" s="84"/>
      <c r="G98" s="84"/>
      <c r="H98" s="84"/>
      <c r="I98" s="85" t="s">
        <v>176</v>
      </c>
    </row>
    <row r="99" spans="1:9" ht="36" customHeight="1" x14ac:dyDescent="0.35">
      <c r="A99" s="2">
        <v>66</v>
      </c>
      <c r="B99" s="21" t="s">
        <v>177</v>
      </c>
      <c r="C99" s="21"/>
      <c r="D99" s="9" t="s">
        <v>532</v>
      </c>
      <c r="E99" s="9"/>
      <c r="F99" s="9"/>
      <c r="G99" s="9"/>
      <c r="H99" s="9"/>
      <c r="I99" s="9"/>
    </row>
    <row r="100" spans="1:9" ht="46.5" customHeight="1" x14ac:dyDescent="0.35">
      <c r="A100" s="2">
        <v>67</v>
      </c>
      <c r="B100" s="21" t="s">
        <v>178</v>
      </c>
      <c r="C100" s="21"/>
      <c r="D100" s="9" t="s">
        <v>533</v>
      </c>
      <c r="E100" s="9"/>
      <c r="F100" s="9"/>
      <c r="G100" s="9"/>
      <c r="H100" s="9"/>
      <c r="I100" s="9"/>
    </row>
    <row r="101" spans="1:9" ht="69.75" customHeight="1" x14ac:dyDescent="0.35">
      <c r="A101" s="2">
        <v>68</v>
      </c>
      <c r="B101" s="21" t="s">
        <v>180</v>
      </c>
      <c r="C101" s="21"/>
      <c r="D101" s="134" t="s">
        <v>534</v>
      </c>
      <c r="E101" s="134"/>
      <c r="F101" s="134"/>
      <c r="G101" s="134"/>
      <c r="H101" s="134"/>
      <c r="I101" s="134"/>
    </row>
    <row r="102" spans="1:9" ht="51.75" customHeight="1" x14ac:dyDescent="0.35">
      <c r="A102" s="2">
        <v>69</v>
      </c>
      <c r="B102" s="21" t="s">
        <v>182</v>
      </c>
      <c r="C102" s="21"/>
      <c r="D102" s="9" t="s">
        <v>444</v>
      </c>
      <c r="E102" s="9"/>
      <c r="F102" s="9"/>
      <c r="G102" s="9"/>
      <c r="H102" s="9"/>
      <c r="I102" s="9"/>
    </row>
    <row r="103" spans="1:9" ht="34.5" customHeight="1" x14ac:dyDescent="0.35">
      <c r="A103" s="2">
        <v>70</v>
      </c>
      <c r="B103" s="93" t="s">
        <v>183</v>
      </c>
      <c r="C103" s="93"/>
      <c r="D103" s="86" t="s">
        <v>535</v>
      </c>
      <c r="E103" s="86"/>
      <c r="F103" s="86"/>
      <c r="G103" s="86"/>
      <c r="H103" s="86"/>
      <c r="I103" s="86"/>
    </row>
    <row r="104" spans="1:9" ht="54" customHeight="1" x14ac:dyDescent="0.35">
      <c r="A104" s="2">
        <v>71</v>
      </c>
      <c r="B104" s="45" t="s">
        <v>185</v>
      </c>
      <c r="C104" s="45"/>
      <c r="D104" s="80" t="s">
        <v>536</v>
      </c>
      <c r="E104" s="80"/>
      <c r="F104" s="80"/>
      <c r="G104" s="80"/>
      <c r="H104" s="80"/>
      <c r="I104" s="80"/>
    </row>
    <row r="105" spans="1:9" ht="54.75" customHeight="1" x14ac:dyDescent="0.35">
      <c r="A105" s="2">
        <v>72</v>
      </c>
      <c r="B105" s="79" t="s">
        <v>187</v>
      </c>
      <c r="C105" s="79"/>
      <c r="D105" s="9" t="s">
        <v>444</v>
      </c>
      <c r="E105" s="9"/>
      <c r="F105" s="9"/>
      <c r="G105" s="9"/>
      <c r="H105" s="9"/>
      <c r="I105" s="9"/>
    </row>
    <row r="106" spans="1:9" ht="56.25" customHeight="1" x14ac:dyDescent="0.35">
      <c r="A106" s="2">
        <v>73</v>
      </c>
      <c r="B106" s="21" t="s">
        <v>188</v>
      </c>
      <c r="C106" s="21"/>
      <c r="D106" s="9" t="s">
        <v>537</v>
      </c>
      <c r="E106" s="9"/>
      <c r="F106" s="9"/>
      <c r="G106" s="9"/>
      <c r="H106" s="9"/>
      <c r="I106" s="9"/>
    </row>
    <row r="107" spans="1:9" ht="54" customHeight="1" x14ac:dyDescent="0.35">
      <c r="A107" s="2">
        <v>74</v>
      </c>
      <c r="B107" s="21" t="s">
        <v>189</v>
      </c>
      <c r="C107" s="21"/>
      <c r="D107" s="9" t="s">
        <v>538</v>
      </c>
      <c r="E107" s="9"/>
      <c r="F107" s="9"/>
      <c r="G107" s="9"/>
      <c r="H107" s="9"/>
      <c r="I107" s="9"/>
    </row>
  </sheetData>
  <mergeCells count="108">
    <mergeCell ref="B105:C105"/>
    <mergeCell ref="D105:I105"/>
    <mergeCell ref="B106:C106"/>
    <mergeCell ref="D106:I106"/>
    <mergeCell ref="B107:C107"/>
    <mergeCell ref="D107:I107"/>
    <mergeCell ref="B102:C102"/>
    <mergeCell ref="D102:I102"/>
    <mergeCell ref="B103:C103"/>
    <mergeCell ref="D103:I103"/>
    <mergeCell ref="B104:C104"/>
    <mergeCell ref="D104:I104"/>
    <mergeCell ref="B99:C99"/>
    <mergeCell ref="D99:I99"/>
    <mergeCell ref="B100:C100"/>
    <mergeCell ref="D100:I100"/>
    <mergeCell ref="B101:C101"/>
    <mergeCell ref="D101:I101"/>
    <mergeCell ref="B94:C94"/>
    <mergeCell ref="D94:I94"/>
    <mergeCell ref="B95:C95"/>
    <mergeCell ref="D95:I95"/>
    <mergeCell ref="B96:C96"/>
    <mergeCell ref="D96:I96"/>
    <mergeCell ref="B91:C91"/>
    <mergeCell ref="D91:I91"/>
    <mergeCell ref="B92:C92"/>
    <mergeCell ref="D92:I92"/>
    <mergeCell ref="B93:C93"/>
    <mergeCell ref="D93:I93"/>
    <mergeCell ref="B88:C88"/>
    <mergeCell ref="D88:I88"/>
    <mergeCell ref="B89:C89"/>
    <mergeCell ref="D89:I89"/>
    <mergeCell ref="B90:C90"/>
    <mergeCell ref="D90:I90"/>
    <mergeCell ref="B85:C85"/>
    <mergeCell ref="D85:I85"/>
    <mergeCell ref="B86:C86"/>
    <mergeCell ref="D86:I86"/>
    <mergeCell ref="B87:C87"/>
    <mergeCell ref="D87:I87"/>
    <mergeCell ref="B79:E79"/>
    <mergeCell ref="B80:E80"/>
    <mergeCell ref="B81:E81"/>
    <mergeCell ref="B83:I83"/>
    <mergeCell ref="B84:C84"/>
    <mergeCell ref="D84:I84"/>
    <mergeCell ref="B73:E73"/>
    <mergeCell ref="B74:E74"/>
    <mergeCell ref="B75:E75"/>
    <mergeCell ref="B76:E76"/>
    <mergeCell ref="B77:E77"/>
    <mergeCell ref="B78:E78"/>
    <mergeCell ref="B68:C68"/>
    <mergeCell ref="B69:E69"/>
    <mergeCell ref="F69:I69"/>
    <mergeCell ref="B70:E70"/>
    <mergeCell ref="B71:E71"/>
    <mergeCell ref="B72:E72"/>
    <mergeCell ref="B27:B28"/>
    <mergeCell ref="B38:C38"/>
    <mergeCell ref="B39:B46"/>
    <mergeCell ref="C47:I52"/>
    <mergeCell ref="B56:C56"/>
    <mergeCell ref="C61:I65"/>
    <mergeCell ref="B21:E21"/>
    <mergeCell ref="F21:I21"/>
    <mergeCell ref="B23:E23"/>
    <mergeCell ref="F23:H23"/>
    <mergeCell ref="B24:E24"/>
    <mergeCell ref="F24:I24"/>
    <mergeCell ref="B18:E18"/>
    <mergeCell ref="F18:I18"/>
    <mergeCell ref="B19:E19"/>
    <mergeCell ref="F19:I19"/>
    <mergeCell ref="B20:E20"/>
    <mergeCell ref="F20:I20"/>
    <mergeCell ref="B15:E15"/>
    <mergeCell ref="F15:I15"/>
    <mergeCell ref="B16:E16"/>
    <mergeCell ref="F16:I16"/>
    <mergeCell ref="B17:E17"/>
    <mergeCell ref="F17:I17"/>
    <mergeCell ref="B12:E12"/>
    <mergeCell ref="F12:I12"/>
    <mergeCell ref="B13:E13"/>
    <mergeCell ref="F13:I13"/>
    <mergeCell ref="B14:E14"/>
    <mergeCell ref="F14:I14"/>
    <mergeCell ref="B9:E9"/>
    <mergeCell ref="F9:I9"/>
    <mergeCell ref="B10:E10"/>
    <mergeCell ref="F10:I10"/>
    <mergeCell ref="B11:E11"/>
    <mergeCell ref="F11:I11"/>
    <mergeCell ref="B6:E6"/>
    <mergeCell ref="F6:I6"/>
    <mergeCell ref="B7:E7"/>
    <mergeCell ref="F7:I7"/>
    <mergeCell ref="B8:E8"/>
    <mergeCell ref="F8:I8"/>
    <mergeCell ref="B3:E3"/>
    <mergeCell ref="F3:I3"/>
    <mergeCell ref="B4:E4"/>
    <mergeCell ref="F4:I4"/>
    <mergeCell ref="B5:E5"/>
    <mergeCell ref="F5:I5"/>
  </mergeCells>
  <hyperlinks>
    <hyperlink ref="F5:I5" r:id="rId1" display="802-752-7169, holyokefarm@gmail.com" xr:uid="{93DEFD1F-D329-4255-88F8-BA6016EC7F82}"/>
  </hyperlinks>
  <pageMargins left="0.7" right="0.7" top="0.75" bottom="0.75" header="0.3" footer="0.3"/>
  <pageSetup scale="45" fitToHeight="5" orientation="landscape" copies="3"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F78CE-6573-4EB3-B84A-D8494522E500}">
  <dimension ref="A1:U106"/>
  <sheetViews>
    <sheetView view="pageBreakPreview" zoomScale="66" zoomScaleNormal="100" zoomScaleSheetLayoutView="66" workbookViewId="0">
      <selection activeCell="I98" sqref="I98:N98"/>
    </sheetView>
  </sheetViews>
  <sheetFormatPr defaultColWidth="11.81640625" defaultRowHeight="15.5" x14ac:dyDescent="0.35"/>
  <cols>
    <col min="1" max="1" width="13.26953125" style="2" customWidth="1"/>
    <col min="2" max="2" width="18.90625" style="2" customWidth="1"/>
    <col min="3" max="3" width="12" style="2" customWidth="1"/>
    <col min="4" max="4" width="12.1796875" style="2" customWidth="1"/>
    <col min="5" max="6" width="14.90625" style="2" customWidth="1"/>
    <col min="7" max="7" width="16.54296875" style="2" customWidth="1"/>
    <col min="8" max="8" width="15.26953125" style="2" customWidth="1"/>
    <col min="9" max="9" width="11.81640625" style="2"/>
    <col min="10" max="10" width="17.08984375" style="2" customWidth="1"/>
    <col min="11" max="11" width="11.81640625" style="2"/>
    <col min="12" max="12" width="16.54296875" style="2" customWidth="1"/>
    <col min="13" max="16384" width="11.81640625" style="2"/>
  </cols>
  <sheetData>
    <row r="1" spans="1:14" x14ac:dyDescent="0.35">
      <c r="A1" s="1" t="s">
        <v>0</v>
      </c>
      <c r="B1" s="1"/>
      <c r="C1" s="1"/>
      <c r="D1" s="1"/>
      <c r="H1" s="3" t="s">
        <v>1</v>
      </c>
    </row>
    <row r="2" spans="1:14" ht="24" customHeight="1" thickBot="1" x14ac:dyDescent="0.4">
      <c r="A2" s="4" t="s">
        <v>2</v>
      </c>
      <c r="B2" s="4"/>
      <c r="C2" s="4"/>
      <c r="D2" s="4"/>
      <c r="E2" s="5"/>
      <c r="F2" s="6"/>
    </row>
    <row r="3" spans="1:14" ht="19" customHeight="1" x14ac:dyDescent="0.35">
      <c r="A3" s="7" t="s">
        <v>3</v>
      </c>
      <c r="B3" s="7"/>
      <c r="C3" s="7"/>
      <c r="D3" s="7"/>
      <c r="E3" s="8" t="s">
        <v>936</v>
      </c>
      <c r="F3" s="8"/>
      <c r="G3" s="8"/>
      <c r="H3" s="8"/>
      <c r="J3" s="19" t="s">
        <v>7</v>
      </c>
      <c r="K3" s="19"/>
      <c r="L3" s="19"/>
      <c r="M3" s="19"/>
      <c r="N3" s="19"/>
    </row>
    <row r="4" spans="1:14" ht="44" customHeight="1" x14ac:dyDescent="0.35">
      <c r="A4" s="9" t="s">
        <v>5</v>
      </c>
      <c r="B4" s="9"/>
      <c r="C4" s="9"/>
      <c r="D4" s="9"/>
      <c r="E4" s="24" t="s">
        <v>937</v>
      </c>
      <c r="F4" s="24"/>
      <c r="G4" s="24"/>
      <c r="H4" s="24"/>
      <c r="J4" s="19" t="s">
        <v>10</v>
      </c>
      <c r="K4" s="19"/>
      <c r="L4" s="19"/>
      <c r="M4" s="19"/>
      <c r="N4" s="19"/>
    </row>
    <row r="5" spans="1:14" ht="19" customHeight="1" x14ac:dyDescent="0.35">
      <c r="A5" s="9" t="s">
        <v>8</v>
      </c>
      <c r="B5" s="9"/>
      <c r="C5" s="9"/>
      <c r="D5" s="9"/>
      <c r="E5" s="10" t="s">
        <v>938</v>
      </c>
      <c r="F5" s="10"/>
      <c r="G5" s="10"/>
      <c r="H5" s="10"/>
      <c r="I5" s="144">
        <v>65</v>
      </c>
      <c r="J5" s="19" t="s">
        <v>13</v>
      </c>
      <c r="K5" s="17">
        <f>I5</f>
        <v>65</v>
      </c>
      <c r="L5" s="19"/>
      <c r="M5" s="19"/>
      <c r="N5" s="138"/>
    </row>
    <row r="6" spans="1:14" ht="19" customHeight="1" x14ac:dyDescent="0.35">
      <c r="A6" s="9" t="s">
        <v>11</v>
      </c>
      <c r="B6" s="9"/>
      <c r="C6" s="9"/>
      <c r="D6" s="9"/>
      <c r="E6" s="10" t="s">
        <v>939</v>
      </c>
      <c r="F6" s="10"/>
      <c r="G6" s="10"/>
      <c r="H6" s="10"/>
      <c r="J6" s="31" t="s">
        <v>16</v>
      </c>
      <c r="K6" s="17" t="s">
        <v>44</v>
      </c>
      <c r="L6" s="19"/>
      <c r="M6" s="19" t="s">
        <v>17</v>
      </c>
      <c r="N6" s="138">
        <f>I19</f>
        <v>20</v>
      </c>
    </row>
    <row r="7" spans="1:14" ht="38" customHeight="1" x14ac:dyDescent="0.35">
      <c r="A7" s="9" t="s">
        <v>14</v>
      </c>
      <c r="B7" s="9"/>
      <c r="C7" s="9"/>
      <c r="D7" s="9"/>
      <c r="E7" s="10" t="s">
        <v>194</v>
      </c>
      <c r="F7" s="10"/>
      <c r="G7" s="10"/>
      <c r="H7" s="10"/>
      <c r="J7" s="31" t="s">
        <v>19</v>
      </c>
      <c r="K7" s="17">
        <f>I26</f>
        <v>4301.55</v>
      </c>
      <c r="L7" s="19"/>
      <c r="M7" s="31" t="s">
        <v>20</v>
      </c>
      <c r="N7" s="145">
        <f>K7/K5</f>
        <v>66.177692307692311</v>
      </c>
    </row>
    <row r="8" spans="1:14" ht="47" customHeight="1" x14ac:dyDescent="0.35">
      <c r="A8" s="21" t="s">
        <v>18</v>
      </c>
      <c r="B8" s="21"/>
      <c r="C8" s="21"/>
      <c r="D8" s="21"/>
      <c r="E8" s="10" t="s">
        <v>940</v>
      </c>
      <c r="F8" s="10"/>
      <c r="G8" s="10"/>
      <c r="H8" s="10"/>
      <c r="J8" s="143" t="s">
        <v>23</v>
      </c>
      <c r="K8" s="17">
        <f>I39</f>
        <v>270</v>
      </c>
      <c r="L8" s="19"/>
      <c r="M8" s="31" t="s">
        <v>24</v>
      </c>
      <c r="N8" s="147">
        <f>K8/K5</f>
        <v>4.1538461538461542</v>
      </c>
    </row>
    <row r="9" spans="1:14" ht="54" customHeight="1" x14ac:dyDescent="0.35">
      <c r="A9" s="21" t="s">
        <v>21</v>
      </c>
      <c r="B9" s="21"/>
      <c r="C9" s="21"/>
      <c r="D9" s="21"/>
      <c r="E9" s="24" t="s">
        <v>941</v>
      </c>
      <c r="F9" s="24"/>
      <c r="G9" s="24"/>
      <c r="H9" s="24"/>
      <c r="J9" s="31" t="s">
        <v>749</v>
      </c>
      <c r="K9" s="17">
        <f>I39</f>
        <v>270</v>
      </c>
      <c r="L9" s="19"/>
      <c r="M9" s="31" t="s">
        <v>28</v>
      </c>
      <c r="N9" s="147">
        <f>K9/K5</f>
        <v>4.1538461538461542</v>
      </c>
    </row>
    <row r="10" spans="1:14" ht="42" customHeight="1" x14ac:dyDescent="0.35">
      <c r="A10" s="21" t="s">
        <v>25</v>
      </c>
      <c r="B10" s="21"/>
      <c r="C10" s="21"/>
      <c r="D10" s="21"/>
      <c r="E10" s="26" t="s">
        <v>26</v>
      </c>
      <c r="F10" s="26"/>
      <c r="G10" s="26"/>
      <c r="H10" s="26"/>
      <c r="J10" s="31" t="s">
        <v>31</v>
      </c>
      <c r="K10" s="17">
        <f>I40*2</f>
        <v>60.833333333333336</v>
      </c>
      <c r="L10" s="19"/>
      <c r="M10" s="31" t="s">
        <v>33</v>
      </c>
      <c r="N10" s="145">
        <f>K10*K14/K5</f>
        <v>2.6673076923076922</v>
      </c>
    </row>
    <row r="11" spans="1:14" ht="65" customHeight="1" x14ac:dyDescent="0.35">
      <c r="A11" s="21" t="s">
        <v>29</v>
      </c>
      <c r="B11" s="21"/>
      <c r="C11" s="21"/>
      <c r="D11" s="21"/>
      <c r="E11" s="24" t="s">
        <v>942</v>
      </c>
      <c r="F11" s="24"/>
      <c r="G11" s="24"/>
      <c r="H11" s="24"/>
      <c r="I11" s="27"/>
      <c r="J11" s="31" t="s">
        <v>36</v>
      </c>
      <c r="K11" s="17">
        <f>I42+I48</f>
        <v>211.66666666666669</v>
      </c>
      <c r="L11" s="19"/>
      <c r="M11" s="31" t="s">
        <v>37</v>
      </c>
      <c r="N11" s="147">
        <f>K11/K5</f>
        <v>3.2564102564102568</v>
      </c>
    </row>
    <row r="12" spans="1:14" ht="67" customHeight="1" x14ac:dyDescent="0.35">
      <c r="A12" s="21" t="s">
        <v>34</v>
      </c>
      <c r="B12" s="21"/>
      <c r="C12" s="21"/>
      <c r="D12" s="21"/>
      <c r="E12" s="24" t="s">
        <v>943</v>
      </c>
      <c r="F12" s="24"/>
      <c r="G12" s="24"/>
      <c r="H12" s="24"/>
      <c r="I12" s="30"/>
      <c r="J12" s="31" t="s">
        <v>40</v>
      </c>
      <c r="K12" s="17">
        <f>I43+I49</f>
        <v>122</v>
      </c>
      <c r="L12" s="19"/>
      <c r="M12" s="31" t="s">
        <v>41</v>
      </c>
      <c r="N12" s="147">
        <f>K12/K5</f>
        <v>1.8769230769230769</v>
      </c>
    </row>
    <row r="13" spans="1:14" ht="48.5" customHeight="1" x14ac:dyDescent="0.35">
      <c r="A13" s="21" t="s">
        <v>38</v>
      </c>
      <c r="B13" s="21"/>
      <c r="C13" s="21"/>
      <c r="D13" s="21"/>
      <c r="E13" s="24" t="s">
        <v>892</v>
      </c>
      <c r="F13" s="24"/>
      <c r="G13" s="24"/>
      <c r="H13" s="24"/>
      <c r="I13" s="30"/>
      <c r="J13" s="31" t="s">
        <v>43</v>
      </c>
      <c r="K13" s="17">
        <f>I44+I47</f>
        <v>354</v>
      </c>
      <c r="L13" s="19"/>
      <c r="M13" s="31" t="s">
        <v>45</v>
      </c>
      <c r="N13" s="145">
        <f>(K13*K14)/K5</f>
        <v>15.52153846153846</v>
      </c>
    </row>
    <row r="14" spans="1:14" ht="32" customHeight="1" x14ac:dyDescent="0.35">
      <c r="A14" s="21" t="s">
        <v>42</v>
      </c>
      <c r="B14" s="21"/>
      <c r="C14" s="21"/>
      <c r="D14" s="21"/>
      <c r="E14" s="26" t="s">
        <v>26</v>
      </c>
      <c r="F14" s="26"/>
      <c r="G14" s="26"/>
      <c r="H14" s="26"/>
      <c r="J14" s="31" t="s">
        <v>48</v>
      </c>
      <c r="K14" s="17">
        <v>2.85</v>
      </c>
      <c r="L14" s="19"/>
      <c r="M14" s="31" t="s">
        <v>49</v>
      </c>
      <c r="N14" s="145">
        <f>K17/K5</f>
        <v>3.0769230769230771</v>
      </c>
    </row>
    <row r="15" spans="1:14" ht="77" customHeight="1" x14ac:dyDescent="0.35">
      <c r="A15" s="21" t="s">
        <v>46</v>
      </c>
      <c r="B15" s="21"/>
      <c r="C15" s="21"/>
      <c r="D15" s="21"/>
      <c r="E15" s="24" t="s">
        <v>944</v>
      </c>
      <c r="F15" s="24"/>
      <c r="G15" s="24"/>
      <c r="H15" s="24"/>
      <c r="I15" s="27"/>
      <c r="J15" s="31" t="s">
        <v>51</v>
      </c>
      <c r="K15" s="17">
        <f>1800+2500/2</f>
        <v>3050</v>
      </c>
      <c r="L15" s="19"/>
      <c r="M15" s="31" t="s">
        <v>52</v>
      </c>
      <c r="N15" s="145">
        <f>K15/K5</f>
        <v>46.92307692307692</v>
      </c>
    </row>
    <row r="16" spans="1:14" ht="19" customHeight="1" x14ac:dyDescent="0.35">
      <c r="A16" s="21" t="s">
        <v>50</v>
      </c>
      <c r="B16" s="21"/>
      <c r="C16" s="21"/>
      <c r="D16" s="21"/>
      <c r="E16" s="26" t="s">
        <v>26</v>
      </c>
      <c r="F16" s="26"/>
      <c r="G16" s="26"/>
      <c r="H16" s="26"/>
      <c r="J16" s="19"/>
      <c r="K16" s="17"/>
      <c r="L16" s="19"/>
      <c r="M16" s="19"/>
      <c r="N16" s="138"/>
    </row>
    <row r="17" spans="1:14" ht="66" customHeight="1" x14ac:dyDescent="0.35">
      <c r="A17" s="21" t="s">
        <v>53</v>
      </c>
      <c r="B17" s="21"/>
      <c r="C17" s="21"/>
      <c r="D17" s="21"/>
      <c r="E17" s="26" t="s">
        <v>26</v>
      </c>
      <c r="F17" s="26"/>
      <c r="G17" s="26"/>
      <c r="H17" s="26"/>
      <c r="J17" s="31" t="s">
        <v>945</v>
      </c>
      <c r="K17" s="17">
        <v>200</v>
      </c>
      <c r="L17" s="19"/>
      <c r="M17" s="31" t="s">
        <v>57</v>
      </c>
      <c r="N17" s="145">
        <f>+N14+N13+N10+N7+N15</f>
        <v>134.36653846153848</v>
      </c>
    </row>
    <row r="18" spans="1:14" ht="55" customHeight="1" x14ac:dyDescent="0.35">
      <c r="A18" s="21" t="s">
        <v>54</v>
      </c>
      <c r="B18" s="21"/>
      <c r="C18" s="21"/>
      <c r="D18" s="21"/>
      <c r="E18" s="26" t="s">
        <v>946</v>
      </c>
      <c r="F18" s="26"/>
      <c r="G18" s="26"/>
      <c r="H18" s="26"/>
      <c r="J18" s="19"/>
      <c r="K18" s="19"/>
      <c r="L18" s="19"/>
      <c r="M18" s="31" t="s">
        <v>59</v>
      </c>
      <c r="N18" s="147">
        <f>N11+N8</f>
        <v>7.4102564102564106</v>
      </c>
    </row>
    <row r="19" spans="1:14" ht="19" customHeight="1" x14ac:dyDescent="0.35">
      <c r="A19" s="37" t="s">
        <v>58</v>
      </c>
      <c r="B19" s="21"/>
      <c r="C19" s="21"/>
      <c r="D19" s="21"/>
      <c r="E19" s="24" t="s">
        <v>947</v>
      </c>
      <c r="F19" s="24"/>
      <c r="G19" s="24"/>
      <c r="H19" s="24"/>
      <c r="I19" s="144">
        <f>(12*5*12*4)/144</f>
        <v>20</v>
      </c>
      <c r="J19" s="148" t="s">
        <v>948</v>
      </c>
    </row>
    <row r="20" spans="1:14" ht="36.5" customHeight="1" x14ac:dyDescent="0.35">
      <c r="A20" s="37" t="s">
        <v>60</v>
      </c>
      <c r="B20" s="21"/>
      <c r="C20" s="21"/>
      <c r="D20" s="21"/>
      <c r="E20" s="24" t="s">
        <v>949</v>
      </c>
      <c r="F20" s="24"/>
      <c r="G20" s="24"/>
      <c r="H20" s="24"/>
      <c r="I20" s="2" t="s">
        <v>895</v>
      </c>
      <c r="J20" s="148" t="s">
        <v>950</v>
      </c>
    </row>
    <row r="21" spans="1:14" ht="31" customHeight="1" x14ac:dyDescent="0.35">
      <c r="A21" s="37" t="s">
        <v>62</v>
      </c>
      <c r="B21" s="21"/>
      <c r="C21" s="21"/>
      <c r="D21" s="21"/>
      <c r="E21" s="24" t="s">
        <v>951</v>
      </c>
      <c r="F21" s="24"/>
      <c r="G21" s="24"/>
      <c r="H21" s="24"/>
      <c r="I21" s="2" t="s">
        <v>44</v>
      </c>
    </row>
    <row r="22" spans="1:14" ht="21.5" customHeight="1" x14ac:dyDescent="0.35">
      <c r="A22" s="41"/>
      <c r="B22" s="42"/>
      <c r="C22" s="42"/>
      <c r="D22" s="42"/>
      <c r="E22" s="43"/>
      <c r="F22" s="43"/>
      <c r="G22" s="43"/>
      <c r="H22" s="43"/>
    </row>
    <row r="23" spans="1:14" ht="24" customHeight="1" x14ac:dyDescent="0.35">
      <c r="A23" s="44" t="s">
        <v>67</v>
      </c>
      <c r="B23" s="45"/>
      <c r="C23" s="45"/>
      <c r="D23" s="45"/>
      <c r="H23" s="46" t="s">
        <v>68</v>
      </c>
    </row>
    <row r="24" spans="1:14" ht="114" customHeight="1" x14ac:dyDescent="0.35">
      <c r="A24" s="44" t="s">
        <v>69</v>
      </c>
      <c r="B24" s="45"/>
      <c r="C24" s="45"/>
      <c r="D24" s="45"/>
      <c r="E24" s="47" t="s">
        <v>952</v>
      </c>
      <c r="F24" s="47"/>
      <c r="G24" s="47"/>
      <c r="H24" s="47"/>
    </row>
    <row r="25" spans="1:14" ht="28" customHeight="1" x14ac:dyDescent="0.35">
      <c r="A25" s="48" t="s">
        <v>71</v>
      </c>
      <c r="B25" s="48"/>
      <c r="C25" s="48"/>
      <c r="D25" s="48"/>
    </row>
    <row r="26" spans="1:14" ht="30" customHeight="1" x14ac:dyDescent="0.35">
      <c r="A26" s="49" t="s">
        <v>72</v>
      </c>
      <c r="B26" s="50"/>
      <c r="C26" s="51" t="s">
        <v>73</v>
      </c>
      <c r="D26" s="51" t="s">
        <v>74</v>
      </c>
      <c r="E26" s="51" t="s">
        <v>75</v>
      </c>
      <c r="F26" s="51" t="s">
        <v>76</v>
      </c>
      <c r="G26" s="52" t="s">
        <v>77</v>
      </c>
      <c r="H26" s="52" t="s">
        <v>78</v>
      </c>
      <c r="I26" s="144">
        <f>((D32+E32)/2)*0.66</f>
        <v>4301.55</v>
      </c>
      <c r="J26" s="2" t="s">
        <v>900</v>
      </c>
    </row>
    <row r="27" spans="1:14" ht="30" customHeight="1" x14ac:dyDescent="0.35">
      <c r="A27" s="53"/>
      <c r="B27" s="50" t="s">
        <v>79</v>
      </c>
      <c r="C27" s="50" t="s">
        <v>80</v>
      </c>
      <c r="D27" s="50"/>
      <c r="E27" s="50"/>
      <c r="F27" s="50"/>
      <c r="G27" s="50"/>
      <c r="H27" s="50"/>
      <c r="I27" s="2" t="s">
        <v>44</v>
      </c>
    </row>
    <row r="28" spans="1:14" ht="30" customHeight="1" x14ac:dyDescent="0.35">
      <c r="A28" s="54"/>
      <c r="B28" s="50" t="s">
        <v>81</v>
      </c>
      <c r="C28" s="50" t="s">
        <v>80</v>
      </c>
      <c r="D28" s="50"/>
      <c r="E28" s="50"/>
      <c r="F28" s="50"/>
      <c r="G28" s="50"/>
      <c r="H28" s="50"/>
    </row>
    <row r="29" spans="1:14" ht="30" customHeight="1" x14ac:dyDescent="0.35">
      <c r="A29" s="54"/>
      <c r="B29" s="50" t="s">
        <v>82</v>
      </c>
      <c r="C29" s="50" t="s">
        <v>80</v>
      </c>
      <c r="D29" s="50"/>
      <c r="E29" s="50"/>
      <c r="F29" s="50"/>
      <c r="G29" s="50"/>
      <c r="H29" s="50"/>
    </row>
    <row r="30" spans="1:14" ht="30" customHeight="1" x14ac:dyDescent="0.35">
      <c r="A30" s="54"/>
      <c r="B30" s="50" t="s">
        <v>83</v>
      </c>
      <c r="C30" s="50" t="s">
        <v>84</v>
      </c>
      <c r="D30" s="50"/>
      <c r="E30" s="50"/>
      <c r="F30" s="50"/>
      <c r="G30" s="50"/>
      <c r="H30" s="50"/>
    </row>
    <row r="31" spans="1:14" ht="30" customHeight="1" x14ac:dyDescent="0.35">
      <c r="A31" s="54"/>
      <c r="B31" s="50" t="s">
        <v>85</v>
      </c>
      <c r="C31" s="50" t="s">
        <v>84</v>
      </c>
      <c r="D31" s="50" t="s">
        <v>953</v>
      </c>
      <c r="E31" s="50"/>
      <c r="F31" s="50"/>
      <c r="G31" s="50"/>
      <c r="H31" s="50"/>
    </row>
    <row r="32" spans="1:14" ht="30" customHeight="1" x14ac:dyDescent="0.35">
      <c r="A32" s="54"/>
      <c r="B32" s="50" t="s">
        <v>22</v>
      </c>
      <c r="C32" s="50" t="s">
        <v>84</v>
      </c>
      <c r="D32" s="50">
        <f>1800*3.3</f>
        <v>5940</v>
      </c>
      <c r="E32" s="50">
        <f>3.3*2150</f>
        <v>7095</v>
      </c>
      <c r="F32" s="50" t="s">
        <v>954</v>
      </c>
      <c r="G32" s="50"/>
      <c r="H32" s="50"/>
    </row>
    <row r="33" spans="1:21" ht="30" customHeight="1" x14ac:dyDescent="0.35">
      <c r="A33" s="54"/>
      <c r="B33" s="50" t="s">
        <v>90</v>
      </c>
      <c r="C33" s="50" t="s">
        <v>84</v>
      </c>
      <c r="D33" s="50"/>
      <c r="E33" s="50" t="s">
        <v>955</v>
      </c>
      <c r="F33" s="50"/>
      <c r="G33" s="50"/>
      <c r="H33" s="50"/>
    </row>
    <row r="34" spans="1:21" ht="31" x14ac:dyDescent="0.35">
      <c r="A34" s="54"/>
      <c r="B34" s="55" t="s">
        <v>91</v>
      </c>
      <c r="C34" s="50" t="s">
        <v>92</v>
      </c>
      <c r="D34" s="50"/>
      <c r="E34" s="50"/>
      <c r="F34" s="50"/>
      <c r="G34" s="50"/>
      <c r="H34" s="50"/>
    </row>
    <row r="36" spans="1:21" ht="29" customHeight="1" x14ac:dyDescent="0.35"/>
    <row r="37" spans="1:21" ht="31" customHeight="1" x14ac:dyDescent="0.35">
      <c r="A37" s="56" t="s">
        <v>96</v>
      </c>
      <c r="B37" s="57"/>
      <c r="H37" s="46" t="s">
        <v>97</v>
      </c>
    </row>
    <row r="38" spans="1:21" ht="40" customHeight="1" x14ac:dyDescent="0.35">
      <c r="A38" s="58" t="s">
        <v>98</v>
      </c>
      <c r="B38" s="55" t="s">
        <v>99</v>
      </c>
      <c r="C38" s="50" t="s">
        <v>100</v>
      </c>
      <c r="D38" s="50" t="s">
        <v>101</v>
      </c>
      <c r="E38" s="55" t="s">
        <v>102</v>
      </c>
      <c r="F38" s="55" t="s">
        <v>103</v>
      </c>
      <c r="G38" s="55" t="s">
        <v>104</v>
      </c>
      <c r="H38" s="55" t="s">
        <v>105</v>
      </c>
      <c r="M38" s="56" t="s">
        <v>766</v>
      </c>
      <c r="N38" s="57"/>
      <c r="T38" s="46" t="s">
        <v>97</v>
      </c>
    </row>
    <row r="39" spans="1:21" ht="40" customHeight="1" x14ac:dyDescent="0.35">
      <c r="A39" s="59"/>
      <c r="B39" s="50" t="s">
        <v>956</v>
      </c>
      <c r="C39" s="50"/>
      <c r="D39" s="50"/>
      <c r="E39" s="50"/>
      <c r="F39" s="50"/>
      <c r="G39" s="50"/>
      <c r="H39" s="50"/>
      <c r="I39" s="144">
        <f>180+90</f>
        <v>270</v>
      </c>
      <c r="J39" s="2" t="s">
        <v>908</v>
      </c>
      <c r="M39" s="58" t="s">
        <v>98</v>
      </c>
      <c r="N39" s="55" t="s">
        <v>99</v>
      </c>
      <c r="O39" s="50" t="s">
        <v>100</v>
      </c>
      <c r="P39" s="50" t="s">
        <v>101</v>
      </c>
      <c r="Q39" s="55" t="s">
        <v>102</v>
      </c>
      <c r="R39" s="55" t="s">
        <v>103</v>
      </c>
      <c r="S39" s="55" t="s">
        <v>104</v>
      </c>
      <c r="T39" s="55" t="s">
        <v>105</v>
      </c>
    </row>
    <row r="40" spans="1:21" ht="40" customHeight="1" x14ac:dyDescent="0.35">
      <c r="A40" s="59"/>
      <c r="B40" s="50" t="s">
        <v>957</v>
      </c>
      <c r="C40" s="50"/>
      <c r="D40" s="50"/>
      <c r="E40" s="50"/>
      <c r="F40" s="50"/>
      <c r="G40" s="50"/>
      <c r="H40" s="50"/>
      <c r="I40" s="144">
        <f>(5*365)/60</f>
        <v>30.416666666666668</v>
      </c>
      <c r="J40" s="2" t="s">
        <v>958</v>
      </c>
      <c r="M40" s="59"/>
      <c r="N40" s="50" t="s">
        <v>959</v>
      </c>
      <c r="O40" s="50" t="s">
        <v>960</v>
      </c>
      <c r="P40" s="50" t="s">
        <v>961</v>
      </c>
      <c r="Q40" s="50" t="s">
        <v>962</v>
      </c>
      <c r="R40" s="50" t="s">
        <v>963</v>
      </c>
      <c r="S40" s="50"/>
      <c r="T40" s="50"/>
    </row>
    <row r="41" spans="1:21" ht="40" customHeight="1" x14ac:dyDescent="0.35">
      <c r="A41" s="59"/>
      <c r="B41" s="50" t="s">
        <v>964</v>
      </c>
      <c r="C41" s="50"/>
      <c r="D41" s="50"/>
      <c r="E41" s="50"/>
      <c r="F41" s="50"/>
      <c r="G41" s="50"/>
      <c r="H41" s="50"/>
      <c r="M41" s="59"/>
      <c r="N41" s="50" t="s">
        <v>965</v>
      </c>
      <c r="O41" s="50" t="s">
        <v>966</v>
      </c>
      <c r="P41" s="50"/>
      <c r="Q41" s="50"/>
      <c r="R41" s="50"/>
      <c r="S41" s="50"/>
      <c r="T41" s="50"/>
    </row>
    <row r="42" spans="1:21" ht="40" customHeight="1" x14ac:dyDescent="0.35">
      <c r="A42" s="59"/>
      <c r="B42" s="50" t="s">
        <v>967</v>
      </c>
      <c r="C42" s="50"/>
      <c r="D42" s="50"/>
      <c r="E42" s="50" t="s">
        <v>968</v>
      </c>
      <c r="F42" s="50"/>
      <c r="G42" s="50"/>
      <c r="H42" s="50"/>
      <c r="I42" s="144">
        <f>(20*365)/60</f>
        <v>121.66666666666667</v>
      </c>
      <c r="J42" s="2" t="s">
        <v>913</v>
      </c>
      <c r="M42" s="59"/>
      <c r="N42" s="50" t="s">
        <v>848</v>
      </c>
      <c r="O42" s="50" t="s">
        <v>969</v>
      </c>
      <c r="P42" s="50" t="s">
        <v>779</v>
      </c>
      <c r="Q42" s="50"/>
      <c r="R42" s="50"/>
      <c r="S42" s="50"/>
      <c r="T42" s="50"/>
      <c r="U42" s="2" t="s">
        <v>970</v>
      </c>
    </row>
    <row r="43" spans="1:21" ht="40" customHeight="1" x14ac:dyDescent="0.35">
      <c r="A43" s="59"/>
      <c r="B43" s="50" t="s">
        <v>971</v>
      </c>
      <c r="C43" s="50"/>
      <c r="D43" s="50"/>
      <c r="E43" s="50"/>
      <c r="F43" s="50"/>
      <c r="G43" s="50"/>
      <c r="H43" s="50"/>
      <c r="I43" s="144">
        <v>12</v>
      </c>
      <c r="J43" s="2" t="s">
        <v>915</v>
      </c>
      <c r="M43" s="59"/>
      <c r="N43" s="50" t="s">
        <v>782</v>
      </c>
      <c r="O43" s="50" t="s">
        <v>972</v>
      </c>
      <c r="P43" s="50"/>
      <c r="Q43" s="50"/>
      <c r="R43" s="50"/>
      <c r="S43" s="50" t="s">
        <v>973</v>
      </c>
      <c r="T43" s="50"/>
    </row>
    <row r="44" spans="1:21" ht="40" customHeight="1" x14ac:dyDescent="0.35">
      <c r="A44" s="59"/>
      <c r="B44" s="50" t="s">
        <v>974</v>
      </c>
      <c r="C44" s="50"/>
      <c r="D44" s="50"/>
      <c r="E44" s="50"/>
      <c r="F44" s="50"/>
      <c r="G44" s="50"/>
      <c r="H44" s="50"/>
      <c r="I44" s="144">
        <v>24</v>
      </c>
      <c r="J44" s="2" t="s">
        <v>918</v>
      </c>
      <c r="M44" s="59"/>
      <c r="N44" s="50" t="s">
        <v>959</v>
      </c>
      <c r="O44" s="50" t="s">
        <v>791</v>
      </c>
      <c r="P44" s="50">
        <v>24</v>
      </c>
      <c r="Q44" s="50" t="s">
        <v>962</v>
      </c>
      <c r="R44" s="50">
        <v>2.85</v>
      </c>
      <c r="S44" s="50"/>
      <c r="T44" s="50"/>
    </row>
    <row r="45" spans="1:21" ht="186" x14ac:dyDescent="0.35">
      <c r="A45" s="59"/>
      <c r="B45" s="55" t="s">
        <v>975</v>
      </c>
      <c r="C45" s="50"/>
      <c r="D45" s="50"/>
      <c r="E45" s="50"/>
      <c r="F45" s="50"/>
      <c r="G45" s="50"/>
      <c r="H45" s="50"/>
      <c r="I45" s="2" t="s">
        <v>976</v>
      </c>
      <c r="M45" s="59"/>
      <c r="N45" s="50" t="s">
        <v>977</v>
      </c>
      <c r="O45" s="50"/>
      <c r="P45" s="50"/>
      <c r="Q45" s="50"/>
      <c r="R45" s="50" t="s">
        <v>978</v>
      </c>
      <c r="S45" s="50"/>
      <c r="T45" s="50"/>
    </row>
    <row r="46" spans="1:21" ht="15.5" customHeight="1" x14ac:dyDescent="0.35">
      <c r="A46" s="60"/>
      <c r="B46" s="66" t="s">
        <v>979</v>
      </c>
      <c r="C46" s="66"/>
      <c r="D46" s="66"/>
      <c r="E46" s="66"/>
      <c r="F46" s="66"/>
      <c r="G46" s="66"/>
      <c r="H46" s="66"/>
      <c r="M46" s="59"/>
      <c r="N46" s="50" t="s">
        <v>980</v>
      </c>
      <c r="O46" s="50" t="s">
        <v>981</v>
      </c>
      <c r="P46" s="50" t="s">
        <v>982</v>
      </c>
      <c r="Q46" s="50" t="s">
        <v>983</v>
      </c>
      <c r="R46" s="50" t="s">
        <v>984</v>
      </c>
      <c r="S46" s="50"/>
      <c r="T46" s="50" t="s">
        <v>985</v>
      </c>
    </row>
    <row r="47" spans="1:21" x14ac:dyDescent="0.35">
      <c r="A47" s="60"/>
      <c r="B47" s="67"/>
      <c r="C47" s="67"/>
      <c r="D47" s="67"/>
      <c r="E47" s="67"/>
      <c r="F47" s="67"/>
      <c r="G47" s="67"/>
      <c r="H47" s="67"/>
      <c r="I47" s="2">
        <f>110*3</f>
        <v>330</v>
      </c>
      <c r="J47" s="2" t="s">
        <v>986</v>
      </c>
      <c r="M47" s="60"/>
      <c r="N47" s="61" t="s">
        <v>987</v>
      </c>
      <c r="O47" s="61"/>
      <c r="P47" s="61"/>
      <c r="Q47" s="61"/>
      <c r="R47" s="61"/>
      <c r="S47" s="61"/>
      <c r="T47" s="61"/>
    </row>
    <row r="48" spans="1:21" x14ac:dyDescent="0.35">
      <c r="B48" s="67"/>
      <c r="C48" s="67"/>
      <c r="D48" s="67"/>
      <c r="E48" s="67"/>
      <c r="F48" s="67"/>
      <c r="G48" s="67"/>
      <c r="H48" s="67"/>
      <c r="I48" s="2">
        <v>90</v>
      </c>
      <c r="J48" s="2" t="s">
        <v>988</v>
      </c>
      <c r="M48" s="60"/>
      <c r="N48" s="62"/>
      <c r="O48" s="62"/>
      <c r="P48" s="62"/>
      <c r="Q48" s="62"/>
      <c r="R48" s="62"/>
      <c r="S48" s="62"/>
      <c r="T48" s="62"/>
    </row>
    <row r="49" spans="1:20" x14ac:dyDescent="0.35">
      <c r="B49" s="67"/>
      <c r="C49" s="67"/>
      <c r="D49" s="67"/>
      <c r="E49" s="67"/>
      <c r="F49" s="67"/>
      <c r="G49" s="67"/>
      <c r="H49" s="67"/>
      <c r="I49" s="2">
        <v>110</v>
      </c>
      <c r="J49" s="2" t="s">
        <v>989</v>
      </c>
      <c r="N49" s="62"/>
      <c r="O49" s="62"/>
      <c r="P49" s="62"/>
      <c r="Q49" s="62"/>
      <c r="R49" s="62"/>
      <c r="S49" s="62"/>
      <c r="T49" s="62"/>
    </row>
    <row r="50" spans="1:20" x14ac:dyDescent="0.35">
      <c r="B50" s="67"/>
      <c r="C50" s="67"/>
      <c r="D50" s="67"/>
      <c r="E50" s="67"/>
      <c r="F50" s="67"/>
      <c r="G50" s="67"/>
      <c r="H50" s="67"/>
      <c r="N50" s="62"/>
      <c r="O50" s="62"/>
      <c r="P50" s="62"/>
      <c r="Q50" s="62"/>
      <c r="R50" s="62"/>
      <c r="S50" s="62"/>
      <c r="T50" s="62"/>
    </row>
    <row r="51" spans="1:20" x14ac:dyDescent="0.35">
      <c r="B51" s="67"/>
      <c r="C51" s="67"/>
      <c r="D51" s="67"/>
      <c r="E51" s="67"/>
      <c r="F51" s="67"/>
      <c r="G51" s="67"/>
      <c r="H51" s="67"/>
      <c r="N51" s="62"/>
      <c r="O51" s="62"/>
      <c r="P51" s="62"/>
      <c r="Q51" s="62"/>
      <c r="R51" s="62"/>
      <c r="S51" s="62"/>
      <c r="T51" s="62"/>
    </row>
    <row r="52" spans="1:20" x14ac:dyDescent="0.35">
      <c r="N52" s="62"/>
      <c r="O52" s="62"/>
      <c r="P52" s="62"/>
      <c r="Q52" s="62"/>
      <c r="R52" s="62"/>
      <c r="S52" s="62"/>
      <c r="T52" s="62"/>
    </row>
    <row r="53" spans="1:20" ht="27" customHeight="1" x14ac:dyDescent="0.35"/>
    <row r="54" spans="1:20" ht="45" customHeight="1" x14ac:dyDescent="0.35">
      <c r="A54" s="56" t="s">
        <v>122</v>
      </c>
      <c r="B54" s="57"/>
      <c r="H54" s="46" t="s">
        <v>123</v>
      </c>
    </row>
    <row r="55" spans="1:20" ht="46.5" x14ac:dyDescent="0.35">
      <c r="A55" s="50"/>
      <c r="B55" s="55" t="s">
        <v>124</v>
      </c>
      <c r="C55" s="55" t="s">
        <v>125</v>
      </c>
      <c r="D55" s="55" t="s">
        <v>126</v>
      </c>
      <c r="E55" s="55" t="s">
        <v>127</v>
      </c>
      <c r="F55" s="55" t="s">
        <v>128</v>
      </c>
      <c r="G55" s="55" t="s">
        <v>129</v>
      </c>
      <c r="H55" s="63" t="s">
        <v>130</v>
      </c>
    </row>
    <row r="56" spans="1:20" ht="108.5" x14ac:dyDescent="0.35">
      <c r="A56" s="55" t="s">
        <v>131</v>
      </c>
      <c r="B56" s="50"/>
      <c r="C56" s="50">
        <v>5500</v>
      </c>
      <c r="D56" s="50" t="s">
        <v>990</v>
      </c>
      <c r="E56" s="50"/>
      <c r="F56" s="50"/>
      <c r="G56" s="50"/>
      <c r="H56" s="64"/>
    </row>
    <row r="57" spans="1:20" ht="93" x14ac:dyDescent="0.35">
      <c r="A57" s="55" t="s">
        <v>132</v>
      </c>
      <c r="B57" s="50"/>
      <c r="C57" s="50">
        <v>1200</v>
      </c>
      <c r="D57" s="50" t="s">
        <v>991</v>
      </c>
      <c r="E57" s="50"/>
      <c r="F57" s="50"/>
      <c r="G57" s="50"/>
      <c r="H57" s="64"/>
    </row>
    <row r="58" spans="1:20" ht="108.5" x14ac:dyDescent="0.35">
      <c r="A58" s="65" t="s">
        <v>133</v>
      </c>
      <c r="B58" s="50"/>
      <c r="C58" s="50"/>
      <c r="D58" s="50" t="s">
        <v>992</v>
      </c>
      <c r="E58" s="50"/>
      <c r="F58" s="50"/>
      <c r="G58" s="50"/>
      <c r="H58" s="64"/>
    </row>
    <row r="59" spans="1:20" ht="16" customHeight="1" x14ac:dyDescent="0.35">
      <c r="B59" s="66" t="s">
        <v>993</v>
      </c>
      <c r="C59" s="66"/>
      <c r="D59" s="66"/>
      <c r="E59" s="66"/>
      <c r="F59" s="66"/>
      <c r="G59" s="66"/>
      <c r="H59" s="66"/>
    </row>
    <row r="60" spans="1:20" x14ac:dyDescent="0.35">
      <c r="B60" s="67"/>
      <c r="C60" s="67"/>
      <c r="D60" s="67"/>
      <c r="E60" s="67"/>
      <c r="F60" s="67"/>
      <c r="G60" s="67"/>
      <c r="H60" s="67"/>
    </row>
    <row r="61" spans="1:20" x14ac:dyDescent="0.35">
      <c r="B61" s="67"/>
      <c r="C61" s="67"/>
      <c r="D61" s="67"/>
      <c r="E61" s="67"/>
      <c r="F61" s="67"/>
      <c r="G61" s="67"/>
      <c r="H61" s="67"/>
    </row>
    <row r="62" spans="1:20" x14ac:dyDescent="0.35">
      <c r="B62" s="67"/>
      <c r="C62" s="67"/>
      <c r="D62" s="67"/>
      <c r="E62" s="67"/>
      <c r="F62" s="67"/>
      <c r="G62" s="67"/>
      <c r="H62" s="67"/>
    </row>
    <row r="63" spans="1:20" x14ac:dyDescent="0.35">
      <c r="B63" s="67"/>
      <c r="C63" s="67"/>
      <c r="D63" s="67"/>
      <c r="E63" s="67"/>
      <c r="F63" s="67"/>
      <c r="G63" s="67"/>
      <c r="H63" s="67"/>
    </row>
    <row r="64" spans="1:20" x14ac:dyDescent="0.35">
      <c r="B64" s="36"/>
    </row>
    <row r="65" spans="1:8" ht="46.5" customHeight="1" x14ac:dyDescent="0.35">
      <c r="A65" s="68" t="s">
        <v>134</v>
      </c>
      <c r="B65" s="68"/>
      <c r="C65" s="69" t="s">
        <v>135</v>
      </c>
      <c r="D65" s="69" t="s">
        <v>135</v>
      </c>
      <c r="E65" s="69" t="s">
        <v>135</v>
      </c>
      <c r="F65" s="69" t="s">
        <v>135</v>
      </c>
      <c r="G65" s="69" t="s">
        <v>135</v>
      </c>
      <c r="H65" s="70" t="s">
        <v>136</v>
      </c>
    </row>
    <row r="66" spans="1:8" ht="52" customHeight="1" x14ac:dyDescent="0.35">
      <c r="A66" s="71" t="s">
        <v>137</v>
      </c>
      <c r="B66" s="71"/>
      <c r="C66" s="71"/>
      <c r="D66" s="71"/>
      <c r="E66" s="68" t="s">
        <v>436</v>
      </c>
      <c r="F66" s="68"/>
      <c r="G66" s="68"/>
      <c r="H66" s="68"/>
    </row>
    <row r="67" spans="1:8" ht="34" customHeight="1" x14ac:dyDescent="0.35">
      <c r="A67" s="71" t="s">
        <v>139</v>
      </c>
      <c r="B67" s="71"/>
      <c r="C67" s="71"/>
      <c r="D67" s="71"/>
      <c r="E67" s="69" t="s">
        <v>994</v>
      </c>
      <c r="F67" s="69" t="s">
        <v>135</v>
      </c>
      <c r="G67" s="69" t="s">
        <v>135</v>
      </c>
      <c r="H67" s="69" t="s">
        <v>135</v>
      </c>
    </row>
    <row r="68" spans="1:8" ht="27.5" customHeight="1" x14ac:dyDescent="0.35">
      <c r="A68" s="71" t="s">
        <v>141</v>
      </c>
      <c r="B68" s="71"/>
      <c r="C68" s="71"/>
      <c r="D68" s="71"/>
      <c r="E68" s="69" t="s">
        <v>514</v>
      </c>
      <c r="F68" s="69" t="s">
        <v>135</v>
      </c>
      <c r="G68" s="69" t="s">
        <v>135</v>
      </c>
      <c r="H68" s="69" t="s">
        <v>135</v>
      </c>
    </row>
    <row r="69" spans="1:8" ht="30" customHeight="1" x14ac:dyDescent="0.35">
      <c r="A69" s="71" t="s">
        <v>143</v>
      </c>
      <c r="B69" s="71"/>
      <c r="C69" s="71"/>
      <c r="D69" s="71"/>
      <c r="E69" s="69" t="s">
        <v>995</v>
      </c>
      <c r="F69" s="69" t="s">
        <v>135</v>
      </c>
      <c r="G69" s="69" t="s">
        <v>135</v>
      </c>
      <c r="H69" s="69" t="s">
        <v>135</v>
      </c>
    </row>
    <row r="70" spans="1:8" ht="33.5" customHeight="1" x14ac:dyDescent="0.35">
      <c r="A70" s="71" t="s">
        <v>144</v>
      </c>
      <c r="B70" s="71"/>
      <c r="C70" s="71"/>
      <c r="D70" s="71"/>
      <c r="E70" s="69" t="s">
        <v>444</v>
      </c>
      <c r="F70" s="69" t="s">
        <v>135</v>
      </c>
      <c r="G70" s="69" t="s">
        <v>135</v>
      </c>
      <c r="H70" s="69" t="s">
        <v>135</v>
      </c>
    </row>
    <row r="71" spans="1:8" ht="52" customHeight="1" x14ac:dyDescent="0.35">
      <c r="A71" s="72" t="s">
        <v>146</v>
      </c>
      <c r="B71" s="72"/>
      <c r="C71" s="72"/>
      <c r="D71" s="72"/>
      <c r="E71" s="69" t="s">
        <v>996</v>
      </c>
      <c r="F71" s="69" t="s">
        <v>135</v>
      </c>
      <c r="G71" s="69" t="s">
        <v>135</v>
      </c>
      <c r="H71" s="69" t="s">
        <v>135</v>
      </c>
    </row>
    <row r="72" spans="1:8" ht="32.5" customHeight="1" x14ac:dyDescent="0.35">
      <c r="A72" s="71" t="s">
        <v>147</v>
      </c>
      <c r="B72" s="71"/>
      <c r="C72" s="71"/>
      <c r="D72" s="71"/>
      <c r="E72" s="69" t="s">
        <v>444</v>
      </c>
      <c r="F72" s="69" t="s">
        <v>135</v>
      </c>
      <c r="G72" s="69" t="s">
        <v>135</v>
      </c>
      <c r="H72" s="69" t="s">
        <v>135</v>
      </c>
    </row>
    <row r="73" spans="1:8" ht="27.5" customHeight="1" x14ac:dyDescent="0.35">
      <c r="A73" s="73" t="s">
        <v>149</v>
      </c>
      <c r="B73" s="73"/>
      <c r="C73" s="73"/>
      <c r="D73" s="73"/>
      <c r="E73" s="74" t="s">
        <v>135</v>
      </c>
      <c r="F73" s="74" t="s">
        <v>135</v>
      </c>
      <c r="G73" s="74" t="s">
        <v>135</v>
      </c>
      <c r="H73" s="74" t="s">
        <v>135</v>
      </c>
    </row>
    <row r="74" spans="1:8" ht="27" customHeight="1" x14ac:dyDescent="0.35">
      <c r="A74" s="71" t="s">
        <v>150</v>
      </c>
      <c r="B74" s="71"/>
      <c r="C74" s="71"/>
      <c r="D74" s="71"/>
      <c r="E74" s="69" t="s">
        <v>135</v>
      </c>
      <c r="F74" s="69" t="s">
        <v>135</v>
      </c>
      <c r="G74" s="69" t="s">
        <v>135</v>
      </c>
      <c r="H74" s="69" t="s">
        <v>135</v>
      </c>
    </row>
    <row r="75" spans="1:8" ht="54" customHeight="1" x14ac:dyDescent="0.35">
      <c r="A75" s="71" t="s">
        <v>152</v>
      </c>
      <c r="B75" s="71"/>
      <c r="C75" s="71"/>
      <c r="D75" s="71"/>
      <c r="E75" s="69" t="s">
        <v>514</v>
      </c>
      <c r="F75" s="69" t="s">
        <v>135</v>
      </c>
      <c r="G75" s="69" t="s">
        <v>135</v>
      </c>
      <c r="H75" s="69" t="s">
        <v>135</v>
      </c>
    </row>
    <row r="76" spans="1:8" ht="25.5" customHeight="1" x14ac:dyDescent="0.35">
      <c r="A76" s="72" t="s">
        <v>153</v>
      </c>
      <c r="B76" s="72"/>
      <c r="C76" s="72"/>
      <c r="D76" s="72"/>
      <c r="E76" s="69" t="s">
        <v>514</v>
      </c>
      <c r="F76" s="69" t="s">
        <v>997</v>
      </c>
      <c r="G76" s="69" t="s">
        <v>135</v>
      </c>
      <c r="H76" s="69" t="s">
        <v>135</v>
      </c>
    </row>
    <row r="77" spans="1:8" ht="25" customHeight="1" x14ac:dyDescent="0.35">
      <c r="A77" s="71" t="s">
        <v>154</v>
      </c>
      <c r="B77" s="71"/>
      <c r="C77" s="71"/>
      <c r="D77" s="71"/>
      <c r="E77" s="69" t="s">
        <v>514</v>
      </c>
      <c r="F77" s="69" t="s">
        <v>135</v>
      </c>
      <c r="G77" s="69" t="s">
        <v>135</v>
      </c>
      <c r="H77" s="69" t="s">
        <v>135</v>
      </c>
    </row>
    <row r="78" spans="1:8" ht="24.5" customHeight="1" x14ac:dyDescent="0.35">
      <c r="A78" s="75" t="s">
        <v>155</v>
      </c>
      <c r="B78" s="75"/>
      <c r="C78" s="75"/>
      <c r="D78" s="75"/>
      <c r="E78" s="76" t="s">
        <v>514</v>
      </c>
      <c r="F78" s="76" t="s">
        <v>135</v>
      </c>
      <c r="G78" s="76" t="s">
        <v>135</v>
      </c>
      <c r="H78" s="76" t="s">
        <v>135</v>
      </c>
    </row>
    <row r="79" spans="1:8" ht="20.5" customHeight="1" x14ac:dyDescent="0.35">
      <c r="E79" s="36"/>
      <c r="F79" s="36"/>
      <c r="G79" s="36"/>
      <c r="H79" s="77" t="s">
        <v>156</v>
      </c>
    </row>
    <row r="80" spans="1:8" ht="40.5" customHeight="1" x14ac:dyDescent="0.35">
      <c r="A80" s="78" t="s">
        <v>157</v>
      </c>
      <c r="B80" s="78"/>
      <c r="C80" s="78"/>
      <c r="D80" s="78"/>
      <c r="E80" s="78"/>
      <c r="F80" s="78"/>
      <c r="G80" s="78"/>
      <c r="H80" s="78"/>
    </row>
    <row r="81" spans="1:8" ht="36" customHeight="1" x14ac:dyDescent="0.35">
      <c r="A81" s="79" t="s">
        <v>158</v>
      </c>
      <c r="B81" s="79"/>
      <c r="C81" s="80" t="s">
        <v>998</v>
      </c>
      <c r="D81" s="80"/>
      <c r="E81" s="80"/>
      <c r="F81" s="80"/>
      <c r="G81" s="80"/>
      <c r="H81" s="80"/>
    </row>
    <row r="82" spans="1:8" ht="36.5" customHeight="1" x14ac:dyDescent="0.35">
      <c r="A82" s="21" t="s">
        <v>159</v>
      </c>
      <c r="B82" s="21"/>
      <c r="C82" s="9" t="s">
        <v>999</v>
      </c>
      <c r="D82" s="9"/>
      <c r="E82" s="9"/>
      <c r="F82" s="9"/>
      <c r="G82" s="9"/>
      <c r="H82" s="9"/>
    </row>
    <row r="83" spans="1:8" ht="41.5" customHeight="1" x14ac:dyDescent="0.35">
      <c r="A83" s="21" t="s">
        <v>160</v>
      </c>
      <c r="B83" s="21"/>
      <c r="C83" s="9" t="s">
        <v>444</v>
      </c>
      <c r="D83" s="9"/>
      <c r="E83" s="9"/>
      <c r="F83" s="9"/>
      <c r="G83" s="9"/>
      <c r="H83" s="9"/>
    </row>
    <row r="84" spans="1:8" ht="38" customHeight="1" x14ac:dyDescent="0.35">
      <c r="A84" s="21" t="s">
        <v>162</v>
      </c>
      <c r="B84" s="21"/>
      <c r="C84" s="9"/>
      <c r="D84" s="9"/>
      <c r="E84" s="9"/>
      <c r="F84" s="9"/>
      <c r="G84" s="9"/>
      <c r="H84" s="9"/>
    </row>
    <row r="85" spans="1:8" ht="29" customHeight="1" x14ac:dyDescent="0.35">
      <c r="A85" s="21" t="s">
        <v>163</v>
      </c>
      <c r="B85" s="21"/>
      <c r="C85" s="9" t="s">
        <v>444</v>
      </c>
      <c r="D85" s="9"/>
      <c r="E85" s="9"/>
      <c r="F85" s="9"/>
      <c r="G85" s="9"/>
      <c r="H85" s="9"/>
    </row>
    <row r="86" spans="1:8" ht="43" customHeight="1" x14ac:dyDescent="0.35">
      <c r="A86" s="21" t="s">
        <v>164</v>
      </c>
      <c r="B86" s="21"/>
      <c r="C86" s="9" t="s">
        <v>444</v>
      </c>
      <c r="D86" s="9"/>
      <c r="E86" s="9"/>
      <c r="F86" s="9"/>
      <c r="G86" s="9"/>
      <c r="H86" s="9"/>
    </row>
    <row r="87" spans="1:8" x14ac:dyDescent="0.35">
      <c r="A87" s="21" t="s">
        <v>165</v>
      </c>
      <c r="B87" s="21"/>
      <c r="C87" s="9" t="s">
        <v>1000</v>
      </c>
      <c r="D87" s="9"/>
      <c r="E87" s="9"/>
      <c r="F87" s="9"/>
      <c r="G87" s="9"/>
      <c r="H87" s="9"/>
    </row>
    <row r="88" spans="1:8" x14ac:dyDescent="0.35">
      <c r="A88" s="81" t="s">
        <v>166</v>
      </c>
      <c r="B88" s="81"/>
      <c r="C88" s="9" t="s">
        <v>444</v>
      </c>
      <c r="D88" s="9"/>
      <c r="E88" s="9"/>
      <c r="F88" s="9"/>
      <c r="G88" s="9"/>
      <c r="H88" s="9"/>
    </row>
    <row r="89" spans="1:8" ht="22.5" customHeight="1" x14ac:dyDescent="0.35">
      <c r="A89" s="81" t="s">
        <v>167</v>
      </c>
      <c r="B89" s="81"/>
      <c r="C89" s="9" t="s">
        <v>444</v>
      </c>
      <c r="D89" s="9"/>
      <c r="E89" s="9"/>
      <c r="F89" s="9"/>
      <c r="G89" s="9"/>
      <c r="H89" s="9"/>
    </row>
    <row r="90" spans="1:8" x14ac:dyDescent="0.35">
      <c r="A90" s="81" t="s">
        <v>169</v>
      </c>
      <c r="B90" s="81"/>
      <c r="C90" s="9" t="s">
        <v>1001</v>
      </c>
      <c r="D90" s="9"/>
      <c r="E90" s="9"/>
      <c r="F90" s="9"/>
      <c r="G90" s="9"/>
      <c r="H90" s="9"/>
    </row>
    <row r="91" spans="1:8" ht="46.5" customHeight="1" x14ac:dyDescent="0.35">
      <c r="A91" s="81" t="s">
        <v>171</v>
      </c>
      <c r="B91" s="81"/>
      <c r="C91" s="82" t="s">
        <v>172</v>
      </c>
      <c r="D91" s="82"/>
      <c r="E91" s="82"/>
      <c r="F91" s="82"/>
      <c r="G91" s="82"/>
      <c r="H91" s="82"/>
    </row>
    <row r="92" spans="1:8" ht="31" customHeight="1" x14ac:dyDescent="0.35">
      <c r="A92" s="21" t="s">
        <v>173</v>
      </c>
      <c r="B92" s="21"/>
      <c r="C92" s="80" t="s">
        <v>174</v>
      </c>
      <c r="D92" s="80"/>
      <c r="E92" s="80"/>
      <c r="F92" s="80"/>
      <c r="G92" s="80"/>
      <c r="H92" s="80"/>
    </row>
    <row r="93" spans="1:8" ht="31" customHeight="1" x14ac:dyDescent="0.35">
      <c r="A93" s="21" t="s">
        <v>175</v>
      </c>
      <c r="B93" s="21"/>
      <c r="C93" s="9"/>
      <c r="D93" s="9"/>
      <c r="E93" s="9"/>
      <c r="F93" s="9"/>
      <c r="G93" s="9"/>
      <c r="H93" s="9"/>
    </row>
    <row r="94" spans="1:8" ht="23.5" customHeight="1" x14ac:dyDescent="0.35">
      <c r="A94" s="83"/>
      <c r="B94" s="83"/>
      <c r="C94" s="84"/>
      <c r="D94" s="84"/>
      <c r="E94" s="84"/>
      <c r="F94" s="84"/>
      <c r="G94" s="84"/>
      <c r="H94" s="84"/>
    </row>
    <row r="95" spans="1:8" ht="45.5" customHeight="1" x14ac:dyDescent="0.35">
      <c r="A95" s="83"/>
      <c r="B95" s="83"/>
      <c r="C95" s="84"/>
      <c r="D95" s="84"/>
      <c r="E95" s="84"/>
      <c r="F95" s="84"/>
      <c r="G95" s="84"/>
      <c r="H95" s="85" t="s">
        <v>176</v>
      </c>
    </row>
    <row r="96" spans="1:8" ht="36" customHeight="1" x14ac:dyDescent="0.35">
      <c r="A96" s="21" t="s">
        <v>177</v>
      </c>
      <c r="B96" s="21"/>
      <c r="C96" s="9" t="s">
        <v>1002</v>
      </c>
      <c r="D96" s="9"/>
      <c r="E96" s="9"/>
      <c r="F96" s="9"/>
      <c r="G96" s="9"/>
      <c r="H96" s="9"/>
    </row>
    <row r="97" spans="1:14" ht="46.5" customHeight="1" x14ac:dyDescent="0.35">
      <c r="A97" s="21" t="s">
        <v>178</v>
      </c>
      <c r="B97" s="21"/>
      <c r="C97" s="9" t="s">
        <v>1003</v>
      </c>
      <c r="D97" s="9"/>
      <c r="E97" s="9"/>
      <c r="F97" s="9"/>
      <c r="G97" s="9"/>
      <c r="H97" s="9"/>
      <c r="I97" s="2" t="s">
        <v>1004</v>
      </c>
    </row>
    <row r="98" spans="1:14" ht="47" customHeight="1" x14ac:dyDescent="0.35">
      <c r="A98" s="21" t="s">
        <v>180</v>
      </c>
      <c r="B98" s="21"/>
      <c r="C98" s="21" t="s">
        <v>1005</v>
      </c>
      <c r="D98" s="21"/>
      <c r="E98" s="21"/>
      <c r="F98" s="21"/>
      <c r="G98" s="21"/>
      <c r="H98" s="21"/>
      <c r="I98" s="9" t="s">
        <v>1006</v>
      </c>
      <c r="J98" s="9"/>
      <c r="K98" s="9"/>
      <c r="L98" s="9"/>
      <c r="M98" s="9"/>
      <c r="N98" s="9"/>
    </row>
    <row r="99" spans="1:14" ht="69.75" customHeight="1" x14ac:dyDescent="0.35">
      <c r="A99" s="21" t="s">
        <v>182</v>
      </c>
      <c r="B99" s="21"/>
      <c r="C99" s="9" t="s">
        <v>1007</v>
      </c>
      <c r="D99" s="9"/>
      <c r="E99" s="9"/>
      <c r="F99" s="9"/>
      <c r="G99" s="9"/>
      <c r="H99" s="9"/>
      <c r="I99" s="9" t="s">
        <v>1008</v>
      </c>
      <c r="J99" s="9"/>
      <c r="K99" s="9"/>
      <c r="L99" s="9"/>
      <c r="M99" s="9"/>
      <c r="N99" s="9"/>
    </row>
    <row r="100" spans="1:14" ht="34.5" customHeight="1" x14ac:dyDescent="0.35">
      <c r="A100" s="24" t="s">
        <v>183</v>
      </c>
      <c r="B100" s="24"/>
      <c r="C100" s="86" t="s">
        <v>1009</v>
      </c>
      <c r="D100" s="86"/>
      <c r="E100" s="86"/>
      <c r="F100" s="86"/>
      <c r="G100" s="86"/>
      <c r="H100" s="86"/>
      <c r="I100" s="9" t="s">
        <v>1010</v>
      </c>
      <c r="J100" s="9"/>
      <c r="K100" s="9"/>
      <c r="L100" s="9"/>
      <c r="M100" s="9"/>
      <c r="N100" s="9"/>
    </row>
    <row r="101" spans="1:14" ht="39.5" customHeight="1" x14ac:dyDescent="0.35">
      <c r="A101" s="21" t="s">
        <v>185</v>
      </c>
      <c r="B101" s="21"/>
      <c r="C101" s="80" t="s">
        <v>1011</v>
      </c>
      <c r="D101" s="80"/>
      <c r="E101" s="80"/>
      <c r="F101" s="80"/>
      <c r="G101" s="80"/>
      <c r="H101" s="80"/>
      <c r="I101" s="9" t="s">
        <v>1012</v>
      </c>
      <c r="J101" s="9"/>
      <c r="K101" s="9"/>
      <c r="L101" s="9"/>
      <c r="M101" s="9"/>
      <c r="N101" s="9"/>
    </row>
    <row r="102" spans="1:14" ht="54.5" customHeight="1" x14ac:dyDescent="0.35">
      <c r="A102" s="21" t="s">
        <v>187</v>
      </c>
      <c r="B102" s="21"/>
      <c r="C102" s="9" t="s">
        <v>1007</v>
      </c>
      <c r="D102" s="9"/>
      <c r="E102" s="9"/>
      <c r="F102" s="9"/>
      <c r="G102" s="9"/>
      <c r="H102" s="9"/>
      <c r="I102" s="86" t="s">
        <v>1013</v>
      </c>
      <c r="J102" s="86"/>
      <c r="K102" s="86"/>
      <c r="L102" s="86"/>
      <c r="M102" s="86"/>
      <c r="N102" s="86"/>
    </row>
    <row r="103" spans="1:14" ht="56" customHeight="1" x14ac:dyDescent="0.35">
      <c r="A103" s="21" t="s">
        <v>188</v>
      </c>
      <c r="B103" s="21"/>
      <c r="C103" s="9" t="s">
        <v>1007</v>
      </c>
      <c r="D103" s="9"/>
      <c r="E103" s="9"/>
      <c r="F103" s="9"/>
      <c r="G103" s="9"/>
      <c r="H103" s="9"/>
      <c r="I103" s="80" t="s">
        <v>1014</v>
      </c>
      <c r="J103" s="80"/>
      <c r="K103" s="80"/>
      <c r="L103" s="80"/>
      <c r="M103" s="80"/>
      <c r="N103" s="80"/>
    </row>
    <row r="104" spans="1:14" ht="45" customHeight="1" x14ac:dyDescent="0.35">
      <c r="A104" s="21" t="s">
        <v>189</v>
      </c>
      <c r="B104" s="21"/>
      <c r="C104" s="21" t="s">
        <v>1015</v>
      </c>
      <c r="D104" s="21"/>
      <c r="E104" s="21"/>
      <c r="F104" s="21"/>
      <c r="G104" s="21"/>
      <c r="H104" s="21"/>
      <c r="I104" s="9" t="s">
        <v>444</v>
      </c>
      <c r="J104" s="9"/>
      <c r="K104" s="9"/>
      <c r="L104" s="9"/>
      <c r="M104" s="9"/>
      <c r="N104" s="9"/>
    </row>
    <row r="105" spans="1:14" x14ac:dyDescent="0.35">
      <c r="I105" s="9" t="s">
        <v>444</v>
      </c>
      <c r="J105" s="9"/>
      <c r="K105" s="9"/>
      <c r="L105" s="9"/>
      <c r="M105" s="9"/>
      <c r="N105" s="9"/>
    </row>
    <row r="106" spans="1:14" x14ac:dyDescent="0.35">
      <c r="I106" s="9" t="s">
        <v>1016</v>
      </c>
      <c r="J106" s="9"/>
      <c r="K106" s="9"/>
      <c r="L106" s="9"/>
      <c r="M106" s="9"/>
      <c r="N106" s="9"/>
    </row>
  </sheetData>
  <mergeCells count="119">
    <mergeCell ref="A104:B104"/>
    <mergeCell ref="C104:H104"/>
    <mergeCell ref="I104:N104"/>
    <mergeCell ref="I105:N105"/>
    <mergeCell ref="I106:N106"/>
    <mergeCell ref="A102:B102"/>
    <mergeCell ref="C102:H102"/>
    <mergeCell ref="I102:N102"/>
    <mergeCell ref="A103:B103"/>
    <mergeCell ref="C103:H103"/>
    <mergeCell ref="I103:N103"/>
    <mergeCell ref="A100:B100"/>
    <mergeCell ref="C100:H100"/>
    <mergeCell ref="I100:N100"/>
    <mergeCell ref="A101:B101"/>
    <mergeCell ref="C101:H101"/>
    <mergeCell ref="I101:N101"/>
    <mergeCell ref="A98:B98"/>
    <mergeCell ref="C98:H98"/>
    <mergeCell ref="I98:N98"/>
    <mergeCell ref="A99:B99"/>
    <mergeCell ref="C99:H99"/>
    <mergeCell ref="I99:N99"/>
    <mergeCell ref="A93:B93"/>
    <mergeCell ref="C93:H93"/>
    <mergeCell ref="A96:B96"/>
    <mergeCell ref="C96:H96"/>
    <mergeCell ref="A97:B97"/>
    <mergeCell ref="C97:H97"/>
    <mergeCell ref="A90:B90"/>
    <mergeCell ref="C90:H90"/>
    <mergeCell ref="A91:B91"/>
    <mergeCell ref="C91:H91"/>
    <mergeCell ref="A92:B92"/>
    <mergeCell ref="C92:H92"/>
    <mergeCell ref="A87:B87"/>
    <mergeCell ref="C87:H87"/>
    <mergeCell ref="A88:B88"/>
    <mergeCell ref="C88:H88"/>
    <mergeCell ref="A89:B89"/>
    <mergeCell ref="C89:H89"/>
    <mergeCell ref="A84:B84"/>
    <mergeCell ref="C84:H84"/>
    <mergeCell ref="A85:B85"/>
    <mergeCell ref="C85:H85"/>
    <mergeCell ref="A86:B86"/>
    <mergeCell ref="C86:H86"/>
    <mergeCell ref="A81:B81"/>
    <mergeCell ref="C81:H81"/>
    <mergeCell ref="A82:B82"/>
    <mergeCell ref="C82:H82"/>
    <mergeCell ref="A83:B83"/>
    <mergeCell ref="C83:H83"/>
    <mergeCell ref="A74:D74"/>
    <mergeCell ref="A75:D75"/>
    <mergeCell ref="A76:D76"/>
    <mergeCell ref="A77:D77"/>
    <mergeCell ref="A78:D78"/>
    <mergeCell ref="A80:H80"/>
    <mergeCell ref="A68:D68"/>
    <mergeCell ref="A69:D69"/>
    <mergeCell ref="A70:D70"/>
    <mergeCell ref="A71:D71"/>
    <mergeCell ref="A72:D72"/>
    <mergeCell ref="A73:D73"/>
    <mergeCell ref="A54:B54"/>
    <mergeCell ref="B59:H63"/>
    <mergeCell ref="A65:B65"/>
    <mergeCell ref="A66:D66"/>
    <mergeCell ref="E66:H66"/>
    <mergeCell ref="A67:D67"/>
    <mergeCell ref="A37:B37"/>
    <mergeCell ref="A38:A45"/>
    <mergeCell ref="M38:N38"/>
    <mergeCell ref="M39:M46"/>
    <mergeCell ref="B46:H51"/>
    <mergeCell ref="N47:T52"/>
    <mergeCell ref="A21:D21"/>
    <mergeCell ref="E21:H21"/>
    <mergeCell ref="A23:D23"/>
    <mergeCell ref="A24:D24"/>
    <mergeCell ref="E24:H24"/>
    <mergeCell ref="A26:A27"/>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hyperlinks>
    <hyperlink ref="E5" r:id="rId1" xr:uid="{3EEF99F4-0907-494D-A3C2-58BA63E899BD}"/>
  </hyperlinks>
  <pageMargins left="0.7" right="0.7" top="0.75" bottom="0.75" header="0.3" footer="0.3"/>
  <pageSetup orientation="landscap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22B77-4563-4D75-AC16-3CBCE5C229AA}">
  <dimension ref="A1:V104"/>
  <sheetViews>
    <sheetView view="pageBreakPreview" zoomScale="39" zoomScaleNormal="100" zoomScaleSheetLayoutView="125" workbookViewId="0">
      <selection activeCell="N19" sqref="N19"/>
    </sheetView>
  </sheetViews>
  <sheetFormatPr defaultColWidth="11.81640625" defaultRowHeight="15.5" x14ac:dyDescent="0.35"/>
  <cols>
    <col min="1" max="1" width="13.26953125" style="2" customWidth="1"/>
    <col min="2" max="2" width="18.90625" style="2" customWidth="1"/>
    <col min="3" max="3" width="12" style="2" customWidth="1"/>
    <col min="4" max="4" width="12.1796875" style="2" customWidth="1"/>
    <col min="5" max="6" width="14.90625" style="2" customWidth="1"/>
    <col min="7" max="7" width="16.54296875" style="2" customWidth="1"/>
    <col min="8" max="8" width="15.26953125" style="2" customWidth="1"/>
    <col min="9" max="9" width="11.81640625" style="2"/>
    <col min="10" max="10" width="13.6328125" style="2" customWidth="1"/>
    <col min="11" max="13" width="11.81640625" style="2"/>
    <col min="14" max="14" width="13.453125" style="2" customWidth="1"/>
    <col min="15" max="16384" width="11.81640625" style="2"/>
  </cols>
  <sheetData>
    <row r="1" spans="1:14" x14ac:dyDescent="0.35">
      <c r="A1" s="1" t="s">
        <v>0</v>
      </c>
      <c r="B1" s="1"/>
      <c r="C1" s="1"/>
      <c r="D1" s="1"/>
      <c r="H1" s="3" t="s">
        <v>1</v>
      </c>
    </row>
    <row r="2" spans="1:14" ht="24" customHeight="1" thickBot="1" x14ac:dyDescent="0.4">
      <c r="A2" s="4" t="s">
        <v>2</v>
      </c>
      <c r="B2" s="4"/>
      <c r="C2" s="4"/>
      <c r="D2" s="4"/>
      <c r="E2" s="5"/>
      <c r="F2" s="6"/>
    </row>
    <row r="3" spans="1:14" ht="19" customHeight="1" x14ac:dyDescent="0.35">
      <c r="A3" s="7" t="s">
        <v>3</v>
      </c>
      <c r="B3" s="7"/>
      <c r="C3" s="7"/>
      <c r="D3" s="7"/>
      <c r="E3" s="8" t="s">
        <v>808</v>
      </c>
      <c r="F3" s="8"/>
      <c r="G3" s="8"/>
      <c r="H3" s="8"/>
    </row>
    <row r="4" spans="1:14" ht="19" customHeight="1" x14ac:dyDescent="0.35">
      <c r="A4" s="9" t="s">
        <v>5</v>
      </c>
      <c r="B4" s="9"/>
      <c r="C4" s="9"/>
      <c r="D4" s="9"/>
      <c r="E4" s="10" t="s">
        <v>809</v>
      </c>
      <c r="F4" s="10"/>
      <c r="G4" s="10"/>
      <c r="H4" s="10"/>
      <c r="J4" s="19" t="s">
        <v>7</v>
      </c>
      <c r="K4" s="19"/>
      <c r="L4" s="19"/>
      <c r="M4" s="19"/>
      <c r="N4" s="19"/>
    </row>
    <row r="5" spans="1:14" ht="19" customHeight="1" x14ac:dyDescent="0.35">
      <c r="A5" s="9" t="s">
        <v>8</v>
      </c>
      <c r="B5" s="9"/>
      <c r="C5" s="9"/>
      <c r="D5" s="9"/>
      <c r="E5" s="10" t="s">
        <v>810</v>
      </c>
      <c r="F5" s="10"/>
      <c r="G5" s="10"/>
      <c r="H5" s="10"/>
      <c r="J5" s="19" t="s">
        <v>10</v>
      </c>
      <c r="K5" s="19"/>
      <c r="L5" s="19"/>
      <c r="M5" s="19"/>
      <c r="N5" s="19"/>
    </row>
    <row r="6" spans="1:14" ht="19" customHeight="1" x14ac:dyDescent="0.35">
      <c r="A6" s="9" t="s">
        <v>11</v>
      </c>
      <c r="B6" s="9"/>
      <c r="C6" s="9"/>
      <c r="D6" s="9"/>
      <c r="E6" s="10" t="s">
        <v>811</v>
      </c>
      <c r="F6" s="10"/>
      <c r="G6" s="10"/>
      <c r="H6" s="10"/>
      <c r="I6" s="144">
        <v>39</v>
      </c>
      <c r="J6" s="19" t="s">
        <v>13</v>
      </c>
      <c r="K6" s="17">
        <f>I6</f>
        <v>39</v>
      </c>
      <c r="L6" s="19"/>
      <c r="M6" s="19"/>
      <c r="N6" s="138"/>
    </row>
    <row r="7" spans="1:14" ht="37" customHeight="1" x14ac:dyDescent="0.35">
      <c r="A7" s="9" t="s">
        <v>14</v>
      </c>
      <c r="B7" s="9"/>
      <c r="C7" s="9"/>
      <c r="D7" s="9"/>
      <c r="E7" s="10" t="s">
        <v>194</v>
      </c>
      <c r="F7" s="10"/>
      <c r="G7" s="10"/>
      <c r="H7" s="10"/>
      <c r="J7" s="31" t="s">
        <v>16</v>
      </c>
      <c r="K7" s="17">
        <f>I20</f>
        <v>950</v>
      </c>
      <c r="L7" s="19"/>
      <c r="M7" s="19" t="s">
        <v>17</v>
      </c>
      <c r="N7" s="138">
        <f>K7/40</f>
        <v>23.75</v>
      </c>
    </row>
    <row r="8" spans="1:14" ht="32.5" customHeight="1" x14ac:dyDescent="0.35">
      <c r="A8" s="21" t="s">
        <v>18</v>
      </c>
      <c r="B8" s="21"/>
      <c r="C8" s="21"/>
      <c r="D8" s="21"/>
      <c r="E8" s="10" t="s">
        <v>812</v>
      </c>
      <c r="F8" s="10"/>
      <c r="G8" s="10"/>
      <c r="H8" s="10"/>
      <c r="J8" s="31" t="s">
        <v>19</v>
      </c>
      <c r="K8" s="17">
        <f>I27</f>
        <v>5400</v>
      </c>
      <c r="L8" s="19"/>
      <c r="M8" s="31" t="s">
        <v>20</v>
      </c>
      <c r="N8" s="145">
        <f>K8/K6</f>
        <v>138.46153846153845</v>
      </c>
    </row>
    <row r="9" spans="1:14" ht="53" customHeight="1" x14ac:dyDescent="0.35">
      <c r="A9" s="21" t="s">
        <v>21</v>
      </c>
      <c r="B9" s="21"/>
      <c r="C9" s="21"/>
      <c r="D9" s="21"/>
      <c r="E9" s="24" t="s">
        <v>196</v>
      </c>
      <c r="F9" s="24"/>
      <c r="G9" s="24"/>
      <c r="H9" s="24"/>
      <c r="J9" s="143" t="s">
        <v>23</v>
      </c>
      <c r="K9" s="17">
        <f>I40</f>
        <v>377</v>
      </c>
      <c r="L9" s="19"/>
      <c r="M9" s="31" t="s">
        <v>24</v>
      </c>
      <c r="N9" s="138">
        <f>K9/K6</f>
        <v>9.6666666666666661</v>
      </c>
    </row>
    <row r="10" spans="1:14" ht="53" customHeight="1" x14ac:dyDescent="0.35">
      <c r="A10" s="21" t="s">
        <v>25</v>
      </c>
      <c r="B10" s="21"/>
      <c r="C10" s="21"/>
      <c r="D10" s="21"/>
      <c r="E10" s="26" t="s">
        <v>26</v>
      </c>
      <c r="F10" s="26"/>
      <c r="G10" s="26"/>
      <c r="H10" s="26"/>
      <c r="J10" s="31" t="s">
        <v>749</v>
      </c>
      <c r="K10" s="17">
        <f>I40</f>
        <v>377</v>
      </c>
      <c r="L10" s="19"/>
      <c r="M10" s="31" t="s">
        <v>28</v>
      </c>
      <c r="N10" s="138">
        <f>K10/K6</f>
        <v>9.6666666666666661</v>
      </c>
    </row>
    <row r="11" spans="1:14" ht="40" customHeight="1" x14ac:dyDescent="0.35">
      <c r="A11" s="21" t="s">
        <v>29</v>
      </c>
      <c r="B11" s="21"/>
      <c r="C11" s="21"/>
      <c r="D11" s="21"/>
      <c r="E11" s="24" t="s">
        <v>813</v>
      </c>
      <c r="F11" s="24"/>
      <c r="G11" s="24"/>
      <c r="H11" s="24"/>
      <c r="I11" s="27"/>
      <c r="J11" s="31" t="s">
        <v>31</v>
      </c>
      <c r="K11" s="17">
        <f>I39</f>
        <v>225</v>
      </c>
      <c r="L11" s="19"/>
      <c r="M11" s="31" t="s">
        <v>33</v>
      </c>
      <c r="N11" s="145">
        <f>K11/K6</f>
        <v>5.7692307692307692</v>
      </c>
    </row>
    <row r="12" spans="1:14" ht="50" customHeight="1" x14ac:dyDescent="0.35">
      <c r="A12" s="21" t="s">
        <v>34</v>
      </c>
      <c r="B12" s="21"/>
      <c r="C12" s="21"/>
      <c r="D12" s="21"/>
      <c r="E12" s="24" t="s">
        <v>814</v>
      </c>
      <c r="F12" s="24"/>
      <c r="G12" s="24"/>
      <c r="H12" s="24"/>
      <c r="I12" s="30"/>
      <c r="J12" s="31" t="s">
        <v>36</v>
      </c>
      <c r="K12" s="17">
        <f>(1*8*4*7)+(20*3*1)</f>
        <v>284</v>
      </c>
      <c r="L12" s="19"/>
      <c r="M12" s="31" t="s">
        <v>37</v>
      </c>
      <c r="N12" s="138">
        <f>K12/K6</f>
        <v>7.2820512820512819</v>
      </c>
    </row>
    <row r="13" spans="1:14" ht="48.5" customHeight="1" x14ac:dyDescent="0.35">
      <c r="A13" s="21" t="s">
        <v>38</v>
      </c>
      <c r="B13" s="21"/>
      <c r="C13" s="21"/>
      <c r="D13" s="21"/>
      <c r="E13" s="24" t="s">
        <v>815</v>
      </c>
      <c r="F13" s="24"/>
      <c r="G13" s="24"/>
      <c r="H13" s="24"/>
      <c r="I13" s="30"/>
      <c r="J13" s="31" t="s">
        <v>40</v>
      </c>
      <c r="K13" s="17">
        <f>I41+I42</f>
        <v>467</v>
      </c>
      <c r="L13" s="19"/>
      <c r="M13" s="31" t="s">
        <v>41</v>
      </c>
      <c r="N13" s="138">
        <f>K13/K6</f>
        <v>11.974358974358974</v>
      </c>
    </row>
    <row r="14" spans="1:14" ht="56" customHeight="1" x14ac:dyDescent="0.35">
      <c r="A14" s="21" t="s">
        <v>42</v>
      </c>
      <c r="B14" s="21"/>
      <c r="C14" s="21"/>
      <c r="D14" s="21"/>
      <c r="E14" s="26" t="s">
        <v>26</v>
      </c>
      <c r="F14" s="26"/>
      <c r="G14" s="26"/>
      <c r="H14" s="26"/>
      <c r="J14" s="31" t="s">
        <v>43</v>
      </c>
      <c r="K14" s="17">
        <f>I43</f>
        <v>65</v>
      </c>
      <c r="L14" s="19"/>
      <c r="M14" s="31" t="s">
        <v>45</v>
      </c>
      <c r="N14" s="145">
        <f>(K14*K15)/K6</f>
        <v>4.166666666666667</v>
      </c>
    </row>
    <row r="15" spans="1:14" ht="48" customHeight="1" x14ac:dyDescent="0.35">
      <c r="A15" s="21" t="s">
        <v>46</v>
      </c>
      <c r="B15" s="21"/>
      <c r="C15" s="21"/>
      <c r="D15" s="21"/>
      <c r="E15" s="24" t="s">
        <v>22</v>
      </c>
      <c r="F15" s="24"/>
      <c r="G15" s="24"/>
      <c r="H15" s="24"/>
      <c r="I15" s="27"/>
      <c r="J15" s="31" t="s">
        <v>48</v>
      </c>
      <c r="K15" s="17">
        <v>2.5</v>
      </c>
      <c r="L15" s="19"/>
      <c r="M15" s="31" t="s">
        <v>49</v>
      </c>
      <c r="N15" s="138">
        <f>K18/K6</f>
        <v>0</v>
      </c>
    </row>
    <row r="16" spans="1:14" ht="75" customHeight="1" x14ac:dyDescent="0.35">
      <c r="A16" s="21" t="s">
        <v>50</v>
      </c>
      <c r="B16" s="21"/>
      <c r="C16" s="21"/>
      <c r="D16" s="21"/>
      <c r="E16" s="26" t="s">
        <v>26</v>
      </c>
      <c r="F16" s="26"/>
      <c r="G16" s="26"/>
      <c r="H16" s="26"/>
      <c r="J16" s="31" t="s">
        <v>51</v>
      </c>
      <c r="K16" s="17">
        <v>0</v>
      </c>
      <c r="L16" s="19"/>
      <c r="M16" s="31" t="s">
        <v>52</v>
      </c>
      <c r="N16" s="138">
        <v>0</v>
      </c>
    </row>
    <row r="17" spans="1:14" ht="19" customHeight="1" x14ac:dyDescent="0.35">
      <c r="A17" s="21" t="s">
        <v>53</v>
      </c>
      <c r="B17" s="21"/>
      <c r="C17" s="21"/>
      <c r="D17" s="21"/>
      <c r="E17" s="26" t="s">
        <v>26</v>
      </c>
      <c r="F17" s="26"/>
      <c r="G17" s="26"/>
      <c r="H17" s="26"/>
      <c r="J17" s="19"/>
      <c r="K17" s="17"/>
      <c r="L17" s="19"/>
      <c r="M17" s="19"/>
      <c r="N17" s="138"/>
    </row>
    <row r="18" spans="1:14" ht="49" customHeight="1" x14ac:dyDescent="0.35">
      <c r="A18" s="21" t="s">
        <v>54</v>
      </c>
      <c r="B18" s="21"/>
      <c r="C18" s="21"/>
      <c r="D18" s="21"/>
      <c r="E18" s="26" t="s">
        <v>26</v>
      </c>
      <c r="F18" s="26"/>
      <c r="G18" s="26"/>
      <c r="H18" s="26"/>
      <c r="J18" s="19" t="s">
        <v>55</v>
      </c>
      <c r="K18" s="17">
        <v>0</v>
      </c>
      <c r="L18" s="19"/>
      <c r="M18" s="31" t="s">
        <v>57</v>
      </c>
      <c r="N18" s="145">
        <f>+N15+N14+N11+N8</f>
        <v>148.39743589743588</v>
      </c>
    </row>
    <row r="19" spans="1:14" ht="49" customHeight="1" x14ac:dyDescent="0.35">
      <c r="A19" s="37" t="s">
        <v>58</v>
      </c>
      <c r="B19" s="21"/>
      <c r="C19" s="21"/>
      <c r="D19" s="21"/>
      <c r="E19" s="24" t="s">
        <v>812</v>
      </c>
      <c r="F19" s="24"/>
      <c r="G19" s="24"/>
      <c r="H19" s="24"/>
      <c r="J19" s="19"/>
      <c r="K19" s="19"/>
      <c r="L19" s="19"/>
      <c r="M19" s="31" t="s">
        <v>59</v>
      </c>
      <c r="N19" s="138">
        <f>N12+N9</f>
        <v>16.948717948717949</v>
      </c>
    </row>
    <row r="20" spans="1:14" ht="36.5" customHeight="1" x14ac:dyDescent="0.35">
      <c r="A20" s="37" t="s">
        <v>60</v>
      </c>
      <c r="B20" s="21"/>
      <c r="C20" s="21"/>
      <c r="D20" s="21"/>
      <c r="E20" s="24" t="s">
        <v>61</v>
      </c>
      <c r="F20" s="24"/>
      <c r="G20" s="24"/>
      <c r="H20" s="24"/>
      <c r="I20" s="144">
        <f>(72*47.5*40)/144</f>
        <v>950</v>
      </c>
    </row>
    <row r="21" spans="1:14" ht="31.5" customHeight="1" x14ac:dyDescent="0.35">
      <c r="A21" s="37" t="s">
        <v>62</v>
      </c>
      <c r="B21" s="21"/>
      <c r="C21" s="21"/>
      <c r="D21" s="21"/>
      <c r="E21" s="24" t="s">
        <v>816</v>
      </c>
      <c r="F21" s="24"/>
      <c r="G21" s="24"/>
      <c r="H21" s="24"/>
    </row>
    <row r="22" spans="1:14" ht="21.5" customHeight="1" x14ac:dyDescent="0.35">
      <c r="A22" s="41"/>
      <c r="B22" s="42"/>
      <c r="C22" s="42"/>
      <c r="D22" s="42"/>
      <c r="E22" s="43"/>
      <c r="F22" s="43"/>
      <c r="G22" s="43"/>
      <c r="H22" s="43"/>
    </row>
    <row r="23" spans="1:14" ht="24" customHeight="1" x14ac:dyDescent="0.35">
      <c r="A23" s="44" t="s">
        <v>67</v>
      </c>
      <c r="B23" s="45"/>
      <c r="C23" s="45"/>
      <c r="D23" s="45"/>
      <c r="H23" s="46" t="s">
        <v>68</v>
      </c>
    </row>
    <row r="24" spans="1:14" ht="114" customHeight="1" x14ac:dyDescent="0.35">
      <c r="A24" s="44" t="s">
        <v>69</v>
      </c>
      <c r="B24" s="45"/>
      <c r="C24" s="45"/>
      <c r="D24" s="45"/>
      <c r="E24" s="47" t="s">
        <v>817</v>
      </c>
      <c r="F24" s="47"/>
      <c r="G24" s="47"/>
      <c r="H24" s="47"/>
    </row>
    <row r="25" spans="1:14" ht="28" customHeight="1" x14ac:dyDescent="0.35">
      <c r="A25" s="48" t="s">
        <v>71</v>
      </c>
      <c r="B25" s="48"/>
      <c r="C25" s="48"/>
      <c r="D25" s="48"/>
    </row>
    <row r="26" spans="1:14" ht="30" customHeight="1" x14ac:dyDescent="0.35">
      <c r="A26" s="49" t="s">
        <v>72</v>
      </c>
      <c r="B26" s="50"/>
      <c r="C26" s="51" t="s">
        <v>73</v>
      </c>
      <c r="D26" s="51" t="s">
        <v>74</v>
      </c>
      <c r="E26" s="51" t="s">
        <v>75</v>
      </c>
      <c r="F26" s="51" t="s">
        <v>76</v>
      </c>
      <c r="G26" s="52" t="s">
        <v>77</v>
      </c>
      <c r="H26" s="52" t="s">
        <v>78</v>
      </c>
    </row>
    <row r="27" spans="1:14" ht="30" customHeight="1" x14ac:dyDescent="0.35">
      <c r="A27" s="53"/>
      <c r="B27" s="50" t="s">
        <v>79</v>
      </c>
      <c r="C27" s="50" t="s">
        <v>80</v>
      </c>
      <c r="D27" s="50"/>
      <c r="E27" s="50"/>
      <c r="F27" s="50"/>
      <c r="G27" s="50"/>
      <c r="H27" s="50"/>
      <c r="I27" s="144">
        <v>5400</v>
      </c>
    </row>
    <row r="28" spans="1:14" ht="30" customHeight="1" x14ac:dyDescent="0.35">
      <c r="A28" s="54"/>
      <c r="B28" s="50" t="s">
        <v>81</v>
      </c>
      <c r="C28" s="50" t="s">
        <v>80</v>
      </c>
      <c r="D28" s="50"/>
      <c r="E28" s="50"/>
      <c r="F28" s="50"/>
      <c r="G28" s="50"/>
      <c r="H28" s="50"/>
    </row>
    <row r="29" spans="1:14" ht="30" customHeight="1" x14ac:dyDescent="0.35">
      <c r="A29" s="54"/>
      <c r="B29" s="50" t="s">
        <v>82</v>
      </c>
      <c r="C29" s="50" t="s">
        <v>80</v>
      </c>
      <c r="D29" s="50"/>
      <c r="E29" s="50"/>
      <c r="F29" s="50"/>
      <c r="G29" s="50"/>
      <c r="H29" s="50"/>
    </row>
    <row r="30" spans="1:14" ht="30" customHeight="1" x14ac:dyDescent="0.35">
      <c r="A30" s="54"/>
      <c r="B30" s="50" t="s">
        <v>83</v>
      </c>
      <c r="C30" s="50" t="s">
        <v>84</v>
      </c>
      <c r="D30" s="50" t="s">
        <v>818</v>
      </c>
      <c r="E30" s="50"/>
      <c r="F30" s="50"/>
      <c r="G30" s="50"/>
      <c r="H30" s="50"/>
    </row>
    <row r="31" spans="1:14" ht="30" customHeight="1" x14ac:dyDescent="0.35">
      <c r="A31" s="54"/>
      <c r="B31" s="50" t="s">
        <v>85</v>
      </c>
      <c r="C31" s="50" t="s">
        <v>84</v>
      </c>
      <c r="D31" s="50" t="s">
        <v>819</v>
      </c>
      <c r="E31" s="50"/>
      <c r="F31" s="50"/>
      <c r="G31" s="50" t="s">
        <v>820</v>
      </c>
      <c r="H31" s="50"/>
      <c r="I31" s="50" t="s">
        <v>821</v>
      </c>
    </row>
    <row r="32" spans="1:14" ht="30" customHeight="1" x14ac:dyDescent="0.35">
      <c r="A32" s="54"/>
      <c r="B32" s="50" t="s">
        <v>22</v>
      </c>
      <c r="C32" s="50" t="s">
        <v>84</v>
      </c>
      <c r="D32" s="50"/>
      <c r="E32" s="50"/>
      <c r="F32" s="50"/>
      <c r="G32" s="50"/>
      <c r="H32" s="50"/>
    </row>
    <row r="33" spans="1:22" ht="30" customHeight="1" x14ac:dyDescent="0.35">
      <c r="A33" s="54"/>
      <c r="B33" s="50" t="s">
        <v>90</v>
      </c>
      <c r="C33" s="50" t="s">
        <v>84</v>
      </c>
      <c r="D33" s="50"/>
      <c r="E33" s="50"/>
      <c r="F33" s="50"/>
      <c r="G33" s="50"/>
      <c r="H33" s="50"/>
    </row>
    <row r="34" spans="1:22" ht="31" x14ac:dyDescent="0.35">
      <c r="A34" s="54"/>
      <c r="B34" s="55" t="s">
        <v>91</v>
      </c>
      <c r="C34" s="50" t="s">
        <v>92</v>
      </c>
      <c r="D34" s="50"/>
      <c r="E34" s="50"/>
      <c r="F34" s="50"/>
      <c r="G34" s="50"/>
      <c r="H34" s="50"/>
    </row>
    <row r="36" spans="1:22" ht="29" customHeight="1" x14ac:dyDescent="0.35"/>
    <row r="37" spans="1:22" ht="31" customHeight="1" x14ac:dyDescent="0.35">
      <c r="A37" s="56" t="s">
        <v>96</v>
      </c>
      <c r="B37" s="57"/>
      <c r="H37" s="46" t="s">
        <v>97</v>
      </c>
    </row>
    <row r="38" spans="1:22" ht="40" customHeight="1" x14ac:dyDescent="0.35">
      <c r="A38" s="58" t="s">
        <v>98</v>
      </c>
      <c r="B38" s="55" t="s">
        <v>99</v>
      </c>
      <c r="C38" s="50" t="s">
        <v>100</v>
      </c>
      <c r="D38" s="50" t="s">
        <v>101</v>
      </c>
      <c r="E38" s="55" t="s">
        <v>102</v>
      </c>
      <c r="F38" s="55" t="s">
        <v>103</v>
      </c>
      <c r="G38" s="55" t="s">
        <v>104</v>
      </c>
      <c r="H38" s="55" t="s">
        <v>105</v>
      </c>
    </row>
    <row r="39" spans="1:22" ht="40" customHeight="1" x14ac:dyDescent="0.35">
      <c r="A39" s="59"/>
      <c r="B39" s="50" t="s">
        <v>822</v>
      </c>
      <c r="C39" s="50"/>
      <c r="D39" s="50"/>
      <c r="E39" s="50"/>
      <c r="F39" s="50"/>
      <c r="G39" s="50"/>
      <c r="H39" s="50"/>
      <c r="I39" s="144">
        <f>5*45</f>
        <v>225</v>
      </c>
      <c r="J39" s="2" t="s">
        <v>823</v>
      </c>
      <c r="N39" s="56" t="s">
        <v>824</v>
      </c>
      <c r="O39" s="57"/>
      <c r="U39" s="46" t="s">
        <v>97</v>
      </c>
    </row>
    <row r="40" spans="1:22" ht="40" customHeight="1" x14ac:dyDescent="0.35">
      <c r="A40" s="59"/>
      <c r="B40" s="50" t="s">
        <v>825</v>
      </c>
      <c r="C40" s="50"/>
      <c r="D40" s="50"/>
      <c r="E40" s="50" t="s">
        <v>826</v>
      </c>
      <c r="F40" s="50"/>
      <c r="G40" s="50"/>
      <c r="H40" s="50"/>
      <c r="I40" s="2">
        <f>(45*3)+(0.75*(8*30))+((4*31)*0.5)</f>
        <v>377</v>
      </c>
      <c r="J40" s="2" t="s">
        <v>827</v>
      </c>
      <c r="N40" s="58" t="s">
        <v>98</v>
      </c>
      <c r="O40" s="55" t="s">
        <v>99</v>
      </c>
      <c r="P40" s="50" t="s">
        <v>100</v>
      </c>
      <c r="Q40" s="50" t="s">
        <v>101</v>
      </c>
      <c r="R40" s="55" t="s">
        <v>102</v>
      </c>
      <c r="S40" s="55" t="s">
        <v>103</v>
      </c>
      <c r="T40" s="55" t="s">
        <v>104</v>
      </c>
      <c r="U40" s="55" t="s">
        <v>105</v>
      </c>
    </row>
    <row r="41" spans="1:22" ht="40" customHeight="1" x14ac:dyDescent="0.35">
      <c r="A41" s="59"/>
      <c r="B41" s="50" t="s">
        <v>828</v>
      </c>
      <c r="C41" s="50"/>
      <c r="D41" s="50"/>
      <c r="E41" s="50"/>
      <c r="F41" s="50"/>
      <c r="G41" s="50"/>
      <c r="H41" s="50"/>
      <c r="I41" s="2">
        <f>(1.5*(8*30))+((4*31)*0.5)</f>
        <v>422</v>
      </c>
      <c r="J41" s="2" t="s">
        <v>829</v>
      </c>
      <c r="N41" s="59"/>
      <c r="O41" s="50" t="s">
        <v>830</v>
      </c>
      <c r="P41" s="50" t="s">
        <v>831</v>
      </c>
      <c r="Q41" s="50" t="s">
        <v>832</v>
      </c>
      <c r="R41" s="50" t="s">
        <v>833</v>
      </c>
      <c r="S41" s="50" t="s">
        <v>834</v>
      </c>
      <c r="T41" s="50"/>
      <c r="U41" s="50"/>
      <c r="V41" s="94" t="s">
        <v>835</v>
      </c>
    </row>
    <row r="42" spans="1:22" ht="40" customHeight="1" x14ac:dyDescent="0.35">
      <c r="A42" s="59"/>
      <c r="B42" s="50" t="s">
        <v>836</v>
      </c>
      <c r="C42" s="50"/>
      <c r="D42" s="50"/>
      <c r="E42" s="50"/>
      <c r="F42" s="50"/>
      <c r="G42" s="50"/>
      <c r="H42" s="50"/>
      <c r="I42" s="2">
        <v>45</v>
      </c>
      <c r="J42" s="2" t="s">
        <v>837</v>
      </c>
      <c r="N42" s="59"/>
      <c r="O42" s="50" t="s">
        <v>838</v>
      </c>
      <c r="P42" s="50" t="s">
        <v>839</v>
      </c>
      <c r="Q42" s="50" t="s">
        <v>840</v>
      </c>
      <c r="R42" s="50"/>
      <c r="S42" s="50"/>
      <c r="T42" s="50"/>
      <c r="U42" s="50"/>
    </row>
    <row r="43" spans="1:22" ht="40" customHeight="1" x14ac:dyDescent="0.35">
      <c r="A43" s="59"/>
      <c r="B43" s="50" t="s">
        <v>841</v>
      </c>
      <c r="C43" s="50"/>
      <c r="D43" s="50"/>
      <c r="E43" s="50"/>
      <c r="F43" s="50"/>
      <c r="G43" s="50"/>
      <c r="H43" s="50"/>
      <c r="I43" s="144">
        <v>65</v>
      </c>
      <c r="J43" s="2" t="s">
        <v>842</v>
      </c>
      <c r="N43" s="59"/>
      <c r="O43" s="50" t="s">
        <v>843</v>
      </c>
      <c r="P43" s="50" t="s">
        <v>844</v>
      </c>
      <c r="Q43" s="50" t="s">
        <v>845</v>
      </c>
      <c r="R43" s="50"/>
      <c r="S43" s="50"/>
      <c r="T43" s="50"/>
      <c r="U43" s="50"/>
      <c r="V43" s="2" t="s">
        <v>846</v>
      </c>
    </row>
    <row r="44" spans="1:22" ht="40" customHeight="1" x14ac:dyDescent="0.35">
      <c r="A44" s="59"/>
      <c r="B44" s="50" t="s">
        <v>847</v>
      </c>
      <c r="C44" s="50"/>
      <c r="D44" s="50"/>
      <c r="E44" s="50"/>
      <c r="F44" s="50"/>
      <c r="G44" s="50"/>
      <c r="H44" s="50"/>
      <c r="N44" s="59"/>
      <c r="O44" s="50" t="s">
        <v>848</v>
      </c>
      <c r="P44" s="50" t="s">
        <v>849</v>
      </c>
      <c r="Q44" s="50" t="s">
        <v>850</v>
      </c>
      <c r="R44" s="50"/>
      <c r="S44" s="50"/>
      <c r="T44" s="50"/>
      <c r="U44" s="50"/>
    </row>
    <row r="45" spans="1:22" x14ac:dyDescent="0.35">
      <c r="A45" s="59"/>
      <c r="B45" s="50"/>
      <c r="C45" s="50"/>
      <c r="D45" s="50"/>
      <c r="E45" s="50"/>
      <c r="F45" s="50"/>
      <c r="G45" s="50"/>
      <c r="H45" s="50"/>
      <c r="N45" s="59"/>
      <c r="O45" s="50" t="s">
        <v>851</v>
      </c>
      <c r="P45" s="50" t="s">
        <v>852</v>
      </c>
      <c r="Q45" s="50" t="s">
        <v>853</v>
      </c>
      <c r="R45" s="50"/>
      <c r="S45" s="50"/>
      <c r="T45" s="50" t="s">
        <v>854</v>
      </c>
      <c r="U45" s="50"/>
    </row>
    <row r="46" spans="1:22" ht="15.5" customHeight="1" x14ac:dyDescent="0.35">
      <c r="A46" s="60"/>
      <c r="B46" s="61" t="s">
        <v>121</v>
      </c>
      <c r="C46" s="61"/>
      <c r="D46" s="61"/>
      <c r="E46" s="61"/>
      <c r="F46" s="61"/>
      <c r="G46" s="61"/>
      <c r="H46" s="61"/>
      <c r="N46" s="59"/>
      <c r="O46" s="50" t="s">
        <v>855</v>
      </c>
      <c r="P46" s="50" t="s">
        <v>856</v>
      </c>
      <c r="Q46" s="50" t="s">
        <v>857</v>
      </c>
      <c r="R46" s="50"/>
      <c r="S46" s="50"/>
      <c r="T46" s="50"/>
      <c r="U46" s="50"/>
    </row>
    <row r="47" spans="1:22" x14ac:dyDescent="0.35">
      <c r="A47" s="60"/>
      <c r="B47" s="62"/>
      <c r="C47" s="62"/>
      <c r="D47" s="62"/>
      <c r="E47" s="62"/>
      <c r="F47" s="62"/>
      <c r="G47" s="62"/>
      <c r="H47" s="62"/>
      <c r="N47" s="59"/>
      <c r="O47" s="50" t="s">
        <v>858</v>
      </c>
      <c r="P47" s="50" t="s">
        <v>856</v>
      </c>
      <c r="Q47" s="50"/>
      <c r="R47" s="50" t="s">
        <v>859</v>
      </c>
      <c r="S47" s="50" t="s">
        <v>860</v>
      </c>
      <c r="T47" s="50"/>
      <c r="U47" s="50"/>
    </row>
    <row r="48" spans="1:22" x14ac:dyDescent="0.35">
      <c r="B48" s="62"/>
      <c r="C48" s="62"/>
      <c r="D48" s="62"/>
      <c r="E48" s="62"/>
      <c r="F48" s="62"/>
      <c r="G48" s="62"/>
      <c r="H48" s="62"/>
      <c r="N48" s="60"/>
      <c r="O48" s="61" t="s">
        <v>861</v>
      </c>
      <c r="P48" s="61"/>
      <c r="Q48" s="61"/>
      <c r="R48" s="61"/>
      <c r="S48" s="61"/>
      <c r="T48" s="61"/>
      <c r="U48" s="61"/>
    </row>
    <row r="49" spans="1:21" x14ac:dyDescent="0.35">
      <c r="B49" s="62"/>
      <c r="C49" s="62"/>
      <c r="D49" s="62"/>
      <c r="E49" s="62"/>
      <c r="F49" s="62"/>
      <c r="G49" s="62"/>
      <c r="H49" s="62"/>
      <c r="N49" s="60"/>
      <c r="O49" s="62"/>
      <c r="P49" s="62"/>
      <c r="Q49" s="62"/>
      <c r="R49" s="62"/>
      <c r="S49" s="62"/>
      <c r="T49" s="62"/>
      <c r="U49" s="62"/>
    </row>
    <row r="50" spans="1:21" x14ac:dyDescent="0.35">
      <c r="B50" s="62"/>
      <c r="C50" s="62"/>
      <c r="D50" s="62"/>
      <c r="E50" s="62"/>
      <c r="F50" s="62"/>
      <c r="G50" s="62"/>
      <c r="H50" s="62"/>
      <c r="O50" s="62"/>
      <c r="P50" s="62"/>
      <c r="Q50" s="62"/>
      <c r="R50" s="62"/>
      <c r="S50" s="62"/>
      <c r="T50" s="62"/>
      <c r="U50" s="62"/>
    </row>
    <row r="51" spans="1:21" x14ac:dyDescent="0.35">
      <c r="B51" s="62"/>
      <c r="C51" s="62"/>
      <c r="D51" s="62"/>
      <c r="E51" s="62"/>
      <c r="F51" s="62"/>
      <c r="G51" s="62"/>
      <c r="H51" s="62"/>
      <c r="O51" s="62"/>
      <c r="P51" s="62"/>
      <c r="Q51" s="62"/>
      <c r="R51" s="62"/>
      <c r="S51" s="62"/>
      <c r="T51" s="62"/>
      <c r="U51" s="62"/>
    </row>
    <row r="52" spans="1:21" x14ac:dyDescent="0.35">
      <c r="O52" s="62"/>
      <c r="P52" s="62"/>
      <c r="Q52" s="62"/>
      <c r="R52" s="62"/>
      <c r="S52" s="62"/>
      <c r="T52" s="62"/>
      <c r="U52" s="62"/>
    </row>
    <row r="53" spans="1:21" ht="27" customHeight="1" x14ac:dyDescent="0.35">
      <c r="O53" s="62"/>
      <c r="P53" s="62"/>
      <c r="Q53" s="62"/>
      <c r="R53" s="62"/>
      <c r="S53" s="62"/>
      <c r="T53" s="62"/>
      <c r="U53" s="62"/>
    </row>
    <row r="54" spans="1:21" ht="45" customHeight="1" x14ac:dyDescent="0.35">
      <c r="A54" s="56" t="s">
        <v>122</v>
      </c>
      <c r="B54" s="57"/>
      <c r="H54" s="46" t="s">
        <v>123</v>
      </c>
    </row>
    <row r="55" spans="1:21" ht="46.5" x14ac:dyDescent="0.35">
      <c r="A55" s="50"/>
      <c r="B55" s="55" t="s">
        <v>124</v>
      </c>
      <c r="C55" s="55" t="s">
        <v>125</v>
      </c>
      <c r="D55" s="55" t="s">
        <v>126</v>
      </c>
      <c r="E55" s="55" t="s">
        <v>127</v>
      </c>
      <c r="F55" s="55" t="s">
        <v>128</v>
      </c>
      <c r="G55" s="55" t="s">
        <v>129</v>
      </c>
      <c r="H55" s="63" t="s">
        <v>130</v>
      </c>
    </row>
    <row r="56" spans="1:21" ht="124" x14ac:dyDescent="0.35">
      <c r="A56" s="55" t="s">
        <v>131</v>
      </c>
      <c r="B56" s="50"/>
      <c r="C56" s="50"/>
      <c r="D56" s="50"/>
      <c r="E56" s="50"/>
      <c r="F56" s="50"/>
      <c r="G56" s="50"/>
      <c r="H56" s="64"/>
    </row>
    <row r="57" spans="1:21" ht="93" x14ac:dyDescent="0.35">
      <c r="A57" s="55" t="s">
        <v>132</v>
      </c>
      <c r="B57" s="50"/>
      <c r="C57" s="50"/>
      <c r="D57" s="50"/>
      <c r="E57" s="50"/>
      <c r="F57" s="50"/>
      <c r="G57" s="50"/>
      <c r="H57" s="64"/>
    </row>
    <row r="58" spans="1:21" ht="108.5" x14ac:dyDescent="0.35">
      <c r="A58" s="65" t="s">
        <v>133</v>
      </c>
      <c r="B58" s="50"/>
      <c r="C58" s="50"/>
      <c r="D58" s="50"/>
      <c r="E58" s="50"/>
      <c r="F58" s="50"/>
      <c r="G58" s="50"/>
      <c r="H58" s="64"/>
    </row>
    <row r="59" spans="1:21" x14ac:dyDescent="0.35">
      <c r="B59" s="66" t="s">
        <v>121</v>
      </c>
      <c r="C59" s="66"/>
      <c r="D59" s="66"/>
      <c r="E59" s="66"/>
      <c r="F59" s="66"/>
      <c r="G59" s="66"/>
      <c r="H59" s="66"/>
    </row>
    <row r="60" spans="1:21" x14ac:dyDescent="0.35">
      <c r="B60" s="67"/>
      <c r="C60" s="67"/>
      <c r="D60" s="67"/>
      <c r="E60" s="67"/>
      <c r="F60" s="67"/>
      <c r="G60" s="67"/>
      <c r="H60" s="67"/>
    </row>
    <row r="61" spans="1:21" x14ac:dyDescent="0.35">
      <c r="B61" s="67"/>
      <c r="C61" s="67"/>
      <c r="D61" s="67"/>
      <c r="E61" s="67"/>
      <c r="F61" s="67"/>
      <c r="G61" s="67"/>
      <c r="H61" s="67"/>
    </row>
    <row r="62" spans="1:21" x14ac:dyDescent="0.35">
      <c r="B62" s="67"/>
      <c r="C62" s="67"/>
      <c r="D62" s="67"/>
      <c r="E62" s="67"/>
      <c r="F62" s="67"/>
      <c r="G62" s="67"/>
      <c r="H62" s="67"/>
    </row>
    <row r="63" spans="1:21" x14ac:dyDescent="0.35">
      <c r="B63" s="67"/>
      <c r="C63" s="67"/>
      <c r="D63" s="67"/>
      <c r="E63" s="67"/>
      <c r="F63" s="67"/>
      <c r="G63" s="67"/>
      <c r="H63" s="67"/>
    </row>
    <row r="64" spans="1:21" x14ac:dyDescent="0.35">
      <c r="B64" s="36"/>
    </row>
    <row r="65" spans="1:8" ht="46.5" customHeight="1" x14ac:dyDescent="0.35">
      <c r="A65" s="68" t="s">
        <v>134</v>
      </c>
      <c r="B65" s="68"/>
      <c r="C65" s="69" t="s">
        <v>135</v>
      </c>
      <c r="D65" s="69" t="s">
        <v>135</v>
      </c>
      <c r="E65" s="69" t="s">
        <v>135</v>
      </c>
      <c r="F65" s="69" t="s">
        <v>135</v>
      </c>
      <c r="G65" s="69" t="s">
        <v>135</v>
      </c>
      <c r="H65" s="70" t="s">
        <v>136</v>
      </c>
    </row>
    <row r="66" spans="1:8" ht="52" customHeight="1" x14ac:dyDescent="0.35">
      <c r="A66" s="71" t="s">
        <v>137</v>
      </c>
      <c r="B66" s="71"/>
      <c r="C66" s="71"/>
      <c r="D66" s="71"/>
      <c r="E66" s="68" t="s">
        <v>444</v>
      </c>
      <c r="F66" s="68"/>
      <c r="G66" s="68"/>
      <c r="H66" s="68"/>
    </row>
    <row r="67" spans="1:8" ht="34" customHeight="1" x14ac:dyDescent="0.35">
      <c r="A67" s="71" t="s">
        <v>139</v>
      </c>
      <c r="B67" s="71"/>
      <c r="C67" s="71"/>
      <c r="D67" s="71"/>
      <c r="E67" s="69" t="s">
        <v>135</v>
      </c>
      <c r="F67" s="69" t="s">
        <v>135</v>
      </c>
      <c r="G67" s="69" t="s">
        <v>135</v>
      </c>
      <c r="H67" s="69" t="s">
        <v>135</v>
      </c>
    </row>
    <row r="68" spans="1:8" ht="27.5" customHeight="1" x14ac:dyDescent="0.35">
      <c r="A68" s="71" t="s">
        <v>141</v>
      </c>
      <c r="B68" s="71"/>
      <c r="C68" s="71"/>
      <c r="D68" s="71"/>
      <c r="E68" s="69" t="s">
        <v>135</v>
      </c>
      <c r="F68" s="69" t="s">
        <v>135</v>
      </c>
      <c r="G68" s="69" t="s">
        <v>135</v>
      </c>
      <c r="H68" s="69" t="s">
        <v>135</v>
      </c>
    </row>
    <row r="69" spans="1:8" ht="30" customHeight="1" x14ac:dyDescent="0.35">
      <c r="A69" s="71" t="s">
        <v>143</v>
      </c>
      <c r="B69" s="71"/>
      <c r="C69" s="71"/>
      <c r="D69" s="71"/>
      <c r="E69" s="69" t="s">
        <v>135</v>
      </c>
      <c r="F69" s="69" t="s">
        <v>135</v>
      </c>
      <c r="G69" s="69" t="s">
        <v>135</v>
      </c>
      <c r="H69" s="69" t="s">
        <v>135</v>
      </c>
    </row>
    <row r="70" spans="1:8" ht="33.5" customHeight="1" x14ac:dyDescent="0.35">
      <c r="A70" s="71" t="s">
        <v>144</v>
      </c>
      <c r="B70" s="71"/>
      <c r="C70" s="71"/>
      <c r="D70" s="71"/>
      <c r="E70" s="69" t="s">
        <v>862</v>
      </c>
      <c r="F70" s="69" t="s">
        <v>135</v>
      </c>
      <c r="G70" s="69" t="s">
        <v>135</v>
      </c>
      <c r="H70" s="69" t="s">
        <v>135</v>
      </c>
    </row>
    <row r="71" spans="1:8" ht="52" customHeight="1" x14ac:dyDescent="0.35">
      <c r="A71" s="72" t="s">
        <v>146</v>
      </c>
      <c r="B71" s="72"/>
      <c r="C71" s="72"/>
      <c r="D71" s="72"/>
      <c r="E71" s="69" t="s">
        <v>135</v>
      </c>
      <c r="F71" s="69" t="s">
        <v>135</v>
      </c>
      <c r="G71" s="69" t="s">
        <v>135</v>
      </c>
      <c r="H71" s="69" t="s">
        <v>135</v>
      </c>
    </row>
    <row r="72" spans="1:8" ht="32.5" customHeight="1" x14ac:dyDescent="0.35">
      <c r="A72" s="71" t="s">
        <v>147</v>
      </c>
      <c r="B72" s="71"/>
      <c r="C72" s="71"/>
      <c r="D72" s="71"/>
      <c r="E72" s="69" t="s">
        <v>863</v>
      </c>
      <c r="F72" s="69" t="s">
        <v>135</v>
      </c>
      <c r="G72" s="69" t="s">
        <v>135</v>
      </c>
      <c r="H72" s="69" t="s">
        <v>135</v>
      </c>
    </row>
    <row r="73" spans="1:8" ht="27.5" customHeight="1" x14ac:dyDescent="0.35">
      <c r="A73" s="73" t="s">
        <v>149</v>
      </c>
      <c r="B73" s="73"/>
      <c r="C73" s="73"/>
      <c r="D73" s="73"/>
      <c r="E73" s="74" t="s">
        <v>135</v>
      </c>
      <c r="F73" s="74" t="s">
        <v>135</v>
      </c>
      <c r="G73" s="74" t="s">
        <v>135</v>
      </c>
      <c r="H73" s="74" t="s">
        <v>135</v>
      </c>
    </row>
    <row r="74" spans="1:8" ht="27" customHeight="1" x14ac:dyDescent="0.35">
      <c r="A74" s="71" t="s">
        <v>150</v>
      </c>
      <c r="B74" s="71"/>
      <c r="C74" s="71"/>
      <c r="D74" s="71"/>
      <c r="E74" s="69" t="s">
        <v>864</v>
      </c>
      <c r="F74" s="69" t="s">
        <v>135</v>
      </c>
      <c r="G74" s="69" t="s">
        <v>135</v>
      </c>
      <c r="H74" s="69" t="s">
        <v>135</v>
      </c>
    </row>
    <row r="75" spans="1:8" ht="54" customHeight="1" x14ac:dyDescent="0.35">
      <c r="A75" s="71" t="s">
        <v>152</v>
      </c>
      <c r="B75" s="71"/>
      <c r="C75" s="71"/>
      <c r="D75" s="71"/>
      <c r="E75" s="69" t="s">
        <v>514</v>
      </c>
      <c r="F75" s="69" t="s">
        <v>135</v>
      </c>
      <c r="G75" s="69" t="s">
        <v>135</v>
      </c>
      <c r="H75" s="69" t="s">
        <v>135</v>
      </c>
    </row>
    <row r="76" spans="1:8" ht="25.5" customHeight="1" x14ac:dyDescent="0.35">
      <c r="A76" s="72" t="s">
        <v>153</v>
      </c>
      <c r="B76" s="72"/>
      <c r="C76" s="72"/>
      <c r="D76" s="72"/>
      <c r="E76" s="69" t="s">
        <v>135</v>
      </c>
      <c r="F76" s="69" t="s">
        <v>135</v>
      </c>
      <c r="G76" s="69" t="s">
        <v>135</v>
      </c>
      <c r="H76" s="69" t="s">
        <v>135</v>
      </c>
    </row>
    <row r="77" spans="1:8" ht="25" customHeight="1" x14ac:dyDescent="0.35">
      <c r="A77" s="71" t="s">
        <v>154</v>
      </c>
      <c r="B77" s="71"/>
      <c r="C77" s="71"/>
      <c r="D77" s="71"/>
      <c r="E77" s="69" t="s">
        <v>135</v>
      </c>
      <c r="F77" s="69" t="s">
        <v>135</v>
      </c>
      <c r="G77" s="69" t="s">
        <v>135</v>
      </c>
      <c r="H77" s="69" t="s">
        <v>135</v>
      </c>
    </row>
    <row r="78" spans="1:8" ht="24.5" customHeight="1" x14ac:dyDescent="0.35">
      <c r="A78" s="75" t="s">
        <v>155</v>
      </c>
      <c r="B78" s="75"/>
      <c r="C78" s="75"/>
      <c r="D78" s="75"/>
      <c r="E78" s="76" t="s">
        <v>865</v>
      </c>
      <c r="F78" s="76" t="s">
        <v>135</v>
      </c>
      <c r="G78" s="76" t="s">
        <v>135</v>
      </c>
      <c r="H78" s="76" t="s">
        <v>135</v>
      </c>
    </row>
    <row r="79" spans="1:8" ht="20.5" customHeight="1" x14ac:dyDescent="0.35">
      <c r="E79" s="36"/>
      <c r="F79" s="36"/>
      <c r="G79" s="36"/>
      <c r="H79" s="77" t="s">
        <v>156</v>
      </c>
    </row>
    <row r="80" spans="1:8" ht="40.5" customHeight="1" x14ac:dyDescent="0.35">
      <c r="A80" s="78" t="s">
        <v>157</v>
      </c>
      <c r="B80" s="78"/>
      <c r="C80" s="78"/>
      <c r="D80" s="78"/>
      <c r="E80" s="78"/>
      <c r="F80" s="78"/>
      <c r="G80" s="78"/>
      <c r="H80" s="78"/>
    </row>
    <row r="81" spans="1:14" ht="36" customHeight="1" x14ac:dyDescent="0.35">
      <c r="A81" s="79" t="s">
        <v>158</v>
      </c>
      <c r="B81" s="79"/>
      <c r="C81" s="80"/>
      <c r="D81" s="80"/>
      <c r="E81" s="80"/>
      <c r="F81" s="80"/>
      <c r="G81" s="80"/>
      <c r="H81" s="80"/>
      <c r="I81" s="80" t="s">
        <v>866</v>
      </c>
      <c r="J81" s="80"/>
      <c r="K81" s="80"/>
      <c r="L81" s="80"/>
      <c r="M81" s="80"/>
      <c r="N81" s="80"/>
    </row>
    <row r="82" spans="1:14" ht="36.5" customHeight="1" x14ac:dyDescent="0.35">
      <c r="A82" s="21" t="s">
        <v>159</v>
      </c>
      <c r="B82" s="21"/>
      <c r="C82" s="9"/>
      <c r="D82" s="9"/>
      <c r="E82" s="9"/>
      <c r="F82" s="9"/>
      <c r="G82" s="9"/>
      <c r="H82" s="9"/>
      <c r="I82" s="9" t="s">
        <v>867</v>
      </c>
      <c r="J82" s="9"/>
      <c r="K82" s="9"/>
      <c r="L82" s="9"/>
      <c r="M82" s="9"/>
      <c r="N82" s="9"/>
    </row>
    <row r="83" spans="1:14" ht="41.5" customHeight="1" x14ac:dyDescent="0.35">
      <c r="A83" s="21" t="s">
        <v>160</v>
      </c>
      <c r="B83" s="21"/>
      <c r="C83" s="9"/>
      <c r="D83" s="9"/>
      <c r="E83" s="9"/>
      <c r="F83" s="9"/>
      <c r="G83" s="9"/>
      <c r="H83" s="9"/>
      <c r="I83" s="9" t="s">
        <v>172</v>
      </c>
      <c r="J83" s="9"/>
      <c r="K83" s="9"/>
      <c r="L83" s="9"/>
      <c r="M83" s="9"/>
      <c r="N83" s="9"/>
    </row>
    <row r="84" spans="1:14" ht="38" customHeight="1" x14ac:dyDescent="0.35">
      <c r="A84" s="21" t="s">
        <v>162</v>
      </c>
      <c r="B84" s="21"/>
      <c r="C84" s="9"/>
      <c r="D84" s="9"/>
      <c r="E84" s="9"/>
      <c r="F84" s="9"/>
      <c r="G84" s="9"/>
      <c r="H84" s="9"/>
      <c r="I84" s="9"/>
      <c r="J84" s="9"/>
      <c r="K84" s="9"/>
      <c r="L84" s="9"/>
      <c r="M84" s="9"/>
      <c r="N84" s="9"/>
    </row>
    <row r="85" spans="1:14" ht="29" customHeight="1" x14ac:dyDescent="0.35">
      <c r="A85" s="21" t="s">
        <v>163</v>
      </c>
      <c r="B85" s="21"/>
      <c r="C85" s="9"/>
      <c r="D85" s="9"/>
      <c r="E85" s="9"/>
      <c r="F85" s="9"/>
      <c r="G85" s="9"/>
      <c r="H85" s="9"/>
      <c r="I85" s="9"/>
      <c r="J85" s="9"/>
      <c r="K85" s="9"/>
      <c r="L85" s="9"/>
      <c r="M85" s="9"/>
      <c r="N85" s="9"/>
    </row>
    <row r="86" spans="1:14" ht="43" customHeight="1" x14ac:dyDescent="0.35">
      <c r="A86" s="21" t="s">
        <v>164</v>
      </c>
      <c r="B86" s="21"/>
      <c r="C86" s="9"/>
      <c r="D86" s="9"/>
      <c r="E86" s="9"/>
      <c r="F86" s="9"/>
      <c r="G86" s="9"/>
      <c r="H86" s="9"/>
      <c r="I86" s="9" t="s">
        <v>868</v>
      </c>
      <c r="J86" s="9"/>
      <c r="K86" s="9"/>
      <c r="L86" s="9"/>
      <c r="M86" s="9"/>
      <c r="N86" s="9"/>
    </row>
    <row r="87" spans="1:14" x14ac:dyDescent="0.35">
      <c r="A87" s="21" t="s">
        <v>165</v>
      </c>
      <c r="B87" s="21"/>
      <c r="C87" s="9"/>
      <c r="D87" s="9"/>
      <c r="E87" s="9"/>
      <c r="F87" s="9"/>
      <c r="G87" s="9"/>
      <c r="H87" s="9"/>
      <c r="I87" s="9"/>
      <c r="J87" s="9"/>
      <c r="K87" s="9"/>
      <c r="L87" s="9"/>
      <c r="M87" s="9"/>
      <c r="N87" s="9"/>
    </row>
    <row r="88" spans="1:14" x14ac:dyDescent="0.35">
      <c r="A88" s="81" t="s">
        <v>166</v>
      </c>
      <c r="B88" s="81"/>
      <c r="C88" s="9"/>
      <c r="D88" s="9"/>
      <c r="E88" s="9"/>
      <c r="F88" s="9"/>
      <c r="G88" s="9"/>
      <c r="H88" s="9"/>
      <c r="I88" s="9"/>
      <c r="J88" s="9"/>
      <c r="K88" s="9"/>
      <c r="L88" s="9"/>
      <c r="M88" s="9"/>
      <c r="N88" s="9"/>
    </row>
    <row r="89" spans="1:14" ht="22.5" customHeight="1" x14ac:dyDescent="0.35">
      <c r="A89" s="81" t="s">
        <v>167</v>
      </c>
      <c r="B89" s="81"/>
      <c r="C89" s="9"/>
      <c r="D89" s="9"/>
      <c r="E89" s="9"/>
      <c r="F89" s="9"/>
      <c r="G89" s="9"/>
      <c r="H89" s="9"/>
      <c r="I89" s="9"/>
      <c r="J89" s="9"/>
      <c r="K89" s="9"/>
      <c r="L89" s="9"/>
      <c r="M89" s="9"/>
      <c r="N89" s="9"/>
    </row>
    <row r="90" spans="1:14" x14ac:dyDescent="0.35">
      <c r="A90" s="81" t="s">
        <v>169</v>
      </c>
      <c r="B90" s="81"/>
      <c r="C90" s="9"/>
      <c r="D90" s="9"/>
      <c r="E90" s="9"/>
      <c r="F90" s="9"/>
      <c r="G90" s="9"/>
      <c r="H90" s="9"/>
      <c r="I90" s="9"/>
      <c r="J90" s="9"/>
      <c r="K90" s="9"/>
      <c r="L90" s="9"/>
      <c r="M90" s="9"/>
      <c r="N90" s="9"/>
    </row>
    <row r="91" spans="1:14" ht="46.5" customHeight="1" x14ac:dyDescent="0.35">
      <c r="A91" s="81" t="s">
        <v>171</v>
      </c>
      <c r="B91" s="81"/>
      <c r="C91" s="82" t="s">
        <v>172</v>
      </c>
      <c r="D91" s="82"/>
      <c r="E91" s="82"/>
      <c r="F91" s="82"/>
      <c r="G91" s="82"/>
      <c r="H91" s="82"/>
      <c r="I91" s="82" t="s">
        <v>172</v>
      </c>
      <c r="J91" s="82"/>
      <c r="K91" s="82"/>
      <c r="L91" s="82"/>
      <c r="M91" s="82"/>
      <c r="N91" s="82"/>
    </row>
    <row r="92" spans="1:14" ht="31" customHeight="1" x14ac:dyDescent="0.35">
      <c r="A92" s="21" t="s">
        <v>173</v>
      </c>
      <c r="B92" s="21"/>
      <c r="C92" s="80" t="s">
        <v>174</v>
      </c>
      <c r="D92" s="80"/>
      <c r="E92" s="80"/>
      <c r="F92" s="80"/>
      <c r="G92" s="80"/>
      <c r="H92" s="80"/>
      <c r="I92" s="80" t="s">
        <v>174</v>
      </c>
      <c r="J92" s="80"/>
      <c r="K92" s="80"/>
      <c r="L92" s="80"/>
      <c r="M92" s="80"/>
      <c r="N92" s="80"/>
    </row>
    <row r="93" spans="1:14" ht="31" customHeight="1" x14ac:dyDescent="0.35">
      <c r="A93" s="21" t="s">
        <v>175</v>
      </c>
      <c r="B93" s="21"/>
      <c r="C93" s="9"/>
      <c r="D93" s="9"/>
      <c r="E93" s="9"/>
      <c r="F93" s="9"/>
      <c r="G93" s="9"/>
      <c r="H93" s="9"/>
      <c r="I93" s="9" t="s">
        <v>869</v>
      </c>
      <c r="J93" s="9"/>
      <c r="K93" s="9"/>
      <c r="L93" s="9"/>
      <c r="M93" s="9"/>
      <c r="N93" s="9"/>
    </row>
    <row r="94" spans="1:14" ht="23.5" customHeight="1" x14ac:dyDescent="0.35">
      <c r="A94" s="83"/>
      <c r="B94" s="83"/>
      <c r="C94" s="84"/>
      <c r="D94" s="84"/>
      <c r="E94" s="84"/>
      <c r="F94" s="84"/>
      <c r="G94" s="84"/>
      <c r="H94" s="84"/>
      <c r="I94" s="84"/>
      <c r="J94" s="84"/>
      <c r="K94" s="84"/>
      <c r="L94" s="84"/>
      <c r="M94" s="84"/>
      <c r="N94" s="84"/>
    </row>
    <row r="95" spans="1:14" ht="45.5" customHeight="1" x14ac:dyDescent="0.35">
      <c r="A95" s="83"/>
      <c r="B95" s="83"/>
      <c r="C95" s="84" t="s">
        <v>870</v>
      </c>
      <c r="D95" s="84"/>
      <c r="E95" s="84"/>
      <c r="F95" s="84"/>
      <c r="G95" s="84"/>
      <c r="H95" s="85" t="s">
        <v>176</v>
      </c>
      <c r="I95" s="84"/>
      <c r="J95" s="84"/>
      <c r="K95" s="84"/>
      <c r="L95" s="84"/>
      <c r="M95" s="84"/>
      <c r="N95" s="85" t="s">
        <v>176</v>
      </c>
    </row>
    <row r="96" spans="1:14" ht="36" customHeight="1" x14ac:dyDescent="0.35">
      <c r="A96" s="21" t="s">
        <v>177</v>
      </c>
      <c r="B96" s="21"/>
      <c r="C96" s="9" t="s">
        <v>871</v>
      </c>
      <c r="D96" s="9"/>
      <c r="E96" s="9"/>
      <c r="F96" s="9"/>
      <c r="G96" s="9"/>
      <c r="H96" s="9"/>
      <c r="I96" s="9" t="s">
        <v>872</v>
      </c>
      <c r="J96" s="9"/>
      <c r="K96" s="9"/>
      <c r="L96" s="9"/>
      <c r="M96" s="9"/>
      <c r="N96" s="9"/>
    </row>
    <row r="97" spans="1:14" ht="46.5" customHeight="1" x14ac:dyDescent="0.35">
      <c r="A97" s="21" t="s">
        <v>178</v>
      </c>
      <c r="B97" s="21"/>
      <c r="C97" s="9" t="s">
        <v>873</v>
      </c>
      <c r="D97" s="9"/>
      <c r="E97" s="9"/>
      <c r="F97" s="9"/>
      <c r="G97" s="9"/>
      <c r="H97" s="9"/>
      <c r="I97" s="9" t="s">
        <v>874</v>
      </c>
      <c r="J97" s="9"/>
      <c r="K97" s="9"/>
      <c r="L97" s="9"/>
      <c r="M97" s="9"/>
      <c r="N97" s="9"/>
    </row>
    <row r="98" spans="1:14" ht="47" customHeight="1" x14ac:dyDescent="0.35">
      <c r="A98" s="21" t="s">
        <v>180</v>
      </c>
      <c r="B98" s="21"/>
      <c r="C98" s="9" t="s">
        <v>875</v>
      </c>
      <c r="D98" s="9"/>
      <c r="E98" s="9"/>
      <c r="F98" s="9"/>
      <c r="G98" s="9"/>
      <c r="H98" s="9"/>
      <c r="I98" s="9" t="s">
        <v>876</v>
      </c>
      <c r="J98" s="9"/>
      <c r="K98" s="9"/>
      <c r="L98" s="9"/>
      <c r="M98" s="9"/>
      <c r="N98" s="9"/>
    </row>
    <row r="99" spans="1:14" ht="69.75" customHeight="1" x14ac:dyDescent="0.35">
      <c r="A99" s="21" t="s">
        <v>182</v>
      </c>
      <c r="B99" s="21"/>
      <c r="C99" s="9" t="s">
        <v>26</v>
      </c>
      <c r="D99" s="9"/>
      <c r="E99" s="9"/>
      <c r="F99" s="9"/>
      <c r="G99" s="9"/>
      <c r="H99" s="9"/>
      <c r="I99" s="9" t="s">
        <v>877</v>
      </c>
      <c r="J99" s="9"/>
      <c r="K99" s="9"/>
      <c r="L99" s="9"/>
      <c r="M99" s="9"/>
      <c r="N99" s="9"/>
    </row>
    <row r="100" spans="1:14" ht="34.5" customHeight="1" x14ac:dyDescent="0.35">
      <c r="A100" s="24" t="s">
        <v>183</v>
      </c>
      <c r="B100" s="24"/>
      <c r="C100" s="86" t="s">
        <v>184</v>
      </c>
      <c r="D100" s="86"/>
      <c r="E100" s="86"/>
      <c r="F100" s="86"/>
      <c r="G100" s="86"/>
      <c r="H100" s="86"/>
      <c r="I100" s="86" t="s">
        <v>184</v>
      </c>
      <c r="J100" s="86"/>
      <c r="K100" s="86"/>
      <c r="L100" s="86"/>
      <c r="M100" s="86"/>
      <c r="N100" s="86"/>
    </row>
    <row r="101" spans="1:14" ht="39.5" customHeight="1" x14ac:dyDescent="0.35">
      <c r="A101" s="21" t="s">
        <v>185</v>
      </c>
      <c r="B101" s="21"/>
      <c r="C101" s="80" t="s">
        <v>878</v>
      </c>
      <c r="D101" s="80"/>
      <c r="E101" s="80"/>
      <c r="F101" s="80"/>
      <c r="G101" s="80"/>
      <c r="H101" s="80"/>
      <c r="I101" s="80" t="s">
        <v>879</v>
      </c>
      <c r="J101" s="80"/>
      <c r="K101" s="80"/>
      <c r="L101" s="80"/>
      <c r="M101" s="80"/>
      <c r="N101" s="80"/>
    </row>
    <row r="102" spans="1:14" ht="54.5" customHeight="1" x14ac:dyDescent="0.35">
      <c r="A102" s="21" t="s">
        <v>187</v>
      </c>
      <c r="B102" s="21"/>
      <c r="C102" s="9" t="s">
        <v>880</v>
      </c>
      <c r="D102" s="9"/>
      <c r="E102" s="9"/>
      <c r="F102" s="9"/>
      <c r="G102" s="9"/>
      <c r="H102" s="9"/>
      <c r="I102" s="9" t="s">
        <v>881</v>
      </c>
      <c r="J102" s="9"/>
      <c r="K102" s="9"/>
      <c r="L102" s="9"/>
      <c r="M102" s="9"/>
      <c r="N102" s="9"/>
    </row>
    <row r="103" spans="1:14" ht="56" customHeight="1" x14ac:dyDescent="0.35">
      <c r="A103" s="21" t="s">
        <v>188</v>
      </c>
      <c r="B103" s="21"/>
      <c r="C103" s="9" t="s">
        <v>882</v>
      </c>
      <c r="D103" s="9"/>
      <c r="E103" s="9"/>
      <c r="F103" s="9"/>
      <c r="G103" s="9"/>
      <c r="H103" s="9"/>
      <c r="I103" s="9" t="s">
        <v>883</v>
      </c>
      <c r="J103" s="9"/>
      <c r="K103" s="9"/>
      <c r="L103" s="9"/>
      <c r="M103" s="9"/>
      <c r="N103" s="9"/>
    </row>
    <row r="104" spans="1:14" ht="45" customHeight="1" x14ac:dyDescent="0.35">
      <c r="A104" s="21" t="s">
        <v>189</v>
      </c>
      <c r="B104" s="21"/>
      <c r="C104" s="9" t="s">
        <v>884</v>
      </c>
      <c r="D104" s="9"/>
      <c r="E104" s="9"/>
      <c r="F104" s="9"/>
      <c r="G104" s="9"/>
      <c r="H104" s="9"/>
      <c r="I104" s="9" t="s">
        <v>885</v>
      </c>
      <c r="J104" s="9"/>
      <c r="K104" s="9"/>
      <c r="L104" s="9"/>
      <c r="M104" s="9"/>
      <c r="N104" s="9"/>
    </row>
  </sheetData>
  <mergeCells count="132">
    <mergeCell ref="A103:B103"/>
    <mergeCell ref="C103:H103"/>
    <mergeCell ref="I103:N103"/>
    <mergeCell ref="A104:B104"/>
    <mergeCell ref="C104:H104"/>
    <mergeCell ref="I104:N104"/>
    <mergeCell ref="A101:B101"/>
    <mergeCell ref="C101:H101"/>
    <mergeCell ref="I101:N101"/>
    <mergeCell ref="A102:B102"/>
    <mergeCell ref="C102:H102"/>
    <mergeCell ref="I102:N102"/>
    <mergeCell ref="A99:B99"/>
    <mergeCell ref="C99:H99"/>
    <mergeCell ref="I99:N99"/>
    <mergeCell ref="A100:B100"/>
    <mergeCell ref="C100:H100"/>
    <mergeCell ref="I100:N100"/>
    <mergeCell ref="A97:B97"/>
    <mergeCell ref="C97:H97"/>
    <mergeCell ref="I97:N97"/>
    <mergeCell ref="A98:B98"/>
    <mergeCell ref="C98:H98"/>
    <mergeCell ref="I98:N98"/>
    <mergeCell ref="A93:B93"/>
    <mergeCell ref="C93:H93"/>
    <mergeCell ref="I93:N93"/>
    <mergeCell ref="A96:B96"/>
    <mergeCell ref="C96:H96"/>
    <mergeCell ref="I96:N96"/>
    <mergeCell ref="A91:B91"/>
    <mergeCell ref="C91:H91"/>
    <mergeCell ref="I91:N91"/>
    <mergeCell ref="A92:B92"/>
    <mergeCell ref="C92:H92"/>
    <mergeCell ref="I92:N92"/>
    <mergeCell ref="A89:B89"/>
    <mergeCell ref="C89:H89"/>
    <mergeCell ref="I89:N89"/>
    <mergeCell ref="A90:B90"/>
    <mergeCell ref="C90:H90"/>
    <mergeCell ref="I90:N90"/>
    <mergeCell ref="A87:B87"/>
    <mergeCell ref="C87:H87"/>
    <mergeCell ref="I87:N87"/>
    <mergeCell ref="A88:B88"/>
    <mergeCell ref="C88:H88"/>
    <mergeCell ref="I88:N88"/>
    <mergeCell ref="A85:B85"/>
    <mergeCell ref="C85:H85"/>
    <mergeCell ref="I85:N85"/>
    <mergeCell ref="A86:B86"/>
    <mergeCell ref="C86:H86"/>
    <mergeCell ref="I86:N86"/>
    <mergeCell ref="A83:B83"/>
    <mergeCell ref="C83:H83"/>
    <mergeCell ref="I83:N83"/>
    <mergeCell ref="A84:B84"/>
    <mergeCell ref="C84:H84"/>
    <mergeCell ref="I84:N84"/>
    <mergeCell ref="A81:B81"/>
    <mergeCell ref="C81:H81"/>
    <mergeCell ref="I81:N81"/>
    <mergeCell ref="A82:B82"/>
    <mergeCell ref="C82:H82"/>
    <mergeCell ref="I82:N82"/>
    <mergeCell ref="A74:D74"/>
    <mergeCell ref="A75:D75"/>
    <mergeCell ref="A76:D76"/>
    <mergeCell ref="A77:D77"/>
    <mergeCell ref="A78:D78"/>
    <mergeCell ref="A80:H80"/>
    <mergeCell ref="A68:D68"/>
    <mergeCell ref="A69:D69"/>
    <mergeCell ref="A70:D70"/>
    <mergeCell ref="A71:D71"/>
    <mergeCell ref="A72:D72"/>
    <mergeCell ref="A73:D73"/>
    <mergeCell ref="A54:B54"/>
    <mergeCell ref="B59:H63"/>
    <mergeCell ref="A65:B65"/>
    <mergeCell ref="A66:D66"/>
    <mergeCell ref="E66:H66"/>
    <mergeCell ref="A67:D67"/>
    <mergeCell ref="A37:B37"/>
    <mergeCell ref="A38:A45"/>
    <mergeCell ref="N39:O39"/>
    <mergeCell ref="N40:N47"/>
    <mergeCell ref="B46:H51"/>
    <mergeCell ref="O48:U53"/>
    <mergeCell ref="A21:D21"/>
    <mergeCell ref="E21:H21"/>
    <mergeCell ref="A23:D23"/>
    <mergeCell ref="A24:D24"/>
    <mergeCell ref="E24:H24"/>
    <mergeCell ref="A26:A27"/>
    <mergeCell ref="A18:D18"/>
    <mergeCell ref="E18:H18"/>
    <mergeCell ref="A19:D19"/>
    <mergeCell ref="E19:H19"/>
    <mergeCell ref="A20:D20"/>
    <mergeCell ref="E20:H20"/>
    <mergeCell ref="A15:D15"/>
    <mergeCell ref="E15:H15"/>
    <mergeCell ref="A16:D16"/>
    <mergeCell ref="E16:H16"/>
    <mergeCell ref="A17:D17"/>
    <mergeCell ref="E17:H17"/>
    <mergeCell ref="A12:D12"/>
    <mergeCell ref="E12:H12"/>
    <mergeCell ref="A13:D13"/>
    <mergeCell ref="E13:H13"/>
    <mergeCell ref="A14:D14"/>
    <mergeCell ref="E14:H14"/>
    <mergeCell ref="A9:D9"/>
    <mergeCell ref="E9:H9"/>
    <mergeCell ref="A10:D10"/>
    <mergeCell ref="E10:H10"/>
    <mergeCell ref="A11:D11"/>
    <mergeCell ref="E11:H11"/>
    <mergeCell ref="A6:D6"/>
    <mergeCell ref="E6:H6"/>
    <mergeCell ref="A7:D7"/>
    <mergeCell ref="E7:H7"/>
    <mergeCell ref="A8:D8"/>
    <mergeCell ref="E8:H8"/>
    <mergeCell ref="A3:D3"/>
    <mergeCell ref="E3:H3"/>
    <mergeCell ref="A4:D4"/>
    <mergeCell ref="E4:H4"/>
    <mergeCell ref="A5:D5"/>
    <mergeCell ref="E5:H5"/>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BJ (R. Bathalon)</vt:lpstr>
      <vt:lpstr>Choiniere</vt:lpstr>
      <vt:lpstr>Corse Farm</vt:lpstr>
      <vt:lpstr>Donegan</vt:lpstr>
      <vt:lpstr>Glennview</vt:lpstr>
      <vt:lpstr>Hall and Breen</vt:lpstr>
      <vt:lpstr>Holyoke</vt:lpstr>
      <vt:lpstr>Hoyt Hill</vt:lpstr>
      <vt:lpstr>MacBain Homestead</vt:lpstr>
      <vt:lpstr>Mollybrook</vt:lpstr>
      <vt:lpstr>Oughta-Be</vt:lpstr>
      <vt:lpstr>Paddlebridge (A. Bathalon)</vt:lpstr>
      <vt:lpstr>Stony Pond</vt:lpstr>
      <vt:lpstr>Swallowdale</vt:lpstr>
      <vt:lpstr>'Corse Farm'!Print_Area</vt:lpstr>
      <vt:lpstr>Mollybrook!Print_Area</vt:lpstr>
      <vt:lpstr>'Oughta-Be'!Print_Area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2021-07-12T14:11:31Z</dcterms:created>
  <dcterms:modified xsi:type="dcterms:W3CDTF">2021-07-12T15:03:22Z</dcterms:modified>
</cp:coreProperties>
</file>