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员级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软体部_周玲燕</author>
  </authors>
  <commentList>
    <comment ref="D24" authorId="0">
      <text>
        <r>
          <rPr>
            <b/>
            <sz val="9"/>
            <rFont val="宋体"/>
            <charset val="134"/>
          </rPr>
          <t>软体部_周玲燕:</t>
        </r>
        <r>
          <rPr>
            <sz val="9"/>
            <rFont val="宋体"/>
            <charset val="134"/>
          </rPr>
          <t xml:space="preserve">
60-10-项目/专案占比</t>
        </r>
      </text>
    </comment>
  </commentList>
</comments>
</file>

<file path=xl/comments2.xml><?xml version="1.0" encoding="utf-8"?>
<comments xmlns="http://schemas.openxmlformats.org/spreadsheetml/2006/main">
  <authors>
    <author>软体部_周玲燕</author>
  </authors>
  <commentList>
    <comment ref="H5" authorId="0">
      <text>
        <r>
          <rPr>
            <b/>
            <sz val="9"/>
            <rFont val="宋体"/>
            <charset val="134"/>
          </rPr>
          <t>软体部_周玲燕:</t>
        </r>
        <r>
          <rPr>
            <sz val="9"/>
            <rFont val="宋体"/>
            <charset val="134"/>
          </rPr>
          <t xml:space="preserve">
根据实际项目/专案工作情况可调占比</t>
        </r>
      </text>
    </comment>
    <comment ref="H13" authorId="0">
      <text>
        <r>
          <rPr>
            <b/>
            <sz val="9"/>
            <rFont val="宋体"/>
            <charset val="134"/>
          </rPr>
          <t>软体部_周玲燕:</t>
        </r>
        <r>
          <rPr>
            <sz val="9"/>
            <rFont val="宋体"/>
            <charset val="134"/>
          </rPr>
          <t xml:space="preserve">
60-10-项目/专案占比</t>
        </r>
      </text>
    </comment>
  </commentList>
</comments>
</file>

<file path=xl/sharedStrings.xml><?xml version="1.0" encoding="utf-8"?>
<sst xmlns="http://schemas.openxmlformats.org/spreadsheetml/2006/main" count="168">
  <si>
    <r>
      <rPr>
        <b/>
        <u/>
        <sz val="18"/>
        <color rgb="FF000000"/>
        <rFont val="宋体"/>
        <charset val="134"/>
      </rPr>
      <t xml:space="preserve">  2018  </t>
    </r>
    <r>
      <rPr>
        <b/>
        <sz val="18"/>
        <color rgb="FF000000"/>
        <rFont val="宋体"/>
        <charset val="134"/>
      </rPr>
      <t>年</t>
    </r>
    <r>
      <rPr>
        <b/>
        <u/>
        <sz val="18"/>
        <color rgb="FF000000"/>
        <rFont val="宋体"/>
        <charset val="134"/>
      </rPr>
      <t xml:space="preserve">  10  </t>
    </r>
    <r>
      <rPr>
        <b/>
        <sz val="18"/>
        <color rgb="FF000000"/>
        <rFont val="宋体"/>
        <charset val="134"/>
      </rPr>
      <t>月员工绩效考核表（员级）</t>
    </r>
  </si>
  <si>
    <t>姓名</t>
  </si>
  <si>
    <t>熊奇龙</t>
  </si>
  <si>
    <t>部门/课/组</t>
  </si>
  <si>
    <t>MIS组</t>
  </si>
  <si>
    <t>岗位</t>
  </si>
  <si>
    <t>考核项目</t>
  </si>
  <si>
    <t>权重
(%)</t>
  </si>
  <si>
    <t>考核内容</t>
  </si>
  <si>
    <t>分值说明评分说明
（10分制，保留一位小数）</t>
  </si>
  <si>
    <t>评分说明
（自评进行文字说明；
    直属主管对评分进行文字说明，上一级参考并打分）</t>
  </si>
  <si>
    <t>考核标准</t>
  </si>
  <si>
    <t>自评</t>
  </si>
  <si>
    <t>项目负责人/直属主管评分
占60%</t>
  </si>
  <si>
    <t>上一级主管评分
占40%</t>
  </si>
  <si>
    <t>工作业绩</t>
  </si>
  <si>
    <r>
      <rPr>
        <b/>
        <sz val="9"/>
        <color indexed="8"/>
        <rFont val="宋体"/>
        <charset val="134"/>
      </rPr>
      <t>项 目 考 核</t>
    </r>
    <r>
      <rPr>
        <b/>
        <sz val="9"/>
        <color rgb="FFC00000"/>
        <rFont val="宋体"/>
        <charset val="134"/>
      </rPr>
      <t>（由项目负责人直接考核）</t>
    </r>
  </si>
  <si>
    <t>当月项目工作完成及时情况</t>
  </si>
  <si>
    <t>超额或提前完成</t>
  </si>
  <si>
    <t>所完成任务在90%-99%间</t>
  </si>
  <si>
    <t>所完成任务在80%-89%间</t>
  </si>
  <si>
    <t>所完成任务在70%-79%间</t>
  </si>
  <si>
    <t>所完成任务在70%以下</t>
  </si>
  <si>
    <t>9.5≤A级≤10</t>
  </si>
  <si>
    <t>9≤B级&lt;9.5</t>
  </si>
  <si>
    <t>8≤C级＜9</t>
  </si>
  <si>
    <t>7≤D级&lt;8</t>
  </si>
  <si>
    <t>E级&lt;7</t>
  </si>
  <si>
    <t>当月项目工作完成的质量情况</t>
  </si>
  <si>
    <t>质量出色，无任何质量问题</t>
  </si>
  <si>
    <t>质量好，无严重类问题，只存在1-2个建议性或轻微性建议</t>
  </si>
  <si>
    <t>质量较好，无严重类问题，只存在1-2个一般性问题</t>
  </si>
  <si>
    <t>质量一般，存在1个严重问题或3个以上一般问题</t>
  </si>
  <si>
    <t>质量不佳，存在2个或2个以上严重问题</t>
  </si>
  <si>
    <r>
      <rPr>
        <b/>
        <sz val="9"/>
        <rFont val="宋体"/>
        <charset val="134"/>
      </rPr>
      <t>专 案 考 核</t>
    </r>
    <r>
      <rPr>
        <b/>
        <sz val="9"/>
        <color rgb="FFC00000"/>
        <rFont val="宋体"/>
        <charset val="134"/>
      </rPr>
      <t>（由直属主管直接考核）</t>
    </r>
  </si>
  <si>
    <t>【停机密码WEB版】</t>
  </si>
  <si>
    <t>【ToolsWEB工具集成平台】</t>
  </si>
  <si>
    <t>日常关键绩效</t>
  </si>
  <si>
    <t>8≤C级&lt;9</t>
  </si>
  <si>
    <t>资料记录</t>
  </si>
  <si>
    <t xml:space="preserve">工作资料整理并提供的及时率与准确率
包括
1.及时并完整的上交工作报告、项目报告、会议材料、测试报告、出差报告、专项整理报告、程序修改记录、代码标注、bug记录、工作日志；
2.工作内容资料 完整，存放路径规则清晰；工作交接资料，清楚完整有效；
</t>
  </si>
  <si>
    <t>考核内容中的要求全部满足</t>
  </si>
  <si>
    <t xml:space="preserve">  仅1-2项未满足</t>
  </si>
  <si>
    <t>2项以上未满足</t>
  </si>
  <si>
    <t>3-5项未满足</t>
  </si>
  <si>
    <t>5项以上未满足</t>
  </si>
  <si>
    <t>小计</t>
  </si>
  <si>
    <t>工作方法</t>
  </si>
  <si>
    <t>计划性</t>
  </si>
  <si>
    <t>安排工作的合理性，是否需要上级提醒</t>
  </si>
  <si>
    <t>能预测问题并制定预案，且提前完成</t>
  </si>
  <si>
    <t>准确划定工作并及时完成</t>
  </si>
  <si>
    <t>有效制定自我工作计划，略微延迟</t>
  </si>
  <si>
    <t>工作计划差，催促1次才能完成</t>
  </si>
  <si>
    <t>工作无计划，催促2-3次才能完成</t>
  </si>
  <si>
    <t>工作改善</t>
  </si>
  <si>
    <t>工作创新及改善（本岗或他岗）</t>
  </si>
  <si>
    <t>提案被公司采纳且有嘉奖</t>
  </si>
  <si>
    <t>多次提出改进措施
且被部门采纳</t>
  </si>
  <si>
    <t>有创新，能改进自己的工作</t>
  </si>
  <si>
    <t>少创新，多半
墨守陈规</t>
  </si>
  <si>
    <t>很少创新、消极，不愿打破现状</t>
  </si>
  <si>
    <t>思考力</t>
  </si>
  <si>
    <t>突发事件的应对、考虑问题的全面细致性</t>
  </si>
  <si>
    <t>分析问题全面，逻辑性强，判断准确</t>
  </si>
  <si>
    <t>思维清晰准确，反应迅速，无判断失误</t>
  </si>
  <si>
    <t>思维较清晰反应较快；无较大判断失误</t>
  </si>
  <si>
    <t>思维较清晰，但呆板、片面；有时判断有失误</t>
  </si>
  <si>
    <t>思维混乱，反应迟钝，逻辑性差；经常判断失误</t>
  </si>
  <si>
    <t>工作态度</t>
  </si>
  <si>
    <t>责任感</t>
  </si>
  <si>
    <t>团队精神、严于律己、知错就改、不逃避责任</t>
  </si>
  <si>
    <t>能为团队利益牺牲个人利益；
积极推进团队目标</t>
  </si>
  <si>
    <t>参与和支持团队工作并积极做分享</t>
  </si>
  <si>
    <t>对于团队工作始终保持随大流的态度但责任心较佳</t>
  </si>
  <si>
    <t>很少参与并支持团队工作但有一定的责任心</t>
  </si>
  <si>
    <t>排斥团队工作，消极且以个人主义为中心</t>
  </si>
  <si>
    <t>心态</t>
  </si>
  <si>
    <t>主动性和积极性（反之得过且过、应付了事）</t>
  </si>
  <si>
    <t>勇于挑战，不畏困难，为实现目标竭尽全力</t>
  </si>
  <si>
    <t>尽心尽力履行本职工作，对工作一丝不苟</t>
  </si>
  <si>
    <t>有一定的主动工作能力，但还需上级监督</t>
  </si>
  <si>
    <t>工作挑挑拣拣，避难就易</t>
  </si>
  <si>
    <t>工作消极被动，遇到问题和困难容易泄气，放弃</t>
  </si>
  <si>
    <t>执行力</t>
  </si>
  <si>
    <t>完成上级指令，对工作进行阶段性反馈</t>
  </si>
  <si>
    <t>能准确理解上级的工作指示，工作目标清晰并及时反馈</t>
  </si>
  <si>
    <t>能将上级指示转化为清晰的行动计划</t>
  </si>
  <si>
    <t>合理规划时间、调动资源，保证工作按时按质量完成</t>
  </si>
  <si>
    <t>对于执行上级指示缺乏较高的积极性</t>
  </si>
  <si>
    <t>完全不领会上级指示，缺乏积极性</t>
  </si>
  <si>
    <t>自我修养</t>
  </si>
  <si>
    <t>求知欲</t>
  </si>
  <si>
    <t>积极参加培训，主动学习知识技能
1）本月有参加公司内部培训
2）本月有参加公司外部培训、职业技能再教育等
3）在职研究生授课等</t>
  </si>
  <si>
    <t>同时满足考核内容中的3个条件</t>
  </si>
  <si>
    <t>满足其中1~2个条件</t>
  </si>
  <si>
    <t>求知欲一般，对主管安排必须参加的培训外，其余不参加</t>
  </si>
  <si>
    <t>求知欲较差，经常因个人原因缺席已报名的培训课程</t>
  </si>
  <si>
    <t>无论怎样督促也不上进</t>
  </si>
  <si>
    <t>工作纪律</t>
  </si>
  <si>
    <t>遵守部门行5S（行为规范、公司制度、出勤）；接受公务外出，及时返回公司，据实报销费用</t>
  </si>
  <si>
    <t>无迟到早退、请假、调休等；
5S考核结果优异；</t>
  </si>
  <si>
    <t>无迟到早退、请假（不含调休）；
5S考核结果良好；</t>
  </si>
  <si>
    <t>迟到1次且请假天数3天以上；
5S考核结果合格；</t>
  </si>
  <si>
    <t>组织纪律性一般，迟到次数＞3次；
5S考核结果差，但经提醒后更正；</t>
  </si>
  <si>
    <t>组织纪律性差，迟到次数＞3次；
5S考核结果很差，且多次提醒后未更正；</t>
  </si>
  <si>
    <t>品德素养</t>
  </si>
  <si>
    <t>职业道德，言行分寸，素质修养，社会公益（献血、志愿活动）</t>
  </si>
  <si>
    <t>严于律己、助人为乐、乐于奉献（经常参加志愿活动），保守秘密</t>
  </si>
  <si>
    <t xml:space="preserve">不议论与工作无关的私事；不传播不良信息；忠于职守
</t>
  </si>
  <si>
    <t>尚能实事求是</t>
  </si>
  <si>
    <t>作风浮夸，人云亦云</t>
  </si>
  <si>
    <t>表里不一</t>
  </si>
  <si>
    <t>合计（100分）</t>
  </si>
  <si>
    <t>保留两位小数</t>
  </si>
  <si>
    <t>加分项</t>
  </si>
  <si>
    <t>加班时数</t>
  </si>
  <si>
    <t>每月加班时数＞20H</t>
  </si>
  <si>
    <t>加班时数＞60</t>
  </si>
  <si>
    <t>20＜加班时数＜60</t>
  </si>
  <si>
    <t>代理天数</t>
  </si>
  <si>
    <t>增量式代理情况下，
代理同事请假期间工作＞5天</t>
  </si>
  <si>
    <t>代理天数=30</t>
  </si>
  <si>
    <t>5＜代理天数≤29</t>
  </si>
  <si>
    <t>无代理</t>
  </si>
  <si>
    <r>
      <rPr>
        <sz val="12"/>
        <rFont val="宋体"/>
        <charset val="134"/>
      </rPr>
      <t>提示：请</t>
    </r>
    <r>
      <rPr>
        <b/>
        <sz val="12"/>
        <color rgb="FFC00000"/>
        <rFont val="宋体"/>
        <charset val="134"/>
      </rPr>
      <t>组长</t>
    </r>
    <r>
      <rPr>
        <sz val="12"/>
        <rFont val="宋体"/>
        <charset val="134"/>
      </rPr>
      <t>核实当月是否有发生工作代理，并进行选择</t>
    </r>
  </si>
  <si>
    <t>O70</t>
  </si>
  <si>
    <r>
      <rPr>
        <sz val="12"/>
        <rFont val="新細明體"/>
        <charset val="134"/>
      </rPr>
      <t>提示：</t>
    </r>
    <r>
      <rPr>
        <sz val="12"/>
        <rFont val="宋体"/>
        <charset val="134"/>
      </rPr>
      <t>当</t>
    </r>
    <r>
      <rPr>
        <sz val="12"/>
        <rFont val="新細明體"/>
        <charset val="134"/>
      </rPr>
      <t>根据</t>
    </r>
    <r>
      <rPr>
        <b/>
        <sz val="12"/>
        <color rgb="FFC00000"/>
        <rFont val="新細明體"/>
        <charset val="134"/>
      </rPr>
      <t>O70</t>
    </r>
    <r>
      <rPr>
        <sz val="12"/>
        <rFont val="新細明體"/>
        <charset val="134"/>
      </rPr>
      <t>的</t>
    </r>
    <r>
      <rPr>
        <b/>
        <sz val="12"/>
        <color rgb="FFC00000"/>
        <rFont val="宋体"/>
        <charset val="134"/>
      </rPr>
      <t>结</t>
    </r>
    <r>
      <rPr>
        <b/>
        <sz val="12"/>
        <color rgb="FFC00000"/>
        <rFont val="新細明體"/>
        <charset val="134"/>
      </rPr>
      <t>果</t>
    </r>
    <r>
      <rPr>
        <sz val="12"/>
        <rFont val="新細明體"/>
        <charset val="134"/>
      </rPr>
      <t>，填</t>
    </r>
    <r>
      <rPr>
        <sz val="12"/>
        <rFont val="宋体"/>
        <charset val="134"/>
      </rPr>
      <t>写</t>
    </r>
    <r>
      <rPr>
        <sz val="12"/>
        <rFont val="新細明體"/>
        <charset val="134"/>
      </rPr>
      <t>合理的代理天</t>
    </r>
    <r>
      <rPr>
        <sz val="12"/>
        <rFont val="宋体"/>
        <charset val="134"/>
      </rPr>
      <t>数</t>
    </r>
  </si>
  <si>
    <t>减分项</t>
  </si>
  <si>
    <t>/</t>
  </si>
  <si>
    <t>警  告</t>
  </si>
  <si>
    <t>警告一次，扣2分</t>
  </si>
  <si>
    <t>按次数累加扣分（2n）</t>
  </si>
  <si>
    <t>记  过</t>
  </si>
  <si>
    <t>记过一次，扣4分</t>
  </si>
  <si>
    <t>按次数累加扣分（4n）</t>
  </si>
  <si>
    <t>记大过</t>
  </si>
  <si>
    <t>记大过一次，扣6分</t>
  </si>
  <si>
    <t>按次数累加扣分（6n）</t>
  </si>
  <si>
    <t>总计</t>
  </si>
  <si>
    <r>
      <rPr>
        <b/>
        <sz val="11"/>
        <rFont val="新細明體"/>
        <charset val="134"/>
      </rPr>
      <t>最</t>
    </r>
    <r>
      <rPr>
        <b/>
        <sz val="11"/>
        <rFont val="宋体"/>
        <charset val="134"/>
      </rPr>
      <t>终考核分</t>
    </r>
  </si>
  <si>
    <t>考核人签名</t>
  </si>
  <si>
    <t>[签名处]</t>
  </si>
  <si>
    <t>当月绩效考核评分标准及当月绩效考核结果（根据最终考核分选择以下等级打勾）：
   □优秀(A级&gt;9.5分)； □良好(9≤B级&lt;9.5)；  □合格(8≤C级&lt;9)； □较差(7≤D级&lt;8)； □不合格(E级&lt;7）。</t>
  </si>
  <si>
    <t>，，，，</t>
  </si>
  <si>
    <r>
      <rPr>
        <b/>
        <u/>
        <sz val="15"/>
        <color indexed="8"/>
        <rFont val="宋体"/>
        <charset val="134"/>
      </rPr>
      <t xml:space="preserve">      </t>
    </r>
    <r>
      <rPr>
        <b/>
        <sz val="15"/>
        <color indexed="8"/>
        <rFont val="宋体"/>
        <charset val="134"/>
      </rPr>
      <t>年</t>
    </r>
    <r>
      <rPr>
        <b/>
        <u/>
        <sz val="15"/>
        <color indexed="8"/>
        <rFont val="宋体"/>
        <charset val="134"/>
      </rPr>
      <t xml:space="preserve">   </t>
    </r>
    <r>
      <rPr>
        <b/>
        <sz val="15"/>
        <color indexed="8"/>
        <rFont val="宋体"/>
        <charset val="134"/>
      </rPr>
      <t>月员工绩效考核表（员级）</t>
    </r>
  </si>
  <si>
    <t>软体部</t>
  </si>
  <si>
    <t>评分说明
（组长对评分进行文字说明，课长参考并打分）</t>
  </si>
  <si>
    <t>组长评分
占60%</t>
  </si>
  <si>
    <t>课长评分
占40%</t>
  </si>
  <si>
    <t>项目/专案名称</t>
  </si>
  <si>
    <r>
      <rPr>
        <sz val="9"/>
        <color theme="1"/>
        <rFont val="宋体"/>
        <charset val="134"/>
        <scheme val="minor"/>
      </rPr>
      <t>□</t>
    </r>
    <r>
      <rPr>
        <sz val="9"/>
        <color theme="1"/>
        <rFont val="宋体"/>
        <charset val="134"/>
      </rPr>
      <t xml:space="preserve"> 提前完成</t>
    </r>
  </si>
  <si>
    <r>
      <rPr>
        <sz val="9"/>
        <color theme="1"/>
        <rFont val="宋体"/>
        <charset val="134"/>
        <scheme val="minor"/>
      </rPr>
      <t>□</t>
    </r>
    <r>
      <rPr>
        <sz val="9"/>
        <color theme="1"/>
        <rFont val="宋体"/>
        <charset val="134"/>
      </rPr>
      <t xml:space="preserve"> 及时</t>
    </r>
  </si>
  <si>
    <t>□ 略微延误</t>
  </si>
  <si>
    <t>□ 严重Delay</t>
  </si>
  <si>
    <t>9≤B级≤9.5</t>
  </si>
  <si>
    <t>7≤C级+D级&lt;9</t>
  </si>
  <si>
    <t>□严重Delay</t>
  </si>
  <si>
    <r>
      <rPr>
        <sz val="9"/>
        <color theme="1"/>
        <rFont val="宋体"/>
        <charset val="134"/>
      </rPr>
      <t>□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theme="1"/>
        <rFont val="宋体"/>
        <charset val="134"/>
      </rPr>
      <t>及时</t>
    </r>
  </si>
  <si>
    <t>工作资料整理并提供的及时率与准确率（含各类报告、BOM、图纸设计、画面设计等等）</t>
  </si>
  <si>
    <t>积极参加公司培训，主动学习知识技能</t>
  </si>
  <si>
    <t>遵守公司制度、5S、出勤；接受公务外出，及时返回公司，据实报销费用</t>
  </si>
  <si>
    <t>职业道德，言行分寸，素质修养</t>
  </si>
  <si>
    <t>合计</t>
  </si>
  <si>
    <t>——</t>
  </si>
  <si>
    <t>每月加班时数≥20h</t>
  </si>
  <si>
    <t>增量式代理情况下，代理同事请假期间工作≥3天</t>
  </si>
  <si>
    <t>当月绩效考核评分标准及当月绩效考核结果（根据最终考核分选择以下等级打勾）：
   □卓越(A+级＞10)；   □优秀(9.5≤A级≤10)； □良好(9≤B级&lt;9.5)；
   □合格(8≤C级&lt;9)；   □较差(7≤D级&lt;8)；     □不合格(E级&lt;7）。</t>
  </si>
</sst>
</file>

<file path=xl/styles.xml><?xml version="1.0" encoding="utf-8"?>
<styleSheet xmlns="http://schemas.openxmlformats.org/spreadsheetml/2006/main">
  <numFmts count="11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"/>
    <numFmt numFmtId="177" formatCode="0_);[Red]\(0\)"/>
    <numFmt numFmtId="178" formatCode="0.00_ "/>
    <numFmt numFmtId="179" formatCode="0.0_);[Red]\(0.0\)"/>
    <numFmt numFmtId="180" formatCode="0.0_ "/>
    <numFmt numFmtId="181" formatCode="0.00_);[Red]\(0.00\)"/>
    <numFmt numFmtId="182" formatCode="0.00;[Red]0.00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b/>
      <sz val="15"/>
      <color indexed="8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indexed="10"/>
      <name val="宋体"/>
      <charset val="134"/>
    </font>
    <font>
      <sz val="10"/>
      <name val="宋体"/>
      <charset val="134"/>
    </font>
    <font>
      <b/>
      <sz val="11"/>
      <name val="新細明體"/>
      <charset val="134"/>
    </font>
    <font>
      <b/>
      <sz val="12"/>
      <name val="宋体"/>
      <charset val="134"/>
    </font>
    <font>
      <b/>
      <u/>
      <sz val="18"/>
      <color rgb="FF000000"/>
      <name val="宋体"/>
      <charset val="134"/>
    </font>
    <font>
      <b/>
      <sz val="18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9"/>
      <color rgb="FFC00000"/>
      <name val="宋体"/>
      <charset val="134"/>
    </font>
    <font>
      <b/>
      <sz val="9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C00000"/>
      <name val="微软雅黑"/>
      <charset val="134"/>
    </font>
    <font>
      <b/>
      <sz val="12"/>
      <name val="微软雅黑"/>
      <charset val="134"/>
    </font>
    <font>
      <b/>
      <sz val="9"/>
      <color rgb="FFC00000"/>
      <name val="宋体"/>
      <charset val="134"/>
    </font>
    <font>
      <sz val="12"/>
      <name val="宋体"/>
      <charset val="134"/>
    </font>
    <font>
      <b/>
      <sz val="1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u/>
      <sz val="15"/>
      <color indexed="8"/>
      <name val="宋体"/>
      <charset val="134"/>
    </font>
    <font>
      <b/>
      <sz val="11"/>
      <name val="宋体"/>
      <charset val="134"/>
    </font>
    <font>
      <b/>
      <sz val="18"/>
      <color rgb="FF000000"/>
      <name val="宋体"/>
      <charset val="134"/>
    </font>
    <font>
      <b/>
      <sz val="12"/>
      <color rgb="FFC00000"/>
      <name val="宋体"/>
      <charset val="134"/>
    </font>
    <font>
      <b/>
      <sz val="12"/>
      <color rgb="FFC00000"/>
      <name val="新細明體"/>
      <charset val="134"/>
    </font>
  </fonts>
  <fills count="40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12" borderId="5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0" borderId="51" applyNumberFormat="0" applyFont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50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3" fillId="0" borderId="53" applyNumberFormat="0" applyFill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8" fillId="9" borderId="49" applyNumberFormat="0" applyAlignment="0" applyProtection="0">
      <alignment vertical="center"/>
    </xf>
    <xf numFmtId="0" fontId="44" fillId="9" borderId="54" applyNumberFormat="0" applyAlignment="0" applyProtection="0">
      <alignment vertical="center"/>
    </xf>
    <xf numFmtId="0" fontId="32" fillId="11" borderId="52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6" fillId="0" borderId="56" applyNumberFormat="0" applyFill="0" applyAlignment="0" applyProtection="0">
      <alignment vertical="center"/>
    </xf>
    <xf numFmtId="0" fontId="45" fillId="0" borderId="55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1" fillId="0" borderId="0"/>
    <xf numFmtId="0" fontId="26" fillId="0" borderId="0"/>
    <xf numFmtId="0" fontId="0" fillId="0" borderId="0">
      <alignment vertical="center"/>
    </xf>
  </cellStyleXfs>
  <cellXfs count="260">
    <xf numFmtId="0" fontId="0" fillId="0" borderId="0" xfId="0"/>
    <xf numFmtId="0" fontId="1" fillId="0" borderId="0" xfId="49" applyAlignment="1">
      <alignment vertical="center"/>
    </xf>
    <xf numFmtId="0" fontId="1" fillId="0" borderId="0" xfId="49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177" fontId="4" fillId="0" borderId="6" xfId="49" applyNumberFormat="1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177" fontId="4" fillId="0" borderId="7" xfId="49" applyNumberFormat="1" applyFont="1" applyBorder="1" applyAlignment="1">
      <alignment horizontal="center" vertical="center" wrapText="1"/>
    </xf>
    <xf numFmtId="177" fontId="4" fillId="0" borderId="8" xfId="49" applyNumberFormat="1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6" fillId="2" borderId="9" xfId="49" applyFont="1" applyFill="1" applyBorder="1" applyAlignment="1">
      <alignment horizontal="center" vertical="center" wrapText="1"/>
    </xf>
    <xf numFmtId="0" fontId="6" fillId="2" borderId="10" xfId="49" applyFont="1" applyFill="1" applyBorder="1" applyAlignment="1">
      <alignment horizontal="center" vertical="center" wrapText="1"/>
    </xf>
    <xf numFmtId="0" fontId="6" fillId="3" borderId="9" xfId="49" applyFont="1" applyFill="1" applyBorder="1" applyAlignment="1">
      <alignment horizontal="center" vertical="center" wrapText="1"/>
    </xf>
    <xf numFmtId="0" fontId="6" fillId="3" borderId="10" xfId="49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horizontal="center" vertical="center" wrapText="1"/>
    </xf>
    <xf numFmtId="0" fontId="5" fillId="0" borderId="6" xfId="49" applyFont="1" applyBorder="1" applyAlignment="1">
      <alignment horizontal="center" vertical="center" wrapText="1"/>
    </xf>
    <xf numFmtId="0" fontId="5" fillId="0" borderId="8" xfId="49" applyFont="1" applyBorder="1" applyAlignment="1">
      <alignment horizontal="center" vertical="center" wrapText="1"/>
    </xf>
    <xf numFmtId="0" fontId="5" fillId="0" borderId="7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 wrapText="1"/>
    </xf>
    <xf numFmtId="0" fontId="3" fillId="0" borderId="12" xfId="49" applyFont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7" fillId="4" borderId="9" xfId="49" applyFont="1" applyFill="1" applyBorder="1" applyAlignment="1">
      <alignment vertical="center" wrapText="1"/>
    </xf>
    <xf numFmtId="0" fontId="7" fillId="4" borderId="10" xfId="49" applyFont="1" applyFill="1" applyBorder="1" applyAlignment="1">
      <alignment vertical="center" wrapText="1"/>
    </xf>
    <xf numFmtId="0" fontId="4" fillId="0" borderId="6" xfId="49" applyFont="1" applyBorder="1" applyAlignment="1">
      <alignment horizontal="center" vertical="center" wrapText="1"/>
    </xf>
    <xf numFmtId="0" fontId="5" fillId="0" borderId="9" xfId="49" applyFont="1" applyBorder="1" applyAlignment="1">
      <alignment horizontal="center" vertical="center" wrapText="1"/>
    </xf>
    <xf numFmtId="0" fontId="5" fillId="0" borderId="13" xfId="49" applyFont="1" applyBorder="1" applyAlignment="1">
      <alignment horizontal="center" vertical="center" wrapText="1"/>
    </xf>
    <xf numFmtId="0" fontId="8" fillId="0" borderId="9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 wrapText="1"/>
    </xf>
    <xf numFmtId="0" fontId="9" fillId="0" borderId="14" xfId="49" applyFont="1" applyBorder="1" applyAlignment="1">
      <alignment horizontal="center" vertical="center" wrapText="1"/>
    </xf>
    <xf numFmtId="0" fontId="9" fillId="0" borderId="15" xfId="49" applyFont="1" applyBorder="1" applyAlignment="1">
      <alignment horizontal="center" vertical="center" wrapText="1"/>
    </xf>
    <xf numFmtId="0" fontId="9" fillId="0" borderId="16" xfId="49" applyFont="1" applyBorder="1" applyAlignment="1">
      <alignment horizontal="center" vertical="center" wrapText="1"/>
    </xf>
    <xf numFmtId="0" fontId="9" fillId="0" borderId="6" xfId="49" applyFont="1" applyBorder="1" applyAlignment="1">
      <alignment horizontal="center" vertical="center" wrapText="1"/>
    </xf>
    <xf numFmtId="176" fontId="3" fillId="0" borderId="6" xfId="49" applyNumberFormat="1" applyFont="1" applyBorder="1" applyAlignment="1">
      <alignment horizontal="center" vertical="center" wrapText="1"/>
    </xf>
    <xf numFmtId="0" fontId="9" fillId="0" borderId="17" xfId="49" applyFont="1" applyBorder="1" applyAlignment="1">
      <alignment horizontal="center" vertical="center" wrapText="1"/>
    </xf>
    <xf numFmtId="0" fontId="9" fillId="0" borderId="18" xfId="49" applyFont="1" applyBorder="1" applyAlignment="1">
      <alignment horizontal="center" vertical="center" wrapText="1"/>
    </xf>
    <xf numFmtId="0" fontId="9" fillId="0" borderId="5" xfId="49" applyFont="1" applyBorder="1" applyAlignment="1">
      <alignment horizontal="center" vertical="center" wrapText="1"/>
    </xf>
    <xf numFmtId="0" fontId="9" fillId="0" borderId="8" xfId="49" applyFont="1" applyBorder="1" applyAlignment="1">
      <alignment horizontal="center" vertical="center" wrapText="1"/>
    </xf>
    <xf numFmtId="176" fontId="3" fillId="0" borderId="8" xfId="49" applyNumberFormat="1" applyFont="1" applyBorder="1" applyAlignment="1">
      <alignment horizontal="center" vertical="center" wrapText="1"/>
    </xf>
    <xf numFmtId="0" fontId="9" fillId="0" borderId="19" xfId="49" applyFont="1" applyBorder="1" applyAlignment="1">
      <alignment horizontal="center" vertical="center" wrapText="1"/>
    </xf>
    <xf numFmtId="0" fontId="9" fillId="0" borderId="20" xfId="49" applyFont="1" applyBorder="1" applyAlignment="1">
      <alignment horizontal="center" vertical="center" wrapText="1"/>
    </xf>
    <xf numFmtId="0" fontId="4" fillId="0" borderId="9" xfId="49" applyFont="1" applyBorder="1" applyAlignment="1">
      <alignment horizontal="left" vertical="center" wrapText="1"/>
    </xf>
    <xf numFmtId="0" fontId="4" fillId="0" borderId="10" xfId="49" applyFont="1" applyBorder="1" applyAlignment="1">
      <alignment horizontal="left" vertical="center" wrapText="1"/>
    </xf>
    <xf numFmtId="0" fontId="4" fillId="0" borderId="13" xfId="49" applyFont="1" applyBorder="1" applyAlignment="1">
      <alignment horizontal="left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0" fontId="6" fillId="2" borderId="13" xfId="49" applyFont="1" applyFill="1" applyBorder="1" applyAlignment="1">
      <alignment horizontal="center" vertical="center" wrapText="1"/>
    </xf>
    <xf numFmtId="176" fontId="10" fillId="2" borderId="1" xfId="49" applyNumberFormat="1" applyFont="1" applyFill="1" applyBorder="1" applyAlignment="1">
      <alignment horizontal="center" vertical="center"/>
    </xf>
    <xf numFmtId="176" fontId="10" fillId="2" borderId="0" xfId="49" applyNumberFormat="1" applyFont="1" applyFill="1" applyAlignment="1">
      <alignment horizontal="center" vertical="center"/>
    </xf>
    <xf numFmtId="0" fontId="3" fillId="0" borderId="9" xfId="49" applyFont="1" applyBorder="1" applyAlignment="1">
      <alignment horizontal="left" vertical="center" wrapText="1"/>
    </xf>
    <xf numFmtId="0" fontId="3" fillId="0" borderId="10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left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0" fontId="6" fillId="3" borderId="13" xfId="49" applyFont="1" applyFill="1" applyBorder="1" applyAlignment="1">
      <alignment horizontal="center" vertical="center" wrapText="1"/>
    </xf>
    <xf numFmtId="2" fontId="6" fillId="3" borderId="1" xfId="49" applyNumberFormat="1" applyFont="1" applyFill="1" applyBorder="1" applyAlignment="1">
      <alignment horizontal="center" vertical="center" wrapText="1"/>
    </xf>
    <xf numFmtId="0" fontId="3" fillId="0" borderId="1" xfId="49" applyFont="1" applyBorder="1" applyAlignment="1">
      <alignment vertical="center" wrapText="1"/>
    </xf>
    <xf numFmtId="0" fontId="3" fillId="0" borderId="5" xfId="49" applyFont="1" applyBorder="1" applyAlignment="1">
      <alignment horizontal="left" vertical="center" wrapText="1"/>
    </xf>
    <xf numFmtId="0" fontId="3" fillId="0" borderId="21" xfId="49" applyFont="1" applyBorder="1" applyAlignment="1">
      <alignment horizontal="left" vertical="center" wrapText="1"/>
    </xf>
    <xf numFmtId="0" fontId="6" fillId="3" borderId="9" xfId="49" applyNumberFormat="1" applyFont="1" applyFill="1" applyBorder="1" applyAlignment="1">
      <alignment horizontal="center" vertical="center" wrapText="1"/>
    </xf>
    <xf numFmtId="178" fontId="6" fillId="3" borderId="9" xfId="49" applyNumberFormat="1" applyFont="1" applyFill="1" applyBorder="1" applyAlignment="1">
      <alignment horizontal="center" vertical="center" wrapText="1"/>
    </xf>
    <xf numFmtId="0" fontId="6" fillId="0" borderId="1" xfId="49" applyNumberFormat="1" applyFont="1" applyFill="1" applyBorder="1" applyAlignment="1">
      <alignment horizontal="center" vertical="center" wrapText="1"/>
    </xf>
    <xf numFmtId="178" fontId="6" fillId="0" borderId="1" xfId="49" applyNumberFormat="1" applyFont="1" applyFill="1" applyBorder="1" applyAlignment="1">
      <alignment horizontal="center" vertical="center" wrapText="1"/>
    </xf>
    <xf numFmtId="0" fontId="8" fillId="0" borderId="13" xfId="49" applyNumberFormat="1" applyFont="1" applyBorder="1" applyAlignment="1">
      <alignment horizontal="center" vertical="center" wrapText="1"/>
    </xf>
    <xf numFmtId="0" fontId="11" fillId="0" borderId="6" xfId="49" applyFont="1" applyBorder="1" applyAlignment="1">
      <alignment horizontal="left" vertical="top" wrapText="1"/>
    </xf>
    <xf numFmtId="0" fontId="11" fillId="0" borderId="7" xfId="49" applyFont="1" applyBorder="1" applyAlignment="1">
      <alignment horizontal="left" vertical="top" wrapText="1"/>
    </xf>
    <xf numFmtId="0" fontId="11" fillId="0" borderId="8" xfId="49" applyFont="1" applyBorder="1" applyAlignment="1">
      <alignment horizontal="left" vertical="top" wrapText="1"/>
    </xf>
    <xf numFmtId="0" fontId="11" fillId="0" borderId="6" xfId="49" applyFont="1" applyFill="1" applyBorder="1" applyAlignment="1">
      <alignment horizontal="left" vertical="top" wrapText="1"/>
    </xf>
    <xf numFmtId="0" fontId="11" fillId="0" borderId="7" xfId="49" applyFont="1" applyFill="1" applyBorder="1" applyAlignment="1">
      <alignment horizontal="left" vertical="top" wrapText="1"/>
    </xf>
    <xf numFmtId="0" fontId="11" fillId="0" borderId="8" xfId="49" applyFont="1" applyFill="1" applyBorder="1" applyAlignment="1">
      <alignment horizontal="left" vertical="top" wrapText="1"/>
    </xf>
    <xf numFmtId="0" fontId="12" fillId="0" borderId="8" xfId="49" applyFont="1" applyBorder="1" applyAlignment="1">
      <alignment horizontal="center" vertical="center" wrapText="1"/>
    </xf>
    <xf numFmtId="9" fontId="1" fillId="0" borderId="0" xfId="49" applyNumberFormat="1" applyAlignment="1">
      <alignment vertical="center"/>
    </xf>
    <xf numFmtId="0" fontId="13" fillId="0" borderId="1" xfId="49" applyFont="1" applyBorder="1" applyAlignment="1">
      <alignment horizontal="center" vertical="center"/>
    </xf>
    <xf numFmtId="2" fontId="14" fillId="5" borderId="6" xfId="49" applyNumberFormat="1" applyFont="1" applyFill="1" applyBorder="1" applyAlignment="1">
      <alignment vertical="center" wrapText="1"/>
    </xf>
    <xf numFmtId="0" fontId="7" fillId="4" borderId="13" xfId="49" applyFont="1" applyFill="1" applyBorder="1" applyAlignment="1">
      <alignment vertical="center" wrapText="1"/>
    </xf>
    <xf numFmtId="0" fontId="15" fillId="6" borderId="1" xfId="49" applyFont="1" applyFill="1" applyBorder="1" applyAlignment="1">
      <alignment horizontal="center" vertical="center"/>
    </xf>
    <xf numFmtId="0" fontId="1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center" vertical="center" wrapText="1"/>
    </xf>
    <xf numFmtId="0" fontId="5" fillId="0" borderId="10" xfId="49" applyFont="1" applyBorder="1" applyAlignment="1">
      <alignment horizontal="center" vertical="center" wrapText="1"/>
    </xf>
    <xf numFmtId="0" fontId="6" fillId="6" borderId="2" xfId="49" applyFont="1" applyFill="1" applyBorder="1" applyAlignment="1">
      <alignment horizontal="center" vertical="center" wrapText="1"/>
    </xf>
    <xf numFmtId="0" fontId="6" fillId="6" borderId="3" xfId="49" applyFont="1" applyFill="1" applyBorder="1" applyAlignment="1">
      <alignment horizontal="center" vertical="center" wrapText="1"/>
    </xf>
    <xf numFmtId="0" fontId="6" fillId="6" borderId="6" xfId="49" applyFont="1" applyFill="1" applyBorder="1" applyAlignment="1">
      <alignment horizontal="center" vertical="center" wrapText="1"/>
    </xf>
    <xf numFmtId="0" fontId="6" fillId="6" borderId="4" xfId="49" applyFont="1" applyFill="1" applyBorder="1" applyAlignment="1">
      <alignment horizontal="center" vertical="center" wrapText="1"/>
    </xf>
    <xf numFmtId="0" fontId="6" fillId="6" borderId="5" xfId="49" applyFont="1" applyFill="1" applyBorder="1" applyAlignment="1">
      <alignment horizontal="center" vertical="center" wrapText="1"/>
    </xf>
    <xf numFmtId="0" fontId="6" fillId="6" borderId="8" xfId="49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center" vertical="center" wrapText="1"/>
    </xf>
    <xf numFmtId="0" fontId="3" fillId="6" borderId="3" xfId="49" applyFont="1" applyFill="1" applyBorder="1" applyAlignment="1">
      <alignment horizontal="center" vertical="center" wrapText="1"/>
    </xf>
    <xf numFmtId="177" fontId="4" fillId="6" borderId="6" xfId="49" applyNumberFormat="1" applyFont="1" applyFill="1" applyBorder="1" applyAlignment="1">
      <alignment horizontal="center" vertical="center" wrapText="1"/>
    </xf>
    <xf numFmtId="0" fontId="6" fillId="4" borderId="1" xfId="49" applyFont="1" applyFill="1" applyBorder="1" applyAlignment="1">
      <alignment horizontal="center" vertical="center" wrapText="1"/>
    </xf>
    <xf numFmtId="0" fontId="3" fillId="6" borderId="12" xfId="49" applyFont="1" applyFill="1" applyBorder="1" applyAlignment="1">
      <alignment horizontal="center" vertical="center" wrapText="1"/>
    </xf>
    <xf numFmtId="177" fontId="4" fillId="6" borderId="7" xfId="49" applyNumberFormat="1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5" fillId="0" borderId="6" xfId="49" applyFont="1" applyBorder="1" applyAlignment="1">
      <alignment horizontal="left" vertical="center" wrapText="1"/>
    </xf>
    <xf numFmtId="0" fontId="9" fillId="6" borderId="14" xfId="49" applyFont="1" applyFill="1" applyBorder="1" applyAlignment="1">
      <alignment horizontal="left" vertical="center" wrapText="1"/>
    </xf>
    <xf numFmtId="0" fontId="9" fillId="6" borderId="15" xfId="49" applyFont="1" applyFill="1" applyBorder="1" applyAlignment="1">
      <alignment horizontal="left" vertical="center" wrapText="1"/>
    </xf>
    <xf numFmtId="0" fontId="5" fillId="0" borderId="8" xfId="49" applyFont="1" applyBorder="1" applyAlignment="1">
      <alignment horizontal="left" vertical="center" wrapText="1"/>
    </xf>
    <xf numFmtId="0" fontId="9" fillId="6" borderId="22" xfId="49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9" fillId="6" borderId="24" xfId="49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5" fillId="0" borderId="7" xfId="49" applyFont="1" applyFill="1" applyBorder="1" applyAlignment="1">
      <alignment horizontal="center" vertical="center" wrapText="1"/>
    </xf>
    <xf numFmtId="0" fontId="9" fillId="6" borderId="25" xfId="49" applyFont="1" applyFill="1" applyBorder="1" applyAlignment="1">
      <alignment horizontal="left" vertical="center" wrapText="1"/>
    </xf>
    <xf numFmtId="0" fontId="9" fillId="6" borderId="26" xfId="49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7" fillId="0" borderId="1" xfId="49" applyFont="1" applyFill="1" applyBorder="1" applyAlignment="1">
      <alignment horizontal="center" vertical="center" wrapText="1"/>
    </xf>
    <xf numFmtId="0" fontId="5" fillId="0" borderId="8" xfId="49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center" vertical="center" wrapText="1"/>
    </xf>
    <xf numFmtId="0" fontId="5" fillId="0" borderId="7" xfId="49" applyFont="1" applyBorder="1" applyAlignment="1">
      <alignment horizontal="left" vertical="center" wrapText="1"/>
    </xf>
    <xf numFmtId="177" fontId="4" fillId="0" borderId="1" xfId="49" applyNumberFormat="1" applyFont="1" applyFill="1" applyBorder="1" applyAlignment="1">
      <alignment horizontal="center" vertical="center" wrapText="1"/>
    </xf>
    <xf numFmtId="177" fontId="4" fillId="6" borderId="3" xfId="49" applyNumberFormat="1" applyFont="1" applyFill="1" applyBorder="1" applyAlignment="1">
      <alignment horizontal="center" vertical="center" wrapText="1"/>
    </xf>
    <xf numFmtId="0" fontId="18" fillId="6" borderId="14" xfId="49" applyFont="1" applyFill="1" applyBorder="1" applyAlignment="1">
      <alignment horizontal="left" vertical="center" wrapText="1"/>
    </xf>
    <xf numFmtId="0" fontId="18" fillId="6" borderId="19" xfId="49" applyFont="1" applyFill="1" applyBorder="1" applyAlignment="1">
      <alignment horizontal="center" vertical="center" wrapText="1"/>
    </xf>
    <xf numFmtId="177" fontId="4" fillId="6" borderId="12" xfId="49" applyNumberFormat="1" applyFont="1" applyFill="1" applyBorder="1" applyAlignment="1">
      <alignment horizontal="center" vertical="center" wrapText="1"/>
    </xf>
    <xf numFmtId="0" fontId="9" fillId="6" borderId="28" xfId="49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8" fillId="6" borderId="14" xfId="49" applyFont="1" applyFill="1" applyBorder="1" applyAlignment="1">
      <alignment horizontal="center" vertical="center" wrapText="1"/>
    </xf>
    <xf numFmtId="0" fontId="18" fillId="6" borderId="28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5" fillId="6" borderId="3" xfId="49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left" vertical="center" wrapText="1"/>
    </xf>
    <xf numFmtId="0" fontId="3" fillId="6" borderId="5" xfId="49" applyFont="1" applyFill="1" applyBorder="1" applyAlignment="1">
      <alignment horizontal="center" vertical="center" wrapText="1"/>
    </xf>
    <xf numFmtId="0" fontId="5" fillId="6" borderId="5" xfId="49" applyFont="1" applyFill="1" applyBorder="1" applyAlignment="1">
      <alignment horizontal="center" vertical="center" wrapText="1"/>
    </xf>
    <xf numFmtId="0" fontId="5" fillId="0" borderId="8" xfId="49" applyFont="1" applyFill="1" applyBorder="1" applyAlignment="1">
      <alignment horizontal="left" vertical="center" wrapText="1"/>
    </xf>
    <xf numFmtId="0" fontId="9" fillId="6" borderId="17" xfId="49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3" fillId="6" borderId="6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2" xfId="49" applyFont="1" applyFill="1" applyBorder="1" applyAlignment="1">
      <alignment horizontal="left" vertical="center" wrapText="1"/>
    </xf>
    <xf numFmtId="0" fontId="18" fillId="6" borderId="14" xfId="49" applyFont="1" applyFill="1" applyBorder="1" applyAlignment="1">
      <alignment vertical="top" wrapText="1"/>
    </xf>
    <xf numFmtId="0" fontId="18" fillId="6" borderId="19" xfId="49" applyFont="1" applyFill="1" applyBorder="1" applyAlignment="1">
      <alignment vertical="top" wrapText="1"/>
    </xf>
    <xf numFmtId="0" fontId="3" fillId="6" borderId="7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left" vertical="center" wrapText="1"/>
    </xf>
    <xf numFmtId="0" fontId="18" fillId="6" borderId="14" xfId="49" applyFont="1" applyFill="1" applyBorder="1" applyAlignment="1">
      <alignment vertical="center" wrapText="1"/>
    </xf>
    <xf numFmtId="0" fontId="18" fillId="6" borderId="19" xfId="49" applyFont="1" applyFill="1" applyBorder="1" applyAlignment="1">
      <alignment vertical="center" wrapText="1"/>
    </xf>
    <xf numFmtId="0" fontId="3" fillId="6" borderId="8" xfId="49" applyFont="1" applyFill="1" applyBorder="1" applyAlignment="1">
      <alignment horizontal="center" vertical="center" wrapText="1"/>
    </xf>
    <xf numFmtId="0" fontId="3" fillId="0" borderId="9" xfId="49" applyFont="1" applyFill="1" applyBorder="1" applyAlignment="1">
      <alignment horizontal="left" vertical="center" wrapText="1"/>
    </xf>
    <xf numFmtId="0" fontId="18" fillId="6" borderId="9" xfId="49" applyFont="1" applyFill="1" applyBorder="1" applyAlignment="1">
      <alignment horizontal="left" vertical="center" wrapText="1"/>
    </xf>
    <xf numFmtId="0" fontId="18" fillId="6" borderId="30" xfId="49" applyFont="1" applyFill="1" applyBorder="1" applyAlignment="1">
      <alignment horizontal="left" vertical="center" wrapText="1"/>
    </xf>
    <xf numFmtId="0" fontId="18" fillId="6" borderId="31" xfId="49" applyFont="1" applyFill="1" applyBorder="1" applyAlignment="1">
      <alignment horizontal="left" vertical="center" wrapText="1"/>
    </xf>
    <xf numFmtId="0" fontId="18" fillId="6" borderId="27" xfId="49" applyFont="1" applyFill="1" applyBorder="1" applyAlignment="1">
      <alignment horizontal="left" vertical="center" wrapText="1"/>
    </xf>
    <xf numFmtId="0" fontId="9" fillId="6" borderId="11" xfId="49" applyFont="1" applyFill="1" applyBorder="1" applyAlignment="1">
      <alignment horizontal="center" vertical="center" wrapText="1"/>
    </xf>
    <xf numFmtId="0" fontId="18" fillId="6" borderId="32" xfId="49" applyFont="1" applyFill="1" applyBorder="1" applyAlignment="1">
      <alignment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8" fillId="6" borderId="2" xfId="49" applyFont="1" applyFill="1" applyBorder="1" applyAlignment="1">
      <alignment horizontal="left" vertical="center" wrapText="1"/>
    </xf>
    <xf numFmtId="0" fontId="18" fillId="6" borderId="30" xfId="49" applyFont="1" applyFill="1" applyBorder="1" applyAlignment="1">
      <alignment horizontal="center" vertical="center" wrapText="1"/>
    </xf>
    <xf numFmtId="0" fontId="18" fillId="6" borderId="34" xfId="49" applyFont="1" applyFill="1" applyBorder="1" applyAlignment="1">
      <alignment horizontal="left" vertical="center" wrapText="1"/>
    </xf>
    <xf numFmtId="0" fontId="18" fillId="6" borderId="35" xfId="49" applyFont="1" applyFill="1" applyBorder="1" applyAlignment="1">
      <alignment horizontal="center" vertical="center" wrapText="1"/>
    </xf>
    <xf numFmtId="0" fontId="9" fillId="6" borderId="4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left" vertical="center" wrapText="1"/>
    </xf>
    <xf numFmtId="0" fontId="5" fillId="6" borderId="6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left" vertical="center" wrapText="1"/>
    </xf>
    <xf numFmtId="0" fontId="5" fillId="6" borderId="7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left" vertical="center" wrapText="1"/>
    </xf>
    <xf numFmtId="0" fontId="3" fillId="0" borderId="7" xfId="49" applyFont="1" applyFill="1" applyBorder="1" applyAlignment="1">
      <alignment horizontal="left" vertical="center" wrapText="1"/>
    </xf>
    <xf numFmtId="0" fontId="5" fillId="6" borderId="8" xfId="49" applyFont="1" applyFill="1" applyBorder="1" applyAlignment="1">
      <alignment horizontal="center" vertical="center" wrapText="1"/>
    </xf>
    <xf numFmtId="0" fontId="3" fillId="6" borderId="2" xfId="49" applyFont="1" applyFill="1" applyBorder="1" applyAlignment="1">
      <alignment horizontal="center" vertical="center" wrapText="1"/>
    </xf>
    <xf numFmtId="0" fontId="3" fillId="0" borderId="9" xfId="49" applyFont="1" applyFill="1" applyBorder="1" applyAlignment="1">
      <alignment vertical="center" wrapText="1"/>
    </xf>
    <xf numFmtId="0" fontId="3" fillId="6" borderId="9" xfId="49" applyFont="1" applyFill="1" applyBorder="1" applyAlignment="1">
      <alignment horizontal="left" vertical="center" wrapText="1"/>
    </xf>
    <xf numFmtId="0" fontId="3" fillId="6" borderId="10" xfId="49" applyFont="1" applyFill="1" applyBorder="1" applyAlignment="1">
      <alignment horizontal="left" vertical="center" wrapText="1"/>
    </xf>
    <xf numFmtId="0" fontId="17" fillId="6" borderId="6" xfId="49" applyFont="1" applyFill="1" applyBorder="1" applyAlignment="1">
      <alignment horizontal="center" vertical="center" wrapText="1"/>
    </xf>
    <xf numFmtId="0" fontId="19" fillId="0" borderId="9" xfId="49" applyNumberFormat="1" applyFont="1" applyBorder="1" applyAlignment="1">
      <alignment horizontal="center" vertical="center" wrapText="1"/>
    </xf>
    <xf numFmtId="0" fontId="19" fillId="0" borderId="13" xfId="49" applyNumberFormat="1" applyFont="1" applyBorder="1" applyAlignment="1">
      <alignment horizontal="center" vertical="center" wrapText="1"/>
    </xf>
    <xf numFmtId="0" fontId="17" fillId="6" borderId="8" xfId="49" applyFont="1" applyFill="1" applyBorder="1" applyAlignment="1">
      <alignment horizontal="center" vertical="center" wrapText="1"/>
    </xf>
    <xf numFmtId="0" fontId="20" fillId="0" borderId="6" xfId="49" applyFont="1" applyBorder="1" applyAlignment="1">
      <alignment horizontal="center" vertical="center"/>
    </xf>
    <xf numFmtId="0" fontId="9" fillId="6" borderId="19" xfId="49" applyFont="1" applyFill="1" applyBorder="1" applyAlignment="1">
      <alignment horizontal="left" vertical="center" wrapText="1"/>
    </xf>
    <xf numFmtId="0" fontId="9" fillId="6" borderId="36" xfId="49" applyFont="1" applyFill="1" applyBorder="1" applyAlignment="1">
      <alignment horizontal="left" vertical="center" wrapText="1"/>
    </xf>
    <xf numFmtId="179" fontId="5" fillId="0" borderId="3" xfId="49" applyNumberFormat="1" applyFont="1" applyBorder="1" applyAlignment="1">
      <alignment horizontal="center" vertical="center" wrapText="1"/>
    </xf>
    <xf numFmtId="179" fontId="5" fillId="0" borderId="6" xfId="49" applyNumberFormat="1" applyFont="1" applyBorder="1" applyAlignment="1">
      <alignment horizontal="center" vertical="center" wrapText="1"/>
    </xf>
    <xf numFmtId="0" fontId="20" fillId="0" borderId="7" xfId="49" applyFont="1" applyBorder="1" applyAlignment="1">
      <alignment horizontal="center" vertical="center"/>
    </xf>
    <xf numFmtId="0" fontId="9" fillId="6" borderId="23" xfId="49" applyFont="1" applyFill="1" applyBorder="1" applyAlignment="1">
      <alignment horizontal="center" vertical="center" wrapText="1"/>
    </xf>
    <xf numFmtId="0" fontId="9" fillId="6" borderId="37" xfId="49" applyFont="1" applyFill="1" applyBorder="1" applyAlignment="1">
      <alignment horizontal="center" vertical="center" wrapText="1"/>
    </xf>
    <xf numFmtId="0" fontId="9" fillId="6" borderId="38" xfId="49" applyFont="1" applyFill="1" applyBorder="1" applyAlignment="1">
      <alignment horizontal="center" vertical="center" wrapText="1"/>
    </xf>
    <xf numFmtId="179" fontId="5" fillId="0" borderId="5" xfId="49" applyNumberFormat="1" applyFont="1" applyBorder="1" applyAlignment="1">
      <alignment horizontal="center" vertical="center" wrapText="1"/>
    </xf>
    <xf numFmtId="179" fontId="5" fillId="0" borderId="8" xfId="49" applyNumberFormat="1" applyFont="1" applyBorder="1" applyAlignment="1">
      <alignment horizontal="center" vertical="center" wrapText="1"/>
    </xf>
    <xf numFmtId="0" fontId="9" fillId="6" borderId="39" xfId="49" applyFont="1" applyFill="1" applyBorder="1" applyAlignment="1">
      <alignment horizontal="left" vertical="center" wrapText="1"/>
    </xf>
    <xf numFmtId="179" fontId="5" fillId="0" borderId="1" xfId="49" applyNumberFormat="1" applyFont="1" applyBorder="1" applyAlignment="1">
      <alignment horizontal="center" vertical="center" wrapText="1"/>
    </xf>
    <xf numFmtId="0" fontId="9" fillId="6" borderId="32" xfId="49" applyFont="1" applyFill="1" applyBorder="1" applyAlignment="1">
      <alignment horizontal="left" vertical="center" wrapText="1"/>
    </xf>
    <xf numFmtId="179" fontId="5" fillId="0" borderId="12" xfId="49" applyNumberFormat="1" applyFont="1" applyBorder="1" applyAlignment="1">
      <alignment horizontal="center" vertical="center" wrapText="1"/>
    </xf>
    <xf numFmtId="179" fontId="5" fillId="0" borderId="7" xfId="49" applyNumberFormat="1" applyFont="1" applyBorder="1" applyAlignment="1">
      <alignment horizontal="center" vertical="center" wrapText="1"/>
    </xf>
    <xf numFmtId="0" fontId="9" fillId="6" borderId="27" xfId="49" applyFont="1" applyFill="1" applyBorder="1" applyAlignment="1">
      <alignment horizontal="center" vertical="center" wrapText="1"/>
    </xf>
    <xf numFmtId="0" fontId="9" fillId="6" borderId="40" xfId="49" applyFont="1" applyFill="1" applyBorder="1" applyAlignment="1">
      <alignment horizontal="center" vertical="center" wrapText="1"/>
    </xf>
    <xf numFmtId="0" fontId="9" fillId="6" borderId="41" xfId="49" applyFont="1" applyFill="1" applyBorder="1" applyAlignment="1">
      <alignment horizontal="center" vertical="center" wrapText="1"/>
    </xf>
    <xf numFmtId="0" fontId="20" fillId="0" borderId="8" xfId="49" applyFont="1" applyBorder="1" applyAlignment="1">
      <alignment horizontal="center" vertical="center"/>
    </xf>
    <xf numFmtId="0" fontId="18" fillId="6" borderId="16" xfId="49" applyFont="1" applyFill="1" applyBorder="1" applyAlignment="1">
      <alignment horizontal="center" vertical="center" wrapText="1"/>
    </xf>
    <xf numFmtId="0" fontId="11" fillId="0" borderId="6" xfId="49" applyFont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1" fillId="0" borderId="7" xfId="49" applyFont="1" applyBorder="1" applyAlignment="1">
      <alignment horizontal="center" vertical="center" wrapText="1"/>
    </xf>
    <xf numFmtId="0" fontId="18" fillId="6" borderId="19" xfId="49" applyFont="1" applyFill="1" applyBorder="1" applyAlignment="1">
      <alignment horizontal="left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1" fillId="0" borderId="8" xfId="49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178" fontId="21" fillId="2" borderId="1" xfId="49" applyNumberFormat="1" applyFont="1" applyFill="1" applyBorder="1" applyAlignment="1">
      <alignment horizontal="center" vertical="center"/>
    </xf>
    <xf numFmtId="178" fontId="21" fillId="2" borderId="0" xfId="49" applyNumberFormat="1" applyFont="1" applyFill="1" applyAlignment="1">
      <alignment horizontal="center" vertical="center"/>
    </xf>
    <xf numFmtId="0" fontId="18" fillId="6" borderId="16" xfId="49" applyFont="1" applyFill="1" applyBorder="1" applyAlignment="1">
      <alignment vertical="top" wrapText="1"/>
    </xf>
    <xf numFmtId="180" fontId="5" fillId="0" borderId="1" xfId="49" applyNumberFormat="1" applyFont="1" applyBorder="1" applyAlignment="1">
      <alignment horizontal="center" vertical="center" wrapText="1"/>
    </xf>
    <xf numFmtId="0" fontId="11" fillId="0" borderId="1" xfId="49" applyFont="1" applyFill="1" applyBorder="1" applyAlignment="1">
      <alignment horizontal="center" vertical="center" wrapText="1"/>
    </xf>
    <xf numFmtId="180" fontId="5" fillId="0" borderId="6" xfId="49" applyNumberFormat="1" applyFont="1" applyBorder="1" applyAlignment="1">
      <alignment horizontal="center" vertical="center" wrapText="1"/>
    </xf>
    <xf numFmtId="0" fontId="18" fillId="6" borderId="16" xfId="49" applyFont="1" applyFill="1" applyBorder="1" applyAlignment="1">
      <alignment vertical="center" wrapText="1"/>
    </xf>
    <xf numFmtId="0" fontId="18" fillId="6" borderId="42" xfId="49" applyFont="1" applyFill="1" applyBorder="1" applyAlignment="1">
      <alignment horizontal="left" vertical="center" wrapText="1"/>
    </xf>
    <xf numFmtId="0" fontId="18" fillId="6" borderId="43" xfId="49" applyFont="1" applyFill="1" applyBorder="1" applyAlignment="1">
      <alignment horizontal="left" vertical="center" wrapText="1"/>
    </xf>
    <xf numFmtId="0" fontId="18" fillId="6" borderId="44" xfId="49" applyFont="1" applyFill="1" applyBorder="1" applyAlignment="1">
      <alignment horizontal="left" vertical="center" wrapText="1"/>
    </xf>
    <xf numFmtId="180" fontId="3" fillId="0" borderId="6" xfId="49" applyNumberFormat="1" applyFont="1" applyFill="1" applyBorder="1" applyAlignment="1">
      <alignment horizontal="center" vertical="center" wrapText="1"/>
    </xf>
    <xf numFmtId="180" fontId="3" fillId="0" borderId="13" xfId="49" applyNumberFormat="1" applyFont="1" applyFill="1" applyBorder="1" applyAlignment="1">
      <alignment horizontal="center" vertical="center" wrapText="1"/>
    </xf>
    <xf numFmtId="180" fontId="3" fillId="0" borderId="1" xfId="49" applyNumberFormat="1" applyFont="1" applyFill="1" applyBorder="1" applyAlignment="1">
      <alignment horizontal="center" vertical="center" wrapText="1"/>
    </xf>
    <xf numFmtId="0" fontId="4" fillId="0" borderId="7" xfId="49" applyFont="1" applyBorder="1" applyAlignment="1">
      <alignment horizontal="center" vertical="center" wrapText="1"/>
    </xf>
    <xf numFmtId="0" fontId="18" fillId="6" borderId="41" xfId="49" applyFont="1" applyFill="1" applyBorder="1" applyAlignment="1">
      <alignment horizontal="left" vertical="center" wrapText="1"/>
    </xf>
    <xf numFmtId="180" fontId="3" fillId="0" borderId="45" xfId="49" applyNumberFormat="1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wrapText="1"/>
    </xf>
    <xf numFmtId="180" fontId="3" fillId="0" borderId="8" xfId="49" applyNumberFormat="1" applyFont="1" applyFill="1" applyBorder="1" applyAlignment="1">
      <alignment horizontal="center" vertical="center" wrapText="1"/>
    </xf>
    <xf numFmtId="0" fontId="18" fillId="6" borderId="46" xfId="49" applyFont="1" applyFill="1" applyBorder="1" applyAlignment="1">
      <alignment vertical="center" wrapText="1"/>
    </xf>
    <xf numFmtId="180" fontId="5" fillId="0" borderId="8" xfId="49" applyNumberFormat="1" applyFont="1" applyBorder="1" applyAlignment="1">
      <alignment horizontal="center" vertical="center" wrapText="1"/>
    </xf>
    <xf numFmtId="180" fontId="5" fillId="0" borderId="13" xfId="49" applyNumberFormat="1" applyFont="1" applyBorder="1" applyAlignment="1">
      <alignment horizontal="center" vertical="center" wrapText="1"/>
    </xf>
    <xf numFmtId="0" fontId="18" fillId="6" borderId="13" xfId="49" applyFont="1" applyFill="1" applyBorder="1" applyAlignment="1">
      <alignment horizontal="left" vertical="center" wrapText="1"/>
    </xf>
    <xf numFmtId="180" fontId="3" fillId="0" borderId="3" xfId="49" applyNumberFormat="1" applyFont="1" applyFill="1" applyBorder="1" applyAlignment="1">
      <alignment horizontal="center" vertical="center" wrapText="1"/>
    </xf>
    <xf numFmtId="0" fontId="11" fillId="0" borderId="7" xfId="49" applyFont="1" applyBorder="1" applyAlignment="1">
      <alignment horizontal="center" vertical="top" wrapText="1"/>
    </xf>
    <xf numFmtId="0" fontId="18" fillId="6" borderId="47" xfId="49" applyFont="1" applyFill="1" applyBorder="1" applyAlignment="1">
      <alignment horizontal="left" vertical="center" wrapText="1"/>
    </xf>
    <xf numFmtId="0" fontId="18" fillId="6" borderId="32" xfId="49" applyFont="1" applyFill="1" applyBorder="1" applyAlignment="1">
      <alignment horizontal="left" vertical="center" wrapText="1"/>
    </xf>
    <xf numFmtId="0" fontId="18" fillId="6" borderId="16" xfId="49" applyFont="1" applyFill="1" applyBorder="1" applyAlignment="1">
      <alignment horizontal="left" vertical="center" wrapText="1"/>
    </xf>
    <xf numFmtId="180" fontId="3" fillId="0" borderId="12" xfId="49" applyNumberFormat="1" applyFont="1" applyFill="1" applyBorder="1" applyAlignment="1">
      <alignment horizontal="center" vertical="center" wrapText="1"/>
    </xf>
    <xf numFmtId="180" fontId="3" fillId="0" borderId="7" xfId="49" applyNumberFormat="1" applyFont="1" applyFill="1" applyBorder="1" applyAlignment="1">
      <alignment horizontal="center" vertical="center" wrapText="1"/>
    </xf>
    <xf numFmtId="180" fontId="5" fillId="7" borderId="1" xfId="49" applyNumberFormat="1" applyFont="1" applyFill="1" applyBorder="1" applyAlignment="1">
      <alignment horizontal="center" vertical="center" wrapText="1"/>
    </xf>
    <xf numFmtId="180" fontId="5" fillId="7" borderId="6" xfId="49" applyNumberFormat="1" applyFont="1" applyFill="1" applyBorder="1" applyAlignment="1">
      <alignment horizontal="center" vertical="center" wrapText="1"/>
    </xf>
    <xf numFmtId="180" fontId="5" fillId="0" borderId="7" xfId="49" applyNumberFormat="1" applyFont="1" applyBorder="1" applyAlignment="1">
      <alignment horizontal="center" vertical="center" wrapText="1"/>
    </xf>
    <xf numFmtId="178" fontId="5" fillId="2" borderId="1" xfId="49" applyNumberFormat="1" applyFont="1" applyFill="1" applyBorder="1" applyAlignment="1">
      <alignment horizontal="center" vertical="center" wrapText="1"/>
    </xf>
    <xf numFmtId="0" fontId="11" fillId="0" borderId="8" xfId="49" applyFont="1" applyBorder="1" applyAlignment="1">
      <alignment horizontal="center" vertical="top" wrapText="1"/>
    </xf>
    <xf numFmtId="178" fontId="6" fillId="3" borderId="1" xfId="49" applyNumberFormat="1" applyFont="1" applyFill="1" applyBorder="1" applyAlignment="1">
      <alignment horizontal="center" vertical="center" wrapText="1"/>
    </xf>
    <xf numFmtId="0" fontId="22" fillId="0" borderId="8" xfId="49" applyFont="1" applyBorder="1" applyAlignment="1">
      <alignment horizontal="center" vertical="center" wrapText="1"/>
    </xf>
    <xf numFmtId="181" fontId="3" fillId="0" borderId="6" xfId="49" applyNumberFormat="1" applyFont="1" applyBorder="1" applyAlignment="1">
      <alignment horizontal="center" vertical="center" wrapText="1"/>
    </xf>
    <xf numFmtId="181" fontId="20" fillId="0" borderId="6" xfId="49" applyNumberFormat="1" applyFont="1" applyBorder="1" applyAlignment="1">
      <alignment horizontal="center" vertical="center" wrapText="1"/>
    </xf>
    <xf numFmtId="0" fontId="23" fillId="7" borderId="6" xfId="49" applyFont="1" applyFill="1" applyBorder="1" applyAlignment="1">
      <alignment horizontal="center" vertical="center" wrapText="1"/>
    </xf>
    <xf numFmtId="0" fontId="24" fillId="0" borderId="11" xfId="49" applyFont="1" applyBorder="1" applyAlignment="1">
      <alignment horizontal="left" vertical="center" wrapText="1"/>
    </xf>
    <xf numFmtId="181" fontId="3" fillId="0" borderId="8" xfId="49" applyNumberFormat="1" applyFont="1" applyBorder="1" applyAlignment="1">
      <alignment horizontal="center" vertical="center" wrapText="1"/>
    </xf>
    <xf numFmtId="181" fontId="20" fillId="0" borderId="8" xfId="49" applyNumberFormat="1" applyFont="1" applyBorder="1" applyAlignment="1">
      <alignment horizontal="center" vertical="center" wrapText="1"/>
    </xf>
    <xf numFmtId="0" fontId="23" fillId="7" borderId="8" xfId="49" applyFont="1" applyFill="1" applyBorder="1" applyAlignment="1">
      <alignment horizontal="center" vertical="center" wrapText="1"/>
    </xf>
    <xf numFmtId="0" fontId="1" fillId="0" borderId="11" xfId="49" applyBorder="1" applyAlignment="1">
      <alignment horizontal="left" vertical="center" wrapText="1"/>
    </xf>
    <xf numFmtId="0" fontId="25" fillId="0" borderId="6" xfId="49" applyFont="1" applyBorder="1" applyAlignment="1">
      <alignment horizontal="center" vertical="center" wrapText="1"/>
    </xf>
    <xf numFmtId="0" fontId="26" fillId="0" borderId="11" xfId="49" applyFont="1" applyBorder="1" applyAlignment="1">
      <alignment horizontal="left" vertical="center"/>
    </xf>
    <xf numFmtId="0" fontId="18" fillId="6" borderId="27" xfId="49" applyFont="1" applyFill="1" applyBorder="1" applyAlignment="1">
      <alignment horizontal="center" vertical="center" wrapText="1"/>
    </xf>
    <xf numFmtId="0" fontId="18" fillId="6" borderId="41" xfId="49" applyFont="1" applyFill="1" applyBorder="1" applyAlignment="1">
      <alignment horizontal="center" vertical="center" wrapText="1"/>
    </xf>
    <xf numFmtId="181" fontId="3" fillId="0" borderId="7" xfId="49" applyNumberFormat="1" applyFont="1" applyBorder="1" applyAlignment="1">
      <alignment horizontal="center" vertical="center" wrapText="1"/>
    </xf>
    <xf numFmtId="181" fontId="20" fillId="0" borderId="7" xfId="49" applyNumberFormat="1" applyFont="1" applyBorder="1" applyAlignment="1">
      <alignment horizontal="center" vertical="center" wrapText="1"/>
    </xf>
    <xf numFmtId="0" fontId="27" fillId="8" borderId="6" xfId="49" applyFont="1" applyFill="1" applyBorder="1" applyAlignment="1">
      <alignment horizontal="center" vertical="center" wrapText="1"/>
    </xf>
    <xf numFmtId="0" fontId="24" fillId="4" borderId="0" xfId="49" applyFont="1" applyFill="1" applyAlignment="1">
      <alignment vertical="center"/>
    </xf>
    <xf numFmtId="0" fontId="18" fillId="6" borderId="20" xfId="49" applyFont="1" applyFill="1" applyBorder="1" applyAlignment="1">
      <alignment horizontal="center" vertical="center" wrapText="1"/>
    </xf>
    <xf numFmtId="0" fontId="18" fillId="6" borderId="48" xfId="49" applyFont="1" applyFill="1" applyBorder="1" applyAlignment="1">
      <alignment horizontal="center" vertical="center" wrapText="1"/>
    </xf>
    <xf numFmtId="182" fontId="27" fillId="5" borderId="1" xfId="49" applyNumberFormat="1" applyFont="1" applyFill="1" applyBorder="1" applyAlignment="1">
      <alignment horizontal="center" vertical="center" wrapText="1"/>
    </xf>
    <xf numFmtId="0" fontId="3" fillId="6" borderId="13" xfId="49" applyFont="1" applyFill="1" applyBorder="1" applyAlignment="1">
      <alignment horizontal="left" vertical="center" wrapText="1"/>
    </xf>
    <xf numFmtId="0" fontId="1" fillId="0" borderId="0" xfId="49" applyAlignment="1">
      <alignment horizontal="left" vertical="center" wrapText="1"/>
    </xf>
    <xf numFmtId="0" fontId="26" fillId="0" borderId="0" xfId="49" applyFont="1" applyBorder="1" applyAlignment="1">
      <alignment horizontal="left" vertical="center"/>
    </xf>
    <xf numFmtId="0" fontId="3" fillId="6" borderId="11" xfId="49" applyFont="1" applyFill="1" applyBorder="1" applyAlignment="1">
      <alignment horizontal="center" vertical="center" wrapText="1"/>
    </xf>
    <xf numFmtId="0" fontId="3" fillId="6" borderId="4" xfId="49" applyFont="1" applyFill="1" applyBorder="1" applyAlignment="1">
      <alignment horizontal="center" vertical="center" wrapText="1"/>
    </xf>
    <xf numFmtId="0" fontId="5" fillId="0" borderId="1" xfId="49" applyNumberFormat="1" applyFont="1" applyFill="1" applyBorder="1" applyAlignment="1">
      <alignment horizontal="center" vertical="center" wrapText="1"/>
    </xf>
    <xf numFmtId="178" fontId="14" fillId="5" borderId="6" xfId="49" applyNumberFormat="1" applyFont="1" applyFill="1" applyBorder="1" applyAlignment="1">
      <alignment vertical="center" wrapText="1"/>
    </xf>
    <xf numFmtId="0" fontId="1" fillId="0" borderId="0" xfId="49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28574</xdr:colOff>
      <xdr:row>3</xdr:row>
      <xdr:rowOff>361950</xdr:rowOff>
    </xdr:from>
    <xdr:to>
      <xdr:col>8</xdr:col>
      <xdr:colOff>857249</xdr:colOff>
      <xdr:row>12</xdr:row>
      <xdr:rowOff>85725</xdr:rowOff>
    </xdr:to>
    <xdr:sp>
      <xdr:nvSpPr>
        <xdr:cNvPr id="2" name="矩形 1"/>
        <xdr:cNvSpPr/>
      </xdr:nvSpPr>
      <xdr:spPr>
        <a:xfrm>
          <a:off x="5171440" y="1655445"/>
          <a:ext cx="828675" cy="1628775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0</xdr:col>
      <xdr:colOff>1047750</xdr:colOff>
      <xdr:row>2</xdr:row>
      <xdr:rowOff>200025</xdr:rowOff>
    </xdr:from>
    <xdr:to>
      <xdr:col>3</xdr:col>
      <xdr:colOff>266700</xdr:colOff>
      <xdr:row>3</xdr:row>
      <xdr:rowOff>348615</xdr:rowOff>
    </xdr:to>
    <xdr:sp>
      <xdr:nvSpPr>
        <xdr:cNvPr id="3" name="线形标注 3 2"/>
        <xdr:cNvSpPr/>
      </xdr:nvSpPr>
      <xdr:spPr>
        <a:xfrm>
          <a:off x="1047750" y="998220"/>
          <a:ext cx="2095500" cy="64389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14648"/>
            <a:gd name="adj8" fmla="val 19658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marL="342900" lvl="0" indent="-342900" algn="just">
            <a:spcAft>
              <a:spcPts val="0"/>
            </a:spcAft>
            <a:buClr>
              <a:srgbClr val="C00000"/>
            </a:buClr>
            <a:buFont typeface="+mj-lt"/>
            <a:buAutoNum type="arabicPeriod"/>
          </a:pPr>
          <a:r>
            <a:rPr lang="zh-CN" sz="1050">
              <a:solidFill>
                <a:srgbClr val="C00000"/>
              </a:solidFill>
              <a:effectLst/>
              <a:ea typeface="宋体" panose="02010600030101010101" pitchFamily="7" charset="-122"/>
              <a:cs typeface="Times New Roman" panose="02020603050405020304" pitchFamily="12"/>
            </a:rPr>
            <a:t>自评人员列举当月参与的项目</a:t>
          </a:r>
          <a:r>
            <a:rPr lang="en-US" sz="1050">
              <a:solidFill>
                <a:srgbClr val="C00000"/>
              </a:solidFill>
              <a:effectLst/>
              <a:ea typeface="宋体" panose="02010600030101010101" pitchFamily="7" charset="-122"/>
              <a:cs typeface="Times New Roman" panose="02020603050405020304" pitchFamily="12"/>
            </a:rPr>
            <a:t>/</a:t>
          </a:r>
          <a:r>
            <a:rPr lang="zh-CN" sz="1050">
              <a:solidFill>
                <a:srgbClr val="C00000"/>
              </a:solidFill>
              <a:effectLst/>
              <a:ea typeface="宋体" panose="02010600030101010101" pitchFamily="7" charset="-122"/>
              <a:cs typeface="Times New Roman" panose="02020603050405020304" pitchFamily="12"/>
            </a:rPr>
            <a:t>专案</a:t>
          </a:r>
          <a:endParaRPr lang="zh-CN" sz="1050">
            <a:noFill/>
            <a:effectLst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twoCellAnchor>
  <xdr:twoCellAnchor>
    <xdr:from>
      <xdr:col>12</xdr:col>
      <xdr:colOff>990601</xdr:colOff>
      <xdr:row>3</xdr:row>
      <xdr:rowOff>28575</xdr:rowOff>
    </xdr:from>
    <xdr:to>
      <xdr:col>14</xdr:col>
      <xdr:colOff>57150</xdr:colOff>
      <xdr:row>26</xdr:row>
      <xdr:rowOff>257175</xdr:rowOff>
    </xdr:to>
    <xdr:sp>
      <xdr:nvSpPr>
        <xdr:cNvPr id="4" name="矩形 3"/>
        <xdr:cNvSpPr/>
      </xdr:nvSpPr>
      <xdr:spPr>
        <a:xfrm>
          <a:off x="9801225" y="1322070"/>
          <a:ext cx="733425" cy="6267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endParaRPr lang="zh-CN" altLang="en-US"/>
        </a:p>
      </xdr:txBody>
    </xdr:sp>
    <xdr:clientData/>
  </xdr:twoCellAnchor>
  <xdr:twoCellAnchor>
    <xdr:from>
      <xdr:col>17</xdr:col>
      <xdr:colOff>438151</xdr:colOff>
      <xdr:row>2</xdr:row>
      <xdr:rowOff>361950</xdr:rowOff>
    </xdr:from>
    <xdr:to>
      <xdr:col>20</xdr:col>
      <xdr:colOff>527051</xdr:colOff>
      <xdr:row>6</xdr:row>
      <xdr:rowOff>153670</xdr:rowOff>
    </xdr:to>
    <xdr:sp>
      <xdr:nvSpPr>
        <xdr:cNvPr id="5" name="线形标注 1(带边框和强调线) 4"/>
        <xdr:cNvSpPr/>
      </xdr:nvSpPr>
      <xdr:spPr>
        <a:xfrm>
          <a:off x="14258925" y="1160145"/>
          <a:ext cx="2146300" cy="1049020"/>
        </a:xfrm>
        <a:prstGeom prst="accentBorderCallout1">
          <a:avLst>
            <a:gd name="adj1" fmla="val 18750"/>
            <a:gd name="adj2" fmla="val -8333"/>
            <a:gd name="adj3" fmla="val 214323"/>
            <a:gd name="adj4" fmla="val -19021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l">
            <a:spcAft>
              <a:spcPts val="0"/>
            </a:spcAft>
          </a:pPr>
          <a:r>
            <a:rPr lang="en-US" sz="1050">
              <a:solidFill>
                <a:srgbClr val="C00000"/>
              </a:solidFill>
              <a:effectLst/>
              <a:ea typeface="宋体" panose="02010600030101010101" pitchFamily="7" charset="-122"/>
              <a:cs typeface="Times New Roman" panose="02020603050405020304" pitchFamily="12"/>
            </a:rPr>
            <a:t>2. </a:t>
          </a:r>
          <a:r>
            <a:rPr lang="zh-CN" sz="1050">
              <a:solidFill>
                <a:srgbClr val="C00000"/>
              </a:solidFill>
              <a:effectLst/>
              <a:ea typeface="宋体" panose="02010600030101010101" pitchFamily="7" charset="-122"/>
              <a:cs typeface="Times New Roman" panose="02020603050405020304" pitchFamily="12"/>
            </a:rPr>
            <a:t>自评人员根据评分标准对当月工作进行自评打分。</a:t>
          </a:r>
          <a:endParaRPr lang="zh-CN" sz="1050">
            <a:effectLst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spcAft>
              <a:spcPts val="0"/>
            </a:spcAft>
          </a:pPr>
          <a:r>
            <a:rPr lang="zh-CN" sz="1050">
              <a:solidFill>
                <a:srgbClr val="C00000"/>
              </a:solidFill>
              <a:effectLst/>
              <a:highlight>
                <a:srgbClr val="FFFF00"/>
              </a:highlight>
              <a:ea typeface="宋体" panose="02010600030101010101" pitchFamily="7" charset="-122"/>
              <a:cs typeface="Times New Roman" panose="02020603050405020304" pitchFamily="12"/>
            </a:rPr>
            <a:t>（评分标准详见附件</a:t>
          </a:r>
          <a:r>
            <a:rPr lang="en-US" sz="1050">
              <a:solidFill>
                <a:srgbClr val="C00000"/>
              </a:solidFill>
              <a:effectLst/>
              <a:highlight>
                <a:srgbClr val="FFFF00"/>
              </a:highlight>
              <a:ea typeface="宋体" panose="02010600030101010101" pitchFamily="7" charset="-122"/>
              <a:cs typeface="Times New Roman" panose="02020603050405020304" pitchFamily="12"/>
            </a:rPr>
            <a:t>3</a:t>
          </a:r>
          <a:r>
            <a:rPr lang="zh-CN" sz="1050">
              <a:solidFill>
                <a:srgbClr val="C00000"/>
              </a:solidFill>
              <a:effectLst/>
              <a:highlight>
                <a:srgbClr val="FFFF00"/>
              </a:highlight>
              <a:ea typeface="宋体" panose="02010600030101010101" pitchFamily="7" charset="-122"/>
              <a:cs typeface="Times New Roman" panose="02020603050405020304" pitchFamily="12"/>
            </a:rPr>
            <a:t>）</a:t>
          </a:r>
          <a:endParaRPr lang="zh-CN" sz="1050">
            <a:effectLst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"/>
  <sheetViews>
    <sheetView showGridLines="0" tabSelected="1" workbookViewId="0">
      <selection activeCell="M49" sqref="M49:M51"/>
    </sheetView>
  </sheetViews>
  <sheetFormatPr defaultColWidth="9" defaultRowHeight="16.5"/>
  <cols>
    <col min="1" max="1" width="2.75" style="1" customWidth="1"/>
    <col min="2" max="2" width="7.5" style="1" customWidth="1"/>
    <col min="3" max="3" width="4.625" style="1" customWidth="1"/>
    <col min="4" max="4" width="5.875" style="1" customWidth="1"/>
    <col min="5" max="5" width="10.25" style="2" customWidth="1"/>
    <col min="6" max="6" width="27.5" style="2" customWidth="1"/>
    <col min="7" max="7" width="19.625" style="2" customWidth="1"/>
    <col min="8" max="8" width="17.75" style="1" customWidth="1"/>
    <col min="9" max="9" width="17" style="1" customWidth="1"/>
    <col min="10" max="11" width="16.625" style="1" customWidth="1"/>
    <col min="12" max="12" width="8.5" style="1" customWidth="1"/>
    <col min="13" max="14" width="8.25" style="1" customWidth="1"/>
    <col min="15" max="15" width="35.375" style="1" customWidth="1"/>
    <col min="16" max="19" width="9" style="1"/>
    <col min="20" max="20" width="15.25" style="1" customWidth="1"/>
    <col min="21" max="16384" width="9" style="1"/>
  </cols>
  <sheetData>
    <row r="1" ht="38.85" customHeight="1" spans="1:1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ht="24" customHeight="1" spans="1:15">
      <c r="A2" s="83" t="s">
        <v>1</v>
      </c>
      <c r="B2" s="83"/>
      <c r="C2" s="83"/>
      <c r="D2" s="83"/>
      <c r="E2" s="83"/>
      <c r="F2" s="84" t="s">
        <v>2</v>
      </c>
      <c r="G2" s="84"/>
      <c r="H2" s="84"/>
      <c r="I2" s="32"/>
      <c r="J2" s="165" t="s">
        <v>3</v>
      </c>
      <c r="K2" s="31" t="s">
        <v>4</v>
      </c>
      <c r="L2" s="32"/>
      <c r="M2" s="87" t="s">
        <v>5</v>
      </c>
      <c r="N2" s="166" t="str">
        <f>IF(OR(F2="施宇城",F2="王启源",F2="张亮",F2="熊奇龙"),"MIS技术员",IF(OR(F2="傅霞银",F2="林盛",F2="王莉",F2="张凯",F2="郑文峰",F2="单霖霖"),"软件技术",IF(OR(F2="孙维泽",F2="沈航凯",F2="王浩宇",F2="陈波",F2="陈浩天",F2="杨金鑫",F2="张磊",F2="陈立毅",F2="梅迪凡",F2="裘凯迪",F2="王锋",F2="王涛",F2="俞洋",F2="虞晔文",F2="钟静伟",F2="张铖",F2="孙维泽",F2="方林杰",F2="贾志成",F2="周颖"),"软件应用",IF(F2="刘梦","软件工程",IF(F2="王光漫","软件设计",IF(F2="谢丽君","技术文员"))))))</f>
        <v>MIS技术员</v>
      </c>
      <c r="O2" s="167"/>
    </row>
    <row r="3" ht="39" customHeight="1" spans="1:15">
      <c r="A3" s="85" t="s">
        <v>6</v>
      </c>
      <c r="B3" s="86"/>
      <c r="C3" s="85" t="s">
        <v>7</v>
      </c>
      <c r="D3" s="86"/>
      <c r="E3" s="87" t="s">
        <v>6</v>
      </c>
      <c r="F3" s="87" t="s">
        <v>8</v>
      </c>
      <c r="G3" s="83" t="s">
        <v>9</v>
      </c>
      <c r="H3" s="83"/>
      <c r="I3" s="83"/>
      <c r="J3" s="83"/>
      <c r="K3" s="83"/>
      <c r="L3" s="83"/>
      <c r="M3" s="83"/>
      <c r="N3" s="83"/>
      <c r="O3" s="165" t="s">
        <v>10</v>
      </c>
    </row>
    <row r="4" ht="54" customHeight="1" spans="1:15">
      <c r="A4" s="88"/>
      <c r="B4" s="89"/>
      <c r="C4" s="88"/>
      <c r="D4" s="89"/>
      <c r="E4" s="90"/>
      <c r="F4" s="90"/>
      <c r="G4" s="90" t="s">
        <v>11</v>
      </c>
      <c r="H4" s="90"/>
      <c r="I4" s="90"/>
      <c r="J4" s="90"/>
      <c r="K4" s="90"/>
      <c r="L4" s="83" t="s">
        <v>12</v>
      </c>
      <c r="M4" s="83" t="s">
        <v>13</v>
      </c>
      <c r="N4" s="83" t="s">
        <v>14</v>
      </c>
      <c r="O4" s="168"/>
    </row>
    <row r="5" customHeight="1" spans="1:15">
      <c r="A5" s="91">
        <v>1</v>
      </c>
      <c r="B5" s="92" t="s">
        <v>15</v>
      </c>
      <c r="C5" s="91">
        <v>60</v>
      </c>
      <c r="D5" s="93">
        <v>40</v>
      </c>
      <c r="E5" s="94" t="s">
        <v>16</v>
      </c>
      <c r="F5" s="94"/>
      <c r="G5" s="94"/>
      <c r="H5" s="94"/>
      <c r="I5" s="94"/>
      <c r="J5" s="94"/>
      <c r="K5" s="94"/>
      <c r="L5" s="94"/>
      <c r="M5" s="94"/>
      <c r="N5" s="94"/>
      <c r="O5" s="169" t="str">
        <f>IF(OR(L6&gt;=9.5,M6&gt;=9.5,N6&gt;=9.5,L8&gt;=9.5,M8&gt;=9.5,N8&gt;=9.5,L10&gt;=9.5,M10&gt;=9.5,N10&gt;=9.5,L12&gt;=9.5,M12&gt;=9.5,N12&gt;=9.5,L15&gt;=9.5,M15&gt;=9.5,N15&gt;=9.5,L17&gt;=9.5,M17&gt;=9.5,N17&gt;=9.5,L19&gt;=9.5,M19&gt;=9.5,N19&gt;=9.5,N19&gt;=9.5,L21&gt;=9.5,M21&gt;=9.5,N21&gt;=9.5),"提示：分值≥9.5分，请务必提供对应的佐证材料说明(具体事件或案例)",IF(OR(L6&lt;9.5,M6&lt;9.5,N6&lt;9.5,L8&lt;9.5,M8&lt;9.5,N8&lt;=9.5,L10&lt;9.5,M10&lt;9.5,N10&lt;9.5,L12&lt;9.5,M12&lt;9.5,N12&lt;9.5,L15&lt;9.5,M15&lt;9.5,N15&lt;9.5,L17&lt;9.5,M17&lt;9.5,N17&lt;9.5,L19&lt;9.5,M19&lt;9.5,N19&lt;9.5,N19&lt;9.5,L21&lt;9.5,M21&lt;9.5,N21&lt;9.5),""))</f>
        <v/>
      </c>
    </row>
    <row r="6" ht="15" customHeight="1" spans="1:15">
      <c r="A6" s="91"/>
      <c r="B6" s="95"/>
      <c r="C6" s="91"/>
      <c r="D6" s="96"/>
      <c r="E6" s="97" t="str">
        <f>IF(OR(F2="俞洋",F2="单霖霖"),"注塑机与机械手控制技术应用项目",IF(F2="梅迪凡","吹瓶壁厚二合一","无"))</f>
        <v>无</v>
      </c>
      <c r="F6" s="98" t="s">
        <v>17</v>
      </c>
      <c r="G6" s="99" t="s">
        <v>18</v>
      </c>
      <c r="H6" s="100" t="s">
        <v>19</v>
      </c>
      <c r="I6" s="170" t="s">
        <v>20</v>
      </c>
      <c r="J6" s="100" t="s">
        <v>21</v>
      </c>
      <c r="K6" s="171" t="s">
        <v>22</v>
      </c>
      <c r="L6" s="172"/>
      <c r="M6" s="173"/>
      <c r="N6" s="173"/>
      <c r="O6" s="174"/>
    </row>
    <row r="7" ht="15" customHeight="1" spans="1:15">
      <c r="A7" s="91"/>
      <c r="B7" s="95"/>
      <c r="C7" s="91"/>
      <c r="D7" s="96"/>
      <c r="E7" s="97"/>
      <c r="F7" s="101"/>
      <c r="G7" s="102" t="s">
        <v>23</v>
      </c>
      <c r="H7" s="103" t="s">
        <v>24</v>
      </c>
      <c r="I7" s="175" t="s">
        <v>25</v>
      </c>
      <c r="J7" s="176" t="s">
        <v>26</v>
      </c>
      <c r="K7" s="177" t="s">
        <v>27</v>
      </c>
      <c r="L7" s="178"/>
      <c r="M7" s="179"/>
      <c r="N7" s="179"/>
      <c r="O7" s="174"/>
    </row>
    <row r="8" ht="39" customHeight="1" spans="1:15">
      <c r="A8" s="91"/>
      <c r="B8" s="95"/>
      <c r="C8" s="91"/>
      <c r="D8" s="96"/>
      <c r="E8" s="97"/>
      <c r="F8" s="98" t="s">
        <v>28</v>
      </c>
      <c r="G8" s="104" t="s">
        <v>29</v>
      </c>
      <c r="H8" s="105" t="s">
        <v>30</v>
      </c>
      <c r="I8" s="170" t="s">
        <v>31</v>
      </c>
      <c r="J8" s="107" t="s">
        <v>32</v>
      </c>
      <c r="K8" s="180" t="s">
        <v>33</v>
      </c>
      <c r="L8" s="181">
        <v>9</v>
      </c>
      <c r="M8" s="181"/>
      <c r="N8" s="181"/>
      <c r="O8" s="174"/>
    </row>
    <row r="9" ht="15" customHeight="1" spans="1:15">
      <c r="A9" s="91"/>
      <c r="B9" s="95"/>
      <c r="C9" s="91"/>
      <c r="D9" s="96"/>
      <c r="E9" s="97"/>
      <c r="F9" s="101"/>
      <c r="G9" s="102" t="s">
        <v>23</v>
      </c>
      <c r="H9" s="103" t="s">
        <v>24</v>
      </c>
      <c r="I9" s="175" t="s">
        <v>25</v>
      </c>
      <c r="J9" s="176" t="s">
        <v>26</v>
      </c>
      <c r="K9" s="177" t="s">
        <v>27</v>
      </c>
      <c r="L9" s="181"/>
      <c r="M9" s="181"/>
      <c r="N9" s="181"/>
      <c r="O9" s="174"/>
    </row>
    <row r="10" ht="15" customHeight="1" spans="1:15">
      <c r="A10" s="91"/>
      <c r="B10" s="95"/>
      <c r="C10" s="91"/>
      <c r="D10" s="96"/>
      <c r="E10" s="106" t="str">
        <f>IF(F2="梅迪凡","壁厚控制器V2版（仿MOOG）","无")</f>
        <v>无</v>
      </c>
      <c r="F10" s="98" t="s">
        <v>17</v>
      </c>
      <c r="G10" s="104" t="s">
        <v>18</v>
      </c>
      <c r="H10" s="107" t="s">
        <v>19</v>
      </c>
      <c r="I10" s="182" t="s">
        <v>20</v>
      </c>
      <c r="J10" s="107" t="s">
        <v>21</v>
      </c>
      <c r="K10" s="180" t="s">
        <v>22</v>
      </c>
      <c r="L10" s="183">
        <v>9</v>
      </c>
      <c r="M10" s="184"/>
      <c r="N10" s="184"/>
      <c r="O10" s="174"/>
    </row>
    <row r="11" ht="15" customHeight="1" spans="1:15">
      <c r="A11" s="91"/>
      <c r="B11" s="95"/>
      <c r="C11" s="91"/>
      <c r="D11" s="96"/>
      <c r="E11" s="106"/>
      <c r="F11" s="101"/>
      <c r="G11" s="102" t="s">
        <v>23</v>
      </c>
      <c r="H11" s="103" t="s">
        <v>24</v>
      </c>
      <c r="I11" s="175" t="s">
        <v>25</v>
      </c>
      <c r="J11" s="176" t="s">
        <v>26</v>
      </c>
      <c r="K11" s="177" t="s">
        <v>27</v>
      </c>
      <c r="L11" s="179"/>
      <c r="M11" s="179"/>
      <c r="N11" s="179"/>
      <c r="O11" s="174"/>
    </row>
    <row r="12" ht="38.25" customHeight="1" spans="1:15">
      <c r="A12" s="91"/>
      <c r="B12" s="95"/>
      <c r="C12" s="91"/>
      <c r="D12" s="96"/>
      <c r="E12" s="106"/>
      <c r="F12" s="98" t="s">
        <v>28</v>
      </c>
      <c r="G12" s="104" t="s">
        <v>29</v>
      </c>
      <c r="H12" s="105" t="s">
        <v>30</v>
      </c>
      <c r="I12" s="170" t="s">
        <v>31</v>
      </c>
      <c r="J12" s="107" t="s">
        <v>32</v>
      </c>
      <c r="K12" s="180" t="s">
        <v>33</v>
      </c>
      <c r="L12" s="173">
        <v>9</v>
      </c>
      <c r="M12" s="173"/>
      <c r="N12" s="173"/>
      <c r="O12" s="174"/>
    </row>
    <row r="13" ht="15" customHeight="1" spans="1:15">
      <c r="A13" s="91"/>
      <c r="B13" s="95"/>
      <c r="C13" s="91"/>
      <c r="D13" s="96"/>
      <c r="E13" s="106"/>
      <c r="F13" s="101"/>
      <c r="G13" s="108" t="s">
        <v>23</v>
      </c>
      <c r="H13" s="109" t="s">
        <v>24</v>
      </c>
      <c r="I13" s="185" t="s">
        <v>25</v>
      </c>
      <c r="J13" s="186" t="s">
        <v>26</v>
      </c>
      <c r="K13" s="187" t="s">
        <v>27</v>
      </c>
      <c r="L13" s="184"/>
      <c r="M13" s="179"/>
      <c r="N13" s="179"/>
      <c r="O13" s="174"/>
    </row>
    <row r="14" ht="15" customHeight="1" spans="1:15">
      <c r="A14" s="91"/>
      <c r="B14" s="95"/>
      <c r="C14" s="91"/>
      <c r="D14" s="96"/>
      <c r="E14" s="110" t="s">
        <v>34</v>
      </c>
      <c r="F14" s="110"/>
      <c r="G14" s="110"/>
      <c r="H14" s="110"/>
      <c r="I14" s="110"/>
      <c r="J14" s="110"/>
      <c r="K14" s="110"/>
      <c r="L14" s="110"/>
      <c r="M14" s="110"/>
      <c r="N14" s="110"/>
      <c r="O14" s="174"/>
    </row>
    <row r="15" ht="15" customHeight="1" spans="1:15">
      <c r="A15" s="91"/>
      <c r="B15" s="95"/>
      <c r="C15" s="91"/>
      <c r="D15" s="96"/>
      <c r="E15" s="106" t="s">
        <v>35</v>
      </c>
      <c r="F15" s="98" t="s">
        <v>17</v>
      </c>
      <c r="G15" s="104" t="s">
        <v>18</v>
      </c>
      <c r="H15" s="107" t="s">
        <v>19</v>
      </c>
      <c r="I15" s="182" t="s">
        <v>20</v>
      </c>
      <c r="J15" s="107" t="s">
        <v>21</v>
      </c>
      <c r="K15" s="180" t="s">
        <v>22</v>
      </c>
      <c r="L15" s="184">
        <v>8</v>
      </c>
      <c r="M15" s="184"/>
      <c r="N15" s="184"/>
      <c r="O15" s="174"/>
    </row>
    <row r="16" ht="15" customHeight="1" spans="1:15">
      <c r="A16" s="91"/>
      <c r="B16" s="95"/>
      <c r="C16" s="91"/>
      <c r="D16" s="96"/>
      <c r="E16" s="106"/>
      <c r="F16" s="101"/>
      <c r="G16" s="102" t="s">
        <v>23</v>
      </c>
      <c r="H16" s="103" t="s">
        <v>24</v>
      </c>
      <c r="I16" s="175" t="s">
        <v>25</v>
      </c>
      <c r="J16" s="176" t="s">
        <v>26</v>
      </c>
      <c r="K16" s="177" t="s">
        <v>27</v>
      </c>
      <c r="L16" s="179"/>
      <c r="M16" s="179"/>
      <c r="N16" s="179"/>
      <c r="O16" s="174"/>
    </row>
    <row r="17" ht="36" customHeight="1" spans="1:15">
      <c r="A17" s="91"/>
      <c r="B17" s="95"/>
      <c r="C17" s="91"/>
      <c r="D17" s="96"/>
      <c r="E17" s="106"/>
      <c r="F17" s="98" t="s">
        <v>28</v>
      </c>
      <c r="G17" s="104" t="s">
        <v>29</v>
      </c>
      <c r="H17" s="105" t="s">
        <v>30</v>
      </c>
      <c r="I17" s="170" t="s">
        <v>31</v>
      </c>
      <c r="J17" s="107" t="s">
        <v>32</v>
      </c>
      <c r="K17" s="180" t="s">
        <v>33</v>
      </c>
      <c r="L17" s="173">
        <v>8</v>
      </c>
      <c r="M17" s="173"/>
      <c r="N17" s="173"/>
      <c r="O17" s="174"/>
    </row>
    <row r="18" ht="15" customHeight="1" spans="1:15">
      <c r="A18" s="91"/>
      <c r="B18" s="95"/>
      <c r="C18" s="91"/>
      <c r="D18" s="96"/>
      <c r="E18" s="111"/>
      <c r="F18" s="101"/>
      <c r="G18" s="102" t="s">
        <v>23</v>
      </c>
      <c r="H18" s="103" t="s">
        <v>24</v>
      </c>
      <c r="I18" s="175" t="s">
        <v>25</v>
      </c>
      <c r="J18" s="176" t="s">
        <v>26</v>
      </c>
      <c r="K18" s="177" t="s">
        <v>27</v>
      </c>
      <c r="L18" s="179"/>
      <c r="M18" s="179"/>
      <c r="N18" s="179"/>
      <c r="O18" s="174"/>
    </row>
    <row r="19" ht="15" customHeight="1" spans="1:15">
      <c r="A19" s="91"/>
      <c r="B19" s="95"/>
      <c r="C19" s="91"/>
      <c r="D19" s="96"/>
      <c r="E19" s="112" t="s">
        <v>36</v>
      </c>
      <c r="F19" s="98" t="s">
        <v>17</v>
      </c>
      <c r="G19" s="99" t="s">
        <v>18</v>
      </c>
      <c r="H19" s="100" t="s">
        <v>19</v>
      </c>
      <c r="I19" s="170" t="s">
        <v>20</v>
      </c>
      <c r="J19" s="100" t="s">
        <v>21</v>
      </c>
      <c r="K19" s="171" t="s">
        <v>22</v>
      </c>
      <c r="L19" s="173">
        <v>8</v>
      </c>
      <c r="M19" s="173"/>
      <c r="N19" s="173"/>
      <c r="O19" s="174"/>
    </row>
    <row r="20" ht="15" customHeight="1" spans="1:15">
      <c r="A20" s="91"/>
      <c r="B20" s="95"/>
      <c r="C20" s="91"/>
      <c r="D20" s="96"/>
      <c r="E20" s="106"/>
      <c r="F20" s="101"/>
      <c r="G20" s="102" t="s">
        <v>23</v>
      </c>
      <c r="H20" s="103" t="s">
        <v>24</v>
      </c>
      <c r="I20" s="175" t="s">
        <v>25</v>
      </c>
      <c r="J20" s="176" t="s">
        <v>26</v>
      </c>
      <c r="K20" s="177" t="s">
        <v>27</v>
      </c>
      <c r="L20" s="179"/>
      <c r="M20" s="179"/>
      <c r="N20" s="179"/>
      <c r="O20" s="174"/>
    </row>
    <row r="21" ht="44.25" customHeight="1" spans="1:15">
      <c r="A21" s="91"/>
      <c r="B21" s="95"/>
      <c r="C21" s="91"/>
      <c r="D21" s="96"/>
      <c r="E21" s="106"/>
      <c r="F21" s="98" t="s">
        <v>28</v>
      </c>
      <c r="G21" s="104" t="s">
        <v>29</v>
      </c>
      <c r="H21" s="105" t="s">
        <v>30</v>
      </c>
      <c r="I21" s="170" t="s">
        <v>31</v>
      </c>
      <c r="J21" s="107" t="s">
        <v>32</v>
      </c>
      <c r="K21" s="180" t="s">
        <v>33</v>
      </c>
      <c r="L21" s="184">
        <v>9</v>
      </c>
      <c r="M21" s="173"/>
      <c r="N21" s="173"/>
      <c r="O21" s="174"/>
    </row>
    <row r="22" ht="15" customHeight="1" spans="1:15">
      <c r="A22" s="91"/>
      <c r="B22" s="95"/>
      <c r="C22" s="91"/>
      <c r="D22" s="96"/>
      <c r="E22" s="106"/>
      <c r="F22" s="113"/>
      <c r="G22" s="108" t="s">
        <v>23</v>
      </c>
      <c r="H22" s="109" t="s">
        <v>24</v>
      </c>
      <c r="I22" s="185" t="s">
        <v>25</v>
      </c>
      <c r="J22" s="186" t="s">
        <v>26</v>
      </c>
      <c r="K22" s="187" t="s">
        <v>27</v>
      </c>
      <c r="L22" s="184"/>
      <c r="M22" s="184"/>
      <c r="N22" s="184"/>
      <c r="O22" s="174"/>
    </row>
    <row r="23" ht="7.5" customHeight="1" spans="1:15">
      <c r="A23" s="91"/>
      <c r="B23" s="95"/>
      <c r="C23" s="91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88"/>
    </row>
    <row r="24" ht="56.25" customHeight="1" spans="1:15">
      <c r="A24" s="91"/>
      <c r="B24" s="95"/>
      <c r="C24" s="91"/>
      <c r="D24" s="115">
        <f>C5-D33-D5</f>
        <v>10</v>
      </c>
      <c r="E24" s="112" t="s">
        <v>37</v>
      </c>
      <c r="F24" s="98" t="str">
        <f>IF(N2="软件应用","出货不良率",IF(N2="软件技术","设变及时率",IF(N2="软件工程","出货测试完成度",IF(N2="软件设计","全局设计完成率",IF(N2="技术文员","程序发布准确率与及时性",IF(N2="MIS技术员","开发与维护完成率"))))))</f>
        <v>开发与维护完成率</v>
      </c>
      <c r="G24" s="116" t="str">
        <f>IF(N2="软件应用","1.不良率=0 
2.内部抽检不良率=0
3.内部互测不良率=0
4.无被波及不良（历史遗留bug、kernel不良影响等）",IF(N2="软件技术","100%提前完成",IF(N2="MIS技术员","100%完成",IF(N2="技术文员","100%正确且提前完成",IF(N2="软件设计","100%完成且提前完成",IF(N2="软件工程","100%且提前完成"))))))</f>
        <v>100%完成</v>
      </c>
      <c r="H24" s="117" t="str">
        <f>IF(N2="软件应用","不良率=0",IF(N2="软件技术","及时",IF(N2="MIS技术员","大部分解决",IF(N2="技术文员","及时发布且无错误",IF(N2="软件设计","100%完成但略微延迟",IF(N2="软件工程","完成95%以上且无延误现象"))))))</f>
        <v>大部分解决</v>
      </c>
      <c r="I24" s="117" t="str">
        <f>IF(N2="软件应用","10%＜不良率≤30%",IF(N2="软件技术","比较及时",IF(N2="MIS技术员","基本解决",IF(N2="技术文员","比较及时出现一点错误，不影响发布",IF(N2="软件设计","绝大部分完成，有延迟",IF(N2="软件工程","完成80%以上"))))))</f>
        <v>基本解决</v>
      </c>
      <c r="J24" s="117" t="str">
        <f>IF(N2="软件应用","30%＜不良率≤50%",IF(N2="软件技术","基本及时",IF(N2="MIS技术员","解决小部分",IF(N2="技术文员","基本及时且发布出现错误",IF(N2="软件设计","基本完成，有延迟",IF(N2="软件工程","完成70%以上"))))))</f>
        <v>解决小部分</v>
      </c>
      <c r="K24" s="189" t="str">
        <f>IF(N2="软件应用","不良率＞50%",IF(N2="软件技术","不及时",IF(N2="MIS技术员","基本没解决",IF(N2="技术文员","不及时且发布出现错误",IF(N2="软件设计","完成小部分，严重延迟",IF(N2="软件工程","完成50%以下"))))))</f>
        <v>基本没解决</v>
      </c>
      <c r="L24" s="181">
        <v>9</v>
      </c>
      <c r="M24" s="181"/>
      <c r="N24" s="181"/>
      <c r="O24" s="190" t="str">
        <f>IF(OR(L24&gt;=9.5,M24&gt;=9.5,N24&gt;=9.5,L26&gt;=9.5,M26&gt;=9.5,N26&gt;=9.5,L28&gt;=9.5,M28&gt;=9.5,N28&gt;=9.5,L30&gt;=9.5,M30&gt;=9.5,N30&gt;=9.5),"提示：分值≥9.5分，请务必提供对应的佐证材料说明(具体事件或案例)，
举个例子——比如客户满意度=9.8，那必须写明具体客户、具体表扬事件及时间",IF(OR(L24&lt;9.5,M24&lt;9.5,N24&lt;9.5,L26&lt;9.5,M26&lt;9.5,N26&lt;9.5,L28&lt;9.5,M28&lt;9.5,N28&lt;9.5,L30&lt;9.5,M30&lt;9.5,N30&lt;9.5),""))</f>
        <v/>
      </c>
    </row>
    <row r="25" ht="24" customHeight="1" spans="1:15">
      <c r="A25" s="91"/>
      <c r="B25" s="95"/>
      <c r="C25" s="91"/>
      <c r="D25" s="118"/>
      <c r="E25" s="106"/>
      <c r="F25" s="113"/>
      <c r="G25" s="119" t="s">
        <v>23</v>
      </c>
      <c r="H25" s="120" t="s">
        <v>24</v>
      </c>
      <c r="I25" s="120" t="s">
        <v>38</v>
      </c>
      <c r="J25" s="120" t="s">
        <v>26</v>
      </c>
      <c r="K25" s="191" t="s">
        <v>27</v>
      </c>
      <c r="L25" s="173"/>
      <c r="M25" s="173"/>
      <c r="N25" s="173"/>
      <c r="O25" s="192"/>
    </row>
    <row r="26" ht="24" customHeight="1" spans="1:15">
      <c r="A26" s="91"/>
      <c r="B26" s="95"/>
      <c r="C26" s="91"/>
      <c r="D26" s="118"/>
      <c r="E26" s="112" t="s">
        <v>37</v>
      </c>
      <c r="F26" s="98" t="str">
        <f>IF(N2="软件应用","出货及时率",IF(N2="软件技术","设变完成率",IF(N2="软件工程","产品化验证完成度",IF(N2="软件设计","局部设计完成率",IF(N2="技术文员","物料台账建设完整性",IF(N2="MIS技术员","开发与维护及时率"))))))</f>
        <v>开发与维护及时率</v>
      </c>
      <c r="G26" s="121" t="str">
        <f>IF(N2="软件应用","100%提前完成",IF(N2="软件技术","100%完成",IF(N2="MIS技术员","100%提前完成",IF(N2="技术文员","很健全,很完善",IF(N2="软件设计","100%提前完成",IF(N2="软件工程","100%且提前完成"))))))</f>
        <v>100%提前完成</v>
      </c>
      <c r="H26" s="117" t="str">
        <f>IF(N2="软件应用","延误率=0",IF(N2="软件技术","大部分解决",IF(N2="MIS技术员","及时",IF(N2="技术文员","健全,完善",IF(N2="软件设计","及时",IF(N2="软件工程","完成95%以上且无延误现象"))))))</f>
        <v>及时</v>
      </c>
      <c r="I26" s="117" t="str">
        <f>IF(N2="软件应用","0&lt;延误率≤10%",IF(N2="软件技术","基本解决",IF(N2="MIS技术员","比较及时",IF(N2="技术文员","比较健全,比较完善",IF(N2="软件设计","比较及时",IF(N2="软件工程","完成80%以上"))))))</f>
        <v>比较及时</v>
      </c>
      <c r="J26" s="117" t="str">
        <f>IF(N2="软件应用","10%＜延误率≤30%",IF(N2="软件技术","解决小部分",IF(N2="MIS技术员","基本及时",IF(N2="技术文员","基本健全,基本完善",IF(N2="软件设计","基本及时",IF(N2="软件工程","完成70%以上"))))))</f>
        <v>基本及时</v>
      </c>
      <c r="K26" s="189" t="str">
        <f>IF(N2="软件应用","延误率＞30%",IF(N2="软件技术","基本没解决",IF(N2="MIS技术员","不及时",IF(N2="技术文员","不健全,不完善",IF(N2="软件设计","不及时",IF(N2="软件工程","完成50%以下"))))))</f>
        <v>不及时</v>
      </c>
      <c r="L26" s="181">
        <v>9</v>
      </c>
      <c r="M26" s="181"/>
      <c r="N26" s="181"/>
      <c r="O26" s="192"/>
    </row>
    <row r="27" ht="24" customHeight="1" spans="1:15">
      <c r="A27" s="91"/>
      <c r="B27" s="95"/>
      <c r="C27" s="91"/>
      <c r="D27" s="118"/>
      <c r="E27" s="106"/>
      <c r="F27" s="113"/>
      <c r="G27" s="119" t="s">
        <v>23</v>
      </c>
      <c r="H27" s="120" t="s">
        <v>24</v>
      </c>
      <c r="I27" s="120" t="s">
        <v>38</v>
      </c>
      <c r="J27" s="120" t="s">
        <v>26</v>
      </c>
      <c r="K27" s="191" t="s">
        <v>27</v>
      </c>
      <c r="L27" s="173"/>
      <c r="M27" s="173"/>
      <c r="N27" s="173"/>
      <c r="O27" s="192"/>
    </row>
    <row r="28" ht="30" customHeight="1" spans="1:15">
      <c r="A28" s="91"/>
      <c r="B28" s="95"/>
      <c r="C28" s="91"/>
      <c r="D28" s="118"/>
      <c r="E28" s="112" t="s">
        <v>37</v>
      </c>
      <c r="F28" s="98" t="str">
        <f>IF(N2="软件应用","现场问题解决完成率",IF(N2="软件技术","BUG处理及时率",IF(N2="软件工程","",IF(N2="软件设计","关键部件设计正确率",IF(N2="技术文员","说明书制作错误率、及时率及满意度",IF(N2="MIS技术员","问题解决能力"))))))</f>
        <v>问题解决能力</v>
      </c>
      <c r="G28" s="121" t="str">
        <f>IF(N2="软件应用","任何情况下都能解决问题",IF(N2="软件技术","100%提前完成",IF(N2="MIS技术员","在任何情况下，都能解决问题且不出差",IF(N2="技术文员","100%提前完成且零错误",IF(N2="软件设计","出错0次",IF(N2="软件工程",""))))))</f>
        <v>在任何情况下，都能解决问题且不出差</v>
      </c>
      <c r="H28" s="117" t="str">
        <f>IF(N2="软件应用","发现及时,大部分能解决",IF(N2="软件技术","延误率=0",IF(N2="MIS技术员","发现问题及时，处理问题果断，解决问题能力强",IF(N2="技术文员","及时完成且零错误",IF(N2="软件设计","出错1次",IF(N2="软件工程",""))))))</f>
        <v>发现问题及时，处理问题果断，解决问题能力强</v>
      </c>
      <c r="I28" s="193" t="str">
        <f>IF(N2="软件应用","能发现问题,一般问题能做出决断",IF(N2="软件技术","0＜延误率≤10%",IF(N2="MIS技术员","能及时发现问题，对一般问题能果断处理",IF(N2="技术文员","比较及时且无重大错误",IF(N2="软件设计","出错2次",IF(N2="软件工程",""))))))</f>
        <v>能及时发现问题，对一般问题能果断处理</v>
      </c>
      <c r="J28" s="193" t="str">
        <f>IF(N2="软件应用","能发现，但拖拉，解决很慢",IF(N2="软件技术","10%＜延误率≤30%",IF(N2="MIS技术员","能发现问题，但拖拖拉拉，解决效率低",IF(N2="技术文员","基本及时且无重大错误",IF(N2="软件设计","出错3次",IF(N2="软件工程",""))))))</f>
        <v>能发现问题，但拖拖拉拉，解决效率低</v>
      </c>
      <c r="K28" s="189" t="str">
        <f>IF(N2="软件应用","发现不了，遇到束手无策",IF(N2="软件技术","延误率＞30%",IF(N2="MIS技术员","无法独自发现问题，遇到问题束手无策",IF(N2="技术文员","不及时或被需求方投诉",IF(N2="软件设计","出错3次以上",IF(N2="软件工程",""))))))</f>
        <v>无法独自发现问题，遇到问题束手无策</v>
      </c>
      <c r="L28" s="181">
        <v>9</v>
      </c>
      <c r="M28" s="181"/>
      <c r="N28" s="181"/>
      <c r="O28" s="192"/>
    </row>
    <row r="29" ht="24" customHeight="1" spans="1:15">
      <c r="A29" s="91"/>
      <c r="B29" s="95"/>
      <c r="C29" s="91"/>
      <c r="D29" s="118"/>
      <c r="E29" s="106"/>
      <c r="F29" s="113"/>
      <c r="G29" s="119" t="str">
        <f>IF(G28="","","9.5≤A级≤10")</f>
        <v>9.5≤A级≤10</v>
      </c>
      <c r="H29" s="120" t="str">
        <f>IF(H28="","","9≤B级&lt;9.5")</f>
        <v>9≤B级&lt;9.5</v>
      </c>
      <c r="I29" s="120" t="str">
        <f>IF(I28="","","8≤C级&lt;9")</f>
        <v>8≤C级&lt;9</v>
      </c>
      <c r="J29" s="120" t="str">
        <f>IF(J28="","","7≤D级&lt;8")</f>
        <v>7≤D级&lt;8</v>
      </c>
      <c r="K29" s="191" t="str">
        <f>IF(K28="","","E级&lt;7")</f>
        <v>E级&lt;7</v>
      </c>
      <c r="L29" s="173"/>
      <c r="M29" s="173"/>
      <c r="N29" s="173"/>
      <c r="O29" s="192"/>
    </row>
    <row r="30" ht="24" customHeight="1" spans="1:15">
      <c r="A30" s="91"/>
      <c r="B30" s="95"/>
      <c r="C30" s="91"/>
      <c r="D30" s="118"/>
      <c r="E30" s="112" t="s">
        <v>37</v>
      </c>
      <c r="F30" s="98" t="str">
        <f>IF(N2="软件应用","客户满意度",IF(N2="软件技术","BUG处理完成率",IF(N2="软件工程","",IF(N2="软件设计","关键部件设计及时率",IF(N2="技术文员","",IF(N2="MIS技术员","用户满意度"))))))</f>
        <v>用户满意度</v>
      </c>
      <c r="G30" s="121" t="str">
        <f>IF(N2="软件应用","非常满意",IF(N2="软件技术","100%完成",IF(N2="MIS技术员","非常满意
（比如客户提出表扬）",IF(N2="技术文员","",IF(N2="软件设计","100%提前完成",IF(N2="软件工程",""))))))</f>
        <v>非常满意
（比如客户提出表扬）</v>
      </c>
      <c r="H30" s="117" t="str">
        <f>IF(N2="软件应用","无投诉次数",IF(N2="软件技术","绝大部分解决",IF(N2="MIS技术员","满意",IF(N2="技术文员","",IF(N2="软件设计","及时",IF(N2="软件工程",""))))))</f>
        <v>满意</v>
      </c>
      <c r="I30" s="117" t="str">
        <f>IF(N2="软件应用","投诉次数为1次",IF(N2="软件技术","基本解决",IF(N2="MIS技术员","较满意",IF(N2="技术文员","",IF(N2="软件设计","比较及时",IF(N2="软件工程",""))))))</f>
        <v>较满意</v>
      </c>
      <c r="J30" s="117" t="str">
        <f>IF(N2="软件应用","投诉次数为2次",IF(N2="软件技术","解决小部分",IF(N2="MIS技术员","基本满意",IF(N2="技术文员","",IF(N2="软件设计","基本及时",IF(N2="软件工程",""))))))</f>
        <v>基本满意</v>
      </c>
      <c r="K30" s="189" t="str">
        <f>IF(N2="软件应用","投诉次数＞2次",IF(N2="软件技术","基本没解决",IF(N2="MIS技术员","不满意",IF(N2="技术文员","",IF(N2="软件设计","不及时",IF(N2="软件工程",""))))))</f>
        <v>不满意</v>
      </c>
      <c r="L30" s="181">
        <v>8</v>
      </c>
      <c r="M30" s="181"/>
      <c r="N30" s="181"/>
      <c r="O30" s="192"/>
    </row>
    <row r="31" ht="24" customHeight="1" spans="1:15">
      <c r="A31" s="91"/>
      <c r="B31" s="95"/>
      <c r="C31" s="91"/>
      <c r="D31" s="118"/>
      <c r="E31" s="106"/>
      <c r="F31" s="113"/>
      <c r="G31" s="122" t="str">
        <f>IF(G30="","","9.5≤A级≤10")</f>
        <v>9.5≤A级≤10</v>
      </c>
      <c r="H31" s="123" t="str">
        <f>IF(H30="","","9≤B级&lt;9.5")</f>
        <v>9≤B级&lt;9.5</v>
      </c>
      <c r="I31" s="123" t="str">
        <f>IF(I30="","","8≤C级&lt;9")</f>
        <v>8≤C级&lt;9</v>
      </c>
      <c r="J31" s="123" t="str">
        <f>IF(J30="","","7≤D级&lt;8")</f>
        <v>7≤D级&lt;8</v>
      </c>
      <c r="K31" s="194" t="str">
        <f>IF(K30="","","E级&lt;7")</f>
        <v>E级&lt;7</v>
      </c>
      <c r="L31" s="173"/>
      <c r="M31" s="173"/>
      <c r="N31" s="173"/>
      <c r="O31" s="192"/>
    </row>
    <row r="32" ht="7.5" customHeight="1" spans="1:15">
      <c r="A32" s="91"/>
      <c r="B32" s="95"/>
      <c r="C32" s="91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95"/>
    </row>
    <row r="33" ht="74.25" customHeight="1" spans="1:15">
      <c r="A33" s="91"/>
      <c r="B33" s="95"/>
      <c r="C33" s="91"/>
      <c r="D33" s="124">
        <v>10</v>
      </c>
      <c r="E33" s="112" t="s">
        <v>39</v>
      </c>
      <c r="F33" s="125" t="s">
        <v>40</v>
      </c>
      <c r="G33" s="121" t="s">
        <v>41</v>
      </c>
      <c r="H33" s="117" t="s">
        <v>42</v>
      </c>
      <c r="I33" s="117" t="s">
        <v>43</v>
      </c>
      <c r="J33" s="117" t="s">
        <v>44</v>
      </c>
      <c r="K33" s="189" t="s">
        <v>45</v>
      </c>
      <c r="L33" s="173">
        <v>9</v>
      </c>
      <c r="M33" s="173"/>
      <c r="N33" s="173"/>
      <c r="O33" s="190" t="str">
        <f>IF(OR(NY1333&gt;=9.5,M33&gt;=9.5,N33&gt;=9.5),"提示：分值≥9.5分，请务必提供对应的佐证材料说明(具事件或案例)",IF(OR(L33&lt;9.5,M33&lt;9.5,RA1933&lt;9.5),""))</f>
        <v/>
      </c>
    </row>
    <row r="34" ht="34.5" customHeight="1" spans="1:15">
      <c r="A34" s="91"/>
      <c r="B34" s="126"/>
      <c r="C34" s="91"/>
      <c r="D34" s="127"/>
      <c r="E34" s="111"/>
      <c r="F34" s="128"/>
      <c r="G34" s="129" t="s">
        <v>23</v>
      </c>
      <c r="H34" s="130" t="s">
        <v>24</v>
      </c>
      <c r="I34" s="130" t="s">
        <v>38</v>
      </c>
      <c r="J34" s="130" t="s">
        <v>26</v>
      </c>
      <c r="K34" s="196" t="s">
        <v>27</v>
      </c>
      <c r="L34" s="179"/>
      <c r="M34" s="179"/>
      <c r="N34" s="179"/>
      <c r="O34" s="192"/>
    </row>
    <row r="35" ht="15" customHeight="1" spans="1:15">
      <c r="A35" s="17" t="s">
        <v>46</v>
      </c>
      <c r="B35" s="18"/>
      <c r="C35" s="18"/>
      <c r="D35" s="18"/>
      <c r="E35" s="18"/>
      <c r="F35" s="18"/>
      <c r="G35" s="18"/>
      <c r="H35" s="18"/>
      <c r="I35" s="18"/>
      <c r="J35" s="18"/>
      <c r="K35" s="53"/>
      <c r="L35" s="197">
        <f>(AVERAGE(L6:L22)*D5+AVERAGE(L24:L31)*D24+L33*D33)/100</f>
        <v>5.20357142857143</v>
      </c>
      <c r="M35" s="198" t="e">
        <f>(AVERAGE(M6:M22)*D5+AVERAGE(M24:M31)*D24+M33*D33)/100</f>
        <v>#DIV/0!</v>
      </c>
      <c r="N35" s="197" t="e">
        <f>(AVERAGE(N6:N22)*D5+AVERAGE(N24:N31)*D24+N33*D33)/100</f>
        <v>#DIV/0!</v>
      </c>
      <c r="O35" s="195"/>
    </row>
    <row r="36" ht="24" customHeight="1" spans="1:15">
      <c r="A36" s="131">
        <v>2</v>
      </c>
      <c r="B36" s="131" t="s">
        <v>47</v>
      </c>
      <c r="C36" s="131">
        <v>15</v>
      </c>
      <c r="D36" s="131">
        <v>6</v>
      </c>
      <c r="E36" s="132" t="s">
        <v>48</v>
      </c>
      <c r="F36" s="133" t="s">
        <v>49</v>
      </c>
      <c r="G36" s="134" t="s">
        <v>50</v>
      </c>
      <c r="H36" s="135" t="s">
        <v>51</v>
      </c>
      <c r="I36" s="135" t="s">
        <v>52</v>
      </c>
      <c r="J36" s="135" t="s">
        <v>53</v>
      </c>
      <c r="K36" s="199" t="s">
        <v>54</v>
      </c>
      <c r="L36" s="200">
        <v>9</v>
      </c>
      <c r="M36" s="200"/>
      <c r="N36" s="200"/>
      <c r="O36" s="201" t="str">
        <f>IF(OR(L36&gt;=9.5,M36&gt;=9.5,N36&gt;=9.5,L38&gt;=9.5,M38&gt;=9.5,N38&gt;=9.5,L40&gt;=9.5,M40&gt;=9.5,N40&gt;=9.5),"提示：分值≥9.5分，请务必提供对应的佐证材料说明(具体事件或案例)",IF(OR(L36&lt;9.5,M36&lt;9.5,N36&lt;9.5,L38&lt;9.5,M38&lt;9.5,N38&lt;9.5,L40&lt;9.5,M40&lt;9.5,N40&lt;9.5),""))</f>
        <v/>
      </c>
    </row>
    <row r="37" ht="24" customHeight="1" spans="1:15">
      <c r="A37" s="136"/>
      <c r="B37" s="136"/>
      <c r="C37" s="136"/>
      <c r="D37" s="136"/>
      <c r="E37" s="36"/>
      <c r="F37" s="137"/>
      <c r="G37" s="119" t="s">
        <v>23</v>
      </c>
      <c r="H37" s="120" t="s">
        <v>24</v>
      </c>
      <c r="I37" s="120" t="s">
        <v>38</v>
      </c>
      <c r="J37" s="120" t="s">
        <v>26</v>
      </c>
      <c r="K37" s="191" t="s">
        <v>27</v>
      </c>
      <c r="L37" s="202"/>
      <c r="M37" s="202"/>
      <c r="N37" s="202"/>
      <c r="O37" s="201"/>
    </row>
    <row r="38" ht="24" customHeight="1" spans="1:15">
      <c r="A38" s="136"/>
      <c r="B38" s="136"/>
      <c r="C38" s="136"/>
      <c r="D38" s="131">
        <v>5</v>
      </c>
      <c r="E38" s="132" t="s">
        <v>55</v>
      </c>
      <c r="F38" s="133" t="s">
        <v>56</v>
      </c>
      <c r="G38" s="138" t="s">
        <v>57</v>
      </c>
      <c r="H38" s="139" t="s">
        <v>58</v>
      </c>
      <c r="I38" s="139" t="s">
        <v>59</v>
      </c>
      <c r="J38" s="139" t="s">
        <v>60</v>
      </c>
      <c r="K38" s="203" t="s">
        <v>61</v>
      </c>
      <c r="L38" s="200">
        <v>9</v>
      </c>
      <c r="M38" s="200"/>
      <c r="N38" s="200"/>
      <c r="O38" s="201"/>
    </row>
    <row r="39" ht="24" customHeight="1" spans="1:15">
      <c r="A39" s="136"/>
      <c r="B39" s="136"/>
      <c r="C39" s="136"/>
      <c r="D39" s="136"/>
      <c r="E39" s="36"/>
      <c r="F39" s="137"/>
      <c r="G39" s="119" t="s">
        <v>23</v>
      </c>
      <c r="H39" s="120" t="s">
        <v>24</v>
      </c>
      <c r="I39" s="120" t="s">
        <v>38</v>
      </c>
      <c r="J39" s="120" t="s">
        <v>26</v>
      </c>
      <c r="K39" s="191" t="s">
        <v>27</v>
      </c>
      <c r="L39" s="202"/>
      <c r="M39" s="202"/>
      <c r="N39" s="202"/>
      <c r="O39" s="201"/>
    </row>
    <row r="40" ht="40.5" customHeight="1" spans="1:15">
      <c r="A40" s="136"/>
      <c r="B40" s="136"/>
      <c r="C40" s="136"/>
      <c r="D40" s="131">
        <v>4</v>
      </c>
      <c r="E40" s="132" t="s">
        <v>62</v>
      </c>
      <c r="F40" s="133" t="s">
        <v>63</v>
      </c>
      <c r="G40" s="138" t="s">
        <v>64</v>
      </c>
      <c r="H40" s="139" t="s">
        <v>65</v>
      </c>
      <c r="I40" s="139" t="s">
        <v>66</v>
      </c>
      <c r="J40" s="139" t="s">
        <v>67</v>
      </c>
      <c r="K40" s="203" t="s">
        <v>68</v>
      </c>
      <c r="L40" s="200">
        <v>9</v>
      </c>
      <c r="M40" s="200"/>
      <c r="N40" s="200"/>
      <c r="O40" s="201"/>
    </row>
    <row r="41" ht="24" customHeight="1" spans="1:15">
      <c r="A41" s="140"/>
      <c r="B41" s="140"/>
      <c r="C41" s="140"/>
      <c r="D41" s="136"/>
      <c r="E41" s="36"/>
      <c r="F41" s="137"/>
      <c r="G41" s="119" t="s">
        <v>23</v>
      </c>
      <c r="H41" s="120" t="s">
        <v>24</v>
      </c>
      <c r="I41" s="120" t="s">
        <v>38</v>
      </c>
      <c r="J41" s="120" t="s">
        <v>26</v>
      </c>
      <c r="K41" s="191" t="s">
        <v>27</v>
      </c>
      <c r="L41" s="202"/>
      <c r="M41" s="202"/>
      <c r="N41" s="202"/>
      <c r="O41" s="201"/>
    </row>
    <row r="42" ht="7.5" customHeight="1" spans="1:15">
      <c r="A42" s="131">
        <v>3</v>
      </c>
      <c r="B42" s="131" t="s">
        <v>69</v>
      </c>
      <c r="C42" s="131">
        <v>15</v>
      </c>
      <c r="D42" s="131">
        <v>5</v>
      </c>
      <c r="E42" s="132" t="s">
        <v>70</v>
      </c>
      <c r="F42" s="141" t="s">
        <v>71</v>
      </c>
      <c r="G42" s="142" t="s">
        <v>72</v>
      </c>
      <c r="H42" s="143" t="s">
        <v>73</v>
      </c>
      <c r="I42" s="204" t="s">
        <v>74</v>
      </c>
      <c r="J42" s="205" t="s">
        <v>75</v>
      </c>
      <c r="K42" s="206" t="s">
        <v>76</v>
      </c>
      <c r="L42" s="207">
        <v>9</v>
      </c>
      <c r="M42" s="208"/>
      <c r="N42" s="209"/>
      <c r="O42" s="210" t="str">
        <f>IF(OR(L43&gt;=9.5,M43&gt;=9.5,N43&gt;=9.5,L45&gt;=9.5,M45&gt;=9.5,N45&gt;=9.5,L47&gt;=9.5,M47&gt;=9.5,N47&gt;=9.5),"提示：分值≥9.5分，请务必提供对应的佐证材料说明(具体事件或案例)",IF(OR(L43&lt;9.5,M43&lt;9.5,N43&lt;9.5,L45&lt;9.5,M45&lt;9.5,N45&lt;9.5,L47&lt;9.5,M47&lt;9.5,N47&lt;9.5),""))</f>
        <v/>
      </c>
    </row>
    <row r="43" ht="45" customHeight="1" spans="1:15">
      <c r="A43" s="136"/>
      <c r="B43" s="136"/>
      <c r="C43" s="136"/>
      <c r="D43" s="136"/>
      <c r="E43" s="36"/>
      <c r="F43" s="141"/>
      <c r="G43" s="144"/>
      <c r="H43" s="145"/>
      <c r="I43" s="145"/>
      <c r="J43" s="145"/>
      <c r="K43" s="211"/>
      <c r="L43" s="212"/>
      <c r="M43" s="208"/>
      <c r="N43" s="209"/>
      <c r="O43" s="210"/>
    </row>
    <row r="44" ht="24" customHeight="1" spans="1:15">
      <c r="A44" s="136"/>
      <c r="B44" s="136"/>
      <c r="C44" s="136"/>
      <c r="D44" s="136"/>
      <c r="E44" s="36"/>
      <c r="F44" s="141"/>
      <c r="G44" s="146" t="s">
        <v>23</v>
      </c>
      <c r="H44" s="103" t="s">
        <v>24</v>
      </c>
      <c r="I44" s="103" t="s">
        <v>38</v>
      </c>
      <c r="J44" s="103" t="s">
        <v>26</v>
      </c>
      <c r="K44" s="213" t="s">
        <v>27</v>
      </c>
      <c r="L44" s="214"/>
      <c r="M44" s="208"/>
      <c r="N44" s="209"/>
      <c r="O44" s="210"/>
    </row>
    <row r="45" ht="48" customHeight="1" spans="1:15">
      <c r="A45" s="136"/>
      <c r="B45" s="136"/>
      <c r="C45" s="136"/>
      <c r="D45" s="131">
        <v>5</v>
      </c>
      <c r="E45" s="132" t="s">
        <v>77</v>
      </c>
      <c r="F45" s="133" t="s">
        <v>78</v>
      </c>
      <c r="G45" s="138" t="s">
        <v>79</v>
      </c>
      <c r="H45" s="147" t="s">
        <v>80</v>
      </c>
      <c r="I45" s="147" t="s">
        <v>81</v>
      </c>
      <c r="J45" s="147" t="s">
        <v>82</v>
      </c>
      <c r="K45" s="215" t="s">
        <v>83</v>
      </c>
      <c r="L45" s="216">
        <v>9</v>
      </c>
      <c r="M45" s="217"/>
      <c r="N45" s="200"/>
      <c r="O45" s="210"/>
    </row>
    <row r="46" ht="24" customHeight="1" spans="1:15">
      <c r="A46" s="136"/>
      <c r="B46" s="136"/>
      <c r="C46" s="136"/>
      <c r="D46" s="136"/>
      <c r="E46" s="36"/>
      <c r="F46" s="137"/>
      <c r="G46" s="119" t="s">
        <v>23</v>
      </c>
      <c r="H46" s="120" t="s">
        <v>24</v>
      </c>
      <c r="I46" s="120" t="s">
        <v>38</v>
      </c>
      <c r="J46" s="120" t="s">
        <v>26</v>
      </c>
      <c r="K46" s="191" t="s">
        <v>27</v>
      </c>
      <c r="L46" s="202"/>
      <c r="M46" s="202"/>
      <c r="N46" s="202"/>
      <c r="O46" s="210"/>
    </row>
    <row r="47" ht="47.25" customHeight="1" spans="1:15">
      <c r="A47" s="136"/>
      <c r="B47" s="136"/>
      <c r="C47" s="136"/>
      <c r="D47" s="131">
        <v>5</v>
      </c>
      <c r="E47" s="132" t="s">
        <v>84</v>
      </c>
      <c r="F47" s="133" t="s">
        <v>85</v>
      </c>
      <c r="G47" s="138" t="s">
        <v>86</v>
      </c>
      <c r="H47" s="139" t="s">
        <v>87</v>
      </c>
      <c r="I47" s="139" t="s">
        <v>88</v>
      </c>
      <c r="J47" s="139" t="s">
        <v>89</v>
      </c>
      <c r="K47" s="203" t="s">
        <v>90</v>
      </c>
      <c r="L47" s="200">
        <v>9</v>
      </c>
      <c r="M47" s="200"/>
      <c r="N47" s="200"/>
      <c r="O47" s="210"/>
    </row>
    <row r="48" ht="24" customHeight="1" spans="1:15">
      <c r="A48" s="140"/>
      <c r="B48" s="140"/>
      <c r="C48" s="140"/>
      <c r="D48" s="136"/>
      <c r="E48" s="36"/>
      <c r="F48" s="137"/>
      <c r="G48" s="119" t="s">
        <v>23</v>
      </c>
      <c r="H48" s="148" t="s">
        <v>24</v>
      </c>
      <c r="I48" s="120" t="s">
        <v>38</v>
      </c>
      <c r="J48" s="120" t="s">
        <v>26</v>
      </c>
      <c r="K48" s="191" t="s">
        <v>27</v>
      </c>
      <c r="L48" s="202"/>
      <c r="M48" s="202"/>
      <c r="N48" s="202"/>
      <c r="O48" s="210"/>
    </row>
    <row r="49" ht="7.5" customHeight="1" spans="1:15">
      <c r="A49" s="131">
        <v>4</v>
      </c>
      <c r="B49" s="131" t="s">
        <v>91</v>
      </c>
      <c r="C49" s="131">
        <v>10</v>
      </c>
      <c r="D49" s="131">
        <v>3</v>
      </c>
      <c r="E49" s="132" t="s">
        <v>92</v>
      </c>
      <c r="F49" s="141" t="s">
        <v>93</v>
      </c>
      <c r="G49" s="149" t="s">
        <v>94</v>
      </c>
      <c r="H49" s="150" t="s">
        <v>95</v>
      </c>
      <c r="I49" s="204" t="s">
        <v>96</v>
      </c>
      <c r="J49" s="143" t="s">
        <v>97</v>
      </c>
      <c r="K49" s="218" t="s">
        <v>98</v>
      </c>
      <c r="L49" s="219">
        <v>9</v>
      </c>
      <c r="M49" s="207"/>
      <c r="N49" s="207"/>
      <c r="O49" s="220" t="str">
        <f>IF(OR(L50&gt;=9.5,M50&gt;=9.5,N50&gt;=9.5,L52&gt;=9.5,M52&gt;=9.5,N52&gt;=9.5,L54&gt;=9.5,M54&gt;=9.5,N54&gt;=9.5),"提示：分值≥9.5分，请务必提供对应的佐证材料说明(具体事件或案例)",IF(OR(L50&lt;9.5,M50&lt;9.5,N50&lt;9.5,L52&lt;9.5,M52&lt;9.5,N52&lt;9.5,L54&lt;9.5,M54&lt;9.5,N54&lt;9.5),""))</f>
        <v>提示：分值≥9.5分，请务必提供对应的佐证材料说明(具体事件或案例)</v>
      </c>
    </row>
    <row r="50" ht="42.75" customHeight="1" spans="1:15">
      <c r="A50" s="136"/>
      <c r="B50" s="136"/>
      <c r="C50" s="136"/>
      <c r="D50" s="136"/>
      <c r="E50" s="36"/>
      <c r="F50" s="141"/>
      <c r="G50" s="151"/>
      <c r="H50" s="152"/>
      <c r="I50" s="221"/>
      <c r="J50" s="222"/>
      <c r="K50" s="223"/>
      <c r="L50" s="224"/>
      <c r="M50" s="225"/>
      <c r="N50" s="225"/>
      <c r="O50" s="220"/>
    </row>
    <row r="51" ht="21.75" customHeight="1" spans="1:15">
      <c r="A51" s="136"/>
      <c r="B51" s="136"/>
      <c r="C51" s="136"/>
      <c r="D51" s="136"/>
      <c r="E51" s="36"/>
      <c r="F51" s="141"/>
      <c r="G51" s="153" t="s">
        <v>23</v>
      </c>
      <c r="H51" s="120" t="s">
        <v>24</v>
      </c>
      <c r="I51" s="120" t="s">
        <v>38</v>
      </c>
      <c r="J51" s="120" t="s">
        <v>26</v>
      </c>
      <c r="K51" s="191" t="s">
        <v>27</v>
      </c>
      <c r="L51" s="224"/>
      <c r="M51" s="225"/>
      <c r="N51" s="225"/>
      <c r="O51" s="220"/>
    </row>
    <row r="52" ht="48.75" customHeight="1" spans="1:15">
      <c r="A52" s="136"/>
      <c r="B52" s="136"/>
      <c r="C52" s="136"/>
      <c r="D52" s="131">
        <v>4</v>
      </c>
      <c r="E52" s="132" t="s">
        <v>99</v>
      </c>
      <c r="F52" s="133" t="s">
        <v>100</v>
      </c>
      <c r="G52" s="138" t="s">
        <v>101</v>
      </c>
      <c r="H52" s="139" t="s">
        <v>102</v>
      </c>
      <c r="I52" s="139" t="s">
        <v>103</v>
      </c>
      <c r="J52" s="139" t="s">
        <v>104</v>
      </c>
      <c r="K52" s="203" t="s">
        <v>105</v>
      </c>
      <c r="L52" s="226">
        <f>IF(OR(F2="王光漫",F2="刘梦",F2="谢丽君",F2="傅霞银",F2="王涛",F2="裘凯迪",F2="赵韦",F2="梅迪凡",F2="虞晔文",F2="俞洋",F2="王锋",F2="周颖",F2="王莉",F2="陈立毅",F2="王浩宇",F2="沈航凯",F2="孙维泽",F2="杨金鑫",F2="陈波",F2="陈浩天",F2="钟静伟",F2="王启源"),9,IF(OR(F2="方林杰",F2="张铖",F2="单霖霖",F2="柳张成",F2="谷永亮",F2="张凯",F2="张亮",F2="施宇城",F2="熊奇龙"),9.5,IF(OR(F2="贾志成",F2="张磊",F2="林盛"),8.5)))</f>
        <v>9.5</v>
      </c>
      <c r="M52" s="226">
        <f>IF(OR(F2="王光漫",F2="刘梦",F2="谢丽君",F2="傅霞银",F2="王涛",F2="裘凯迪",F2="赵韦",F2="梅迪凡",F2="虞晔文",F2="俞洋",F2="王锋",F2="周颖",F2="王莉",F2="陈立毅",F2="王浩宇",F2="沈航凯",F2="孙维泽",F2="杨金鑫",F2="陈波",F2="陈浩天",F2="钟静伟",F2="王启源"),9,IF(OR(F2="方林杰",F2="张铖",F2="单霖霖",F2="柳张成",F2="谷永亮",F2="张凯",F2="张亮",F2="施宇城",F2="熊奇龙"),9.5,IF(OR(F2="贾志成",F2="张磊",F2="林盛"),8.5)))</f>
        <v>9.5</v>
      </c>
      <c r="N52" s="226">
        <f>IF(OR(F2="王光漫",F2="刘梦",F2="谢丽君",F2="傅霞银",F2="王涛",F2="裘凯迪",F2="赵韦",F2="梅迪凡",F2="虞晔文",F2="俞洋",F2="王锋",F2="周颖",F2="王莉",F2="陈立毅",F2="王浩宇",F2="沈航凯",F2="孙维泽",F2="杨金鑫",F2="陈波",F2="陈浩天",F2="钟静伟",F2="王启源"),9,IF(OR(F2="方林杰",F2="张铖",F2="单霖霖",F2="柳张成",F2="谷永亮",F2="张凯",F2="张亮",F2="施宇城",F2="熊奇龙"),9.5,IF(OR(F2="贾志成",F2="张磊",F2="林盛"),8.5)))</f>
        <v>9.5</v>
      </c>
      <c r="O52" s="220"/>
    </row>
    <row r="53" ht="24" customHeight="1" spans="1:15">
      <c r="A53" s="136"/>
      <c r="B53" s="136"/>
      <c r="C53" s="136"/>
      <c r="D53" s="136"/>
      <c r="E53" s="36"/>
      <c r="F53" s="137"/>
      <c r="G53" s="119" t="s">
        <v>23</v>
      </c>
      <c r="H53" s="120" t="s">
        <v>24</v>
      </c>
      <c r="I53" s="120" t="s">
        <v>38</v>
      </c>
      <c r="J53" s="120" t="s">
        <v>26</v>
      </c>
      <c r="K53" s="191" t="s">
        <v>27</v>
      </c>
      <c r="L53" s="227"/>
      <c r="M53" s="227"/>
      <c r="N53" s="227"/>
      <c r="O53" s="220"/>
    </row>
    <row r="54" ht="51" customHeight="1" spans="1:15">
      <c r="A54" s="136"/>
      <c r="B54" s="136"/>
      <c r="C54" s="136"/>
      <c r="D54" s="131">
        <v>3</v>
      </c>
      <c r="E54" s="132" t="s">
        <v>106</v>
      </c>
      <c r="F54" s="133" t="s">
        <v>107</v>
      </c>
      <c r="G54" s="116" t="s">
        <v>108</v>
      </c>
      <c r="H54" s="139" t="s">
        <v>109</v>
      </c>
      <c r="I54" s="139" t="s">
        <v>110</v>
      </c>
      <c r="J54" s="139" t="s">
        <v>111</v>
      </c>
      <c r="K54" s="203" t="s">
        <v>112</v>
      </c>
      <c r="L54" s="202">
        <v>9</v>
      </c>
      <c r="M54" s="202"/>
      <c r="N54" s="202"/>
      <c r="O54" s="220"/>
    </row>
    <row r="55" ht="24" customHeight="1" spans="1:15">
      <c r="A55" s="140"/>
      <c r="B55" s="140"/>
      <c r="C55" s="140"/>
      <c r="D55" s="140"/>
      <c r="E55" s="35"/>
      <c r="F55" s="154"/>
      <c r="G55" s="129" t="s">
        <v>23</v>
      </c>
      <c r="H55" s="130" t="s">
        <v>24</v>
      </c>
      <c r="I55" s="130" t="s">
        <v>38</v>
      </c>
      <c r="J55" s="130" t="s">
        <v>26</v>
      </c>
      <c r="K55" s="196" t="s">
        <v>27</v>
      </c>
      <c r="L55" s="228"/>
      <c r="M55" s="228"/>
      <c r="N55" s="228"/>
      <c r="O55" s="220"/>
    </row>
    <row r="56" ht="15" customHeight="1" spans="1:15">
      <c r="A56" s="17" t="s">
        <v>46</v>
      </c>
      <c r="B56" s="18"/>
      <c r="C56" s="18"/>
      <c r="D56" s="18"/>
      <c r="E56" s="18"/>
      <c r="F56" s="18"/>
      <c r="G56" s="18"/>
      <c r="H56" s="18"/>
      <c r="I56" s="18"/>
      <c r="J56" s="18"/>
      <c r="K56" s="53"/>
      <c r="L56" s="229">
        <f>(L36*D36+L38*D38+L40*D40+L42*D42+L45*D45+L47*D47+L49*D49+L52*D52+L54*D54)/100</f>
        <v>3.62</v>
      </c>
      <c r="M56" s="229">
        <f>(M36*D36+M38*D38+M40*D40+M42*D42+M45*D45+M47*D47+M49*D49+M52*D52+M54*D54)/100</f>
        <v>0.38</v>
      </c>
      <c r="N56" s="229">
        <f>(N36*D36+N38*D38+N40*D40+N42*D42+N45*D45+N47*D47+N49*D49+N52*D52+N54*D54)/100</f>
        <v>0.38</v>
      </c>
      <c r="O56" s="230"/>
    </row>
    <row r="57" ht="15" customHeight="1" spans="1:15">
      <c r="A57" s="19" t="s">
        <v>113</v>
      </c>
      <c r="B57" s="20"/>
      <c r="C57" s="20"/>
      <c r="D57" s="60"/>
      <c r="E57" s="19" t="s">
        <v>114</v>
      </c>
      <c r="F57" s="20"/>
      <c r="G57" s="20"/>
      <c r="H57" s="20"/>
      <c r="I57" s="20"/>
      <c r="J57" s="20"/>
      <c r="K57" s="60"/>
      <c r="L57" s="231">
        <f>L56+L35</f>
        <v>8.82357142857143</v>
      </c>
      <c r="M57" s="231" t="e">
        <f>M56+M35</f>
        <v>#DIV/0!</v>
      </c>
      <c r="N57" s="231" t="e">
        <f>N56+N35</f>
        <v>#DIV/0!</v>
      </c>
      <c r="O57" s="232" t="e">
        <f>M57*60%+N57*40%</f>
        <v>#DIV/0!</v>
      </c>
    </row>
    <row r="58" ht="19.5" customHeight="1" spans="1:20">
      <c r="A58" s="155">
        <v>5</v>
      </c>
      <c r="B58" s="155" t="s">
        <v>115</v>
      </c>
      <c r="C58" s="91">
        <v>10</v>
      </c>
      <c r="D58" s="131">
        <v>5</v>
      </c>
      <c r="E58" s="132" t="s">
        <v>116</v>
      </c>
      <c r="F58" s="156" t="s">
        <v>117</v>
      </c>
      <c r="G58" s="121" t="s">
        <v>118</v>
      </c>
      <c r="H58" s="117" t="s">
        <v>119</v>
      </c>
      <c r="I58" s="139"/>
      <c r="J58" s="139"/>
      <c r="K58" s="139"/>
      <c r="L58" s="233">
        <f>IF(H59&lt;=0,0,IF(H59&gt;0,H59))</f>
        <v>0</v>
      </c>
      <c r="M58" s="234">
        <f>IF(H59&gt;0,IF(H59-1&lt;0,0,H59-1)&amp;"~"&amp;H59+1,IF(H59&lt;=0,0))</f>
        <v>0</v>
      </c>
      <c r="N58" s="234">
        <f>IF(H59&gt;0,IF(H59-1&lt;0,0,H59-1)&amp;"~"&amp;H59+1,IF(H59&lt;=0,0))</f>
        <v>0</v>
      </c>
      <c r="O58" s="235">
        <f>IF(F2="张亮",0,IF(F2="王光漫","6.5",IF(F2="刘梦",3.5,IF(F2="钟静伟",42.5,IF(F2="梅迪凡",16.5,IF(F2="王涛",47,IF(F2="陈立毅",20,IF(F2="王莉",23,IF(F2="陈波",0,IF(F2="王浩宇",106.5,IF(F2="傅霞银",0,IF(F2="张磊",22.5,IF(F2="沈航凯",11,IF(F2="虞晔文",8,IF(F2="俞洋",36,IF(F2="裘凯迪",37.5,IF(F2="王锋",15,IF(F2="张凯",0,IF(F2="陈浩天",22,IF(F2="施宇城",2.5,IF(F2="林盛",20,IF(F2="谢丽君",3,IF(F2="熊奇龙",8,IF(F2="张铖",21,IF(F2="杨金鑫",2,IF(F2="单霖霖",49,IF(F2="孙维泽",10,IF(F2="方林杰",7.5,IF(F2="贾志成",0,IF(F2="柳张成",2,IF(F2="谷永亮",7,IF(F2="周颖",0,IF(F2="赵韦",0,IF(F2="王启源",0))))))))))))))))))))))))))))))))))</f>
        <v>8</v>
      </c>
      <c r="P58" s="236"/>
      <c r="Q58" s="253"/>
      <c r="R58" s="253"/>
      <c r="S58" s="253"/>
      <c r="T58" s="253"/>
    </row>
    <row r="59" ht="19.5" customHeight="1" spans="1:20">
      <c r="A59" s="157"/>
      <c r="B59" s="157"/>
      <c r="C59" s="91"/>
      <c r="D59" s="140"/>
      <c r="E59" s="35"/>
      <c r="F59" s="158"/>
      <c r="G59" s="129">
        <v>10</v>
      </c>
      <c r="H59" s="130">
        <f>IF(((O58-20)*10/40)&lt;=0,0,IF(((O58-20)*10/40)&gt;0,(O58-20)*10/40))</f>
        <v>0</v>
      </c>
      <c r="I59" s="130"/>
      <c r="J59" s="130"/>
      <c r="K59" s="130"/>
      <c r="L59" s="237"/>
      <c r="M59" s="238"/>
      <c r="N59" s="238"/>
      <c r="O59" s="239"/>
      <c r="P59" s="240"/>
      <c r="Q59" s="253"/>
      <c r="R59" s="253"/>
      <c r="S59" s="253"/>
      <c r="T59" s="253"/>
    </row>
    <row r="60" ht="19.5" customHeight="1" spans="1:20">
      <c r="A60" s="157"/>
      <c r="B60" s="157"/>
      <c r="C60" s="91"/>
      <c r="D60" s="131">
        <v>5</v>
      </c>
      <c r="E60" s="132" t="s">
        <v>120</v>
      </c>
      <c r="F60" s="156" t="s">
        <v>121</v>
      </c>
      <c r="G60" s="121" t="s">
        <v>122</v>
      </c>
      <c r="H60" s="117" t="s">
        <v>123</v>
      </c>
      <c r="I60" s="117"/>
      <c r="J60" s="117"/>
      <c r="K60" s="189"/>
      <c r="L60" s="233">
        <f>IF(H61&lt;=0,0,IF(H61&gt;0,H61))</f>
        <v>0</v>
      </c>
      <c r="M60" s="234">
        <f>IF(H61&gt;0,IF(H61-1&lt;0,0,H61-1)&amp;"~"&amp;H61+1,IF(H61&lt;=0,0))</f>
        <v>0</v>
      </c>
      <c r="N60" s="234">
        <f>IF(H61&gt;0,IF(H61-1&lt;0,0,H61-1)&amp;"~"&amp;H61+1,IF(H61&lt;=0,0))</f>
        <v>0</v>
      </c>
      <c r="O60" s="241" t="s">
        <v>124</v>
      </c>
      <c r="P60" s="242" t="s">
        <v>125</v>
      </c>
      <c r="Q60" s="254"/>
      <c r="R60" s="254"/>
      <c r="S60" s="254"/>
      <c r="T60" s="254"/>
    </row>
    <row r="61" ht="15" customHeight="1" spans="1:16">
      <c r="A61" s="157"/>
      <c r="B61" s="157"/>
      <c r="C61" s="91"/>
      <c r="D61" s="136"/>
      <c r="E61" s="36"/>
      <c r="F61" s="159"/>
      <c r="G61" s="108">
        <v>10</v>
      </c>
      <c r="H61" s="109">
        <f>IF(((O62-5)*10/25)&lt;=0,0,IF(((O62-5)*10/25)&gt;0,(O62-5)*10/25))</f>
        <v>0</v>
      </c>
      <c r="I61" s="243"/>
      <c r="J61" s="243"/>
      <c r="K61" s="244"/>
      <c r="L61" s="245"/>
      <c r="M61" s="246"/>
      <c r="N61" s="246"/>
      <c r="O61" s="247" t="str">
        <f>IF(O60="无代理","0",IF(O60="有代理"&amp;O58=0,"0",O58/8&amp;"~"&amp;O58/4))</f>
        <v>0</v>
      </c>
      <c r="P61" s="248" t="s">
        <v>126</v>
      </c>
    </row>
    <row r="62" ht="15" customHeight="1" spans="1:16">
      <c r="A62" s="160"/>
      <c r="B62" s="160"/>
      <c r="C62" s="91"/>
      <c r="D62" s="140"/>
      <c r="E62" s="35"/>
      <c r="F62" s="158"/>
      <c r="G62" s="129"/>
      <c r="H62" s="130"/>
      <c r="I62" s="249"/>
      <c r="J62" s="249"/>
      <c r="K62" s="250"/>
      <c r="L62" s="237"/>
      <c r="M62" s="238"/>
      <c r="N62" s="238"/>
      <c r="O62" s="251"/>
      <c r="P62" s="1" t="s">
        <v>127</v>
      </c>
    </row>
    <row r="63" ht="13.5" customHeight="1" spans="1:15">
      <c r="A63" s="17" t="s">
        <v>46</v>
      </c>
      <c r="B63" s="18"/>
      <c r="C63" s="18"/>
      <c r="D63" s="18"/>
      <c r="E63" s="18"/>
      <c r="F63" s="18"/>
      <c r="G63" s="18"/>
      <c r="H63" s="18"/>
      <c r="I63" s="18"/>
      <c r="J63" s="18"/>
      <c r="K63" s="53"/>
      <c r="L63" s="197">
        <f>(L58*D58+L60*D60)/100</f>
        <v>0</v>
      </c>
      <c r="M63" s="198">
        <f>(M58*D58+M60*D60)/100</f>
        <v>0</v>
      </c>
      <c r="N63" s="197">
        <f>(N58*D58+N60*D60)/100</f>
        <v>0</v>
      </c>
      <c r="O63" s="232">
        <f>M63*60%+N63*40%</f>
        <v>0</v>
      </c>
    </row>
    <row r="64" ht="24" customHeight="1" spans="1:15">
      <c r="A64" s="155">
        <v>6</v>
      </c>
      <c r="B64" s="155" t="s">
        <v>128</v>
      </c>
      <c r="C64" s="161" t="s">
        <v>129</v>
      </c>
      <c r="D64" s="92"/>
      <c r="E64" s="34" t="s">
        <v>130</v>
      </c>
      <c r="F64" s="162" t="s">
        <v>131</v>
      </c>
      <c r="G64" s="163" t="s">
        <v>132</v>
      </c>
      <c r="H64" s="164"/>
      <c r="I64" s="164"/>
      <c r="J64" s="164"/>
      <c r="K64" s="252"/>
      <c r="L64" s="58"/>
      <c r="M64" s="4"/>
      <c r="N64" s="4"/>
      <c r="O64" s="72"/>
    </row>
    <row r="65" ht="24" customHeight="1" spans="1:15">
      <c r="A65" s="157"/>
      <c r="B65" s="157"/>
      <c r="C65" s="255"/>
      <c r="D65" s="95"/>
      <c r="E65" s="34" t="s">
        <v>133</v>
      </c>
      <c r="F65" s="162" t="s">
        <v>134</v>
      </c>
      <c r="G65" s="163" t="s">
        <v>135</v>
      </c>
      <c r="H65" s="164"/>
      <c r="I65" s="164"/>
      <c r="J65" s="164"/>
      <c r="K65" s="252"/>
      <c r="L65" s="58"/>
      <c r="M65" s="4"/>
      <c r="N65" s="4"/>
      <c r="O65" s="72"/>
    </row>
    <row r="66" ht="24" customHeight="1" spans="1:15">
      <c r="A66" s="160"/>
      <c r="B66" s="160"/>
      <c r="C66" s="256"/>
      <c r="D66" s="126"/>
      <c r="E66" s="34" t="s">
        <v>136</v>
      </c>
      <c r="F66" s="162" t="s">
        <v>137</v>
      </c>
      <c r="G66" s="163" t="s">
        <v>138</v>
      </c>
      <c r="H66" s="164"/>
      <c r="I66" s="164"/>
      <c r="J66" s="164"/>
      <c r="K66" s="252"/>
      <c r="L66" s="58"/>
      <c r="M66" s="62"/>
      <c r="N66" s="62"/>
      <c r="O66" s="72"/>
    </row>
    <row r="67" ht="20.25" customHeight="1" spans="1:15">
      <c r="A67" s="21" t="s">
        <v>139</v>
      </c>
      <c r="B67" s="21"/>
      <c r="C67" s="19" t="s">
        <v>114</v>
      </c>
      <c r="D67" s="20"/>
      <c r="E67" s="20"/>
      <c r="F67" s="20"/>
      <c r="G67" s="20"/>
      <c r="H67" s="20"/>
      <c r="I67" s="20"/>
      <c r="J67" s="20"/>
      <c r="K67" s="60"/>
      <c r="L67" s="66">
        <f>L57+L63+L64+L65+L66</f>
        <v>8.82357142857143</v>
      </c>
      <c r="M67" s="66" t="e">
        <f>M57+M63+M64+M65+M66</f>
        <v>#DIV/0!</v>
      </c>
      <c r="N67" s="66" t="e">
        <f>N57+N63+N64+N65+N66</f>
        <v>#DIV/0!</v>
      </c>
      <c r="O67" s="78" t="s">
        <v>140</v>
      </c>
    </row>
    <row r="68" ht="24.75" customHeight="1" spans="1:15">
      <c r="A68" s="27" t="s">
        <v>141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57" t="s">
        <v>142</v>
      </c>
      <c r="N68" s="257" t="s">
        <v>142</v>
      </c>
      <c r="O68" s="258" t="e">
        <f>M67*60%+N67*40%</f>
        <v>#DIV/0!</v>
      </c>
    </row>
    <row r="69" ht="57.75" customHeight="1" spans="1:15">
      <c r="A69" s="28" t="s">
        <v>143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80"/>
    </row>
    <row r="72" spans="9:9">
      <c r="I72" s="259"/>
    </row>
    <row r="75" spans="4:4">
      <c r="D75" s="1" t="s">
        <v>144</v>
      </c>
    </row>
  </sheetData>
  <mergeCells count="200">
    <mergeCell ref="A1:O1"/>
    <mergeCell ref="A2:E2"/>
    <mergeCell ref="F2:I2"/>
    <mergeCell ref="K2:L2"/>
    <mergeCell ref="N2:O2"/>
    <mergeCell ref="G3:N3"/>
    <mergeCell ref="G4:K4"/>
    <mergeCell ref="E5:N5"/>
    <mergeCell ref="E14:N14"/>
    <mergeCell ref="D23:N23"/>
    <mergeCell ref="D32:N32"/>
    <mergeCell ref="A35:K35"/>
    <mergeCell ref="A56:K56"/>
    <mergeCell ref="A57:D57"/>
    <mergeCell ref="E57:K57"/>
    <mergeCell ref="P60:T60"/>
    <mergeCell ref="A63:K63"/>
    <mergeCell ref="G64:K64"/>
    <mergeCell ref="G65:K65"/>
    <mergeCell ref="G66:K66"/>
    <mergeCell ref="A67:B67"/>
    <mergeCell ref="C67:K67"/>
    <mergeCell ref="A68:L68"/>
    <mergeCell ref="A69:O69"/>
    <mergeCell ref="A5:A34"/>
    <mergeCell ref="A36:A41"/>
    <mergeCell ref="A42:A48"/>
    <mergeCell ref="A49:A55"/>
    <mergeCell ref="A58:A62"/>
    <mergeCell ref="A64:A66"/>
    <mergeCell ref="B5:B34"/>
    <mergeCell ref="B36:B41"/>
    <mergeCell ref="B42:B48"/>
    <mergeCell ref="B49:B55"/>
    <mergeCell ref="B58:B62"/>
    <mergeCell ref="B64:B66"/>
    <mergeCell ref="C5:C34"/>
    <mergeCell ref="C36:C41"/>
    <mergeCell ref="C42:C48"/>
    <mergeCell ref="C49:C55"/>
    <mergeCell ref="C58:C62"/>
    <mergeCell ref="D5:D22"/>
    <mergeCell ref="D24:D31"/>
    <mergeCell ref="D33:D34"/>
    <mergeCell ref="D36:D37"/>
    <mergeCell ref="D38:D39"/>
    <mergeCell ref="D40:D41"/>
    <mergeCell ref="D42:D44"/>
    <mergeCell ref="D45:D46"/>
    <mergeCell ref="D47:D48"/>
    <mergeCell ref="D49:D51"/>
    <mergeCell ref="D52:D53"/>
    <mergeCell ref="D54:D55"/>
    <mergeCell ref="D58:D59"/>
    <mergeCell ref="D60:D62"/>
    <mergeCell ref="E3:E4"/>
    <mergeCell ref="E6:E9"/>
    <mergeCell ref="E10:E13"/>
    <mergeCell ref="E15:E18"/>
    <mergeCell ref="E19:E22"/>
    <mergeCell ref="E24:E25"/>
    <mergeCell ref="E26:E27"/>
    <mergeCell ref="E28:E29"/>
    <mergeCell ref="E30:E31"/>
    <mergeCell ref="E33:E34"/>
    <mergeCell ref="E36:E37"/>
    <mergeCell ref="E38:E39"/>
    <mergeCell ref="E40:E41"/>
    <mergeCell ref="E42:E44"/>
    <mergeCell ref="E45:E46"/>
    <mergeCell ref="E47:E48"/>
    <mergeCell ref="E49:E51"/>
    <mergeCell ref="E52:E53"/>
    <mergeCell ref="E54:E55"/>
    <mergeCell ref="E58:E59"/>
    <mergeCell ref="E60:E62"/>
    <mergeCell ref="F3:F4"/>
    <mergeCell ref="F6:F7"/>
    <mergeCell ref="F8:F9"/>
    <mergeCell ref="F10:F11"/>
    <mergeCell ref="F12:F13"/>
    <mergeCell ref="F15:F16"/>
    <mergeCell ref="F17:F18"/>
    <mergeCell ref="F19:F20"/>
    <mergeCell ref="F21:F22"/>
    <mergeCell ref="F24:F25"/>
    <mergeCell ref="F26:F27"/>
    <mergeCell ref="F28:F29"/>
    <mergeCell ref="F30:F31"/>
    <mergeCell ref="F33:F34"/>
    <mergeCell ref="F36:F37"/>
    <mergeCell ref="F38:F39"/>
    <mergeCell ref="F40:F41"/>
    <mergeCell ref="F42:F44"/>
    <mergeCell ref="F45:F46"/>
    <mergeCell ref="F47:F48"/>
    <mergeCell ref="F49:F51"/>
    <mergeCell ref="F52:F53"/>
    <mergeCell ref="F54:F55"/>
    <mergeCell ref="F58:F59"/>
    <mergeCell ref="F60:F62"/>
    <mergeCell ref="G42:G43"/>
    <mergeCell ref="G49:G50"/>
    <mergeCell ref="G61:G62"/>
    <mergeCell ref="H42:H43"/>
    <mergeCell ref="H49:H50"/>
    <mergeCell ref="H61:H62"/>
    <mergeCell ref="I42:I43"/>
    <mergeCell ref="I49:I50"/>
    <mergeCell ref="I61:I62"/>
    <mergeCell ref="J42:J43"/>
    <mergeCell ref="J49:J50"/>
    <mergeCell ref="J61:J62"/>
    <mergeCell ref="K42:K43"/>
    <mergeCell ref="K49:K50"/>
    <mergeCell ref="K61:K62"/>
    <mergeCell ref="L6:L7"/>
    <mergeCell ref="L8:L9"/>
    <mergeCell ref="L10:L11"/>
    <mergeCell ref="L12:L13"/>
    <mergeCell ref="L15:L16"/>
    <mergeCell ref="L17:L18"/>
    <mergeCell ref="L19:L20"/>
    <mergeCell ref="L21:L22"/>
    <mergeCell ref="L24:L25"/>
    <mergeCell ref="L26:L27"/>
    <mergeCell ref="L28:L29"/>
    <mergeCell ref="L30:L31"/>
    <mergeCell ref="L33:L34"/>
    <mergeCell ref="L36:L37"/>
    <mergeCell ref="L38:L39"/>
    <mergeCell ref="L40:L41"/>
    <mergeCell ref="L42:L44"/>
    <mergeCell ref="L45:L46"/>
    <mergeCell ref="L47:L48"/>
    <mergeCell ref="L49:L51"/>
    <mergeCell ref="L52:L53"/>
    <mergeCell ref="L54:L55"/>
    <mergeCell ref="L58:L59"/>
    <mergeCell ref="L60:L62"/>
    <mergeCell ref="M6:M7"/>
    <mergeCell ref="M8:M9"/>
    <mergeCell ref="M10:M11"/>
    <mergeCell ref="M12:M13"/>
    <mergeCell ref="M15:M16"/>
    <mergeCell ref="M17:M18"/>
    <mergeCell ref="M19:M20"/>
    <mergeCell ref="M21:M22"/>
    <mergeCell ref="M24:M25"/>
    <mergeCell ref="M26:M27"/>
    <mergeCell ref="M28:M29"/>
    <mergeCell ref="M30:M31"/>
    <mergeCell ref="M33:M34"/>
    <mergeCell ref="M36:M37"/>
    <mergeCell ref="M38:M39"/>
    <mergeCell ref="M40:M41"/>
    <mergeCell ref="M42:M44"/>
    <mergeCell ref="M45:M46"/>
    <mergeCell ref="M47:M48"/>
    <mergeCell ref="M49:M51"/>
    <mergeCell ref="M52:M53"/>
    <mergeCell ref="M54:M55"/>
    <mergeCell ref="M58:M59"/>
    <mergeCell ref="M60:M62"/>
    <mergeCell ref="N6:N7"/>
    <mergeCell ref="N8:N9"/>
    <mergeCell ref="N10:N11"/>
    <mergeCell ref="N12:N13"/>
    <mergeCell ref="N15:N16"/>
    <mergeCell ref="N17:N18"/>
    <mergeCell ref="N19:N20"/>
    <mergeCell ref="N21:N22"/>
    <mergeCell ref="N24:N25"/>
    <mergeCell ref="N26:N27"/>
    <mergeCell ref="N28:N29"/>
    <mergeCell ref="N30:N31"/>
    <mergeCell ref="N33:N34"/>
    <mergeCell ref="N36:N37"/>
    <mergeCell ref="N38:N39"/>
    <mergeCell ref="N40:N41"/>
    <mergeCell ref="N42:N44"/>
    <mergeCell ref="N45:N46"/>
    <mergeCell ref="N47:N48"/>
    <mergeCell ref="N49:N51"/>
    <mergeCell ref="N52:N53"/>
    <mergeCell ref="N54:N55"/>
    <mergeCell ref="N58:N59"/>
    <mergeCell ref="N60:N62"/>
    <mergeCell ref="O3:O4"/>
    <mergeCell ref="O5:O23"/>
    <mergeCell ref="O24:O32"/>
    <mergeCell ref="O33:O35"/>
    <mergeCell ref="O36:O41"/>
    <mergeCell ref="O42:O48"/>
    <mergeCell ref="O49:O56"/>
    <mergeCell ref="O58:O59"/>
    <mergeCell ref="A3:B4"/>
    <mergeCell ref="C3:D4"/>
    <mergeCell ref="P58:T59"/>
    <mergeCell ref="C64:D66"/>
  </mergeCells>
  <dataValidations count="8">
    <dataValidation showErrorMessage="1" sqref="I47"/>
    <dataValidation type="textLength" operator="lessThan" allowBlank="1" showInputMessage="1" showErrorMessage="1" errorTitle="输入错误" error="请在 058 中填写具体的加班时数&#10;（O列58行 绿色方框内）" sqref="H59">
      <formula1>0</formula1>
    </dataValidation>
    <dataValidation type="list" allowBlank="1" showInputMessage="1" showErrorMessage="1" sqref="O60">
      <formula1>"有代理,无代理"</formula1>
    </dataValidation>
    <dataValidation type="textLength" operator="lessThan" allowBlank="1" showInputMessage="1" showErrorMessage="1" errorTitle="输出错误" error="请在 O60 内填写具体的代理时数&#10;（O列60行绿色方框内）" sqref="H61">
      <formula1>0</formula1>
    </dataValidation>
    <dataValidation type="list" allowBlank="1" showInputMessage="1" showErrorMessage="1" sqref="M68">
      <formula1>"周永汉,唐奕磊,杨勇,李斌,周玲燕,孙凌财,蒋伟贞"</formula1>
    </dataValidation>
    <dataValidation type="list" allowBlank="1" showInputMessage="1" showErrorMessage="1" sqref="N68">
      <formula1>"许静静,朱宝安,蒋伟贞,孙凌财,张光帷"</formula1>
    </dataValidation>
    <dataValidation type="textLength" operator="lessThan" allowBlank="1" showInputMessage="1" showErrorMessage="1" errorTitle="输入错误" error="请勿在此输入任何数值；&#10;具体代理天数请在下方单元格O71填写" sqref="K72">
      <formula1>0</formula1>
    </dataValidation>
    <dataValidation allowBlank="1" showInputMessage="1" showErrorMessage="1" errorTitle="输入错误" error="您输入的不是0-100之间的正数！！" promptTitle="输入提示" sqref="O58:O59"/>
  </dataValidations>
  <pageMargins left="0.699305555555556" right="0.699305555555556" top="0.75" bottom="0.75" header="0.3" footer="0.3"/>
  <pageSetup paperSize="9" orientation="portrait"/>
  <headerFooter/>
  <ignoredErrors>
    <ignoredError sqref="H61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S37"/>
  <sheetViews>
    <sheetView showGridLines="0" workbookViewId="0">
      <selection activeCell="A1" sqref="A1:U37"/>
    </sheetView>
  </sheetViews>
  <sheetFormatPr defaultColWidth="9" defaultRowHeight="16.5"/>
  <cols>
    <col min="1" max="1" width="19.75" style="1" customWidth="1"/>
    <col min="2" max="4" width="9" style="1"/>
    <col min="5" max="5" width="2.75" style="1" customWidth="1"/>
    <col min="6" max="6" width="7.5" style="1" customWidth="1"/>
    <col min="7" max="7" width="4.625" style="1" customWidth="1"/>
    <col min="8" max="8" width="5.875" style="1" customWidth="1"/>
    <col min="9" max="9" width="11.25" style="2" customWidth="1"/>
    <col min="10" max="10" width="14.125" style="2" customWidth="1"/>
    <col min="11" max="11" width="12" style="1" customWidth="1"/>
    <col min="12" max="12" width="10.75" style="1" customWidth="1"/>
    <col min="13" max="13" width="13.375" style="1" customWidth="1"/>
    <col min="14" max="14" width="8.5" style="1" customWidth="1"/>
    <col min="15" max="15" width="8.75" style="1" customWidth="1"/>
    <col min="16" max="16" width="7.875" style="1" customWidth="1"/>
    <col min="17" max="17" width="27.25" style="1" customWidth="1"/>
    <col min="18" max="16384" width="9" style="1"/>
  </cols>
  <sheetData>
    <row r="1" ht="38.85" customHeight="1" spans="5:17">
      <c r="E1" s="3" t="s">
        <v>145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4" customHeight="1" spans="5:17">
      <c r="E2" s="4" t="s">
        <v>1</v>
      </c>
      <c r="F2" s="4"/>
      <c r="G2" s="5"/>
      <c r="H2" s="5"/>
      <c r="I2" s="5"/>
      <c r="J2" s="30"/>
      <c r="K2" s="30"/>
      <c r="L2" s="22" t="s">
        <v>3</v>
      </c>
      <c r="M2" s="31" t="s">
        <v>146</v>
      </c>
      <c r="N2" s="32"/>
      <c r="O2" s="10" t="s">
        <v>5</v>
      </c>
      <c r="P2" s="33" t="b">
        <f>IF(OR(G2="施宇城",G2="王启源",G2="张亮"),"MIS技术员",IF(OR(G2="傅霞银",G2="林盛",G2="王莉",G2="张凯"),"软件技术",IF(OR(G2="陈多壮",G2="沈航凯",G2="王浩宇",G2="陈波",G2="陈浩天",G2="杨金鑫",G2="张磊",G2="陈立毅",G2="梅迪凡",G2="裘凯迪",G2="王锋",G2="王涛",G2="俞 洋",G2="虞晔文",G2="钟静伟"),"软件应用",IF(G2="刘梦","软件工程",IF(G2="王光漫","软件设计",IF(G2="谢丽君","技术文员"))))))</f>
        <v>0</v>
      </c>
      <c r="Q2" s="69"/>
    </row>
    <row r="3" ht="39" customHeight="1" spans="5:17">
      <c r="E3" s="6" t="s">
        <v>6</v>
      </c>
      <c r="F3" s="7"/>
      <c r="G3" s="6" t="s">
        <v>7</v>
      </c>
      <c r="H3" s="7"/>
      <c r="I3" s="10" t="s">
        <v>6</v>
      </c>
      <c r="J3" s="34" t="s">
        <v>9</v>
      </c>
      <c r="K3" s="34"/>
      <c r="L3" s="34"/>
      <c r="M3" s="34"/>
      <c r="N3" s="34"/>
      <c r="O3" s="34"/>
      <c r="P3" s="34"/>
      <c r="Q3" s="22" t="s">
        <v>147</v>
      </c>
    </row>
    <row r="4" ht="30" customHeight="1" spans="5:17">
      <c r="E4" s="8"/>
      <c r="F4" s="9"/>
      <c r="G4" s="8"/>
      <c r="H4" s="9"/>
      <c r="I4" s="15"/>
      <c r="J4" s="35" t="s">
        <v>8</v>
      </c>
      <c r="K4" s="35"/>
      <c r="L4" s="35"/>
      <c r="M4" s="35"/>
      <c r="N4" s="36" t="s">
        <v>12</v>
      </c>
      <c r="O4" s="36" t="s">
        <v>148</v>
      </c>
      <c r="P4" s="36" t="s">
        <v>149</v>
      </c>
      <c r="Q4" s="23"/>
    </row>
    <row r="5" ht="15" customHeight="1" spans="5:17">
      <c r="E5" s="10">
        <v>1</v>
      </c>
      <c r="F5" s="4" t="s">
        <v>15</v>
      </c>
      <c r="G5" s="4">
        <v>60</v>
      </c>
      <c r="H5" s="11">
        <v>40</v>
      </c>
      <c r="I5" s="22" t="s">
        <v>150</v>
      </c>
      <c r="J5" s="37" t="s">
        <v>151</v>
      </c>
      <c r="K5" s="38" t="s">
        <v>152</v>
      </c>
      <c r="L5" s="38" t="s">
        <v>153</v>
      </c>
      <c r="M5" s="39" t="s">
        <v>154</v>
      </c>
      <c r="N5" s="40"/>
      <c r="O5" s="41"/>
      <c r="P5" s="41"/>
      <c r="Q5" s="70"/>
    </row>
    <row r="6" ht="15" customHeight="1" spans="5:17">
      <c r="E6" s="12"/>
      <c r="F6" s="4"/>
      <c r="G6" s="4"/>
      <c r="H6" s="13"/>
      <c r="I6" s="23"/>
      <c r="J6" s="42" t="s">
        <v>23</v>
      </c>
      <c r="K6" s="43" t="s">
        <v>155</v>
      </c>
      <c r="L6" s="43" t="s">
        <v>156</v>
      </c>
      <c r="M6" s="44" t="s">
        <v>27</v>
      </c>
      <c r="N6" s="45"/>
      <c r="O6" s="46"/>
      <c r="P6" s="46"/>
      <c r="Q6" s="71"/>
    </row>
    <row r="7" ht="15" customHeight="1" spans="5:17">
      <c r="E7" s="12"/>
      <c r="F7" s="4"/>
      <c r="G7" s="4"/>
      <c r="H7" s="13"/>
      <c r="I7" s="22" t="s">
        <v>150</v>
      </c>
      <c r="J7" s="37" t="s">
        <v>151</v>
      </c>
      <c r="K7" s="38" t="s">
        <v>152</v>
      </c>
      <c r="L7" s="38" t="s">
        <v>153</v>
      </c>
      <c r="M7" s="39" t="s">
        <v>154</v>
      </c>
      <c r="N7" s="40"/>
      <c r="O7" s="41"/>
      <c r="P7" s="41"/>
      <c r="Q7" s="71"/>
    </row>
    <row r="8" ht="15" customHeight="1" spans="5:17">
      <c r="E8" s="12"/>
      <c r="F8" s="4"/>
      <c r="G8" s="4"/>
      <c r="H8" s="13"/>
      <c r="I8" s="23"/>
      <c r="J8" s="42" t="s">
        <v>23</v>
      </c>
      <c r="K8" s="43" t="s">
        <v>155</v>
      </c>
      <c r="L8" s="43" t="s">
        <v>156</v>
      </c>
      <c r="M8" s="44" t="s">
        <v>27</v>
      </c>
      <c r="N8" s="45"/>
      <c r="O8" s="46"/>
      <c r="P8" s="46"/>
      <c r="Q8" s="71"/>
    </row>
    <row r="9" ht="15" customHeight="1" spans="5:17">
      <c r="E9" s="12"/>
      <c r="F9" s="4"/>
      <c r="G9" s="4"/>
      <c r="H9" s="13"/>
      <c r="I9" s="22" t="s">
        <v>150</v>
      </c>
      <c r="J9" s="37" t="s">
        <v>151</v>
      </c>
      <c r="K9" s="38" t="s">
        <v>152</v>
      </c>
      <c r="L9" s="47" t="s">
        <v>153</v>
      </c>
      <c r="M9" s="39" t="s">
        <v>157</v>
      </c>
      <c r="N9" s="40"/>
      <c r="O9" s="41"/>
      <c r="P9" s="41"/>
      <c r="Q9" s="71"/>
    </row>
    <row r="10" ht="15" customHeight="1" spans="5:17">
      <c r="E10" s="12"/>
      <c r="F10" s="4"/>
      <c r="G10" s="4"/>
      <c r="H10" s="13"/>
      <c r="I10" s="23"/>
      <c r="J10" s="42" t="s">
        <v>23</v>
      </c>
      <c r="K10" s="43" t="s">
        <v>155</v>
      </c>
      <c r="L10" s="48" t="s">
        <v>156</v>
      </c>
      <c r="M10" s="44" t="s">
        <v>27</v>
      </c>
      <c r="N10" s="45"/>
      <c r="O10" s="46"/>
      <c r="P10" s="46"/>
      <c r="Q10" s="71"/>
    </row>
    <row r="11" ht="15" customHeight="1" spans="5:17">
      <c r="E11" s="12"/>
      <c r="F11" s="4"/>
      <c r="G11" s="4"/>
      <c r="H11" s="13"/>
      <c r="I11" s="22" t="s">
        <v>150</v>
      </c>
      <c r="J11" s="37" t="s">
        <v>151</v>
      </c>
      <c r="K11" s="38" t="s">
        <v>158</v>
      </c>
      <c r="L11" s="47" t="s">
        <v>153</v>
      </c>
      <c r="M11" s="39" t="s">
        <v>154</v>
      </c>
      <c r="N11" s="40"/>
      <c r="O11" s="41"/>
      <c r="P11" s="41"/>
      <c r="Q11" s="71"/>
    </row>
    <row r="12" ht="15" customHeight="1" spans="5:17">
      <c r="E12" s="12"/>
      <c r="F12" s="4"/>
      <c r="G12" s="4"/>
      <c r="H12" s="13"/>
      <c r="I12" s="23"/>
      <c r="J12" s="42" t="s">
        <v>23</v>
      </c>
      <c r="K12" s="43" t="s">
        <v>155</v>
      </c>
      <c r="L12" s="48" t="s">
        <v>156</v>
      </c>
      <c r="M12" s="44" t="s">
        <v>27</v>
      </c>
      <c r="N12" s="45"/>
      <c r="O12" s="46"/>
      <c r="P12" s="46"/>
      <c r="Q12" s="71"/>
    </row>
    <row r="13" ht="24" customHeight="1" spans="5:17">
      <c r="E13" s="12"/>
      <c r="F13" s="4"/>
      <c r="G13" s="4"/>
      <c r="H13" s="11">
        <f>G5-H17-H5</f>
        <v>10</v>
      </c>
      <c r="I13" s="16" t="s">
        <v>37</v>
      </c>
      <c r="J13" s="49" t="b">
        <f>IF(P2="软件应用","出货不良率",IF(P2="软件技术","设变及时率",IF(P2="软件工程","出货测试完成度",IF(P2="软件设计","全局设计完成率",IF(P2="技术文员","程序发布准确率与及时性",IF(P2="MIS技术员","开发与维护完成率"))))))</f>
        <v>0</v>
      </c>
      <c r="K13" s="50"/>
      <c r="L13" s="50"/>
      <c r="M13" s="51"/>
      <c r="N13" s="51"/>
      <c r="O13" s="52"/>
      <c r="P13" s="52"/>
      <c r="Q13" s="71"/>
    </row>
    <row r="14" ht="24" customHeight="1" spans="5:17">
      <c r="E14" s="12"/>
      <c r="F14" s="4"/>
      <c r="G14" s="4"/>
      <c r="H14" s="13"/>
      <c r="I14" s="16" t="s">
        <v>37</v>
      </c>
      <c r="J14" s="49" t="b">
        <f>IF(P2="软件应用","出货及时率",IF(P2="软件技术","设变完成率",IF(P2="软件工程","产品化验证完成度",IF(P2="软件设计","局部设计完成率",IF(P2="技术文员","物料台账建设完整性",IF(P2="MIS技术员","开发与维护及时率"))))))</f>
        <v>0</v>
      </c>
      <c r="K14" s="50"/>
      <c r="L14" s="50"/>
      <c r="M14" s="51"/>
      <c r="N14" s="51"/>
      <c r="O14" s="52"/>
      <c r="P14" s="52"/>
      <c r="Q14" s="71"/>
    </row>
    <row r="15" ht="24" customHeight="1" spans="5:17">
      <c r="E15" s="12"/>
      <c r="F15" s="4"/>
      <c r="G15" s="4"/>
      <c r="H15" s="13"/>
      <c r="I15" s="16" t="s">
        <v>37</v>
      </c>
      <c r="J15" s="49" t="b">
        <f>IF(P2="软件应用","现场问题解决完成率",IF(P2="软件技术","BUG处理及时率",IF(P2="软件工程","",IF(P2="软件设计","关键部件设计正确率",IF(P2="技术文员","说明书制作错误率及及时率",IF(P2="MIS技术员","问题解决能力"))))))</f>
        <v>0</v>
      </c>
      <c r="K15" s="50"/>
      <c r="L15" s="50"/>
      <c r="M15" s="51"/>
      <c r="N15" s="51"/>
      <c r="O15" s="52"/>
      <c r="P15" s="52"/>
      <c r="Q15" s="71"/>
    </row>
    <row r="16" ht="24" customHeight="1" spans="5:17">
      <c r="E16" s="12"/>
      <c r="F16" s="4"/>
      <c r="G16" s="4"/>
      <c r="H16" s="14"/>
      <c r="I16" s="16" t="s">
        <v>37</v>
      </c>
      <c r="J16" s="49" t="b">
        <f>IF(P2="软件应用","客户满意度",IF(P2="软件技术","BUG处理完成率",IF(P2="软件工程","",IF(P2="软件设计","关键部件设计及时率",IF(P2="技术文员","",IF(P2="MIS技术员","用户满意度"))))))</f>
        <v>0</v>
      </c>
      <c r="K16" s="50"/>
      <c r="L16" s="50"/>
      <c r="M16" s="51"/>
      <c r="N16" s="51"/>
      <c r="O16" s="52"/>
      <c r="P16" s="52"/>
      <c r="Q16" s="71"/>
    </row>
    <row r="17" ht="24" customHeight="1" spans="5:17">
      <c r="E17" s="15"/>
      <c r="F17" s="4"/>
      <c r="G17" s="4"/>
      <c r="H17" s="16">
        <v>10</v>
      </c>
      <c r="I17" s="16" t="s">
        <v>39</v>
      </c>
      <c r="J17" s="49" t="s">
        <v>159</v>
      </c>
      <c r="K17" s="50"/>
      <c r="L17" s="50"/>
      <c r="M17" s="51"/>
      <c r="N17" s="51"/>
      <c r="O17" s="52"/>
      <c r="P17" s="52"/>
      <c r="Q17" s="71"/>
    </row>
    <row r="18" ht="13.5" customHeight="1" spans="5:17">
      <c r="E18" s="17" t="s">
        <v>46</v>
      </c>
      <c r="F18" s="18"/>
      <c r="G18" s="18"/>
      <c r="H18" s="18"/>
      <c r="I18" s="18"/>
      <c r="J18" s="18"/>
      <c r="K18" s="18"/>
      <c r="L18" s="18"/>
      <c r="M18" s="53"/>
      <c r="N18" s="54" t="e">
        <f>(AVERAGE(N5:N11)*H5+AVERAGE(N13:N16)*H13+N17*H17)/100</f>
        <v>#DIV/0!</v>
      </c>
      <c r="O18" s="55" t="e">
        <f>(AVERAGE(O5:O11)*H5+AVERAGE(O13:O16)*H13+O17*H17)/100</f>
        <v>#DIV/0!</v>
      </c>
      <c r="P18" s="54" t="e">
        <f>(AVERAGE(P5:P11)*H5+AVERAGE(P13:P16)*H13+P17*H17)/100</f>
        <v>#DIV/0!</v>
      </c>
      <c r="Q18" s="72"/>
    </row>
    <row r="19" ht="24" customHeight="1" spans="5:17">
      <c r="E19" s="10">
        <v>2</v>
      </c>
      <c r="F19" s="10" t="s">
        <v>47</v>
      </c>
      <c r="G19" s="10">
        <v>15</v>
      </c>
      <c r="H19" s="4">
        <v>6</v>
      </c>
      <c r="I19" s="4" t="s">
        <v>48</v>
      </c>
      <c r="J19" s="56" t="s">
        <v>49</v>
      </c>
      <c r="K19" s="57"/>
      <c r="L19" s="57"/>
      <c r="M19" s="58"/>
      <c r="N19" s="58"/>
      <c r="O19" s="52"/>
      <c r="P19" s="52"/>
      <c r="Q19" s="73"/>
    </row>
    <row r="20" ht="24" customHeight="1" spans="5:17">
      <c r="E20" s="12"/>
      <c r="F20" s="12"/>
      <c r="G20" s="12"/>
      <c r="H20" s="4">
        <v>5</v>
      </c>
      <c r="I20" s="4" t="s">
        <v>55</v>
      </c>
      <c r="J20" s="56" t="s">
        <v>56</v>
      </c>
      <c r="K20" s="57"/>
      <c r="L20" s="57"/>
      <c r="M20" s="58"/>
      <c r="N20" s="58"/>
      <c r="O20" s="52"/>
      <c r="P20" s="52"/>
      <c r="Q20" s="74"/>
    </row>
    <row r="21" ht="24" customHeight="1" spans="5:17">
      <c r="E21" s="15"/>
      <c r="F21" s="15"/>
      <c r="G21" s="15"/>
      <c r="H21" s="4">
        <v>4</v>
      </c>
      <c r="I21" s="4" t="s">
        <v>62</v>
      </c>
      <c r="J21" s="56" t="s">
        <v>63</v>
      </c>
      <c r="K21" s="57"/>
      <c r="L21" s="57"/>
      <c r="M21" s="58"/>
      <c r="N21" s="58"/>
      <c r="O21" s="52"/>
      <c r="P21" s="52"/>
      <c r="Q21" s="75"/>
    </row>
    <row r="22" ht="24" customHeight="1" spans="5:17">
      <c r="E22" s="10">
        <v>3</v>
      </c>
      <c r="F22" s="10" t="s">
        <v>69</v>
      </c>
      <c r="G22" s="10">
        <v>15</v>
      </c>
      <c r="H22" s="4">
        <v>5</v>
      </c>
      <c r="I22" s="4" t="s">
        <v>70</v>
      </c>
      <c r="J22" s="56" t="s">
        <v>71</v>
      </c>
      <c r="K22" s="57"/>
      <c r="L22" s="57"/>
      <c r="M22" s="58"/>
      <c r="N22" s="58"/>
      <c r="O22" s="59"/>
      <c r="P22" s="59"/>
      <c r="Q22" s="73"/>
    </row>
    <row r="23" ht="24" customHeight="1" spans="5:17">
      <c r="E23" s="12"/>
      <c r="F23" s="12"/>
      <c r="G23" s="12"/>
      <c r="H23" s="4">
        <v>5</v>
      </c>
      <c r="I23" s="4" t="s">
        <v>77</v>
      </c>
      <c r="J23" s="56" t="s">
        <v>78</v>
      </c>
      <c r="K23" s="57"/>
      <c r="L23" s="57"/>
      <c r="M23" s="58"/>
      <c r="N23" s="58"/>
      <c r="O23" s="59"/>
      <c r="P23" s="59"/>
      <c r="Q23" s="74"/>
    </row>
    <row r="24" ht="24" customHeight="1" spans="5:17">
      <c r="E24" s="15"/>
      <c r="F24" s="15"/>
      <c r="G24" s="15"/>
      <c r="H24" s="4">
        <v>5</v>
      </c>
      <c r="I24" s="4" t="s">
        <v>84</v>
      </c>
      <c r="J24" s="56" t="s">
        <v>85</v>
      </c>
      <c r="K24" s="57"/>
      <c r="L24" s="57"/>
      <c r="M24" s="58"/>
      <c r="N24" s="58"/>
      <c r="O24" s="59"/>
      <c r="P24" s="59"/>
      <c r="Q24" s="75"/>
    </row>
    <row r="25" ht="24" customHeight="1" spans="5:17">
      <c r="E25" s="10">
        <v>4</v>
      </c>
      <c r="F25" s="10" t="s">
        <v>91</v>
      </c>
      <c r="G25" s="10">
        <v>10</v>
      </c>
      <c r="H25" s="4">
        <v>3</v>
      </c>
      <c r="I25" s="4" t="s">
        <v>92</v>
      </c>
      <c r="J25" s="56" t="s">
        <v>160</v>
      </c>
      <c r="K25" s="57"/>
      <c r="L25" s="57"/>
      <c r="M25" s="58"/>
      <c r="N25" s="58"/>
      <c r="O25" s="52"/>
      <c r="P25" s="52"/>
      <c r="Q25" s="70"/>
    </row>
    <row r="26" ht="24" customHeight="1" spans="5:17">
      <c r="E26" s="12"/>
      <c r="F26" s="12"/>
      <c r="G26" s="12"/>
      <c r="H26" s="4">
        <v>4</v>
      </c>
      <c r="I26" s="4" t="s">
        <v>99</v>
      </c>
      <c r="J26" s="56" t="s">
        <v>161</v>
      </c>
      <c r="K26" s="57"/>
      <c r="L26" s="57"/>
      <c r="M26" s="58"/>
      <c r="N26" s="58"/>
      <c r="O26" s="52"/>
      <c r="P26" s="52"/>
      <c r="Q26" s="71"/>
    </row>
    <row r="27" ht="24" customHeight="1" spans="5:17">
      <c r="E27" s="15"/>
      <c r="F27" s="15"/>
      <c r="G27" s="15"/>
      <c r="H27" s="4">
        <v>3</v>
      </c>
      <c r="I27" s="4" t="s">
        <v>106</v>
      </c>
      <c r="J27" s="56" t="s">
        <v>162</v>
      </c>
      <c r="K27" s="57"/>
      <c r="L27" s="57"/>
      <c r="M27" s="58"/>
      <c r="N27" s="58"/>
      <c r="O27" s="52"/>
      <c r="P27" s="52"/>
      <c r="Q27" s="72"/>
    </row>
    <row r="28" ht="13.5" customHeight="1" spans="5:17">
      <c r="E28" s="19" t="s">
        <v>163</v>
      </c>
      <c r="F28" s="20"/>
      <c r="G28" s="21">
        <v>100</v>
      </c>
      <c r="H28" s="21"/>
      <c r="I28" s="19" t="s">
        <v>114</v>
      </c>
      <c r="J28" s="20"/>
      <c r="K28" s="20"/>
      <c r="L28" s="20"/>
      <c r="M28" s="60"/>
      <c r="N28" s="61" t="e">
        <f>(N19*H19+N20*H20+N21*H21+N22*H22+N23*H23+N24*H24+N25*H25+N26*H26+N27*H27)/100+N18</f>
        <v>#DIV/0!</v>
      </c>
      <c r="O28" s="61" t="e">
        <f>(O19*H19+O20*H20+O21*H21+O22*H22+O23*H23+O24*H24+O25*H25+O26*H26+O27*H27)/100+O18</f>
        <v>#DIV/0!</v>
      </c>
      <c r="P28" s="61" t="e">
        <f>(P19*H19+P20*H20+P21*H21+P22*H22+P23*H23+P24*H24+P25*H25+P26*H26+P27*H27)/100+P18</f>
        <v>#DIV/0!</v>
      </c>
      <c r="Q28" s="76" t="s">
        <v>164</v>
      </c>
    </row>
    <row r="29" ht="24" customHeight="1" spans="5:19">
      <c r="E29" s="22">
        <v>5</v>
      </c>
      <c r="F29" s="22" t="s">
        <v>115</v>
      </c>
      <c r="G29" s="4">
        <v>10</v>
      </c>
      <c r="H29" s="4">
        <v>5</v>
      </c>
      <c r="I29" s="62" t="s">
        <v>116</v>
      </c>
      <c r="J29" s="56" t="s">
        <v>165</v>
      </c>
      <c r="K29" s="57"/>
      <c r="L29" s="57"/>
      <c r="M29" s="58"/>
      <c r="N29" s="63"/>
      <c r="O29" s="15"/>
      <c r="P29" s="15"/>
      <c r="Q29" s="72"/>
      <c r="S29" s="77"/>
    </row>
    <row r="30" ht="24" customHeight="1" spans="5:19">
      <c r="E30" s="23"/>
      <c r="F30" s="23"/>
      <c r="G30" s="4"/>
      <c r="H30" s="4">
        <v>5</v>
      </c>
      <c r="I30" s="62" t="s">
        <v>120</v>
      </c>
      <c r="J30" s="56" t="s">
        <v>166</v>
      </c>
      <c r="K30" s="57"/>
      <c r="L30" s="57"/>
      <c r="M30" s="58"/>
      <c r="N30" s="64"/>
      <c r="O30" s="8"/>
      <c r="P30" s="8"/>
      <c r="Q30" s="72"/>
      <c r="S30" s="77"/>
    </row>
    <row r="31" ht="13.5" customHeight="1" spans="5:19">
      <c r="E31" s="17" t="s">
        <v>46</v>
      </c>
      <c r="F31" s="18"/>
      <c r="G31" s="18"/>
      <c r="H31" s="18"/>
      <c r="I31" s="18"/>
      <c r="J31" s="18"/>
      <c r="K31" s="18"/>
      <c r="L31" s="18"/>
      <c r="M31" s="53"/>
      <c r="N31" s="54">
        <f>(N29*H29+N30*H30)/100</f>
        <v>0</v>
      </c>
      <c r="O31" s="55">
        <f>(O29*H29+O30*H30)/100</f>
        <v>0</v>
      </c>
      <c r="P31" s="54">
        <f>(P29*H29+P30*H30)/100</f>
        <v>0</v>
      </c>
      <c r="Q31" s="72"/>
      <c r="S31" s="77"/>
    </row>
    <row r="32" ht="24" customHeight="1" spans="5:17">
      <c r="E32" s="22">
        <v>6</v>
      </c>
      <c r="F32" s="22" t="s">
        <v>128</v>
      </c>
      <c r="G32" s="6" t="s">
        <v>129</v>
      </c>
      <c r="H32" s="7"/>
      <c r="I32" s="62" t="s">
        <v>130</v>
      </c>
      <c r="J32" s="56" t="s">
        <v>131</v>
      </c>
      <c r="K32" s="57"/>
      <c r="L32" s="57"/>
      <c r="M32" s="58"/>
      <c r="N32" s="58"/>
      <c r="O32" s="4"/>
      <c r="P32" s="4"/>
      <c r="Q32" s="72"/>
    </row>
    <row r="33" ht="24" customHeight="1" spans="5:17">
      <c r="E33" s="24"/>
      <c r="F33" s="24"/>
      <c r="G33" s="25"/>
      <c r="H33" s="26"/>
      <c r="I33" s="62" t="s">
        <v>133</v>
      </c>
      <c r="J33" s="56" t="s">
        <v>134</v>
      </c>
      <c r="K33" s="57"/>
      <c r="L33" s="57"/>
      <c r="M33" s="58"/>
      <c r="N33" s="58"/>
      <c r="O33" s="4"/>
      <c r="P33" s="4"/>
      <c r="Q33" s="72"/>
    </row>
    <row r="34" ht="24" customHeight="1" spans="5:17">
      <c r="E34" s="23"/>
      <c r="F34" s="23"/>
      <c r="G34" s="8"/>
      <c r="H34" s="9"/>
      <c r="I34" s="62" t="s">
        <v>136</v>
      </c>
      <c r="J34" s="56" t="s">
        <v>137</v>
      </c>
      <c r="K34" s="57"/>
      <c r="L34" s="57"/>
      <c r="M34" s="58"/>
      <c r="N34" s="58"/>
      <c r="O34" s="62"/>
      <c r="P34" s="62"/>
      <c r="Q34" s="72"/>
    </row>
    <row r="35" ht="20.25" customHeight="1" spans="5:17">
      <c r="E35" s="21" t="s">
        <v>139</v>
      </c>
      <c r="F35" s="21"/>
      <c r="G35" s="19" t="s">
        <v>114</v>
      </c>
      <c r="H35" s="20"/>
      <c r="I35" s="20"/>
      <c r="J35" s="20"/>
      <c r="K35" s="20"/>
      <c r="L35" s="20"/>
      <c r="M35" s="60"/>
      <c r="N35" s="65" t="e">
        <f>N28+N31+N32+N33+N34</f>
        <v>#DIV/0!</v>
      </c>
      <c r="O35" s="65" t="e">
        <f>O28+O31+O32+O33+O34</f>
        <v>#DIV/0!</v>
      </c>
      <c r="P35" s="66" t="e">
        <f>P28+P31+P32+P33+P34</f>
        <v>#DIV/0!</v>
      </c>
      <c r="Q35" s="78" t="s">
        <v>140</v>
      </c>
    </row>
    <row r="36" ht="24.75" customHeight="1" spans="5:17">
      <c r="E36" s="27" t="s">
        <v>141</v>
      </c>
      <c r="F36" s="27"/>
      <c r="G36" s="27"/>
      <c r="H36" s="27"/>
      <c r="I36" s="27"/>
      <c r="J36" s="27"/>
      <c r="K36" s="27"/>
      <c r="L36" s="27"/>
      <c r="M36" s="27"/>
      <c r="N36" s="27"/>
      <c r="O36" s="67"/>
      <c r="P36" s="68"/>
      <c r="Q36" s="79" t="e">
        <f>O35*60%+P35*40%</f>
        <v>#DIV/0!</v>
      </c>
    </row>
    <row r="37" ht="57.75" customHeight="1" spans="5:17">
      <c r="E37" s="28" t="s">
        <v>167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0"/>
    </row>
  </sheetData>
  <mergeCells count="79">
    <mergeCell ref="E1:Q1"/>
    <mergeCell ref="E2:F2"/>
    <mergeCell ref="G2:K2"/>
    <mergeCell ref="M2:N2"/>
    <mergeCell ref="P2:Q2"/>
    <mergeCell ref="J3:P3"/>
    <mergeCell ref="J4:M4"/>
    <mergeCell ref="J13:M13"/>
    <mergeCell ref="J14:M14"/>
    <mergeCell ref="J15:M15"/>
    <mergeCell ref="J16:M16"/>
    <mergeCell ref="J17:M17"/>
    <mergeCell ref="E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E28:F28"/>
    <mergeCell ref="G28:H28"/>
    <mergeCell ref="I28:M28"/>
    <mergeCell ref="J29:M29"/>
    <mergeCell ref="J30:M30"/>
    <mergeCell ref="E31:M31"/>
    <mergeCell ref="J32:M32"/>
    <mergeCell ref="J33:M33"/>
    <mergeCell ref="J34:M34"/>
    <mergeCell ref="E35:F35"/>
    <mergeCell ref="G35:M35"/>
    <mergeCell ref="E36:N36"/>
    <mergeCell ref="E37:Q37"/>
    <mergeCell ref="E5:E17"/>
    <mergeCell ref="E19:E21"/>
    <mergeCell ref="E22:E24"/>
    <mergeCell ref="E25:E27"/>
    <mergeCell ref="E29:E30"/>
    <mergeCell ref="E32:E34"/>
    <mergeCell ref="F5:F17"/>
    <mergeCell ref="F19:F21"/>
    <mergeCell ref="F22:F24"/>
    <mergeCell ref="F25:F27"/>
    <mergeCell ref="F29:F30"/>
    <mergeCell ref="F32:F34"/>
    <mergeCell ref="G5:G17"/>
    <mergeCell ref="G19:G21"/>
    <mergeCell ref="G22:G24"/>
    <mergeCell ref="G25:G27"/>
    <mergeCell ref="G29:G30"/>
    <mergeCell ref="H5:H12"/>
    <mergeCell ref="H13:H16"/>
    <mergeCell ref="I3:I4"/>
    <mergeCell ref="I5:I6"/>
    <mergeCell ref="I7:I8"/>
    <mergeCell ref="I9:I10"/>
    <mergeCell ref="I11:I12"/>
    <mergeCell ref="N5:N6"/>
    <mergeCell ref="N7:N8"/>
    <mergeCell ref="N9:N10"/>
    <mergeCell ref="N11:N12"/>
    <mergeCell ref="O5:O6"/>
    <mergeCell ref="O7:O8"/>
    <mergeCell ref="O9:O10"/>
    <mergeCell ref="O11:O12"/>
    <mergeCell ref="P5:P6"/>
    <mergeCell ref="P7:P8"/>
    <mergeCell ref="P9:P10"/>
    <mergeCell ref="P11:P12"/>
    <mergeCell ref="Q3:Q4"/>
    <mergeCell ref="Q5:Q18"/>
    <mergeCell ref="Q19:Q21"/>
    <mergeCell ref="Q22:Q24"/>
    <mergeCell ref="Q25:Q27"/>
    <mergeCell ref="G32:H34"/>
    <mergeCell ref="E3:F4"/>
    <mergeCell ref="G3:H4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iTianKong.com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设计课_孙凌财</dc:creator>
  <cp:lastModifiedBy>熊</cp:lastModifiedBy>
  <dcterms:created xsi:type="dcterms:W3CDTF">2017-09-15T03:33:00Z</dcterms:created>
  <dcterms:modified xsi:type="dcterms:W3CDTF">2018-10-29T05:59:34Z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