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mc:AlternateContent xmlns:mc="http://schemas.openxmlformats.org/markup-compatibility/2006">
    <mc:Choice Requires="x15">
      <x15ac:absPath xmlns:x15ac="http://schemas.microsoft.com/office/spreadsheetml/2010/11/ac" url="C:\csc\1 note veryImportant !\STOCK\网络游戏\游族网络\"/>
    </mc:Choice>
  </mc:AlternateContent>
  <xr:revisionPtr revIDLastSave="0" documentId="13_ncr:1_{07E15201-C8D0-48B4-9946-1E975FAA7F66}" xr6:coauthVersionLast="45" xr6:coauthVersionMax="45" xr10:uidLastSave="{00000000-0000-0000-0000-000000000000}"/>
  <bookViews>
    <workbookView xWindow="-110" yWindow="-110" windowWidth="19420" windowHeight="10420" tabRatio="896" firstSheet="4" activeTab="16" xr2:uid="{00000000-000D-0000-FFFF-FFFF00000000}"/>
  </bookViews>
  <sheets>
    <sheet name="结论" sheetId="35" r:id="rId1"/>
    <sheet name="本公司数据" sheetId="16" r:id="rId2"/>
    <sheet name="历史估值" sheetId="52" r:id="rId3"/>
    <sheet name="公司分部" sheetId="53" r:id="rId4"/>
    <sheet name="股东持股" sheetId="62" r:id="rId5"/>
    <sheet name="游戏产业数据" sheetId="63" r:id="rId6"/>
    <sheet name="腾讯" sheetId="64" r:id="rId7"/>
    <sheet name="网易" sheetId="65" r:id="rId8"/>
    <sheet name="三七互娱" sheetId="66" r:id="rId9"/>
    <sheet name="财务数据 最新" sheetId="23" r:id="rId10"/>
    <sheet name="经营指标对比" sheetId="45" r:id="rId11"/>
    <sheet name="可转债" sheetId="57" r:id="rId12"/>
    <sheet name="子公司们" sheetId="58" r:id="rId13"/>
    <sheet name="诉讼" sheetId="59" r:id="rId14"/>
    <sheet name="员工持股计划" sheetId="60" r:id="rId15"/>
    <sheet name="d长期应收" sheetId="51" r:id="rId16"/>
    <sheet name="非财务数据" sheetId="67" r:id="rId17"/>
  </sheets>
  <calcPr calcId="191029"/>
</workbook>
</file>

<file path=xl/calcChain.xml><?xml version="1.0" encoding="utf-8"?>
<calcChain xmlns="http://schemas.openxmlformats.org/spreadsheetml/2006/main">
  <c r="L7" i="52" l="1"/>
  <c r="H7" i="52"/>
  <c r="H11" i="23"/>
  <c r="H12" i="23"/>
  <c r="H13" i="23"/>
  <c r="F23" i="52"/>
  <c r="F21" i="52"/>
  <c r="F20" i="52"/>
  <c r="F19" i="52"/>
  <c r="F18" i="52"/>
  <c r="F17" i="52"/>
  <c r="F16" i="52"/>
  <c r="H4" i="52"/>
  <c r="F15" i="52"/>
  <c r="G46" i="16" l="1"/>
  <c r="H46" i="16"/>
  <c r="I46" i="16"/>
  <c r="J46" i="16"/>
  <c r="K46" i="16"/>
  <c r="L46" i="16"/>
  <c r="M46" i="16"/>
  <c r="L8" i="16" l="1"/>
  <c r="K8" i="16"/>
  <c r="J8" i="16"/>
  <c r="I8" i="16"/>
  <c r="H8" i="16"/>
  <c r="G8" i="16"/>
  <c r="C4" i="66"/>
  <c r="B8" i="66"/>
  <c r="C8" i="66"/>
  <c r="D8" i="66"/>
  <c r="E8" i="66"/>
  <c r="F8" i="66"/>
  <c r="G8" i="66"/>
  <c r="D4" i="66"/>
  <c r="E4" i="66"/>
  <c r="F4" i="66"/>
  <c r="G4" i="66" l="1"/>
  <c r="L6" i="16"/>
  <c r="K6" i="16"/>
  <c r="J6" i="16"/>
  <c r="I6" i="16"/>
  <c r="H6" i="16"/>
  <c r="G6" i="16"/>
  <c r="L7" i="16"/>
  <c r="K7" i="16"/>
  <c r="J7" i="16"/>
  <c r="I7" i="16"/>
  <c r="H7" i="16"/>
  <c r="G7" i="16"/>
  <c r="L5" i="16"/>
  <c r="K5" i="16"/>
  <c r="J5" i="16"/>
  <c r="I5" i="16"/>
  <c r="H5" i="16"/>
  <c r="G5" i="16"/>
  <c r="G10" i="65"/>
  <c r="F10" i="65"/>
  <c r="E10" i="65"/>
  <c r="D10" i="65"/>
  <c r="C10" i="65"/>
  <c r="B10" i="65"/>
  <c r="G9" i="65"/>
  <c r="F9" i="65"/>
  <c r="E9" i="65"/>
  <c r="D9" i="65"/>
  <c r="C9" i="65"/>
  <c r="B9" i="65"/>
  <c r="I36" i="63" l="1"/>
  <c r="H8" i="64"/>
  <c r="G8" i="64"/>
  <c r="F8" i="64"/>
  <c r="E8" i="64"/>
  <c r="I27" i="63"/>
  <c r="H6" i="64"/>
  <c r="G6" i="64"/>
  <c r="F6" i="64"/>
  <c r="E6" i="64"/>
  <c r="D6" i="64"/>
  <c r="C6" i="64"/>
  <c r="B6" i="64"/>
  <c r="G10" i="64"/>
  <c r="E10" i="64"/>
  <c r="F10" i="64"/>
  <c r="H10" i="64" l="1"/>
  <c r="G2" i="64" l="1"/>
  <c r="H22" i="63"/>
  <c r="H18" i="63" l="1"/>
  <c r="G18" i="63"/>
  <c r="F18" i="63"/>
  <c r="E18" i="63"/>
  <c r="H39" i="63"/>
  <c r="G39" i="63"/>
  <c r="F39" i="63"/>
  <c r="E39" i="63"/>
  <c r="H38" i="63"/>
  <c r="G38" i="63"/>
  <c r="F38" i="63"/>
  <c r="H5" i="63"/>
  <c r="G5" i="63"/>
  <c r="F5" i="63"/>
  <c r="E5" i="63"/>
  <c r="H6" i="63"/>
  <c r="G6" i="63"/>
  <c r="F6" i="63"/>
  <c r="E6" i="63"/>
  <c r="D6" i="63"/>
  <c r="H36" i="63"/>
  <c r="G36" i="63"/>
  <c r="F36" i="63"/>
  <c r="E36" i="63"/>
  <c r="H33" i="63"/>
  <c r="G33" i="63"/>
  <c r="F33" i="63"/>
  <c r="E33" i="63"/>
  <c r="H14" i="63"/>
  <c r="G14" i="63"/>
  <c r="F14" i="63"/>
  <c r="E14" i="63"/>
  <c r="H31" i="63"/>
  <c r="G31" i="63"/>
  <c r="F31" i="63"/>
  <c r="E31" i="63"/>
  <c r="H12" i="63"/>
  <c r="G12" i="63"/>
  <c r="F12" i="63"/>
  <c r="E12" i="63"/>
  <c r="D12" i="63"/>
  <c r="H11" i="63"/>
  <c r="G11" i="63"/>
  <c r="F11" i="63"/>
  <c r="E11" i="63"/>
  <c r="H29" i="63"/>
  <c r="G29" i="63"/>
  <c r="F29" i="63"/>
  <c r="E29" i="63"/>
  <c r="E9" i="63"/>
  <c r="F9" i="63"/>
  <c r="G9" i="63"/>
  <c r="H9" i="63"/>
  <c r="D9" i="63"/>
  <c r="H8" i="63"/>
  <c r="G8" i="63"/>
  <c r="F8" i="63"/>
  <c r="E8" i="63"/>
  <c r="D21" i="63"/>
  <c r="H21" i="63"/>
  <c r="G21" i="63"/>
  <c r="F21" i="63"/>
  <c r="E21" i="63"/>
  <c r="E25" i="63"/>
  <c r="F25" i="63"/>
  <c r="G25" i="63"/>
  <c r="H25" i="63"/>
  <c r="H24" i="63"/>
  <c r="G24" i="63"/>
  <c r="F24" i="63"/>
  <c r="E24" i="63"/>
  <c r="H27" i="63"/>
  <c r="G27" i="63"/>
  <c r="F27" i="63"/>
  <c r="E27" i="63"/>
  <c r="H3" i="63"/>
  <c r="G3" i="63"/>
  <c r="F3" i="63"/>
  <c r="E3" i="63"/>
  <c r="S25" i="62"/>
  <c r="K25" i="62"/>
  <c r="L25" i="62"/>
  <c r="P25" i="62"/>
  <c r="O25" i="62"/>
  <c r="M25" i="62"/>
  <c r="N25" i="62"/>
  <c r="D29" i="62"/>
  <c r="G37" i="16"/>
  <c r="G35" i="16"/>
  <c r="H35" i="16"/>
  <c r="H37" i="16" s="1"/>
  <c r="I35" i="16"/>
  <c r="I37" i="16" s="1"/>
  <c r="G14" i="16"/>
  <c r="H14" i="16"/>
  <c r="I14" i="16"/>
  <c r="J14" i="16"/>
  <c r="K14" i="16"/>
  <c r="G13" i="16"/>
  <c r="H13" i="16"/>
  <c r="I13" i="16"/>
  <c r="J13" i="16"/>
  <c r="K13" i="16"/>
  <c r="L14" i="16"/>
  <c r="L13" i="16"/>
  <c r="K9" i="58" l="1"/>
  <c r="L9" i="58"/>
  <c r="M9" i="58"/>
  <c r="N9" i="58"/>
  <c r="O9" i="58"/>
  <c r="P9" i="58"/>
  <c r="Q9" i="58"/>
  <c r="R9" i="58"/>
  <c r="S9" i="58"/>
  <c r="J9" i="58"/>
  <c r="I9" i="58"/>
  <c r="H9" i="58"/>
  <c r="G9" i="58"/>
  <c r="F9" i="58"/>
  <c r="E9" i="58"/>
  <c r="G8" i="58"/>
  <c r="J8" i="58"/>
  <c r="M8" i="58"/>
  <c r="P8" i="58"/>
  <c r="S8" i="58"/>
  <c r="R8" i="58"/>
  <c r="O8" i="58"/>
  <c r="L8" i="58"/>
  <c r="I8" i="58"/>
  <c r="F8" i="58"/>
  <c r="K36" i="16" l="1"/>
  <c r="K37" i="16" s="1"/>
  <c r="J35" i="16"/>
  <c r="J37" i="16" s="1"/>
  <c r="L35" i="16"/>
  <c r="L37" i="16" s="1"/>
  <c r="Q7" i="58"/>
  <c r="N7" i="58"/>
  <c r="H7" i="58"/>
  <c r="E7" i="58"/>
  <c r="E6" i="58"/>
  <c r="Q6" i="58"/>
  <c r="N6" i="58"/>
  <c r="K6" i="58"/>
  <c r="H6" i="58"/>
  <c r="Q5" i="58"/>
  <c r="N5" i="58"/>
  <c r="K5" i="58"/>
  <c r="H5" i="58"/>
  <c r="E5" i="58"/>
  <c r="E4" i="58"/>
  <c r="Q4" i="58"/>
  <c r="N4" i="58"/>
  <c r="K4" i="58"/>
  <c r="H4" i="58"/>
  <c r="F28" i="52" l="1"/>
  <c r="F27" i="52"/>
  <c r="F26" i="52"/>
  <c r="F25" i="52"/>
  <c r="F24" i="52"/>
  <c r="F22" i="52"/>
  <c r="F14" i="52"/>
  <c r="Z7" i="51"/>
  <c r="X7" i="51"/>
  <c r="X6" i="51"/>
  <c r="X5" i="51"/>
  <c r="X4" i="51"/>
  <c r="X3" i="51"/>
  <c r="T7" i="51"/>
  <c r="T6" i="51"/>
  <c r="T5" i="51"/>
  <c r="T4" i="51"/>
  <c r="T3" i="51"/>
  <c r="P7" i="51"/>
  <c r="P6" i="51"/>
  <c r="P5" i="51"/>
  <c r="P4" i="51"/>
  <c r="P3" i="51"/>
  <c r="L7" i="51"/>
  <c r="L6" i="51"/>
  <c r="L5" i="51"/>
  <c r="L4" i="51"/>
  <c r="L3" i="51"/>
  <c r="H7" i="51"/>
  <c r="H6" i="51"/>
  <c r="H5" i="51"/>
  <c r="H4" i="51"/>
  <c r="H3" i="51"/>
  <c r="F7" i="51"/>
  <c r="B7" i="51"/>
  <c r="C6" i="51"/>
  <c r="C5" i="51"/>
  <c r="C4" i="51"/>
  <c r="C3" i="51"/>
  <c r="V7" i="51"/>
  <c r="W6" i="51"/>
  <c r="W5" i="51"/>
  <c r="W4" i="51"/>
  <c r="W3" i="51"/>
  <c r="R7" i="51"/>
  <c r="S6" i="51"/>
  <c r="S5" i="51"/>
  <c r="S4" i="51"/>
  <c r="S3" i="51"/>
  <c r="N7" i="51"/>
  <c r="O6" i="51"/>
  <c r="O5" i="51"/>
  <c r="O4" i="51"/>
  <c r="O3" i="51"/>
  <c r="G6" i="51"/>
  <c r="G5" i="51"/>
  <c r="G4" i="51"/>
  <c r="G3" i="51"/>
  <c r="J7" i="51"/>
  <c r="K6" i="51"/>
  <c r="K5" i="51"/>
  <c r="K4" i="51"/>
  <c r="K3" i="51"/>
  <c r="K7" i="51" s="1"/>
  <c r="M7" i="51" s="1"/>
  <c r="C7" i="51" l="1"/>
  <c r="E7" i="51" s="1"/>
  <c r="W7" i="51"/>
  <c r="Y7" i="51" s="1"/>
  <c r="S7" i="51"/>
  <c r="U7" i="51" s="1"/>
  <c r="O7" i="51"/>
  <c r="Q7" i="51" s="1"/>
  <c r="G7" i="51"/>
  <c r="I7" i="51" s="1"/>
  <c r="F4" i="23" l="1"/>
  <c r="H18" i="23"/>
  <c r="H17" i="23"/>
  <c r="H16" i="23"/>
  <c r="F3" i="23"/>
  <c r="F2"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pearl</author>
  </authors>
  <commentList>
    <comment ref="L14" authorId="0" shapeId="0" xr:uid="{9C6489A1-AFCF-4DD6-9089-9FE6C90090BD}">
      <text>
        <r>
          <rPr>
            <b/>
            <sz val="9"/>
            <color indexed="81"/>
            <rFont val="宋体"/>
            <charset val="1"/>
          </rPr>
          <t>pearl:</t>
        </r>
        <r>
          <rPr>
            <sz val="9"/>
            <color indexed="81"/>
            <rFont val="宋体"/>
            <charset val="1"/>
          </rPr>
          <t xml:space="preserve">
这个毛利率很不正常</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pearl</author>
  </authors>
  <commentList>
    <comment ref="E4" authorId="0" shapeId="0" xr:uid="{32C502DC-99C2-4CAA-9ED8-BE64AE3B7E86}">
      <text>
        <r>
          <rPr>
            <b/>
            <sz val="9"/>
            <color indexed="81"/>
            <rFont val="宋体"/>
            <charset val="1"/>
          </rPr>
          <t>pearl:</t>
        </r>
        <r>
          <rPr>
            <sz val="9"/>
            <color indexed="81"/>
            <rFont val="宋体"/>
            <charset val="1"/>
          </rPr>
          <t xml:space="preserve">
1.截至2015年11月24日，游族网络已与陈钢强、掌淘投资、广州红土、广东红土、深创投完成股权交割，收到上述各方缴纳的出资共计 271,499,813.97 元，认购游族网络 5,485,953 股股票
2. 非公开发行股票募集配套资金的发行价格 89.10元/股计算，本次募集配套资金合计发行5,909,090 股上市公司股票</t>
        </r>
      </text>
    </comment>
    <comment ref="E6" authorId="0" shapeId="0" xr:uid="{F644A161-E85B-4884-BAE9-E5B15529164B}">
      <text>
        <r>
          <rPr>
            <b/>
            <sz val="9"/>
            <color indexed="81"/>
            <rFont val="宋体"/>
            <charset val="134"/>
          </rPr>
          <t xml:space="preserve">pearl:
投资于网络游戏研发及发行运营建设项目、偿还银行贷款项
目及大数据分析与运营建设项目
</t>
        </r>
        <r>
          <rPr>
            <sz val="9"/>
            <color indexed="81"/>
            <rFont val="宋体"/>
            <charset val="134"/>
          </rPr>
          <t xml:space="preserve">
序号 募集资金投向 项目总投资金额 募集资金投资金额
1 网络游戏研发及发行运营建设项目 97,248.41 35,900.00
2 大数据分析与运营建设项目 119,995.49 54,300.002-1-4
序号 募集资金投向 项目总投资金额 募集资金投资金额
3 偿还银行贷款 35,000.00 35,000.00
合计 252,243.90 125,200.00</t>
        </r>
      </text>
    </comment>
    <comment ref="E14" authorId="0" shapeId="0" xr:uid="{B1C036DF-D191-47A3-A2CB-A9E7EE2DD5A4}">
      <text>
        <r>
          <rPr>
            <b/>
            <sz val="9"/>
            <color indexed="81"/>
            <rFont val="宋体"/>
            <charset val="1"/>
          </rPr>
          <t>pearl:</t>
        </r>
        <r>
          <rPr>
            <sz val="9"/>
            <color indexed="81"/>
            <rFont val="宋体"/>
            <charset val="1"/>
          </rPr>
          <t xml:space="preserve">
增发价格 20.06元</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pearl</author>
  </authors>
  <commentList>
    <comment ref="D2" authorId="0" shapeId="0" xr:uid="{39516D5E-39DB-485C-9DF2-CA6B44CC01C3}">
      <text>
        <r>
          <rPr>
            <b/>
            <sz val="9"/>
            <color indexed="81"/>
            <rFont val="宋体"/>
            <charset val="1"/>
          </rPr>
          <t>pearl:</t>
        </r>
        <r>
          <rPr>
            <sz val="9"/>
            <color indexed="81"/>
            <rFont val="宋体"/>
            <charset val="1"/>
          </rPr>
          <t xml:space="preserve">
本次公司重大资产重组发行股份192,770,051股将于2014年5月16日在深圳证券
交易所上市， 新增股份上市后公司股份总数将变更为275,709,972股。本次变动后，
梅花实业集团有限公司不再是公司的控股股东， 林奇成为公司的控股股东。公司的
实际控制人由王安邦变更为林奇。</t>
        </r>
      </text>
    </comment>
    <comment ref="B5" authorId="0" shapeId="0" xr:uid="{8D8AC1EC-1E10-4C57-AA48-F93D71C8156E}">
      <text>
        <r>
          <rPr>
            <b/>
            <sz val="9"/>
            <color indexed="81"/>
            <rFont val="宋体"/>
            <charset val="134"/>
          </rPr>
          <t>pearl:</t>
        </r>
        <r>
          <rPr>
            <sz val="9"/>
            <color indexed="81"/>
            <rFont val="宋体"/>
            <charset val="134"/>
          </rPr>
          <t xml:space="preserve">
</t>
        </r>
      </text>
    </comment>
    <comment ref="A10" authorId="0" shapeId="0" xr:uid="{0645D585-8F97-418E-BE06-46E74DB42725}">
      <text>
        <r>
          <rPr>
            <b/>
            <sz val="9"/>
            <color indexed="81"/>
            <rFont val="宋体"/>
            <charset val="134"/>
          </rPr>
          <t>pearl:</t>
        </r>
        <r>
          <rPr>
            <sz val="9"/>
            <color indexed="81"/>
            <rFont val="宋体"/>
            <charset val="134"/>
          </rPr>
          <t xml:space="preserve">
2015年9月11日，中国证监会通报，马信琪涉嫌操纵“暴风科技”股票价格，依据相关法律法规，对马信琪作出行政处罚。 [2] 
操作手法编辑
通过虚假申报等方法影响相应股票价格，并快速反向卖出获利。
马信琪在2015年7月31日多次大笔申报买入后快速撤单，以不成交或少量成交的方式拉抬“暴风科技”股价，随后快速反向卖出之前持有的部分股票获利。 [2]</t>
        </r>
      </text>
    </comment>
    <comment ref="A21" authorId="0" shapeId="0" xr:uid="{18C4F4F7-9932-4059-AF18-0037EDEAC09B}">
      <text>
        <r>
          <rPr>
            <b/>
            <sz val="9"/>
            <color indexed="81"/>
            <rFont val="宋体"/>
            <charset val="134"/>
          </rPr>
          <t>pearl:</t>
        </r>
        <r>
          <rPr>
            <sz val="9"/>
            <color indexed="81"/>
            <rFont val="宋体"/>
            <charset val="134"/>
          </rPr>
          <t xml:space="preserve">
敬天爱人成立于 2011 年 12 月 22 日， 是游族信息骨干员工设立的持股企业。</t>
        </r>
      </text>
    </comment>
    <comment ref="B21" authorId="0" shapeId="0" xr:uid="{9E7D3DDC-49C2-41F6-BC9C-ED151070B7C7}">
      <text>
        <r>
          <rPr>
            <b/>
            <sz val="9"/>
            <color indexed="81"/>
            <rFont val="宋体"/>
            <charset val="134"/>
          </rPr>
          <t>pearl:</t>
        </r>
        <r>
          <rPr>
            <sz val="9"/>
            <color indexed="81"/>
            <rFont val="宋体"/>
            <charset val="134"/>
          </rPr>
          <t xml:space="preserve">
张雷 11.8825 11.8825 货币 33.95%</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pearl</author>
  </authors>
  <commentList>
    <comment ref="A14" authorId="0" shapeId="0" xr:uid="{7A8B8E9C-63E2-4DC0-97FD-4AE2EC72750A}">
      <text>
        <r>
          <rPr>
            <b/>
            <sz val="9"/>
            <color indexed="81"/>
            <rFont val="宋体"/>
            <charset val="134"/>
          </rPr>
          <t>pearl:</t>
        </r>
        <r>
          <rPr>
            <sz val="9"/>
            <color indexed="81"/>
            <rFont val="宋体"/>
            <charset val="134"/>
          </rPr>
          <t xml:space="preserve">
中国网页游戏市场近几年受到移动端市场的冲击，从事网页游戏的企
业越来越少，用户规模逐步下降，市场萎缩明显。</t>
        </r>
      </text>
    </comment>
    <comment ref="A17" authorId="0" shapeId="0" xr:uid="{50FE09A5-A366-43E6-AC16-F84ACD7E8C66}">
      <text>
        <r>
          <rPr>
            <b/>
            <sz val="9"/>
            <color indexed="81"/>
            <rFont val="宋体"/>
            <charset val="134"/>
          </rPr>
          <t>pearl:</t>
        </r>
        <r>
          <rPr>
            <sz val="9"/>
            <color indexed="81"/>
            <rFont val="宋体"/>
            <charset val="134"/>
          </rPr>
          <t xml:space="preserve">
增长率较高</t>
        </r>
      </text>
    </comment>
    <comment ref="A35" authorId="0" shapeId="0" xr:uid="{ACA1C3F5-382A-4AB4-AB72-F66D314D84BE}">
      <text>
        <r>
          <rPr>
            <b/>
            <sz val="9"/>
            <color indexed="81"/>
            <rFont val="宋体"/>
            <charset val="134"/>
          </rPr>
          <t>pearl:</t>
        </r>
        <r>
          <rPr>
            <sz val="9"/>
            <color indexed="81"/>
            <rFont val="宋体"/>
            <charset val="134"/>
          </rPr>
          <t xml:space="preserve">
增长率较高</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pearl</author>
  </authors>
  <commentList>
    <comment ref="E1" authorId="0" shapeId="0" xr:uid="{5AC5F33A-2EE4-4689-9BB1-A19E7DA82971}">
      <text>
        <r>
          <rPr>
            <b/>
            <sz val="9"/>
            <color indexed="81"/>
            <rFont val="宋体"/>
            <charset val="1"/>
          </rPr>
          <t>pearl:</t>
        </r>
        <r>
          <rPr>
            <sz val="9"/>
            <color indexed="81"/>
            <rFont val="宋体"/>
            <charset val="1"/>
          </rPr>
          <t xml:space="preserve">
2017 Q2 
手游首次超越端游收入</t>
        </r>
      </text>
    </comment>
    <comment ref="B2" authorId="0" shapeId="0" xr:uid="{1F01C548-134E-46A2-B244-062FF6E0C1D6}">
      <text>
        <r>
          <rPr>
            <b/>
            <sz val="9"/>
            <color indexed="81"/>
            <rFont val="宋体"/>
            <charset val="1"/>
          </rPr>
          <t xml:space="preserve">pearl:
</t>
        </r>
        <r>
          <rPr>
            <sz val="9"/>
            <color indexed="81"/>
            <rFont val="宋体"/>
            <charset val="1"/>
          </rPr>
          <t xml:space="preserve">
Q4: 119.64</t>
        </r>
      </text>
    </comment>
    <comment ref="C2" authorId="0" shapeId="0" xr:uid="{505C2D0C-212A-409A-BFE5-691CA55B0840}">
      <text>
        <r>
          <rPr>
            <b/>
            <sz val="9"/>
            <color indexed="81"/>
            <rFont val="宋体"/>
            <charset val="1"/>
          </rPr>
          <t>pearl:</t>
        </r>
        <r>
          <rPr>
            <sz val="9"/>
            <color indexed="81"/>
            <rFont val="宋体"/>
            <charset val="1"/>
          </rPr>
          <t xml:space="preserve">
Q4: 159.71</t>
        </r>
      </text>
    </comment>
    <comment ref="D2" authorId="0" shapeId="0" xr:uid="{4AC23EA7-A480-48DB-BC6A-35BD8DFC786C}">
      <text>
        <r>
          <rPr>
            <b/>
            <sz val="9"/>
            <color indexed="81"/>
            <rFont val="宋体"/>
            <charset val="1"/>
          </rPr>
          <t>pearl:</t>
        </r>
        <r>
          <rPr>
            <sz val="9"/>
            <color indexed="81"/>
            <rFont val="宋体"/>
            <charset val="1"/>
          </rPr>
          <t xml:space="preserve">
Q4: 184.69</t>
        </r>
      </text>
    </comment>
    <comment ref="E2" authorId="0" shapeId="0" xr:uid="{8926F662-29C7-4B4B-BA8A-49B5B32A18AF}">
      <text>
        <r>
          <rPr>
            <b/>
            <sz val="9"/>
            <color indexed="81"/>
            <rFont val="宋体"/>
            <charset val="1"/>
          </rPr>
          <t>pearl:</t>
        </r>
        <r>
          <rPr>
            <sz val="9"/>
            <color indexed="81"/>
            <rFont val="宋体"/>
            <charset val="1"/>
          </rPr>
          <t xml:space="preserve">
Q1: 228.11
Q2: 238.61
Q3: 268.44
Q4: 243.67
</t>
        </r>
      </text>
    </comment>
    <comment ref="G2" authorId="0" shapeId="0" xr:uid="{D35AE0BD-A4C4-48CD-893C-805A6FB82AD5}">
      <text>
        <r>
          <rPr>
            <b/>
            <sz val="9"/>
            <color indexed="81"/>
            <rFont val="宋体"/>
            <charset val="134"/>
          </rPr>
          <t>pearl:</t>
        </r>
        <r>
          <rPr>
            <sz val="9"/>
            <color indexed="81"/>
            <rFont val="宋体"/>
            <charset val="134"/>
          </rPr>
          <t xml:space="preserve">
Q4: 302.86 海外Q4占23%</t>
        </r>
      </text>
    </comment>
    <comment ref="B5" authorId="0" shapeId="0" xr:uid="{90798A8F-547C-41CE-A944-E17B398D6B6A}">
      <text>
        <r>
          <rPr>
            <b/>
            <sz val="9"/>
            <color indexed="81"/>
            <rFont val="宋体"/>
            <charset val="1"/>
          </rPr>
          <t xml:space="preserve">pearl:
</t>
        </r>
        <r>
          <rPr>
            <sz val="9"/>
            <color indexed="81"/>
            <rFont val="宋体"/>
            <charset val="134"/>
          </rPr>
          <t>Q1: 22.22
Q2: 40.5</t>
        </r>
        <r>
          <rPr>
            <b/>
            <sz val="9"/>
            <color indexed="81"/>
            <rFont val="宋体"/>
            <charset val="1"/>
          </rPr>
          <t xml:space="preserve">
</t>
        </r>
        <r>
          <rPr>
            <sz val="9"/>
            <color indexed="81"/>
            <rFont val="宋体"/>
            <charset val="134"/>
          </rPr>
          <t>Q3: 33</t>
        </r>
        <r>
          <rPr>
            <sz val="9"/>
            <color indexed="81"/>
            <rFont val="宋体"/>
            <charset val="1"/>
          </rPr>
          <t xml:space="preserve">
Q4: 38</t>
        </r>
      </text>
    </comment>
    <comment ref="C5" authorId="0" shapeId="0" xr:uid="{61A816DA-5BE0-4612-9D0B-1387F2F35863}">
      <text>
        <r>
          <rPr>
            <b/>
            <sz val="9"/>
            <color indexed="81"/>
            <rFont val="宋体"/>
            <charset val="134"/>
          </rPr>
          <t>pearl:</t>
        </r>
        <r>
          <rPr>
            <sz val="9"/>
            <color indexed="81"/>
            <rFont val="宋体"/>
            <charset val="134"/>
          </rPr>
          <t xml:space="preserve">
Q1: 40
Q2: 45
Q3: 53
Q4: 75</t>
        </r>
      </text>
    </comment>
    <comment ref="D5" authorId="0" shapeId="0" xr:uid="{D85938FF-A24E-4174-98DC-D8AB7B822372}">
      <text>
        <r>
          <rPr>
            <b/>
            <sz val="9"/>
            <color indexed="81"/>
            <rFont val="宋体"/>
            <charset val="1"/>
          </rPr>
          <t xml:space="preserve">pearl:
</t>
        </r>
        <r>
          <rPr>
            <sz val="9"/>
            <color indexed="81"/>
            <rFont val="宋体"/>
            <charset val="134"/>
          </rPr>
          <t>Q1: 80
Q2: 96
Q3: 99</t>
        </r>
        <r>
          <rPr>
            <sz val="9"/>
            <color indexed="81"/>
            <rFont val="宋体"/>
            <charset val="1"/>
          </rPr>
          <t xml:space="preserve">
Q4: 107</t>
        </r>
      </text>
    </comment>
    <comment ref="E5" authorId="0" shapeId="0" xr:uid="{CBF7B6FA-15B9-4E5A-84D2-DAB82E41D64D}">
      <text>
        <r>
          <rPr>
            <b/>
            <sz val="9"/>
            <color indexed="81"/>
            <rFont val="宋体"/>
            <charset val="1"/>
          </rPr>
          <t>pearl:</t>
        </r>
        <r>
          <rPr>
            <sz val="9"/>
            <color indexed="81"/>
            <rFont val="宋体"/>
            <charset val="1"/>
          </rPr>
          <t xml:space="preserve">
Q1: 129
Q2: 148
Q3: 182
Q4: 169</t>
        </r>
      </text>
    </comment>
    <comment ref="A7" authorId="0" shapeId="0" xr:uid="{949AFE39-9FCC-4D7E-A1A4-107E4E096586}">
      <text>
        <r>
          <rPr>
            <b/>
            <sz val="9"/>
            <color indexed="81"/>
            <rFont val="宋体"/>
            <charset val="1"/>
          </rPr>
          <t>pearl:</t>
        </r>
        <r>
          <rPr>
            <sz val="9"/>
            <color indexed="81"/>
            <rFont val="宋体"/>
            <charset val="1"/>
          </rPr>
          <t xml:space="preserve">
LOL 属于该分类</t>
        </r>
      </text>
    </comment>
    <comment ref="E7" authorId="0" shapeId="0" xr:uid="{1603C480-09EF-488F-9EB6-2EB3DC28CFC9}">
      <text>
        <r>
          <rPr>
            <b/>
            <sz val="9"/>
            <color indexed="81"/>
            <rFont val="宋体"/>
            <charset val="1"/>
          </rPr>
          <t>pearl:</t>
        </r>
        <r>
          <rPr>
            <sz val="9"/>
            <color indexed="81"/>
            <rFont val="宋体"/>
            <charset val="1"/>
          </rPr>
          <t xml:space="preserve">
Q1: 141
Q2: 136
Q3: 146
Q4: 128</t>
        </r>
      </text>
    </comment>
    <comment ref="A10" authorId="0" shapeId="0" xr:uid="{A12E7EA2-287C-4758-BAB0-946B55CC3455}">
      <text>
        <r>
          <rPr>
            <b/>
            <sz val="9"/>
            <color indexed="81"/>
            <rFont val="宋体"/>
            <charset val="1"/>
          </rPr>
          <t>pearl:</t>
        </r>
        <r>
          <rPr>
            <sz val="9"/>
            <color indexed="81"/>
            <rFont val="宋体"/>
            <charset val="1"/>
          </rPr>
          <t xml:space="preserve">
假设
财报终端分类之和为总收入
总收入 - 网游收入 = 单机收入</t>
        </r>
      </text>
    </comment>
    <comment ref="A12" authorId="0" shapeId="0" xr:uid="{1643CFDD-CD7F-4603-ADFA-D7BEE8E22A4B}">
      <text>
        <r>
          <rPr>
            <b/>
            <sz val="9"/>
            <color indexed="81"/>
            <rFont val="宋体"/>
            <charset val="1"/>
          </rPr>
          <t>pearl:</t>
        </r>
        <r>
          <rPr>
            <sz val="9"/>
            <color indexed="81"/>
            <rFont val="宋体"/>
            <charset val="1"/>
          </rPr>
          <t xml:space="preserve">
MAU（Monthly Active User）
受统计方式限制，互联网行业使用的月活跃用户数一般指在统计周期(周/月)内，启动过该App的用户数。
月活不等于当月各日日活相加，需要进行去重</t>
        </r>
      </text>
    </comment>
    <comment ref="A15" authorId="0" shapeId="0" xr:uid="{E9DB60AC-CDF9-453A-BD9F-9971705C01F3}">
      <text>
        <r>
          <rPr>
            <b/>
            <sz val="9"/>
            <color indexed="81"/>
            <rFont val="宋体"/>
            <charset val="1"/>
          </rPr>
          <t>pearl:</t>
        </r>
        <r>
          <rPr>
            <sz val="9"/>
            <color indexed="81"/>
            <rFont val="宋体"/>
            <charset val="1"/>
          </rPr>
          <t xml:space="preserve">
DAU：daily active user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pearl</author>
  </authors>
  <commentList>
    <comment ref="B1" authorId="0" shapeId="0" xr:uid="{280C12C5-63F6-474C-8A23-EDCDFD52980E}">
      <text>
        <r>
          <rPr>
            <b/>
            <sz val="9"/>
            <color indexed="81"/>
            <rFont val="宋体"/>
            <charset val="1"/>
          </rPr>
          <t>pearl:</t>
        </r>
        <r>
          <rPr>
            <sz val="9"/>
            <color indexed="81"/>
            <rFont val="宋体"/>
            <charset val="1"/>
          </rPr>
          <t xml:space="preserve">
荣顺股份
主营汽车塑料燃油箱</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pearl</author>
  </authors>
  <commentList>
    <comment ref="E19" authorId="0" shapeId="0" xr:uid="{A474C329-5D90-46DE-AB09-B92CDFFAF66E}">
      <text>
        <r>
          <rPr>
            <b/>
            <sz val="9"/>
            <color indexed="81"/>
            <rFont val="宋体"/>
            <charset val="1"/>
          </rPr>
          <t>pearl:</t>
        </r>
        <r>
          <rPr>
            <sz val="9"/>
            <color indexed="81"/>
            <rFont val="宋体"/>
            <charset val="1"/>
          </rPr>
          <t xml:space="preserve">
半年度业绩预告推算</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pearl</author>
  </authors>
  <commentList>
    <comment ref="L8" authorId="0" shapeId="0" xr:uid="{A12DF280-DC5C-4348-82B4-E88CA9721F31}">
      <text>
        <r>
          <rPr>
            <b/>
            <sz val="9"/>
            <color indexed="81"/>
            <rFont val="宋体"/>
            <charset val="1"/>
          </rPr>
          <t>pearl:</t>
        </r>
        <r>
          <rPr>
            <sz val="9"/>
            <color indexed="81"/>
            <rFont val="宋体"/>
            <charset val="1"/>
          </rPr>
          <t xml:space="preserve">
1-9月</t>
        </r>
      </text>
    </comment>
    <comment ref="O8" authorId="0" shapeId="0" xr:uid="{0158CD7B-6BDC-44B1-9475-4EC60971726D}">
      <text>
        <r>
          <rPr>
            <b/>
            <sz val="9"/>
            <color indexed="81"/>
            <rFont val="宋体"/>
            <charset val="1"/>
          </rPr>
          <t>pearl:</t>
        </r>
        <r>
          <rPr>
            <sz val="9"/>
            <color indexed="81"/>
            <rFont val="宋体"/>
            <charset val="1"/>
          </rPr>
          <t xml:space="preserve">
1-9月
</t>
        </r>
      </text>
    </comment>
    <comment ref="R8" authorId="0" shapeId="0" xr:uid="{92EE3401-DE3A-4076-B2C6-BC55E30C2F5D}">
      <text>
        <r>
          <rPr>
            <b/>
            <sz val="9"/>
            <color indexed="81"/>
            <rFont val="宋体"/>
            <charset val="1"/>
          </rPr>
          <t>pearl:</t>
        </r>
        <r>
          <rPr>
            <sz val="9"/>
            <color indexed="81"/>
            <rFont val="宋体"/>
            <charset val="1"/>
          </rPr>
          <t xml:space="preserve">
1-9月</t>
        </r>
      </text>
    </comment>
  </commentList>
</comments>
</file>

<file path=xl/sharedStrings.xml><?xml version="1.0" encoding="utf-8"?>
<sst xmlns="http://schemas.openxmlformats.org/spreadsheetml/2006/main" count="427" uniqueCount="326">
  <si>
    <t>好</t>
  </si>
  <si>
    <t>值得关注</t>
  </si>
  <si>
    <t>糟糕</t>
  </si>
  <si>
    <t>业务发展</t>
  </si>
  <si>
    <t>财务数据</t>
  </si>
  <si>
    <t>实控人</t>
  </si>
  <si>
    <t>高管</t>
  </si>
  <si>
    <t>机构</t>
  </si>
  <si>
    <t>增发</t>
  </si>
  <si>
    <t>估值历史</t>
  </si>
  <si>
    <t>合计</t>
  </si>
  <si>
    <t>股价</t>
  </si>
  <si>
    <t>市值（亿）</t>
  </si>
  <si>
    <t>股本 (亿）</t>
  </si>
  <si>
    <t>上市发行</t>
  </si>
  <si>
    <t>2015顶部</t>
  </si>
  <si>
    <t>2016初熔断</t>
  </si>
  <si>
    <t>现价</t>
  </si>
  <si>
    <t>营业收入</t>
  </si>
  <si>
    <t>毛利率</t>
  </si>
  <si>
    <t>销售费用</t>
  </si>
  <si>
    <t>管理费用</t>
  </si>
  <si>
    <t>财务费用</t>
  </si>
  <si>
    <t>净利润</t>
  </si>
  <si>
    <t>扣非净利润</t>
  </si>
  <si>
    <t>经营活动产生的现金流量净额</t>
  </si>
  <si>
    <t>支付给职工以及为职工支付的现金</t>
  </si>
  <si>
    <t>研发投入</t>
  </si>
  <si>
    <t>研发投入资本化</t>
  </si>
  <si>
    <t>回购</t>
  </si>
  <si>
    <t>股息支付率</t>
  </si>
  <si>
    <t>2020 1-3</t>
  </si>
  <si>
    <t>2019 1-3</t>
  </si>
  <si>
    <t>2020 1-6</t>
  </si>
  <si>
    <t>2019 1-6</t>
  </si>
  <si>
    <t>分部信息：</t>
  </si>
  <si>
    <t>分季收入</t>
  </si>
  <si>
    <t>Q1</t>
  </si>
  <si>
    <t>Q2</t>
  </si>
  <si>
    <t>Q3</t>
  </si>
  <si>
    <t>Q4</t>
  </si>
  <si>
    <t>分季净利润</t>
  </si>
  <si>
    <t>1-2年</t>
  </si>
  <si>
    <t>2-3年</t>
  </si>
  <si>
    <t>总资产周转率(次)</t>
  </si>
  <si>
    <t>应收账款周转天数(天)</t>
  </si>
  <si>
    <t>日期</t>
  </si>
  <si>
    <t>转股价格向下修正</t>
  </si>
  <si>
    <t>有条件赎回条款</t>
  </si>
  <si>
    <t>有条件回售条款</t>
  </si>
  <si>
    <t>债券期限</t>
  </si>
  <si>
    <t>债券利率</t>
  </si>
  <si>
    <t>到期赎回条款</t>
  </si>
  <si>
    <t>转股期限</t>
  </si>
  <si>
    <t>募投项目</t>
  </si>
  <si>
    <t>营业收入（亿元）</t>
  </si>
  <si>
    <t>占比</t>
  </si>
  <si>
    <t>变动</t>
  </si>
  <si>
    <t>股息(亿元)</t>
  </si>
  <si>
    <t>单位：亿元</t>
  </si>
  <si>
    <t>2020一季报</t>
  </si>
  <si>
    <t>流动负债</t>
  </si>
  <si>
    <t>非流动负债</t>
  </si>
  <si>
    <t>2014年报</t>
  </si>
  <si>
    <t>2015年报</t>
  </si>
  <si>
    <t>2016年报</t>
  </si>
  <si>
    <t>2017年报</t>
  </si>
  <si>
    <t>2018年报</t>
  </si>
  <si>
    <t>2019年报</t>
  </si>
  <si>
    <t>货币+理财</t>
  </si>
  <si>
    <t>1年内</t>
  </si>
  <si>
    <t>大于3年</t>
  </si>
  <si>
    <t>期末余额</t>
  </si>
  <si>
    <t>坏账准备</t>
  </si>
  <si>
    <t>计提比例</t>
  </si>
  <si>
    <t>2014年年报</t>
  </si>
  <si>
    <t>2015年年报</t>
  </si>
  <si>
    <t>2016年年报</t>
  </si>
  <si>
    <t>2017年年报</t>
  </si>
  <si>
    <t>2018年年报</t>
  </si>
  <si>
    <t>2019年年报</t>
  </si>
  <si>
    <t>单位：元</t>
  </si>
  <si>
    <t>合计(万元)</t>
  </si>
  <si>
    <t>增发上市</t>
  </si>
  <si>
    <t>2020年一季报</t>
  </si>
  <si>
    <t>2019年三季报</t>
  </si>
  <si>
    <t>2019年中报</t>
  </si>
  <si>
    <t>2019年一季报</t>
  </si>
  <si>
    <t>2018年三季报</t>
  </si>
  <si>
    <t>在本次发行的可转换公司债券期满后五个交易日内，公司将按债券面值的110%（含最后一期利息）的价格赎回全部未转股的可转换公司债券。</t>
  </si>
  <si>
    <t xml:space="preserve">公司名称 </t>
  </si>
  <si>
    <t xml:space="preserve">公司类型 </t>
  </si>
  <si>
    <t xml:space="preserve">主要业务 </t>
  </si>
  <si>
    <t xml:space="preserve">注册资本 </t>
  </si>
  <si>
    <t>子公司</t>
  </si>
  <si>
    <t>总资产（亿元）</t>
  </si>
  <si>
    <r>
      <t>YOUZU</t>
    </r>
    <r>
      <rPr>
        <sz val="9"/>
        <color rgb="FF000000"/>
        <rFont val="宋体"/>
        <charset val="134"/>
      </rPr>
      <t>（</t>
    </r>
    <r>
      <rPr>
        <sz val="9"/>
        <color rgb="FF000000"/>
        <rFont val="Times New Roman"/>
        <family val="1"/>
      </rPr>
      <t>SINGAPORE）PTE.LTD</t>
    </r>
  </si>
  <si>
    <t>净资产 （亿元）</t>
  </si>
  <si>
    <t>营业收入 （亿元）</t>
  </si>
  <si>
    <t>营业利润 （亿元）</t>
  </si>
  <si>
    <t>净利润（亿元）</t>
  </si>
  <si>
    <t>网页游戏、其他软件及程序设计的开发</t>
  </si>
  <si>
    <t>Youzu Games
HongKong Limited</t>
  </si>
  <si>
    <t>计算机软硬件及配件的技术开发、技术转让、技术服务、技术咨询、动漫设计、计算机软硬件</t>
  </si>
  <si>
    <r>
      <t xml:space="preserve">7,911.54
</t>
    </r>
    <r>
      <rPr>
        <sz val="8"/>
        <color rgb="FF000000"/>
        <rFont val="宋体"/>
        <charset val="134"/>
      </rPr>
      <t>（</t>
    </r>
    <r>
      <rPr>
        <sz val="8"/>
        <color rgb="FF000000"/>
        <rFont val="Times New Roman"/>
        <family val="1"/>
      </rPr>
      <t xml:space="preserve">10,000 </t>
    </r>
    <r>
      <rPr>
        <sz val="8"/>
        <color rgb="FF000000"/>
        <rFont val="宋体"/>
        <charset val="134"/>
      </rPr>
      <t>港币）</t>
    </r>
  </si>
  <si>
    <r>
      <t xml:space="preserve">3,065,250
</t>
    </r>
    <r>
      <rPr>
        <sz val="8"/>
        <color rgb="FF000000"/>
        <rFont val="宋体"/>
        <charset val="134"/>
      </rPr>
      <t>（</t>
    </r>
    <r>
      <rPr>
        <sz val="8"/>
        <color rgb="FF000000"/>
        <rFont val="Times New Roman"/>
        <family val="1"/>
      </rPr>
      <t>500000</t>
    </r>
    <r>
      <rPr>
        <sz val="8"/>
        <color rgb="FF000000"/>
        <rFont val="宋体"/>
        <charset val="134"/>
      </rPr>
      <t>美金）</t>
    </r>
  </si>
  <si>
    <t xml:space="preserve">Yousu Gmbh </t>
  </si>
  <si>
    <r>
      <t xml:space="preserve">181,715
</t>
    </r>
    <r>
      <rPr>
        <sz val="8"/>
        <color rgb="FF000000"/>
        <rFont val="宋体"/>
        <charset val="134"/>
      </rPr>
      <t>（</t>
    </r>
    <r>
      <rPr>
        <sz val="8"/>
        <color rgb="FF000000"/>
        <rFont val="Times New Roman"/>
        <family val="1"/>
      </rPr>
      <t xml:space="preserve">25,000 </t>
    </r>
    <r>
      <rPr>
        <sz val="8"/>
        <color rgb="FF000000"/>
        <rFont val="宋体"/>
        <charset val="134"/>
      </rPr>
      <t>欧元）</t>
    </r>
  </si>
  <si>
    <t>网络游戏和手机游戏的开发、运营</t>
  </si>
  <si>
    <t xml:space="preserve">投资管理 </t>
  </si>
  <si>
    <r>
      <t xml:space="preserve">1 </t>
    </r>
    <r>
      <rPr>
        <sz val="9"/>
        <color rgb="FF000000"/>
        <rFont val="宋体"/>
        <charset val="134"/>
      </rPr>
      <t>港币</t>
    </r>
  </si>
  <si>
    <t>Yousu HongKong
Limited</t>
  </si>
  <si>
    <t>张宇、朱锐</t>
  </si>
  <si>
    <t xml:space="preserve">披露日期 </t>
  </si>
  <si>
    <t>披露索引</t>
  </si>
  <si>
    <t>涉案金额（万元）</t>
  </si>
  <si>
    <t>是否形成预计负债</t>
  </si>
  <si>
    <t xml:space="preserve">否 </t>
  </si>
  <si>
    <t>审理中</t>
  </si>
  <si>
    <t xml:space="preserve">已和解 </t>
  </si>
  <si>
    <t xml:space="preserve">- </t>
  </si>
  <si>
    <t>正在执行</t>
  </si>
  <si>
    <r>
      <t>诉讼</t>
    </r>
    <r>
      <rPr>
        <b/>
        <sz val="9"/>
        <color rgb="FF000000"/>
        <rFont val="Times New Roman"/>
        <family val="1"/>
      </rPr>
      <t>(</t>
    </r>
    <r>
      <rPr>
        <b/>
        <sz val="9"/>
        <color rgb="FF000000"/>
        <rFont val="宋体"/>
        <charset val="134"/>
      </rPr>
      <t>仲裁</t>
    </r>
    <r>
      <rPr>
        <b/>
        <sz val="9"/>
        <color rgb="FF000000"/>
        <rFont val="Times New Roman"/>
        <family val="1"/>
      </rPr>
      <t>)</t>
    </r>
    <r>
      <rPr>
        <b/>
        <sz val="9"/>
        <color rgb="FF000000"/>
        <rFont val="宋体"/>
        <charset val="134"/>
      </rPr>
      <t>基本情况</t>
    </r>
  </si>
  <si>
    <r>
      <t>诉讼</t>
    </r>
    <r>
      <rPr>
        <b/>
        <sz val="9"/>
        <color rgb="FF000000"/>
        <rFont val="Times New Roman"/>
        <family val="1"/>
      </rPr>
      <t>(</t>
    </r>
    <r>
      <rPr>
        <b/>
        <sz val="9"/>
        <color rgb="FF000000"/>
        <rFont val="宋体"/>
        <charset val="134"/>
      </rPr>
      <t>仲裁</t>
    </r>
    <r>
      <rPr>
        <b/>
        <sz val="9"/>
        <color rgb="FF000000"/>
        <rFont val="Times New Roman"/>
        <family val="1"/>
      </rPr>
      <t xml:space="preserve">)
</t>
    </r>
    <r>
      <rPr>
        <b/>
        <sz val="9"/>
        <color rgb="FF000000"/>
        <rFont val="宋体"/>
        <charset val="134"/>
      </rPr>
      <t>进展</t>
    </r>
  </si>
  <si>
    <r>
      <t>诉讼</t>
    </r>
    <r>
      <rPr>
        <b/>
        <sz val="9"/>
        <color rgb="FF000000"/>
        <rFont val="Times New Roman"/>
        <family val="1"/>
      </rPr>
      <t>(</t>
    </r>
    <r>
      <rPr>
        <b/>
        <sz val="9"/>
        <color rgb="FF000000"/>
        <rFont val="宋体"/>
        <charset val="134"/>
      </rPr>
      <t>仲裁</t>
    </r>
    <r>
      <rPr>
        <b/>
        <sz val="9"/>
        <color rgb="FF000000"/>
        <rFont val="Times New Roman"/>
        <family val="1"/>
      </rPr>
      <t>)</t>
    </r>
    <r>
      <rPr>
        <b/>
        <sz val="9"/>
        <color rgb="FF000000"/>
        <rFont val="宋体"/>
        <charset val="134"/>
      </rPr>
      <t>审理结果及影响</t>
    </r>
  </si>
  <si>
    <r>
      <t>诉讼</t>
    </r>
    <r>
      <rPr>
        <b/>
        <sz val="9"/>
        <color rgb="FF000000"/>
        <rFont val="Times New Roman"/>
        <family val="1"/>
      </rPr>
      <t>(</t>
    </r>
    <r>
      <rPr>
        <b/>
        <sz val="9"/>
        <color rgb="FF000000"/>
        <rFont val="宋体"/>
        <charset val="134"/>
      </rPr>
      <t>仲裁</t>
    </r>
    <r>
      <rPr>
        <b/>
        <sz val="9"/>
        <color rgb="FF000000"/>
        <rFont val="Times New Roman"/>
        <family val="1"/>
      </rPr>
      <t>)</t>
    </r>
    <r>
      <rPr>
        <b/>
        <sz val="9"/>
        <color rgb="FF000000"/>
        <rFont val="宋体"/>
        <charset val="134"/>
      </rPr>
      <t>判决执行情况</t>
    </r>
  </si>
  <si>
    <t xml:space="preserve">已判决 </t>
  </si>
  <si>
    <t xml:space="preserve">已获胜诉 </t>
  </si>
  <si>
    <t>上海幻聚科技有限公司诉游族网络房屋租赁纠纷案</t>
  </si>
  <si>
    <t>上海游族信息技术有限公司诉颐侨网络科技（上海）有限公司合同纠纷</t>
  </si>
  <si>
    <t>上海驰游信息技术有限公司、上海游族互娱网络科技有限公司诉鹰潭网源科技有限公司合同纠纷</t>
  </si>
  <si>
    <t>游族信息诉上海荣仕投资管理有限公司合同纠纷案</t>
  </si>
  <si>
    <t>杭州网易雷火科技有限公司诉上海游族信息技术有限公司不正当竞争纠纷两案</t>
  </si>
  <si>
    <t>执行完毕</t>
  </si>
  <si>
    <t>杭州网易雷火科技有限公司诉上海游族信息技术有限公司著作权侵权及不正当竞争纠纷</t>
  </si>
  <si>
    <t>员工持股计划持有的股票总额为11,196,090股，占公司截至2019年12月31日总股比的1.26%。</t>
  </si>
  <si>
    <t>公司于2019年12月23日出售已达成解锁条件的第一期员工持股计划第一批股票共计4,798,200股，占当时公司总股本比例0.54%。</t>
  </si>
  <si>
    <t>公司第一期员工持股计划第一批股票解锁条件达成，已于2019年12月20日锁定期届满。</t>
  </si>
  <si>
    <t>http://www.cninfo.com.cn/new/disclosure/detail?plate=szse&amp;orgId=9900003663&amp;stockCode=002174&amp;announcementId=120719213
7&amp;announcementTime=2019-12-25</t>
  </si>
  <si>
    <t>广州掌淘网络科技有限公司</t>
  </si>
  <si>
    <t>  营业收入(亿元)</t>
  </si>
  <si>
    <t>  营业成本(亿元)</t>
  </si>
  <si>
    <t>  营业利润(亿元)</t>
  </si>
  <si>
    <t>  毛利率(%)</t>
  </si>
  <si>
    <t>  收入构成(%)</t>
  </si>
  <si>
    <t>  利润构成(%)</t>
  </si>
  <si>
    <t>网页游戏</t>
  </si>
  <si>
    <t>移动游戏</t>
  </si>
  <si>
    <t>张宇、韩晨君</t>
  </si>
  <si>
    <t>瑞华会计师事务所</t>
  </si>
  <si>
    <t xml:space="preserve">事务所 </t>
  </si>
  <si>
    <t>立信会计师事务所（特殊普通合伙）</t>
  </si>
  <si>
    <t>审计师</t>
  </si>
  <si>
    <t>借壳上市</t>
  </si>
  <si>
    <t>梅花伞</t>
  </si>
  <si>
    <t>梅花实业</t>
  </si>
  <si>
    <t>林奇</t>
  </si>
  <si>
    <t>朱伟松</t>
  </si>
  <si>
    <t>李竹</t>
  </si>
  <si>
    <t>苏州松禾</t>
  </si>
  <si>
    <t>崔荣</t>
  </si>
  <si>
    <t>一骑当先（陈礼标）</t>
  </si>
  <si>
    <t>畅麟烨阳（陈永纯）</t>
  </si>
  <si>
    <t>敬天爱人（张雷）</t>
  </si>
  <si>
    <t>2013（1-8 上市前）</t>
  </si>
  <si>
    <t>归母净利润</t>
  </si>
  <si>
    <t>同比变动</t>
  </si>
  <si>
    <t>——网页游戏</t>
  </si>
  <si>
    <t>——移动游戏</t>
  </si>
  <si>
    <t>营业成本（亿元）</t>
  </si>
  <si>
    <t>支付的各项税费 现金</t>
  </si>
  <si>
    <t>2013年预案</t>
  </si>
  <si>
    <t>并非实际</t>
  </si>
  <si>
    <t>上市前</t>
  </si>
  <si>
    <t>其他社会公众股股东</t>
  </si>
  <si>
    <t>2015年三季报</t>
  </si>
  <si>
    <t>王卿伟王卿泳</t>
  </si>
  <si>
    <t>2016年一季报</t>
  </si>
  <si>
    <t>2016年中报</t>
  </si>
  <si>
    <t>2017年一季报</t>
  </si>
  <si>
    <t>临时公告</t>
  </si>
  <si>
    <t>2017年中报</t>
  </si>
  <si>
    <t xml:space="preserve">兴业银行股份有限公司-兴全趋势投资混合型证券投资基金	</t>
  </si>
  <si>
    <t>2017年三季报</t>
  </si>
  <si>
    <t xml:space="preserve">兴业证券-兴业-兴业证券金麒麟5号集合资产管理计划	</t>
  </si>
  <si>
    <t>2018年一季报</t>
  </si>
  <si>
    <t xml:space="preserve">兴业银行股份有限公司-兴全新视野灵活配置定期开放混合型发起式证券投资基金	</t>
  </si>
  <si>
    <t>兴业总和</t>
  </si>
  <si>
    <t>2018年中报</t>
  </si>
  <si>
    <t xml:space="preserve">宁波保税区永谐国际贸易有限公司	</t>
  </si>
  <si>
    <t xml:space="preserve">游族网络股份有限公司回购专用证券账户	</t>
  </si>
  <si>
    <t xml:space="preserve">马信琪	</t>
  </si>
  <si>
    <t>国盛证券有限责任公司</t>
  </si>
  <si>
    <t xml:space="preserve">游族网络股份有限公司-第一期员工持股计划	</t>
  </si>
  <si>
    <t>张云雷</t>
  </si>
  <si>
    <t>马根清</t>
  </si>
  <si>
    <t xml:space="preserve">香港中央结算有限公司	</t>
  </si>
  <si>
    <t xml:space="preserve">福建省纾困一号股权投资合伙企业(有限合伙)	</t>
  </si>
  <si>
    <t xml:space="preserve">中国工商银行-南方绩优成长股票型证券投资基金	</t>
  </si>
  <si>
    <t xml:space="preserve">中国农业银行股份有限公司-中证500交易型开放式指数证券投资基金	</t>
  </si>
  <si>
    <t>倪春华 叶辉</t>
  </si>
  <si>
    <t>增长率</t>
  </si>
  <si>
    <t>中国游戏用户规模（亿人）</t>
  </si>
  <si>
    <t>中国游戏产业销售收入（亿元）</t>
  </si>
  <si>
    <t>中国研发 海外 收入（亿美元）</t>
  </si>
  <si>
    <t>中国研发 国内 收入（亿元）</t>
  </si>
  <si>
    <t>国内市场占有率</t>
  </si>
  <si>
    <t>端游 销售占比</t>
  </si>
  <si>
    <t>——中国 移动游戏 用户规模（亿人）</t>
  </si>
  <si>
    <t>——中国 端游 用户规模（亿人）</t>
  </si>
  <si>
    <t>——中国 网页游戏 用户规模（亿人）</t>
  </si>
  <si>
    <t>—— 中国 客户端游戏 收入（亿元）</t>
  </si>
  <si>
    <t>—— 中国 移动游戏 收入（亿元）</t>
  </si>
  <si>
    <t>——中国 网页游戏 收入（亿元）</t>
  </si>
  <si>
    <t>——中国 AR游戏 收入（亿元）</t>
  </si>
  <si>
    <t>——中国 VR游戏 收入（亿元）</t>
  </si>
  <si>
    <t>——中国 VR游戏 用户规模（亿人）</t>
  </si>
  <si>
    <t>——中国 女性 用户 （亿人）</t>
  </si>
  <si>
    <t>—— 中国  女性贡献 收入（亿元）</t>
  </si>
  <si>
    <t>——中国 二次元 用户 （亿人）</t>
  </si>
  <si>
    <t>——中国 二次元游戏 收入（亿元）</t>
  </si>
  <si>
    <t>腾讯海外收入（汇率按7.0计算）</t>
  </si>
  <si>
    <t>腾讯手游收入</t>
  </si>
  <si>
    <t>产业销售占比</t>
  </si>
  <si>
    <t>2020S1</t>
  </si>
  <si>
    <t>腾讯网络游戏收入（亿元）</t>
  </si>
  <si>
    <t>终端分类</t>
  </si>
  <si>
    <t>游戏总收入</t>
  </si>
  <si>
    <t>網絡遊戲</t>
  </si>
  <si>
    <t>微信月活（亿人）</t>
  </si>
  <si>
    <t>手机QQ 月活（亿人）</t>
  </si>
  <si>
    <t>增值账户（亿）</t>
  </si>
  <si>
    <t>王者荣耀日活（亿人）</t>
  </si>
  <si>
    <t>經營資料</t>
  </si>
  <si>
    <t>2020 S1</t>
  </si>
  <si>
    <t>腾讯占中国手游收入比例</t>
  </si>
  <si>
    <t>腾讯占中国端游收入比例</t>
  </si>
  <si>
    <t>腾讯端游收入</t>
  </si>
  <si>
    <t>手游占游戏收入比例</t>
  </si>
  <si>
    <t>网游收入（亿元）</t>
  </si>
  <si>
    <t>网游成本（亿元）</t>
  </si>
  <si>
    <t>自研游戏收入（亿元）</t>
  </si>
  <si>
    <t>代理游戏收入（亿元）</t>
  </si>
  <si>
    <t>代理游戏全公司收入占比</t>
  </si>
  <si>
    <t>网游毛利率</t>
  </si>
  <si>
    <t>游戏相关员工数（人）</t>
  </si>
  <si>
    <t>前五名游戏收入占比</t>
  </si>
  <si>
    <t>网游毛利（亿元）</t>
  </si>
  <si>
    <t>网易手游收入（亿元）</t>
  </si>
  <si>
    <t>网易占中国手游收入比例</t>
  </si>
  <si>
    <t>移动游戏除网易腾讯外占比</t>
  </si>
  <si>
    <t>腾讯网易手游占比之和</t>
  </si>
  <si>
    <t>移动游戏收入（亿元）</t>
  </si>
  <si>
    <t>移动游戏占有率</t>
  </si>
  <si>
    <t>网页游戏收入（亿元）</t>
  </si>
  <si>
    <t>游戏团队人数（人）</t>
  </si>
  <si>
    <t>移动游戏毛利率</t>
  </si>
  <si>
    <t>网页游戏毛利率</t>
  </si>
  <si>
    <t>网页游戏占有率</t>
  </si>
  <si>
    <t>本公司移动游戏行业占比</t>
  </si>
  <si>
    <t>手游</t>
  </si>
  <si>
    <t>2020 半年业绩预告</t>
  </si>
  <si>
    <t>页游</t>
  </si>
  <si>
    <t>本公司行业占比</t>
  </si>
  <si>
    <t>4.88-5.09</t>
  </si>
  <si>
    <t>理财（亿元）</t>
  </si>
  <si>
    <t>货币资金(亿元）</t>
  </si>
  <si>
    <t>商誉</t>
  </si>
  <si>
    <t>游族网络</t>
  </si>
  <si>
    <t>应付周转天数(天)</t>
  </si>
  <si>
    <t>应收周转天数(天)</t>
  </si>
  <si>
    <t>2019一季报</t>
  </si>
  <si>
    <t>三七互娱</t>
  </si>
  <si>
    <t>完美世界</t>
  </si>
  <si>
    <t>瑞华会计师事务所（特殊普通合伙）</t>
  </si>
  <si>
    <t>连向阳、 叶辉</t>
  </si>
  <si>
    <t>财审(万元)</t>
  </si>
  <si>
    <t>内控审计（万元）</t>
  </si>
  <si>
    <t>倪春华、叶辉</t>
  </si>
  <si>
    <t>发股购买掌淘科技 100%的股权</t>
  </si>
  <si>
    <t>游族网络借壳上市</t>
  </si>
  <si>
    <t>每10股转增20股</t>
  </si>
  <si>
    <t>非公开增发</t>
  </si>
  <si>
    <t>转债股</t>
  </si>
  <si>
    <t>增发 停牌前一天</t>
  </si>
  <si>
    <t>增发上市 头一天</t>
  </si>
  <si>
    <t>10转20 当天 反弹高点</t>
  </si>
  <si>
    <t>持续走熊低点</t>
  </si>
  <si>
    <t>2017 年中高点</t>
  </si>
  <si>
    <t>连续一年走熊后低点</t>
  </si>
  <si>
    <t>反弹后高点</t>
  </si>
  <si>
    <t>疫情后最低点</t>
  </si>
  <si>
    <t>游戏行业半年报整体走强</t>
  </si>
  <si>
    <t>公司高管陈礼标辞职（2020/7/31）</t>
  </si>
  <si>
    <t>1.25-1.46</t>
  </si>
  <si>
    <t>近期抖音微信海外发展受阻，游戏出海或许也有同样不利因素</t>
  </si>
  <si>
    <t>林奇近一年有减持动作，从2019中报34.84%减持至29.73%。 一年减持15%</t>
  </si>
  <si>
    <t>这公司财报数据波动率很大，不符合行业情况，有操作嫌疑</t>
  </si>
  <si>
    <t>游族云游戏打开为白屏</t>
  </si>
  <si>
    <t>2019业绩预告大幅向下修正过一次利润降低很多（减少74%，到26%）但财报没有解释原因</t>
  </si>
  <si>
    <t>2020Q1较去年同期翻倍（或许是去年业绩做低后，加上上半年疫情利好网游的影响）</t>
  </si>
  <si>
    <t>2020上半年业绩预告推算Q2 利润为去年同期一般（经历2020年利润洗澡，只能撑一个季度？）</t>
  </si>
  <si>
    <t>修正出发价 15.35元</t>
  </si>
  <si>
    <t>处于历史估值低位</t>
  </si>
  <si>
    <t>本次可转换公司债券的期限为自发行之日起 6 年，即自 2019 年 9 月 23 日
至 2025 年 9 月 23 日。</t>
  </si>
  <si>
    <t>第一年 0.4%、第二年 0.6%、第三年 1.0%、第四年 1.5%、第五年 1.8%、
第六年 2.0%。</t>
  </si>
  <si>
    <t>2020 年 3 月 27 日至 2025 年
9 月 23 日</t>
  </si>
  <si>
    <t>募集资金投资项目的实施情况与公司在募集说
明书中的承诺情况相比出现重大变化</t>
  </si>
  <si>
    <t xml:space="preserve">	11.94元  	2023-09-23    最后两个计息年度，如果公司股票在任何连续 30 个
交易日的收盘价格低于当期转股价的 70%时</t>
  </si>
  <si>
    <t xml:space="preserve">	22.18元，起始日	2020-03-27    连续 30 个交易日
中至少有 15 个交易日的收盘价格不低于当期转股价格的 130%（含 130%）</t>
  </si>
  <si>
    <t>转股当前转股价</t>
  </si>
  <si>
    <t>总转债股为0.67亿股</t>
  </si>
  <si>
    <t>历史</t>
  </si>
  <si>
    <t>2020/6/30    19%的可转债转为股票</t>
  </si>
  <si>
    <t>林奇股票质押比例为96%</t>
  </si>
  <si>
    <t>拥有 盗墓笔记，三体，权利游戏 IP</t>
  </si>
  <si>
    <t xml:space="preserve">资产总额（亿元） </t>
  </si>
  <si>
    <r>
      <t>资产负债率（</t>
    </r>
    <r>
      <rPr>
        <b/>
        <sz val="8"/>
        <color rgb="FFFFFFFF"/>
        <rFont val="TimesNewRomanPS-BoldMT"/>
      </rPr>
      <t>%</t>
    </r>
    <r>
      <rPr>
        <sz val="8"/>
        <color rgb="FFFFFFFF"/>
        <rFont val="SimSun"/>
      </rPr>
      <t xml:space="preserve">） </t>
    </r>
  </si>
  <si>
    <t xml:space="preserve">营业总收入（亿元） </t>
  </si>
  <si>
    <t xml:space="preserve">星辉娱乐 </t>
  </si>
  <si>
    <t xml:space="preserve">昆仑万维 </t>
  </si>
  <si>
    <t xml:space="preserve">三七互娱 </t>
  </si>
  <si>
    <t xml:space="preserve">游族网络 </t>
  </si>
  <si>
    <t xml:space="preserve">名称 </t>
  </si>
  <si>
    <t>游戏行业收入和新增用户进入饱和期</t>
  </si>
  <si>
    <t>腾讯网易巨头持续大量吞食市场份额，尤其是近几年增长较快的手机游戏。后起还有三七互娱。留给本公司的增长空间有限</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</si>
</sst>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 #,##0.00_ ;_ * \-#,##0.00_ ;_ * &quot;-&quot;??_ ;_ @_ "/>
    <numFmt numFmtId="164" formatCode="#,##0.00_ "/>
    <numFmt numFmtId="165" formatCode="_ * #,##0_ ;_ * \-#,##0_ ;_ * &quot;-&quot;??_ ;_ @_ "/>
    <numFmt numFmtId="166" formatCode="0.0%"/>
    <numFmt numFmtId="167" formatCode="#,##0_);\(#,##0\)"/>
    <numFmt numFmtId="168" formatCode="#,##0.00_);\(#,##0.00\)"/>
    <numFmt numFmtId="169" formatCode="#,##0.00_);[Red]\(#,##0.00\)"/>
    <numFmt numFmtId="170" formatCode="0.0"/>
    <numFmt numFmtId="171" formatCode="_ * #,##0.0_ ;_ * \-#,##0.0_ ;_ * &quot;-&quot;??_ ;_ @_ "/>
  </numFmts>
  <fonts count="59">
    <font>
      <sz val="11"/>
      <color theme="1"/>
      <name val="Calibri"/>
      <charset val="134"/>
      <scheme val="minor"/>
    </font>
    <font>
      <sz val="11"/>
      <color theme="1"/>
      <name val="微软雅黑"/>
      <charset val="134"/>
    </font>
    <font>
      <sz val="11"/>
      <color theme="0"/>
      <name val="微软雅黑"/>
      <charset val="134"/>
    </font>
    <font>
      <b/>
      <sz val="11"/>
      <color theme="0"/>
      <name val="微软雅黑"/>
      <charset val="134"/>
    </font>
    <font>
      <sz val="11"/>
      <color rgb="FF1D41D5"/>
      <name val="微软雅黑"/>
      <charset val="134"/>
    </font>
    <font>
      <sz val="11"/>
      <color theme="4" tint="-0.499984740745262"/>
      <name val="微软雅黑"/>
      <charset val="134"/>
    </font>
    <font>
      <b/>
      <sz val="11"/>
      <color theme="1"/>
      <name val="微软雅黑"/>
      <charset val="134"/>
    </font>
    <font>
      <b/>
      <sz val="11"/>
      <color rgb="FFC00000"/>
      <name val="微软雅黑"/>
      <charset val="134"/>
    </font>
    <font>
      <b/>
      <sz val="12"/>
      <color theme="0"/>
      <name val="微软雅黑"/>
      <charset val="134"/>
    </font>
    <font>
      <sz val="11"/>
      <name val="微软雅黑"/>
      <charset val="134"/>
    </font>
    <font>
      <b/>
      <sz val="11"/>
      <color rgb="FF1D41D5"/>
      <name val="微软雅黑"/>
      <charset val="134"/>
    </font>
    <font>
      <sz val="11"/>
      <name val="Calibri"/>
      <charset val="134"/>
      <scheme val="minor"/>
    </font>
    <font>
      <b/>
      <sz val="11"/>
      <name val="微软雅黑"/>
      <charset val="134"/>
    </font>
    <font>
      <b/>
      <sz val="10.5"/>
      <name val="宋体"/>
      <charset val="134"/>
    </font>
    <font>
      <sz val="10.5"/>
      <name val="宋体"/>
      <charset val="134"/>
    </font>
    <font>
      <b/>
      <sz val="11"/>
      <color theme="0"/>
      <name val="Calibri"/>
      <charset val="134"/>
      <scheme val="minor"/>
    </font>
    <font>
      <sz val="11"/>
      <color rgb="FF080DF8"/>
      <name val="微软雅黑"/>
      <charset val="134"/>
    </font>
    <font>
      <sz val="12"/>
      <color theme="1"/>
      <name val="Calibri"/>
      <charset val="134"/>
      <scheme val="minor"/>
    </font>
    <font>
      <b/>
      <sz val="12"/>
      <color theme="1"/>
      <name val="Calibri"/>
      <charset val="134"/>
      <scheme val="minor"/>
    </font>
    <font>
      <b/>
      <sz val="12"/>
      <color rgb="FF7030A0"/>
      <name val="Calibri"/>
      <charset val="134"/>
      <scheme val="minor"/>
    </font>
    <font>
      <b/>
      <sz val="12"/>
      <color rgb="FF1D41D5"/>
      <name val="Calibri"/>
      <charset val="134"/>
      <scheme val="minor"/>
    </font>
    <font>
      <b/>
      <sz val="12"/>
      <color rgb="FFFF0000"/>
      <name val="Calibri"/>
      <charset val="134"/>
      <scheme val="minor"/>
    </font>
    <font>
      <b/>
      <sz val="12"/>
      <color rgb="FFC00000"/>
      <name val="Calibri"/>
      <charset val="134"/>
      <scheme val="minor"/>
    </font>
    <font>
      <b/>
      <u/>
      <sz val="14"/>
      <color rgb="FFC00000"/>
      <name val="Calibri"/>
      <charset val="134"/>
      <scheme val="minor"/>
    </font>
    <font>
      <b/>
      <sz val="11"/>
      <color theme="4" tint="-0.499984740745262"/>
      <name val="微软雅黑"/>
      <charset val="134"/>
    </font>
    <font>
      <sz val="11"/>
      <color theme="1"/>
      <name val="Calibri"/>
      <charset val="134"/>
      <scheme val="minor"/>
    </font>
    <font>
      <b/>
      <sz val="11"/>
      <name val="微软雅黑"/>
      <family val="2"/>
      <charset val="134"/>
    </font>
    <font>
      <sz val="11"/>
      <name val="微软雅黑"/>
      <family val="2"/>
      <charset val="134"/>
    </font>
    <font>
      <sz val="9"/>
      <color indexed="81"/>
      <name val="宋体"/>
      <charset val="134"/>
    </font>
    <font>
      <b/>
      <sz val="9"/>
      <color indexed="81"/>
      <name val="宋体"/>
      <charset val="134"/>
    </font>
    <font>
      <sz val="9"/>
      <name val="微软雅黑"/>
      <family val="2"/>
      <charset val="134"/>
    </font>
    <font>
      <b/>
      <sz val="11"/>
      <color theme="1"/>
      <name val="微软雅黑"/>
      <family val="2"/>
      <charset val="134"/>
    </font>
    <font>
      <sz val="11"/>
      <color theme="1"/>
      <name val="微软雅黑"/>
      <family val="2"/>
      <charset val="134"/>
    </font>
    <font>
      <sz val="11"/>
      <color theme="0"/>
      <name val="微软雅黑"/>
      <family val="2"/>
      <charset val="134"/>
    </font>
    <font>
      <sz val="11"/>
      <color theme="1"/>
      <name val="Calibri"/>
      <family val="2"/>
      <scheme val="minor"/>
    </font>
    <font>
      <sz val="11"/>
      <name val="Calibri"/>
      <family val="2"/>
      <scheme val="minor"/>
    </font>
    <font>
      <sz val="12"/>
      <color theme="1"/>
      <name val="Calibri"/>
      <family val="2"/>
      <scheme val="minor"/>
    </font>
    <font>
      <b/>
      <sz val="12"/>
      <color theme="1"/>
      <name val="Calibri"/>
      <family val="2"/>
      <scheme val="minor"/>
    </font>
    <font>
      <b/>
      <sz val="11"/>
      <color theme="0"/>
      <name val="微软雅黑"/>
      <family val="2"/>
      <charset val="134"/>
    </font>
    <font>
      <sz val="9"/>
      <color indexed="81"/>
      <name val="宋体"/>
      <charset val="1"/>
    </font>
    <font>
      <b/>
      <sz val="9"/>
      <color indexed="81"/>
      <name val="宋体"/>
      <charset val="1"/>
    </font>
    <font>
      <sz val="11"/>
      <color theme="4" tint="-0.499984740745262"/>
      <name val="微软雅黑"/>
      <family val="2"/>
      <charset val="134"/>
    </font>
    <font>
      <sz val="9"/>
      <color rgb="FF000000"/>
      <name val="宋体"/>
      <charset val="134"/>
    </font>
    <font>
      <sz val="9"/>
      <color rgb="FF000000"/>
      <name val="Times New Roman"/>
      <family val="1"/>
    </font>
    <font>
      <sz val="8"/>
      <color rgb="FF000000"/>
      <name val="宋体"/>
      <charset val="134"/>
    </font>
    <font>
      <sz val="8"/>
      <color rgb="FF000000"/>
      <name val="Times New Roman"/>
      <family val="1"/>
    </font>
    <font>
      <sz val="8"/>
      <color rgb="FF000000"/>
      <name val="Times New Roman"/>
      <family val="1"/>
      <charset val="134"/>
    </font>
    <font>
      <b/>
      <sz val="9"/>
      <color rgb="FF000000"/>
      <name val="宋体"/>
      <charset val="134"/>
    </font>
    <font>
      <b/>
      <sz val="9"/>
      <color rgb="FF000000"/>
      <name val="Times New Roman"/>
      <family val="1"/>
    </font>
    <font>
      <b/>
      <sz val="11"/>
      <color theme="1"/>
      <name val="Calibri"/>
      <family val="2"/>
      <scheme val="minor"/>
    </font>
    <font>
      <u/>
      <sz val="11"/>
      <color theme="10"/>
      <name val="Calibri"/>
      <family val="2"/>
      <scheme val="minor"/>
    </font>
    <font>
      <sz val="9"/>
      <color theme="1"/>
      <name val="Calibri"/>
      <family val="2"/>
      <scheme val="minor"/>
    </font>
    <font>
      <sz val="8"/>
      <color theme="1"/>
      <name val="Calibri"/>
      <family val="2"/>
      <scheme val="minor"/>
    </font>
    <font>
      <sz val="11"/>
      <color rgb="FF242021"/>
      <name val="SourceHanSerifSC-Regular-Identi"/>
    </font>
    <font>
      <sz val="9"/>
      <color rgb="FF242021"/>
      <name val="SourceHanSerifSC-Regular-Identi"/>
    </font>
    <font>
      <sz val="8"/>
      <color rgb="FFFFFFFF"/>
      <name val="SimSun"/>
    </font>
    <font>
      <b/>
      <sz val="8"/>
      <color rgb="FFFFFFFF"/>
      <name val="TimesNewRomanPS-BoldMT"/>
    </font>
    <font>
      <sz val="8"/>
      <color rgb="FF000000"/>
      <name val="SimSun"/>
    </font>
    <font>
      <sz val="8"/>
      <color rgb="FF000000"/>
      <name val="TimesNewRomanPSMT"/>
    </font>
  </fonts>
  <fills count="16">
    <fill>
      <patternFill patternType="none"/>
    </fill>
    <fill>
      <patternFill patternType="gray125"/>
    </fill>
    <fill>
      <patternFill patternType="solid">
        <fgColor theme="4" tint="-0.499984740745262"/>
        <bgColor indexed="64"/>
      </patternFill>
    </fill>
    <fill>
      <patternFill patternType="solid">
        <fgColor theme="9" tint="0.59999389629810485"/>
        <bgColor indexed="64"/>
      </patternFill>
    </fill>
    <fill>
      <patternFill patternType="solid">
        <fgColor theme="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6" tint="-0.249977111117893"/>
        <bgColor indexed="64"/>
      </patternFill>
    </fill>
    <fill>
      <patternFill patternType="solid">
        <fgColor theme="0" tint="-0.14999847407452621"/>
        <bgColor indexed="64"/>
      </patternFill>
    </fill>
  </fills>
  <borders count="66">
    <border>
      <left/>
      <right/>
      <top/>
      <bottom/>
      <diagonal/>
    </border>
    <border>
      <left style="thin">
        <color theme="4" tint="-0.499984740745262"/>
      </left>
      <right style="thin">
        <color theme="4" tint="-0.499984740745262"/>
      </right>
      <top style="thin">
        <color theme="4" tint="-0.499984740745262"/>
      </top>
      <bottom style="thin">
        <color theme="4" tint="-0.499984740745262"/>
      </bottom>
      <diagonal/>
    </border>
    <border>
      <left style="medium">
        <color theme="4" tint="-0.499984740745262"/>
      </left>
      <right style="medium">
        <color theme="4" tint="-0.499984740745262"/>
      </right>
      <top style="medium">
        <color theme="4" tint="-0.499984740745262"/>
      </top>
      <bottom style="medium">
        <color theme="4" tint="-0.499984740745262"/>
      </bottom>
      <diagonal/>
    </border>
    <border>
      <left style="medium">
        <color theme="4" tint="-0.499984740745262"/>
      </left>
      <right/>
      <top style="medium">
        <color theme="4" tint="-0.499984740745262"/>
      </top>
      <bottom/>
      <diagonal/>
    </border>
    <border>
      <left/>
      <right/>
      <top style="medium">
        <color theme="4" tint="-0.499984740745262"/>
      </top>
      <bottom/>
      <diagonal/>
    </border>
    <border>
      <left style="medium">
        <color theme="4" tint="-0.499984740745262"/>
      </left>
      <right/>
      <top/>
      <bottom/>
      <diagonal/>
    </border>
    <border>
      <left style="medium">
        <color theme="4" tint="-0.499984740745262"/>
      </left>
      <right/>
      <top/>
      <bottom style="medium">
        <color theme="4" tint="-0.499984740745262"/>
      </bottom>
      <diagonal/>
    </border>
    <border>
      <left/>
      <right/>
      <top/>
      <bottom style="medium">
        <color theme="4" tint="-0.499984740745262"/>
      </bottom>
      <diagonal/>
    </border>
    <border>
      <left/>
      <right style="medium">
        <color theme="4" tint="-0.499984740745262"/>
      </right>
      <top style="medium">
        <color theme="4" tint="-0.499984740745262"/>
      </top>
      <bottom/>
      <diagonal/>
    </border>
    <border>
      <left/>
      <right style="medium">
        <color theme="4" tint="-0.499984740745262"/>
      </right>
      <top/>
      <bottom/>
      <diagonal/>
    </border>
    <border>
      <left/>
      <right style="medium">
        <color theme="4" tint="-0.499984740745262"/>
      </right>
      <top/>
      <bottom style="medium">
        <color theme="4" tint="-0.499984740745262"/>
      </bottom>
      <diagonal/>
    </border>
    <border>
      <left style="thin">
        <color theme="4" tint="-0.499984740745262"/>
      </left>
      <right style="thin">
        <color theme="4" tint="-0.499984740745262"/>
      </right>
      <top style="thin">
        <color theme="4" tint="-0.499984740745262"/>
      </top>
      <bottom/>
      <diagonal/>
    </border>
    <border>
      <left/>
      <right/>
      <top style="medium">
        <color auto="1"/>
      </top>
      <bottom style="medium">
        <color auto="1"/>
      </bottom>
      <diagonal/>
    </border>
    <border>
      <left style="medium">
        <color rgb="FF353537"/>
      </left>
      <right style="medium">
        <color rgb="FF353537"/>
      </right>
      <top style="medium">
        <color rgb="FF353537"/>
      </top>
      <bottom style="medium">
        <color rgb="FF353537"/>
      </bottom>
      <diagonal/>
    </border>
    <border>
      <left style="medium">
        <color rgb="FF353537"/>
      </left>
      <right/>
      <top style="medium">
        <color rgb="FF353537"/>
      </top>
      <bottom/>
      <diagonal/>
    </border>
    <border>
      <left style="medium">
        <color rgb="FF353537"/>
      </left>
      <right/>
      <top/>
      <bottom/>
      <diagonal/>
    </border>
    <border>
      <left style="medium">
        <color rgb="FF353537"/>
      </left>
      <right style="medium">
        <color rgb="FF353537"/>
      </right>
      <top style="medium">
        <color rgb="FF353537"/>
      </top>
      <bottom/>
      <diagonal/>
    </border>
    <border>
      <left style="medium">
        <color rgb="FF353537"/>
      </left>
      <right style="medium">
        <color rgb="FF353537"/>
      </right>
      <top/>
      <bottom style="medium">
        <color rgb="FF353537"/>
      </bottom>
      <diagonal/>
    </border>
    <border>
      <left style="medium">
        <color rgb="FF353537"/>
      </left>
      <right/>
      <top/>
      <bottom style="medium">
        <color rgb="FF353537"/>
      </bottom>
      <diagonal/>
    </border>
    <border>
      <left style="medium">
        <color theme="4" tint="-0.499984740745262"/>
      </left>
      <right style="hair">
        <color theme="4" tint="-0.499984740745262"/>
      </right>
      <top style="medium">
        <color theme="4" tint="-0.499984740745262"/>
      </top>
      <bottom style="hair">
        <color theme="4" tint="-0.499984740745262"/>
      </bottom>
      <diagonal/>
    </border>
    <border>
      <left style="hair">
        <color theme="4" tint="-0.499984740745262"/>
      </left>
      <right style="hair">
        <color theme="4" tint="-0.499984740745262"/>
      </right>
      <top style="medium">
        <color theme="4" tint="-0.499984740745262"/>
      </top>
      <bottom style="hair">
        <color theme="4" tint="-0.499984740745262"/>
      </bottom>
      <diagonal/>
    </border>
    <border>
      <left style="hair">
        <color theme="4" tint="-0.499984740745262"/>
      </left>
      <right style="medium">
        <color theme="4" tint="-0.499984740745262"/>
      </right>
      <top style="medium">
        <color theme="4" tint="-0.499984740745262"/>
      </top>
      <bottom style="hair">
        <color theme="4" tint="-0.499984740745262"/>
      </bottom>
      <diagonal/>
    </border>
    <border>
      <left style="medium">
        <color theme="4" tint="-0.499984740745262"/>
      </left>
      <right style="hair">
        <color theme="4" tint="-0.499984740745262"/>
      </right>
      <top style="hair">
        <color theme="4" tint="-0.499984740745262"/>
      </top>
      <bottom style="hair">
        <color theme="4" tint="-0.499984740745262"/>
      </bottom>
      <diagonal/>
    </border>
    <border>
      <left style="hair">
        <color theme="4" tint="-0.499984740745262"/>
      </left>
      <right style="hair">
        <color theme="4" tint="-0.499984740745262"/>
      </right>
      <top style="hair">
        <color theme="4" tint="-0.499984740745262"/>
      </top>
      <bottom style="hair">
        <color theme="4" tint="-0.499984740745262"/>
      </bottom>
      <diagonal/>
    </border>
    <border>
      <left style="hair">
        <color theme="4" tint="-0.499984740745262"/>
      </left>
      <right style="medium">
        <color theme="4" tint="-0.499984740745262"/>
      </right>
      <top style="hair">
        <color theme="4" tint="-0.499984740745262"/>
      </top>
      <bottom style="hair">
        <color theme="4" tint="-0.499984740745262"/>
      </bottom>
      <diagonal/>
    </border>
    <border>
      <left style="medium">
        <color theme="4" tint="-0.499984740745262"/>
      </left>
      <right style="hair">
        <color theme="4" tint="-0.499984740745262"/>
      </right>
      <top style="hair">
        <color theme="4" tint="-0.499984740745262"/>
      </top>
      <bottom style="medium">
        <color theme="4" tint="-0.499984740745262"/>
      </bottom>
      <diagonal/>
    </border>
    <border>
      <left style="hair">
        <color theme="4" tint="-0.499984740745262"/>
      </left>
      <right style="hair">
        <color theme="4" tint="-0.499984740745262"/>
      </right>
      <top style="hair">
        <color theme="4" tint="-0.499984740745262"/>
      </top>
      <bottom style="medium">
        <color theme="4" tint="-0.499984740745262"/>
      </bottom>
      <diagonal/>
    </border>
    <border>
      <left style="hair">
        <color theme="4" tint="-0.499984740745262"/>
      </left>
      <right style="medium">
        <color theme="4" tint="-0.499984740745262"/>
      </right>
      <top style="hair">
        <color theme="4" tint="-0.499984740745262"/>
      </top>
      <bottom style="medium">
        <color theme="4" tint="-0.499984740745262"/>
      </bottom>
      <diagonal/>
    </border>
    <border>
      <left style="thin">
        <color auto="1"/>
      </left>
      <right style="thin">
        <color auto="1"/>
      </right>
      <top style="thin">
        <color auto="1"/>
      </top>
      <bottom style="thin">
        <color auto="1"/>
      </bottom>
      <diagonal/>
    </border>
    <border>
      <left style="medium">
        <color theme="4" tint="-0.499984740745262"/>
      </left>
      <right style="hair">
        <color theme="4" tint="-0.499984740745262"/>
      </right>
      <top style="medium">
        <color theme="4" tint="-0.499984740745262"/>
      </top>
      <bottom/>
      <diagonal/>
    </border>
    <border>
      <left style="medium">
        <color theme="4" tint="-0.499984740745262"/>
      </left>
      <right style="hair">
        <color theme="4" tint="-0.499984740745262"/>
      </right>
      <top/>
      <bottom style="medium">
        <color theme="4" tint="-0.499984740745262"/>
      </bottom>
      <diagonal/>
    </border>
    <border>
      <left style="medium">
        <color theme="4" tint="-0.499984740745262"/>
      </left>
      <right style="hair">
        <color theme="4" tint="-0.499984740745262"/>
      </right>
      <top style="medium">
        <color theme="4" tint="-0.499984740745262"/>
      </top>
      <bottom style="medium">
        <color theme="4" tint="-0.499984740745262"/>
      </bottom>
      <diagonal/>
    </border>
    <border>
      <left style="hair">
        <color theme="4" tint="-0.499984740745262"/>
      </left>
      <right style="hair">
        <color theme="4" tint="-0.499984740745262"/>
      </right>
      <top style="medium">
        <color theme="4" tint="-0.499984740745262"/>
      </top>
      <bottom style="medium">
        <color theme="4" tint="-0.499984740745262"/>
      </bottom>
      <diagonal/>
    </border>
    <border>
      <left style="hair">
        <color theme="4" tint="-0.499984740745262"/>
      </left>
      <right style="medium">
        <color theme="4" tint="-0.499984740745262"/>
      </right>
      <top style="medium">
        <color theme="4" tint="-0.499984740745262"/>
      </top>
      <bottom style="medium">
        <color theme="4" tint="-0.499984740745262"/>
      </bottom>
      <diagonal/>
    </border>
    <border>
      <left style="medium">
        <color theme="4" tint="-0.499984740745262"/>
      </left>
      <right style="hair">
        <color theme="4" tint="-0.499984740745262"/>
      </right>
      <top/>
      <bottom style="hair">
        <color theme="4" tint="-0.499984740745262"/>
      </bottom>
      <diagonal/>
    </border>
    <border>
      <left style="hair">
        <color theme="4" tint="-0.499984740745262"/>
      </left>
      <right style="hair">
        <color theme="4" tint="-0.499984740745262"/>
      </right>
      <top/>
      <bottom style="hair">
        <color theme="4" tint="-0.499984740745262"/>
      </bottom>
      <diagonal/>
    </border>
    <border>
      <left style="medium">
        <color theme="4" tint="-0.499984740745262"/>
      </left>
      <right style="hair">
        <color theme="4" tint="-0.499984740745262"/>
      </right>
      <top style="hair">
        <color theme="4" tint="-0.499984740745262"/>
      </top>
      <bottom/>
      <diagonal/>
    </border>
    <border>
      <left style="hair">
        <color theme="4" tint="-0.499984740745262"/>
      </left>
      <right style="hair">
        <color theme="4" tint="-0.499984740745262"/>
      </right>
      <top style="hair">
        <color theme="4" tint="-0.499984740745262"/>
      </top>
      <bottom/>
      <diagonal/>
    </border>
    <border>
      <left style="medium">
        <color theme="4" tint="-0.499984740745262"/>
      </left>
      <right style="hair">
        <color theme="4" tint="-0.499984740745262"/>
      </right>
      <top/>
      <bottom/>
      <diagonal/>
    </border>
    <border>
      <left style="hair">
        <color theme="4" tint="-0.499984740745262"/>
      </left>
      <right style="hair">
        <color theme="4" tint="-0.499984740745262"/>
      </right>
      <top/>
      <bottom/>
      <diagonal/>
    </border>
    <border>
      <left style="hair">
        <color theme="4" tint="-0.499984740745262"/>
      </left>
      <right style="medium">
        <color theme="4" tint="-0.499984740745262"/>
      </right>
      <top/>
      <bottom/>
      <diagonal/>
    </border>
    <border>
      <left style="medium">
        <color theme="4" tint="-0.499984740745262"/>
      </left>
      <right style="medium">
        <color theme="4" tint="-0.499984740745262"/>
      </right>
      <top style="medium">
        <color theme="4" tint="-0.499984740745262"/>
      </top>
      <bottom/>
      <diagonal/>
    </border>
    <border>
      <left style="medium">
        <color theme="4" tint="-0.499984740745262"/>
      </left>
      <right style="medium">
        <color theme="4" tint="-0.499984740745262"/>
      </right>
      <top style="hair">
        <color theme="4" tint="-0.499984740745262"/>
      </top>
      <bottom style="hair">
        <color theme="4" tint="-0.499984740745262"/>
      </bottom>
      <diagonal/>
    </border>
    <border>
      <left style="medium">
        <color theme="4" tint="-0.499984740745262"/>
      </left>
      <right style="medium">
        <color theme="4" tint="-0.499984740745262"/>
      </right>
      <top style="medium">
        <color theme="4" tint="-0.499984740745262"/>
      </top>
      <bottom style="hair">
        <color theme="4" tint="-0.499984740745262"/>
      </bottom>
      <diagonal/>
    </border>
    <border>
      <left style="medium">
        <color theme="4" tint="-0.499984740745262"/>
      </left>
      <right style="medium">
        <color theme="4" tint="-0.499984740745262"/>
      </right>
      <top style="hair">
        <color theme="4" tint="-0.499984740745262"/>
      </top>
      <bottom style="medium">
        <color theme="4" tint="-0.499984740745262"/>
      </bottom>
      <diagonal/>
    </border>
    <border>
      <left style="medium">
        <color theme="4" tint="-0.499984740745262"/>
      </left>
      <right style="medium">
        <color theme="4" tint="-0.499984740745262"/>
      </right>
      <top/>
      <bottom/>
      <diagonal/>
    </border>
    <border>
      <left/>
      <right style="thin">
        <color theme="4" tint="-0.499984740745262"/>
      </right>
      <top style="thin">
        <color theme="4" tint="-0.499984740745262"/>
      </top>
      <bottom style="thin">
        <color theme="4" tint="-0.499984740745262"/>
      </bottom>
      <diagonal/>
    </border>
    <border>
      <left style="thin">
        <color theme="4" tint="-0.499984740745262"/>
      </left>
      <right style="thin">
        <color theme="4" tint="-0.499984740745262"/>
      </right>
      <top style="thin">
        <color theme="4" tint="-0.499984740745262"/>
      </top>
      <bottom style="hair">
        <color theme="4" tint="-0.499984740745262"/>
      </bottom>
      <diagonal/>
    </border>
    <border>
      <left/>
      <right style="hair">
        <color theme="4" tint="-0.499984740745262"/>
      </right>
      <top style="thin">
        <color theme="4" tint="-0.499984740745262"/>
      </top>
      <bottom style="hair">
        <color theme="4" tint="-0.499984740745262"/>
      </bottom>
      <diagonal/>
    </border>
    <border>
      <left style="hair">
        <color theme="4" tint="-0.499984740745262"/>
      </left>
      <right style="hair">
        <color theme="4" tint="-0.499984740745262"/>
      </right>
      <top style="thin">
        <color theme="4" tint="-0.499984740745262"/>
      </top>
      <bottom style="hair">
        <color theme="4" tint="-0.499984740745262"/>
      </bottom>
      <diagonal/>
    </border>
    <border>
      <left style="hair">
        <color theme="4" tint="-0.499984740745262"/>
      </left>
      <right style="thin">
        <color theme="4" tint="-0.499984740745262"/>
      </right>
      <top style="thin">
        <color theme="4" tint="-0.499984740745262"/>
      </top>
      <bottom style="hair">
        <color theme="4" tint="-0.499984740745262"/>
      </bottom>
      <diagonal/>
    </border>
    <border>
      <left style="thin">
        <color theme="4" tint="-0.499984740745262"/>
      </left>
      <right style="thin">
        <color theme="4" tint="-0.499984740745262"/>
      </right>
      <top style="hair">
        <color theme="4" tint="-0.499984740745262"/>
      </top>
      <bottom style="hair">
        <color theme="4" tint="-0.499984740745262"/>
      </bottom>
      <diagonal/>
    </border>
    <border>
      <left/>
      <right style="hair">
        <color theme="4" tint="-0.499984740745262"/>
      </right>
      <top style="hair">
        <color theme="4" tint="-0.499984740745262"/>
      </top>
      <bottom style="hair">
        <color theme="4" tint="-0.499984740745262"/>
      </bottom>
      <diagonal/>
    </border>
    <border>
      <left style="hair">
        <color theme="4" tint="-0.499984740745262"/>
      </left>
      <right style="thin">
        <color theme="4" tint="-0.499984740745262"/>
      </right>
      <top style="hair">
        <color theme="4" tint="-0.499984740745262"/>
      </top>
      <bottom style="hair">
        <color theme="4" tint="-0.499984740745262"/>
      </bottom>
      <diagonal/>
    </border>
    <border>
      <left style="thin">
        <color theme="4" tint="-0.499984740745262"/>
      </left>
      <right style="thin">
        <color theme="4" tint="-0.499984740745262"/>
      </right>
      <top style="hair">
        <color theme="4" tint="-0.499984740745262"/>
      </top>
      <bottom style="thin">
        <color theme="4" tint="-0.499984740745262"/>
      </bottom>
      <diagonal/>
    </border>
    <border>
      <left/>
      <right style="hair">
        <color theme="4" tint="-0.499984740745262"/>
      </right>
      <top style="hair">
        <color theme="4" tint="-0.499984740745262"/>
      </top>
      <bottom style="thin">
        <color theme="4" tint="-0.499984740745262"/>
      </bottom>
      <diagonal/>
    </border>
    <border>
      <left style="hair">
        <color theme="4" tint="-0.499984740745262"/>
      </left>
      <right style="hair">
        <color theme="4" tint="-0.499984740745262"/>
      </right>
      <top style="hair">
        <color theme="4" tint="-0.499984740745262"/>
      </top>
      <bottom style="thin">
        <color theme="4" tint="-0.499984740745262"/>
      </bottom>
      <diagonal/>
    </border>
    <border>
      <left style="hair">
        <color theme="4" tint="-0.499984740745262"/>
      </left>
      <right style="thin">
        <color theme="4" tint="-0.499984740745262"/>
      </right>
      <top style="hair">
        <color theme="4" tint="-0.499984740745262"/>
      </top>
      <bottom style="thin">
        <color theme="4" tint="-0.499984740745262"/>
      </bottom>
      <diagonal/>
    </border>
    <border>
      <left style="thin">
        <color theme="4" tint="-0.499984740745262"/>
      </left>
      <right style="thin">
        <color theme="4" tint="-0.499984740745262"/>
      </right>
      <top/>
      <bottom style="thin">
        <color theme="4" tint="-0.499984740745262"/>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medium">
        <color theme="4" tint="-0.499984740745262"/>
      </top>
      <bottom style="hair">
        <color theme="4" tint="-0.499984740745262"/>
      </bottom>
      <diagonal/>
    </border>
    <border>
      <left/>
      <right/>
      <top/>
      <bottom style="hair">
        <color theme="4" tint="-0.499984740745262"/>
      </bottom>
      <diagonal/>
    </border>
    <border>
      <left style="hair">
        <color theme="4" tint="-0.499984740745262"/>
      </left>
      <right/>
      <top style="hair">
        <color theme="4" tint="-0.499984740745262"/>
      </top>
      <bottom/>
      <diagonal/>
    </border>
    <border>
      <left style="hair">
        <color theme="4" tint="-0.499984740745262"/>
      </left>
      <right/>
      <top/>
      <bottom/>
      <diagonal/>
    </border>
  </borders>
  <cellStyleXfs count="6">
    <xf numFmtId="0" fontId="0" fillId="0" borderId="0">
      <alignment vertical="center"/>
    </xf>
    <xf numFmtId="43" fontId="25" fillId="0" borderId="0" applyFont="0" applyFill="0" applyBorder="0" applyAlignment="0" applyProtection="0">
      <alignment vertical="center"/>
    </xf>
    <xf numFmtId="9" fontId="25" fillId="0" borderId="0" applyFont="0" applyFill="0" applyBorder="0" applyAlignment="0" applyProtection="0">
      <alignment vertical="center"/>
    </xf>
    <xf numFmtId="0" fontId="25" fillId="0" borderId="0">
      <alignment vertical="center"/>
    </xf>
    <xf numFmtId="0" fontId="25" fillId="0" borderId="0">
      <alignment vertical="center"/>
    </xf>
    <xf numFmtId="0" fontId="50" fillId="0" borderId="0" applyNumberFormat="0" applyFill="0" applyBorder="0" applyAlignment="0" applyProtection="0">
      <alignment vertical="center"/>
    </xf>
  </cellStyleXfs>
  <cellXfs count="352">
    <xf numFmtId="0" fontId="0" fillId="0" borderId="0" xfId="0">
      <alignment vertical="center"/>
    </xf>
    <xf numFmtId="0" fontId="1" fillId="0" borderId="0" xfId="3" applyFont="1">
      <alignment vertical="center"/>
    </xf>
    <xf numFmtId="0" fontId="1" fillId="0" borderId="1" xfId="3" applyFont="1" applyBorder="1">
      <alignment vertical="center"/>
    </xf>
    <xf numFmtId="0" fontId="1" fillId="0" borderId="0" xfId="4" applyFont="1">
      <alignment vertical="center"/>
    </xf>
    <xf numFmtId="0" fontId="3" fillId="2" borderId="0" xfId="4" applyFont="1" applyFill="1">
      <alignment vertical="center"/>
    </xf>
    <xf numFmtId="0" fontId="5" fillId="0" borderId="0" xfId="4" applyFont="1">
      <alignment vertical="center"/>
    </xf>
    <xf numFmtId="0" fontId="1" fillId="0" borderId="0" xfId="0" applyFont="1">
      <alignment vertical="center"/>
    </xf>
    <xf numFmtId="0" fontId="11" fillId="0" borderId="0" xfId="0" applyFont="1" applyFill="1">
      <alignment vertical="center"/>
    </xf>
    <xf numFmtId="14" fontId="13" fillId="0" borderId="13" xfId="0" applyNumberFormat="1" applyFont="1" applyFill="1" applyBorder="1" applyAlignment="1">
      <alignment horizontal="right" vertical="center" wrapText="1"/>
    </xf>
    <xf numFmtId="0" fontId="14" fillId="0" borderId="13" xfId="0" applyFont="1" applyFill="1" applyBorder="1" applyAlignment="1">
      <alignment horizontal="left" vertical="center" wrapText="1"/>
    </xf>
    <xf numFmtId="0" fontId="14" fillId="0" borderId="13" xfId="0" applyFont="1" applyFill="1" applyBorder="1" applyAlignment="1">
      <alignment horizontal="right" vertical="center" wrapText="1"/>
    </xf>
    <xf numFmtId="0" fontId="14" fillId="0" borderId="16" xfId="0" applyFont="1" applyFill="1" applyBorder="1" applyAlignment="1">
      <alignment horizontal="left" vertical="center" wrapText="1"/>
    </xf>
    <xf numFmtId="0" fontId="14" fillId="0" borderId="16" xfId="0" applyFont="1" applyFill="1" applyBorder="1" applyAlignment="1">
      <alignment horizontal="right" vertical="center" wrapText="1"/>
    </xf>
    <xf numFmtId="0" fontId="11" fillId="0" borderId="12" xfId="0" applyFont="1" applyFill="1" applyBorder="1" applyAlignment="1">
      <alignment horizontal="center" vertical="center"/>
    </xf>
    <xf numFmtId="0" fontId="14" fillId="0" borderId="12" xfId="0" applyFont="1" applyFill="1" applyBorder="1" applyAlignment="1">
      <alignment horizontal="left" vertical="center" wrapText="1"/>
    </xf>
    <xf numFmtId="0" fontId="14" fillId="0" borderId="12" xfId="0" applyFont="1" applyFill="1" applyBorder="1" applyAlignment="1">
      <alignment horizontal="right" vertical="center" wrapText="1"/>
    </xf>
    <xf numFmtId="0" fontId="14" fillId="0" borderId="17" xfId="0" applyFont="1" applyFill="1" applyBorder="1" applyAlignment="1">
      <alignment horizontal="left" vertical="center" wrapText="1"/>
    </xf>
    <xf numFmtId="0" fontId="14" fillId="0" borderId="17" xfId="0" applyFont="1" applyFill="1" applyBorder="1" applyAlignment="1">
      <alignment horizontal="right" vertical="center" wrapText="1"/>
    </xf>
    <xf numFmtId="0" fontId="3" fillId="2" borderId="4" xfId="0" applyFont="1" applyFill="1" applyBorder="1" applyAlignment="1">
      <alignment horizontal="center" vertical="center"/>
    </xf>
    <xf numFmtId="0" fontId="3" fillId="2" borderId="4" xfId="0" applyFont="1" applyFill="1" applyBorder="1">
      <alignment vertical="center"/>
    </xf>
    <xf numFmtId="0" fontId="3" fillId="2" borderId="3" xfId="0" applyFont="1" applyFill="1" applyBorder="1" applyAlignment="1">
      <alignment horizontal="center" vertical="center"/>
    </xf>
    <xf numFmtId="0" fontId="3" fillId="2" borderId="5" xfId="0" applyFont="1" applyFill="1" applyBorder="1">
      <alignment vertical="center"/>
    </xf>
    <xf numFmtId="167" fontId="12" fillId="0" borderId="5" xfId="0" applyNumberFormat="1" applyFont="1" applyBorder="1">
      <alignment vertical="center"/>
    </xf>
    <xf numFmtId="167" fontId="12" fillId="0" borderId="0" xfId="0" applyNumberFormat="1" applyFont="1" applyBorder="1">
      <alignment vertical="center"/>
    </xf>
    <xf numFmtId="167" fontId="1" fillId="0" borderId="5" xfId="0" applyNumberFormat="1" applyFont="1" applyBorder="1">
      <alignment vertical="center"/>
    </xf>
    <xf numFmtId="167" fontId="1" fillId="0" borderId="0" xfId="0" applyNumberFormat="1" applyFont="1" applyBorder="1">
      <alignment vertical="center"/>
    </xf>
    <xf numFmtId="0" fontId="2" fillId="2" borderId="5" xfId="0" applyFont="1" applyFill="1" applyBorder="1">
      <alignment vertical="center"/>
    </xf>
    <xf numFmtId="9" fontId="1" fillId="0" borderId="0" xfId="2" applyFont="1" applyBorder="1">
      <alignment vertical="center"/>
    </xf>
    <xf numFmtId="0" fontId="2" fillId="2" borderId="6" xfId="0" applyFont="1" applyFill="1" applyBorder="1">
      <alignment vertical="center"/>
    </xf>
    <xf numFmtId="167" fontId="1" fillId="0" borderId="7" xfId="0" applyNumberFormat="1" applyFont="1" applyBorder="1">
      <alignment vertical="center"/>
    </xf>
    <xf numFmtId="9" fontId="1" fillId="0" borderId="7" xfId="2" applyFont="1" applyBorder="1">
      <alignment vertical="center"/>
    </xf>
    <xf numFmtId="0" fontId="1" fillId="0" borderId="6" xfId="0" applyFont="1" applyBorder="1">
      <alignment vertical="center"/>
    </xf>
    <xf numFmtId="0" fontId="1" fillId="0" borderId="7" xfId="0" applyFont="1" applyBorder="1">
      <alignment vertical="center"/>
    </xf>
    <xf numFmtId="0" fontId="15" fillId="4" borderId="28" xfId="0" applyFont="1" applyFill="1" applyBorder="1" applyAlignment="1">
      <alignment horizontal="center" vertical="center"/>
    </xf>
    <xf numFmtId="0" fontId="12" fillId="2" borderId="8" xfId="0" applyFont="1" applyFill="1" applyBorder="1">
      <alignment vertical="center"/>
    </xf>
    <xf numFmtId="9" fontId="10" fillId="0" borderId="9" xfId="2" applyFont="1" applyBorder="1">
      <alignment vertical="center"/>
    </xf>
    <xf numFmtId="9" fontId="7" fillId="0" borderId="9" xfId="2" applyFont="1" applyBorder="1">
      <alignment vertical="center"/>
    </xf>
    <xf numFmtId="0" fontId="1" fillId="0" borderId="9" xfId="0" applyFont="1" applyBorder="1">
      <alignment vertical="center"/>
    </xf>
    <xf numFmtId="0" fontId="1" fillId="0" borderId="10" xfId="0" applyFont="1" applyBorder="1">
      <alignment vertical="center"/>
    </xf>
    <xf numFmtId="0" fontId="6" fillId="0" borderId="0" xfId="0" applyFont="1" applyAlignment="1">
      <alignment horizontal="center" vertical="center"/>
    </xf>
    <xf numFmtId="0" fontId="12" fillId="2" borderId="0" xfId="0" applyFont="1" applyFill="1" applyAlignment="1">
      <alignment horizontal="center" vertical="center"/>
    </xf>
    <xf numFmtId="0" fontId="9" fillId="2" borderId="0" xfId="0" applyFont="1" applyFill="1">
      <alignment vertical="center"/>
    </xf>
    <xf numFmtId="0" fontId="3" fillId="2" borderId="0" xfId="0" applyFont="1" applyFill="1" applyAlignment="1">
      <alignment horizontal="center" vertical="center"/>
    </xf>
    <xf numFmtId="0" fontId="12" fillId="0" borderId="20" xfId="0" applyFont="1" applyFill="1" applyBorder="1">
      <alignment vertical="center"/>
    </xf>
    <xf numFmtId="167" fontId="1" fillId="0" borderId="0" xfId="0" applyNumberFormat="1" applyFont="1">
      <alignment vertical="center"/>
    </xf>
    <xf numFmtId="0" fontId="9" fillId="0" borderId="26" xfId="0" applyFont="1" applyFill="1" applyBorder="1">
      <alignment vertical="center"/>
    </xf>
    <xf numFmtId="167" fontId="1" fillId="0" borderId="26" xfId="0" applyNumberFormat="1" applyFont="1" applyBorder="1">
      <alignment vertical="center"/>
    </xf>
    <xf numFmtId="10" fontId="9" fillId="0" borderId="26" xfId="2" applyNumberFormat="1" applyFont="1" applyBorder="1">
      <alignment vertical="center"/>
    </xf>
    <xf numFmtId="10" fontId="9" fillId="0" borderId="27" xfId="2" applyNumberFormat="1" applyFont="1" applyBorder="1">
      <alignment vertical="center"/>
    </xf>
    <xf numFmtId="0" fontId="12" fillId="0" borderId="31" xfId="0" applyFont="1" applyFill="1" applyBorder="1" applyAlignment="1">
      <alignment horizontal="center" vertical="center"/>
    </xf>
    <xf numFmtId="0" fontId="12" fillId="0" borderId="32" xfId="0" applyFont="1" applyFill="1" applyBorder="1">
      <alignment vertical="center"/>
    </xf>
    <xf numFmtId="166" fontId="6" fillId="0" borderId="32" xfId="2" applyNumberFormat="1" applyFont="1" applyBorder="1">
      <alignment vertical="center"/>
    </xf>
    <xf numFmtId="10" fontId="6" fillId="0" borderId="32" xfId="2" applyNumberFormat="1" applyFont="1" applyBorder="1">
      <alignment vertical="center"/>
    </xf>
    <xf numFmtId="10" fontId="7" fillId="0" borderId="32" xfId="2" applyNumberFormat="1" applyFont="1" applyBorder="1">
      <alignment vertical="center"/>
    </xf>
    <xf numFmtId="10" fontId="6" fillId="0" borderId="33" xfId="2" applyNumberFormat="1" applyFont="1" applyBorder="1">
      <alignment vertical="center"/>
    </xf>
    <xf numFmtId="0" fontId="12" fillId="0" borderId="19" xfId="0" applyFont="1" applyFill="1" applyBorder="1" applyAlignment="1">
      <alignment horizontal="center" vertical="center"/>
    </xf>
    <xf numFmtId="0" fontId="9" fillId="0" borderId="20" xfId="0" applyFont="1" applyFill="1" applyBorder="1">
      <alignment vertical="center"/>
    </xf>
    <xf numFmtId="0" fontId="12" fillId="0" borderId="34" xfId="0" applyFont="1" applyFill="1" applyBorder="1" applyAlignment="1">
      <alignment horizontal="center" vertical="center"/>
    </xf>
    <xf numFmtId="0" fontId="12" fillId="0" borderId="22" xfId="0" applyFont="1" applyFill="1" applyBorder="1" applyAlignment="1">
      <alignment horizontal="center" vertical="center"/>
    </xf>
    <xf numFmtId="0" fontId="9" fillId="0" borderId="23" xfId="0" applyFont="1" applyFill="1" applyBorder="1">
      <alignment vertical="center"/>
    </xf>
    <xf numFmtId="165" fontId="1" fillId="0" borderId="23" xfId="1" applyNumberFormat="1" applyFont="1" applyBorder="1">
      <alignment vertical="center"/>
    </xf>
    <xf numFmtId="165" fontId="1" fillId="0" borderId="24" xfId="1" applyNumberFormat="1" applyFont="1" applyBorder="1">
      <alignment vertical="center"/>
    </xf>
    <xf numFmtId="10" fontId="1" fillId="0" borderId="24" xfId="2" applyNumberFormat="1" applyFont="1" applyBorder="1">
      <alignment vertical="center"/>
    </xf>
    <xf numFmtId="0" fontId="12" fillId="0" borderId="35" xfId="0" applyFont="1" applyFill="1" applyBorder="1">
      <alignment vertical="center"/>
    </xf>
    <xf numFmtId="167" fontId="9" fillId="0" borderId="23" xfId="0" applyNumberFormat="1" applyFont="1" applyBorder="1">
      <alignment vertical="center"/>
    </xf>
    <xf numFmtId="10" fontId="9" fillId="0" borderId="23" xfId="2" applyNumberFormat="1" applyFont="1" applyBorder="1">
      <alignment vertical="center"/>
    </xf>
    <xf numFmtId="10" fontId="9" fillId="0" borderId="24" xfId="2" applyNumberFormat="1" applyFont="1" applyBorder="1">
      <alignment vertical="center"/>
    </xf>
    <xf numFmtId="0" fontId="12" fillId="0" borderId="23" xfId="0" applyFont="1" applyFill="1" applyBorder="1">
      <alignment vertical="center"/>
    </xf>
    <xf numFmtId="0" fontId="12" fillId="0" borderId="25" xfId="0" applyFont="1" applyFill="1" applyBorder="1" applyAlignment="1">
      <alignment horizontal="center" vertical="center"/>
    </xf>
    <xf numFmtId="10" fontId="1" fillId="0" borderId="26" xfId="2" applyNumberFormat="1" applyFont="1" applyBorder="1">
      <alignment vertical="center"/>
    </xf>
    <xf numFmtId="10" fontId="1" fillId="0" borderId="23" xfId="2" applyNumberFormat="1" applyFont="1" applyBorder="1">
      <alignment vertical="center"/>
    </xf>
    <xf numFmtId="0" fontId="12" fillId="0" borderId="36" xfId="0" applyFont="1" applyFill="1" applyBorder="1" applyAlignment="1">
      <alignment horizontal="center" vertical="center"/>
    </xf>
    <xf numFmtId="0" fontId="12" fillId="0" borderId="38" xfId="0" applyFont="1" applyFill="1" applyBorder="1" applyAlignment="1">
      <alignment horizontal="center" vertical="center"/>
    </xf>
    <xf numFmtId="10" fontId="1" fillId="0" borderId="39" xfId="2" applyNumberFormat="1" applyFont="1" applyBorder="1">
      <alignment vertical="center"/>
    </xf>
    <xf numFmtId="165" fontId="1" fillId="0" borderId="20" xfId="1" applyNumberFormat="1" applyFont="1" applyBorder="1">
      <alignment vertical="center"/>
    </xf>
    <xf numFmtId="165" fontId="1" fillId="0" borderId="26" xfId="1" applyNumberFormat="1" applyFont="1" applyBorder="1">
      <alignment vertical="center"/>
    </xf>
    <xf numFmtId="165" fontId="16" fillId="0" borderId="26" xfId="1" applyNumberFormat="1" applyFont="1" applyBorder="1">
      <alignment vertical="center"/>
    </xf>
    <xf numFmtId="165" fontId="1" fillId="0" borderId="27" xfId="1" applyNumberFormat="1" applyFont="1" applyBorder="1">
      <alignment vertical="center"/>
    </xf>
    <xf numFmtId="0" fontId="12" fillId="0" borderId="39" xfId="0" applyFont="1" applyFill="1" applyBorder="1">
      <alignment vertical="center"/>
    </xf>
    <xf numFmtId="165" fontId="10" fillId="0" borderId="39" xfId="1" applyNumberFormat="1" applyFont="1" applyBorder="1">
      <alignment vertical="center"/>
    </xf>
    <xf numFmtId="165" fontId="7" fillId="0" borderId="39" xfId="1" applyNumberFormat="1" applyFont="1" applyBorder="1">
      <alignment vertical="center"/>
    </xf>
    <xf numFmtId="165" fontId="9" fillId="0" borderId="39" xfId="1" applyNumberFormat="1" applyFont="1" applyBorder="1">
      <alignment vertical="center"/>
    </xf>
    <xf numFmtId="0" fontId="1" fillId="0" borderId="20" xfId="0" applyFont="1" applyBorder="1">
      <alignment vertical="center"/>
    </xf>
    <xf numFmtId="167" fontId="1" fillId="0" borderId="21" xfId="0" applyNumberFormat="1" applyFont="1" applyBorder="1">
      <alignment vertical="center"/>
    </xf>
    <xf numFmtId="0" fontId="1" fillId="0" borderId="23" xfId="0" applyFont="1" applyBorder="1">
      <alignment vertical="center"/>
    </xf>
    <xf numFmtId="0" fontId="1" fillId="0" borderId="26" xfId="0" applyFont="1" applyBorder="1">
      <alignment vertical="center"/>
    </xf>
    <xf numFmtId="166" fontId="1" fillId="0" borderId="23" xfId="2" applyNumberFormat="1" applyFont="1" applyBorder="1" applyAlignment="1"/>
    <xf numFmtId="166" fontId="1" fillId="0" borderId="24" xfId="2" applyNumberFormat="1" applyFont="1" applyBorder="1" applyAlignment="1"/>
    <xf numFmtId="0" fontId="9" fillId="0" borderId="26" xfId="0" applyFont="1" applyFill="1" applyBorder="1" applyAlignment="1"/>
    <xf numFmtId="0" fontId="6" fillId="0" borderId="19" xfId="0" applyFont="1" applyBorder="1" applyAlignment="1">
      <alignment horizontal="center" vertical="center"/>
    </xf>
    <xf numFmtId="3" fontId="1" fillId="0" borderId="20" xfId="0" applyNumberFormat="1" applyFont="1" applyBorder="1">
      <alignment vertical="center"/>
    </xf>
    <xf numFmtId="167" fontId="1" fillId="0" borderId="20" xfId="0" applyNumberFormat="1" applyFont="1" applyBorder="1">
      <alignment vertical="center"/>
    </xf>
    <xf numFmtId="0" fontId="6" fillId="0" borderId="22" xfId="0" applyFont="1" applyBorder="1" applyAlignment="1">
      <alignment horizontal="center" vertical="center"/>
    </xf>
    <xf numFmtId="3" fontId="1" fillId="0" borderId="23" xfId="0" applyNumberFormat="1" applyFont="1" applyBorder="1">
      <alignment vertical="center"/>
    </xf>
    <xf numFmtId="167" fontId="1" fillId="0" borderId="23" xfId="0" applyNumberFormat="1" applyFont="1" applyBorder="1">
      <alignment vertical="center"/>
    </xf>
    <xf numFmtId="0" fontId="6" fillId="0" borderId="25" xfId="0" applyFont="1" applyBorder="1" applyAlignment="1">
      <alignment horizontal="center" vertical="center"/>
    </xf>
    <xf numFmtId="167" fontId="4" fillId="0" borderId="26" xfId="0" applyNumberFormat="1" applyFont="1" applyBorder="1">
      <alignment vertical="center"/>
    </xf>
    <xf numFmtId="0" fontId="3" fillId="2" borderId="41" xfId="0" applyFont="1" applyFill="1" applyBorder="1" applyAlignment="1">
      <alignment horizontal="center" vertical="center"/>
    </xf>
    <xf numFmtId="10" fontId="1" fillId="0" borderId="2" xfId="2" applyNumberFormat="1" applyFont="1" applyBorder="1">
      <alignment vertical="center"/>
    </xf>
    <xf numFmtId="9" fontId="1" fillId="0" borderId="0" xfId="2" applyFont="1">
      <alignment vertical="center"/>
    </xf>
    <xf numFmtId="165" fontId="1" fillId="0" borderId="44" xfId="1" applyNumberFormat="1" applyFont="1" applyBorder="1">
      <alignment vertical="center"/>
    </xf>
    <xf numFmtId="165" fontId="9" fillId="0" borderId="45" xfId="1" applyNumberFormat="1" applyFont="1" applyBorder="1">
      <alignment vertical="center"/>
    </xf>
    <xf numFmtId="166" fontId="1" fillId="0" borderId="42" xfId="2" applyNumberFormat="1" applyFont="1" applyBorder="1" applyAlignment="1"/>
    <xf numFmtId="167" fontId="1" fillId="0" borderId="24" xfId="0" applyNumberFormat="1" applyFont="1" applyBorder="1">
      <alignment vertical="center"/>
    </xf>
    <xf numFmtId="167" fontId="1" fillId="0" borderId="27" xfId="0" applyNumberFormat="1" applyFont="1" applyBorder="1">
      <alignment vertical="center"/>
    </xf>
    <xf numFmtId="0" fontId="1" fillId="0" borderId="21" xfId="0" applyFont="1" applyBorder="1">
      <alignment vertical="center"/>
    </xf>
    <xf numFmtId="0" fontId="1" fillId="0" borderId="24" xfId="0" applyFont="1" applyBorder="1">
      <alignment vertical="center"/>
    </xf>
    <xf numFmtId="0" fontId="1" fillId="0" borderId="27" xfId="0" applyFont="1" applyBorder="1">
      <alignment vertical="center"/>
    </xf>
    <xf numFmtId="0" fontId="17" fillId="0" borderId="0" xfId="0" applyFont="1" applyFill="1" applyAlignment="1">
      <alignment vertical="center"/>
    </xf>
    <xf numFmtId="164" fontId="17" fillId="0" borderId="0" xfId="0" applyNumberFormat="1" applyFont="1" applyFill="1" applyAlignment="1">
      <alignment vertical="center"/>
    </xf>
    <xf numFmtId="0" fontId="18" fillId="0" borderId="0" xfId="0" applyFont="1" applyFill="1" applyAlignment="1">
      <alignment vertical="center"/>
    </xf>
    <xf numFmtId="164" fontId="18" fillId="0" borderId="0" xfId="0" applyNumberFormat="1" applyFont="1" applyFill="1" applyAlignment="1">
      <alignment horizontal="center" vertical="center"/>
    </xf>
    <xf numFmtId="167" fontId="18" fillId="0" borderId="0" xfId="0" applyNumberFormat="1" applyFont="1" applyFill="1" applyAlignment="1">
      <alignment horizontal="center" vertical="center"/>
    </xf>
    <xf numFmtId="14" fontId="18" fillId="0" borderId="0" xfId="0" applyNumberFormat="1" applyFont="1" applyFill="1" applyAlignment="1">
      <alignment vertical="center"/>
    </xf>
    <xf numFmtId="164" fontId="18" fillId="0" borderId="0" xfId="0" applyNumberFormat="1" applyFont="1" applyFill="1" applyAlignment="1">
      <alignment vertical="center"/>
    </xf>
    <xf numFmtId="164" fontId="18" fillId="0" borderId="0" xfId="0" applyNumberFormat="1" applyFont="1" applyFill="1" applyAlignment="1">
      <alignment horizontal="right" vertical="center"/>
    </xf>
    <xf numFmtId="0" fontId="19" fillId="0" borderId="0" xfId="0" applyFont="1" applyFill="1" applyAlignment="1">
      <alignment vertical="center"/>
    </xf>
    <xf numFmtId="14" fontId="19" fillId="0" borderId="0" xfId="0" applyNumberFormat="1" applyFont="1" applyFill="1" applyAlignment="1">
      <alignment vertical="center"/>
    </xf>
    <xf numFmtId="164" fontId="19" fillId="0" borderId="0" xfId="0" applyNumberFormat="1" applyFont="1" applyFill="1" applyAlignment="1">
      <alignment horizontal="right" vertical="center"/>
    </xf>
    <xf numFmtId="0" fontId="20" fillId="0" borderId="0" xfId="0" applyFont="1" applyFill="1" applyAlignment="1">
      <alignment vertical="center"/>
    </xf>
    <xf numFmtId="14" fontId="20" fillId="0" borderId="0" xfId="0" applyNumberFormat="1" applyFont="1" applyFill="1" applyAlignment="1">
      <alignment vertical="center"/>
    </xf>
    <xf numFmtId="164" fontId="20" fillId="0" borderId="0" xfId="0" applyNumberFormat="1" applyFont="1" applyFill="1" applyAlignment="1">
      <alignment vertical="center"/>
    </xf>
    <xf numFmtId="0" fontId="21" fillId="0" borderId="0" xfId="0" applyFont="1" applyFill="1" applyAlignment="1">
      <alignment vertical="center"/>
    </xf>
    <xf numFmtId="14" fontId="21" fillId="0" borderId="0" xfId="0" applyNumberFormat="1" applyFont="1" applyFill="1" applyAlignment="1">
      <alignment vertical="center"/>
    </xf>
    <xf numFmtId="164" fontId="21" fillId="0" borderId="0" xfId="0" applyNumberFormat="1" applyFont="1" applyFill="1" applyAlignment="1">
      <alignment vertical="center"/>
    </xf>
    <xf numFmtId="0" fontId="22" fillId="0" borderId="0" xfId="0" applyFont="1" applyFill="1" applyAlignment="1">
      <alignment vertical="center"/>
    </xf>
    <xf numFmtId="14" fontId="22" fillId="0" borderId="0" xfId="0" applyNumberFormat="1" applyFont="1" applyFill="1" applyAlignment="1">
      <alignment vertical="center"/>
    </xf>
    <xf numFmtId="164" fontId="22" fillId="0" borderId="0" xfId="0" applyNumberFormat="1" applyFont="1" applyFill="1" applyAlignment="1">
      <alignment vertical="center"/>
    </xf>
    <xf numFmtId="164" fontId="22" fillId="0" borderId="0" xfId="0" applyNumberFormat="1" applyFont="1" applyFill="1" applyAlignment="1">
      <alignment horizontal="right" vertical="center"/>
    </xf>
    <xf numFmtId="164" fontId="20" fillId="0" borderId="0" xfId="0" applyNumberFormat="1" applyFont="1" applyFill="1" applyAlignment="1">
      <alignment horizontal="right" vertical="center"/>
    </xf>
    <xf numFmtId="164" fontId="23" fillId="0" borderId="0" xfId="0" applyNumberFormat="1" applyFont="1" applyFill="1" applyAlignment="1">
      <alignment vertical="center"/>
    </xf>
    <xf numFmtId="0" fontId="18" fillId="0" borderId="0" xfId="0" applyFont="1" applyFill="1" applyAlignment="1">
      <alignment horizontal="center" vertical="center"/>
    </xf>
    <xf numFmtId="164" fontId="18" fillId="0" borderId="0" xfId="0" applyNumberFormat="1" applyFont="1" applyFill="1">
      <alignment vertical="center"/>
    </xf>
    <xf numFmtId="0" fontId="0" fillId="0" borderId="0" xfId="0" applyFill="1">
      <alignment vertical="center"/>
    </xf>
    <xf numFmtId="0" fontId="1" fillId="0" borderId="46" xfId="3" applyFont="1" applyBorder="1">
      <alignment vertical="center"/>
    </xf>
    <xf numFmtId="0" fontId="8" fillId="2" borderId="1" xfId="3" applyFont="1" applyFill="1" applyBorder="1" applyAlignment="1">
      <alignment horizontal="center" vertical="center"/>
    </xf>
    <xf numFmtId="0" fontId="1" fillId="0" borderId="48" xfId="3" applyFont="1" applyBorder="1">
      <alignment vertical="center"/>
    </xf>
    <xf numFmtId="0" fontId="5" fillId="0" borderId="49" xfId="3" applyFont="1" applyBorder="1" applyAlignment="1">
      <alignment horizontal="center" vertical="center"/>
    </xf>
    <xf numFmtId="0" fontId="5" fillId="0" borderId="50" xfId="3" applyFont="1" applyBorder="1" applyAlignment="1">
      <alignment horizontal="center" vertical="center"/>
    </xf>
    <xf numFmtId="0" fontId="1" fillId="0" borderId="52" xfId="3" applyFont="1" applyBorder="1">
      <alignment vertical="center"/>
    </xf>
    <xf numFmtId="0" fontId="5" fillId="0" borderId="23" xfId="3" applyFont="1" applyBorder="1" applyAlignment="1">
      <alignment horizontal="center" vertical="center"/>
    </xf>
    <xf numFmtId="0" fontId="5" fillId="0" borderId="53" xfId="3" applyFont="1" applyBorder="1" applyAlignment="1">
      <alignment horizontal="center" vertical="center"/>
    </xf>
    <xf numFmtId="0" fontId="1" fillId="0" borderId="55" xfId="3" applyFont="1" applyBorder="1">
      <alignment vertical="center"/>
    </xf>
    <xf numFmtId="0" fontId="5" fillId="0" borderId="56" xfId="3" applyFont="1" applyBorder="1" applyAlignment="1">
      <alignment horizontal="center" vertical="center"/>
    </xf>
    <xf numFmtId="0" fontId="5" fillId="0" borderId="57" xfId="3" applyFont="1" applyBorder="1" applyAlignment="1">
      <alignment horizontal="center" vertical="center"/>
    </xf>
    <xf numFmtId="0" fontId="24" fillId="0" borderId="49" xfId="3" applyFont="1" applyBorder="1" applyAlignment="1">
      <alignment horizontal="center" vertical="center"/>
    </xf>
    <xf numFmtId="0" fontId="24" fillId="0" borderId="56" xfId="3" applyFont="1" applyBorder="1" applyAlignment="1">
      <alignment horizontal="center" vertical="center"/>
    </xf>
    <xf numFmtId="0" fontId="5" fillId="0" borderId="49" xfId="3" applyFont="1" applyBorder="1">
      <alignment vertical="center"/>
    </xf>
    <xf numFmtId="0" fontId="5" fillId="0" borderId="50" xfId="3" applyFont="1" applyBorder="1">
      <alignment vertical="center"/>
    </xf>
    <xf numFmtId="0" fontId="5" fillId="0" borderId="57" xfId="3" applyFont="1" applyBorder="1">
      <alignment vertical="center"/>
    </xf>
    <xf numFmtId="0" fontId="1" fillId="0" borderId="56" xfId="3" applyFont="1" applyBorder="1" applyAlignment="1">
      <alignment horizontal="center" vertical="center"/>
    </xf>
    <xf numFmtId="0" fontId="1" fillId="0" borderId="57" xfId="3" applyFont="1" applyBorder="1" applyAlignment="1">
      <alignment horizontal="center" vertical="center"/>
    </xf>
    <xf numFmtId="168" fontId="1" fillId="0" borderId="0" xfId="0" applyNumberFormat="1" applyFont="1">
      <alignment vertical="center"/>
    </xf>
    <xf numFmtId="0" fontId="26" fillId="0" borderId="20" xfId="0" applyFont="1" applyFill="1" applyBorder="1">
      <alignment vertical="center"/>
    </xf>
    <xf numFmtId="43" fontId="1" fillId="0" borderId="43" xfId="1" applyNumberFormat="1" applyFont="1" applyBorder="1">
      <alignment vertical="center"/>
    </xf>
    <xf numFmtId="43" fontId="1" fillId="0" borderId="23" xfId="1" applyNumberFormat="1" applyFont="1" applyBorder="1">
      <alignment vertical="center"/>
    </xf>
    <xf numFmtId="0" fontId="30" fillId="0" borderId="26" xfId="0" applyFont="1" applyFill="1" applyBorder="1">
      <alignment vertical="center"/>
    </xf>
    <xf numFmtId="43" fontId="1" fillId="0" borderId="37" xfId="1" applyNumberFormat="1" applyFont="1" applyBorder="1">
      <alignment vertical="center"/>
    </xf>
    <xf numFmtId="0" fontId="31" fillId="0" borderId="20" xfId="0" applyFont="1" applyBorder="1">
      <alignment vertical="center"/>
    </xf>
    <xf numFmtId="169" fontId="0" fillId="0" borderId="28" xfId="0" applyNumberFormat="1" applyBorder="1">
      <alignment vertical="center"/>
    </xf>
    <xf numFmtId="0" fontId="33" fillId="2" borderId="3" xfId="0" applyFont="1" applyFill="1" applyBorder="1">
      <alignment vertical="center"/>
    </xf>
    <xf numFmtId="9" fontId="27" fillId="0" borderId="0" xfId="2" applyFont="1" applyBorder="1">
      <alignment vertical="center"/>
    </xf>
    <xf numFmtId="9" fontId="27" fillId="0" borderId="0" xfId="2" applyFont="1" applyFill="1" applyBorder="1">
      <alignment vertical="center"/>
    </xf>
    <xf numFmtId="169" fontId="1" fillId="0" borderId="0" xfId="0" applyNumberFormat="1" applyFont="1">
      <alignment vertical="center"/>
    </xf>
    <xf numFmtId="43" fontId="32" fillId="0" borderId="20" xfId="1" applyNumberFormat="1" applyFont="1" applyBorder="1">
      <alignment vertical="center"/>
    </xf>
    <xf numFmtId="4" fontId="1" fillId="0" borderId="26" xfId="0" applyNumberFormat="1" applyFont="1" applyBorder="1">
      <alignment vertical="center"/>
    </xf>
    <xf numFmtId="43" fontId="32" fillId="0" borderId="23" xfId="1" applyNumberFormat="1" applyFont="1" applyBorder="1" applyAlignment="1"/>
    <xf numFmtId="43" fontId="32" fillId="0" borderId="35" xfId="1" applyNumberFormat="1" applyFont="1" applyBorder="1" applyAlignment="1"/>
    <xf numFmtId="0" fontId="27" fillId="0" borderId="23" xfId="0" applyFont="1" applyFill="1" applyBorder="1" applyAlignment="1"/>
    <xf numFmtId="0" fontId="34" fillId="7" borderId="0" xfId="0" applyFont="1" applyFill="1">
      <alignment vertical="center"/>
    </xf>
    <xf numFmtId="4" fontId="0" fillId="7" borderId="0" xfId="0" applyNumberFormat="1" applyFill="1">
      <alignment vertical="center"/>
    </xf>
    <xf numFmtId="0" fontId="0" fillId="7" borderId="0" xfId="0" applyFill="1">
      <alignment vertical="center"/>
    </xf>
    <xf numFmtId="9" fontId="0" fillId="7" borderId="0" xfId="0" applyNumberFormat="1" applyFill="1">
      <alignment vertical="center"/>
    </xf>
    <xf numFmtId="0" fontId="34" fillId="5" borderId="0" xfId="0" applyFont="1" applyFill="1">
      <alignment vertical="center"/>
    </xf>
    <xf numFmtId="4" fontId="0" fillId="5" borderId="0" xfId="0" applyNumberFormat="1" applyFill="1">
      <alignment vertical="center"/>
    </xf>
    <xf numFmtId="0" fontId="0" fillId="5" borderId="0" xfId="0" applyFill="1">
      <alignment vertical="center"/>
    </xf>
    <xf numFmtId="9" fontId="0" fillId="5" borderId="0" xfId="0" applyNumberFormat="1" applyFill="1">
      <alignment vertical="center"/>
    </xf>
    <xf numFmtId="0" fontId="0" fillId="8" borderId="0" xfId="0" applyFill="1">
      <alignment vertical="center"/>
    </xf>
    <xf numFmtId="0" fontId="34" fillId="8" borderId="0" xfId="0" applyFont="1" applyFill="1">
      <alignment vertical="center"/>
    </xf>
    <xf numFmtId="0" fontId="36" fillId="0" borderId="0" xfId="0" applyFont="1" applyFill="1" applyAlignment="1">
      <alignment vertical="center"/>
    </xf>
    <xf numFmtId="0" fontId="37" fillId="0" borderId="0" xfId="0" applyFont="1" applyFill="1" applyAlignment="1">
      <alignment vertical="center"/>
    </xf>
    <xf numFmtId="14" fontId="37" fillId="0" borderId="0" xfId="0" applyNumberFormat="1" applyFont="1" applyFill="1" applyAlignment="1">
      <alignment vertical="center"/>
    </xf>
    <xf numFmtId="0" fontId="34" fillId="0" borderId="0" xfId="0" applyFont="1">
      <alignment vertical="center"/>
    </xf>
    <xf numFmtId="10" fontId="0" fillId="0" borderId="0" xfId="2" applyNumberFormat="1" applyFont="1">
      <alignment vertical="center"/>
    </xf>
    <xf numFmtId="0" fontId="5" fillId="0" borderId="50" xfId="3" applyFont="1" applyBorder="1" applyAlignment="1">
      <alignment horizontal="center" vertical="center" wrapText="1"/>
    </xf>
    <xf numFmtId="0" fontId="5" fillId="0" borderId="23" xfId="3" applyFont="1" applyBorder="1" applyAlignment="1">
      <alignment horizontal="center" vertical="center" wrapText="1"/>
    </xf>
    <xf numFmtId="0" fontId="32" fillId="0" borderId="0" xfId="4" applyFont="1">
      <alignment vertical="center"/>
    </xf>
    <xf numFmtId="14" fontId="1" fillId="0" borderId="0" xfId="4" applyNumberFormat="1" applyFont="1">
      <alignment vertical="center"/>
    </xf>
    <xf numFmtId="14" fontId="32" fillId="0" borderId="0" xfId="4" applyNumberFormat="1" applyFont="1">
      <alignment vertical="center"/>
    </xf>
    <xf numFmtId="0" fontId="41" fillId="0" borderId="50" xfId="3" applyFont="1" applyBorder="1" applyAlignment="1">
      <alignment horizontal="center" vertical="center"/>
    </xf>
    <xf numFmtId="0" fontId="41" fillId="0" borderId="49" xfId="3" applyFont="1" applyBorder="1" applyAlignment="1">
      <alignment horizontal="center" vertical="center"/>
    </xf>
    <xf numFmtId="0" fontId="41" fillId="0" borderId="56" xfId="3" applyFont="1" applyBorder="1">
      <alignment vertical="center"/>
    </xf>
    <xf numFmtId="0" fontId="41" fillId="0" borderId="56" xfId="3" applyFont="1" applyBorder="1" applyAlignment="1">
      <alignment horizontal="center" vertical="center"/>
    </xf>
    <xf numFmtId="0" fontId="42" fillId="0" borderId="28" xfId="0" applyFont="1" applyBorder="1" applyAlignment="1">
      <alignment vertical="center" wrapText="1"/>
    </xf>
    <xf numFmtId="0" fontId="43" fillId="0" borderId="28" xfId="0" applyFont="1" applyBorder="1" applyAlignment="1">
      <alignment vertical="center" wrapText="1"/>
    </xf>
    <xf numFmtId="0" fontId="0" fillId="0" borderId="0" xfId="0" applyAlignment="1">
      <alignment vertical="center" wrapText="1"/>
    </xf>
    <xf numFmtId="43" fontId="32" fillId="0" borderId="23" xfId="1" applyNumberFormat="1" applyFont="1" applyBorder="1" applyAlignment="1">
      <alignment horizontal="right" vertical="center"/>
    </xf>
    <xf numFmtId="43" fontId="9" fillId="0" borderId="40" xfId="1" applyNumberFormat="1" applyFont="1" applyBorder="1">
      <alignment vertical="center"/>
    </xf>
    <xf numFmtId="0" fontId="42" fillId="7" borderId="28" xfId="0" applyFont="1" applyFill="1" applyBorder="1" applyAlignment="1">
      <alignment vertical="center" wrapText="1"/>
    </xf>
    <xf numFmtId="4" fontId="43" fillId="7" borderId="28" xfId="0" applyNumberFormat="1" applyFont="1" applyFill="1" applyBorder="1" applyAlignment="1">
      <alignment vertical="center" wrapText="1"/>
    </xf>
    <xf numFmtId="0" fontId="34" fillId="9" borderId="0" xfId="0" applyFont="1" applyFill="1">
      <alignment vertical="center"/>
    </xf>
    <xf numFmtId="0" fontId="0" fillId="9" borderId="0" xfId="0" applyFill="1">
      <alignment vertical="center"/>
    </xf>
    <xf numFmtId="0" fontId="42" fillId="9" borderId="28" xfId="0" applyFont="1" applyFill="1" applyBorder="1" applyAlignment="1">
      <alignment vertical="center" wrapText="1"/>
    </xf>
    <xf numFmtId="0" fontId="45" fillId="9" borderId="28" xfId="0" applyFont="1" applyFill="1" applyBorder="1" applyAlignment="1">
      <alignment vertical="center" wrapText="1"/>
    </xf>
    <xf numFmtId="0" fontId="44" fillId="9" borderId="28" xfId="0" applyFont="1" applyFill="1" applyBorder="1" applyAlignment="1">
      <alignment vertical="center" wrapText="1"/>
    </xf>
    <xf numFmtId="0" fontId="46" fillId="9" borderId="28" xfId="0" applyFont="1" applyFill="1" applyBorder="1" applyAlignment="1">
      <alignment vertical="center" wrapText="1"/>
    </xf>
    <xf numFmtId="0" fontId="43" fillId="9" borderId="28" xfId="0" applyFont="1" applyFill="1" applyBorder="1" applyAlignment="1">
      <alignment vertical="center" wrapText="1"/>
    </xf>
    <xf numFmtId="0" fontId="42" fillId="10" borderId="28" xfId="0" applyFont="1" applyFill="1" applyBorder="1" applyAlignment="1">
      <alignment vertical="center" wrapText="1"/>
    </xf>
    <xf numFmtId="4" fontId="43" fillId="10" borderId="28" xfId="0" applyNumberFormat="1" applyFont="1" applyFill="1" applyBorder="1" applyAlignment="1">
      <alignment vertical="center" wrapText="1"/>
    </xf>
    <xf numFmtId="0" fontId="0" fillId="10" borderId="0" xfId="0" applyFill="1">
      <alignment vertical="center"/>
    </xf>
    <xf numFmtId="0" fontId="34" fillId="0" borderId="0" xfId="0" applyFont="1" applyAlignment="1">
      <alignment vertical="center" wrapText="1"/>
    </xf>
    <xf numFmtId="0" fontId="47" fillId="0" borderId="28" xfId="0" applyFont="1" applyBorder="1" applyAlignment="1">
      <alignment vertical="center" wrapText="1"/>
    </xf>
    <xf numFmtId="0" fontId="49" fillId="0" borderId="0" xfId="0" applyFont="1">
      <alignment vertical="center"/>
    </xf>
    <xf numFmtId="0" fontId="42" fillId="11" borderId="28" xfId="0" applyFont="1" applyFill="1" applyBorder="1" applyAlignment="1">
      <alignment vertical="center" wrapText="1"/>
    </xf>
    <xf numFmtId="0" fontId="43" fillId="11" borderId="28" xfId="0" applyFont="1" applyFill="1" applyBorder="1" applyAlignment="1">
      <alignment vertical="center" wrapText="1"/>
    </xf>
    <xf numFmtId="0" fontId="0" fillId="11" borderId="0" xfId="0" applyFill="1">
      <alignment vertical="center"/>
    </xf>
    <xf numFmtId="0" fontId="42" fillId="12" borderId="28" xfId="0" applyFont="1" applyFill="1" applyBorder="1" applyAlignment="1">
      <alignment vertical="center" wrapText="1"/>
    </xf>
    <xf numFmtId="0" fontId="43" fillId="12" borderId="28" xfId="0" applyFont="1" applyFill="1" applyBorder="1" applyAlignment="1">
      <alignment vertical="center" wrapText="1"/>
    </xf>
    <xf numFmtId="0" fontId="0" fillId="12" borderId="0" xfId="0" applyFill="1">
      <alignment vertical="center"/>
    </xf>
    <xf numFmtId="0" fontId="50" fillId="0" borderId="0" xfId="5" applyAlignment="1">
      <alignment vertical="center" wrapText="1"/>
    </xf>
    <xf numFmtId="4" fontId="0" fillId="10" borderId="0" xfId="0" applyNumberFormat="1" applyFill="1">
      <alignment vertical="center"/>
    </xf>
    <xf numFmtId="4" fontId="0" fillId="0" borderId="0" xfId="0" applyNumberFormat="1" applyAlignment="1"/>
    <xf numFmtId="0" fontId="34" fillId="13" borderId="0" xfId="0" applyFont="1" applyFill="1">
      <alignment vertical="center"/>
    </xf>
    <xf numFmtId="0" fontId="0" fillId="13" borderId="0" xfId="0" applyFill="1">
      <alignment vertical="center"/>
    </xf>
    <xf numFmtId="3" fontId="0" fillId="13" borderId="0" xfId="0" applyNumberFormat="1" applyFill="1">
      <alignment vertical="center"/>
    </xf>
    <xf numFmtId="0" fontId="0" fillId="13" borderId="0" xfId="0" applyFill="1" applyAlignment="1"/>
    <xf numFmtId="0" fontId="12" fillId="0" borderId="22" xfId="0" applyFont="1" applyFill="1" applyBorder="1" applyAlignment="1">
      <alignment horizontal="center" vertical="center"/>
    </xf>
    <xf numFmtId="4" fontId="0" fillId="6" borderId="0" xfId="0" applyNumberFormat="1" applyFill="1" applyAlignment="1"/>
    <xf numFmtId="43" fontId="1" fillId="0" borderId="23" xfId="1" applyNumberFormat="1" applyFont="1" applyFill="1" applyBorder="1">
      <alignment vertical="center"/>
    </xf>
    <xf numFmtId="10" fontId="1" fillId="0" borderId="27" xfId="2" applyNumberFormat="1" applyFont="1" applyFill="1" applyBorder="1">
      <alignment vertical="center"/>
    </xf>
    <xf numFmtId="43" fontId="1" fillId="0" borderId="37" xfId="1" applyNumberFormat="1" applyFont="1" applyFill="1" applyBorder="1">
      <alignment vertical="center"/>
    </xf>
    <xf numFmtId="168" fontId="10" fillId="0" borderId="0" xfId="0" applyNumberFormat="1" applyFont="1" applyFill="1">
      <alignment vertical="center"/>
    </xf>
    <xf numFmtId="10" fontId="1" fillId="0" borderId="39" xfId="2" applyNumberFormat="1" applyFont="1" applyFill="1" applyBorder="1">
      <alignment vertical="center"/>
    </xf>
    <xf numFmtId="0" fontId="9" fillId="0" borderId="62" xfId="0" applyFont="1" applyFill="1" applyBorder="1">
      <alignment vertical="center"/>
    </xf>
    <xf numFmtId="0" fontId="9" fillId="0" borderId="63" xfId="0" applyFont="1" applyFill="1" applyBorder="1">
      <alignment vertical="center"/>
    </xf>
    <xf numFmtId="0" fontId="30" fillId="0" borderId="64" xfId="0" applyFont="1" applyFill="1" applyBorder="1">
      <alignment vertical="center"/>
    </xf>
    <xf numFmtId="0" fontId="12" fillId="0" borderId="4" xfId="0" applyFont="1" applyFill="1" applyBorder="1">
      <alignment vertical="center"/>
    </xf>
    <xf numFmtId="0" fontId="30" fillId="0" borderId="39" xfId="0" applyFont="1" applyFill="1" applyBorder="1">
      <alignment vertical="center"/>
    </xf>
    <xf numFmtId="0" fontId="26" fillId="0" borderId="35" xfId="0" applyFont="1" applyFill="1" applyBorder="1">
      <alignment vertical="center"/>
    </xf>
    <xf numFmtId="0" fontId="31" fillId="0" borderId="35" xfId="0" applyFont="1" applyBorder="1">
      <alignment vertical="center"/>
    </xf>
    <xf numFmtId="0" fontId="31" fillId="0" borderId="39" xfId="0" applyFont="1" applyBorder="1">
      <alignment vertical="center"/>
    </xf>
    <xf numFmtId="0" fontId="27" fillId="0" borderId="39" xfId="0" applyFont="1" applyFill="1" applyBorder="1" applyAlignment="1">
      <alignment vertical="center" wrapText="1"/>
    </xf>
    <xf numFmtId="0" fontId="12" fillId="0" borderId="38" xfId="0" applyFont="1" applyFill="1" applyBorder="1" applyAlignment="1">
      <alignment horizontal="center" vertical="center" wrapText="1"/>
    </xf>
    <xf numFmtId="0" fontId="9" fillId="0" borderId="39" xfId="0" applyFont="1" applyFill="1" applyBorder="1" applyAlignment="1">
      <alignment vertical="center" wrapText="1"/>
    </xf>
    <xf numFmtId="10" fontId="9" fillId="0" borderId="39" xfId="2" applyNumberFormat="1" applyFont="1" applyBorder="1" applyAlignment="1">
      <alignment vertical="center" wrapText="1"/>
    </xf>
    <xf numFmtId="10" fontId="9" fillId="0" borderId="65" xfId="2" applyNumberFormat="1" applyFont="1" applyBorder="1" applyAlignment="1">
      <alignment vertical="center" wrapText="1"/>
    </xf>
    <xf numFmtId="10" fontId="27" fillId="0" borderId="65" xfId="2" applyNumberFormat="1" applyFont="1" applyBorder="1" applyAlignment="1">
      <alignment vertical="center" wrapText="1"/>
    </xf>
    <xf numFmtId="167" fontId="1" fillId="0" borderId="0" xfId="0" applyNumberFormat="1" applyFont="1" applyAlignment="1">
      <alignment vertical="center" wrapText="1"/>
    </xf>
    <xf numFmtId="0" fontId="1" fillId="0" borderId="0" xfId="0" applyFont="1" applyAlignment="1">
      <alignment vertical="center" wrapText="1"/>
    </xf>
    <xf numFmtId="0" fontId="37" fillId="0" borderId="0" xfId="0" applyFont="1" applyFill="1" applyAlignment="1">
      <alignment horizontal="right" vertical="center"/>
    </xf>
    <xf numFmtId="10" fontId="0" fillId="0" borderId="0" xfId="0" applyNumberFormat="1">
      <alignment vertical="center"/>
    </xf>
    <xf numFmtId="0" fontId="3" fillId="14" borderId="0" xfId="0" applyFont="1" applyFill="1" applyAlignment="1">
      <alignment horizontal="center" vertical="center"/>
    </xf>
    <xf numFmtId="0" fontId="26" fillId="0" borderId="23" xfId="0" applyFont="1" applyFill="1" applyBorder="1">
      <alignment vertical="center"/>
    </xf>
    <xf numFmtId="0" fontId="27" fillId="0" borderId="39" xfId="0" applyFont="1" applyFill="1" applyBorder="1">
      <alignment vertical="center"/>
    </xf>
    <xf numFmtId="10" fontId="1" fillId="0" borderId="41" xfId="2" applyNumberFormat="1" applyFont="1" applyBorder="1">
      <alignment vertical="center"/>
    </xf>
    <xf numFmtId="0" fontId="12" fillId="0" borderId="23" xfId="0" applyFont="1" applyFill="1" applyBorder="1" applyAlignment="1">
      <alignment vertical="center" wrapText="1"/>
    </xf>
    <xf numFmtId="0" fontId="12" fillId="0" borderId="20" xfId="0" applyFont="1" applyFill="1" applyBorder="1" applyAlignment="1">
      <alignment vertical="center" wrapText="1"/>
    </xf>
    <xf numFmtId="0" fontId="26" fillId="0" borderId="37" xfId="0" applyFont="1" applyFill="1" applyBorder="1" applyAlignment="1">
      <alignment vertical="center"/>
    </xf>
    <xf numFmtId="10" fontId="0" fillId="15" borderId="0" xfId="0" applyNumberFormat="1" applyFill="1">
      <alignment vertical="center"/>
    </xf>
    <xf numFmtId="0" fontId="0" fillId="15" borderId="0" xfId="0" applyFill="1">
      <alignment vertical="center"/>
    </xf>
    <xf numFmtId="10" fontId="0" fillId="0" borderId="0" xfId="0" applyNumberFormat="1" applyFill="1">
      <alignment vertical="center"/>
    </xf>
    <xf numFmtId="0" fontId="51" fillId="0" borderId="0" xfId="0" applyFont="1" applyAlignment="1">
      <alignment vertical="center" wrapText="1"/>
    </xf>
    <xf numFmtId="0" fontId="52" fillId="0" borderId="0" xfId="0" applyFont="1" applyAlignment="1">
      <alignment vertical="center" wrapText="1"/>
    </xf>
    <xf numFmtId="0" fontId="52" fillId="0" borderId="0" xfId="0" applyFont="1">
      <alignment vertical="center"/>
    </xf>
    <xf numFmtId="14" fontId="52" fillId="15" borderId="0" xfId="0" applyNumberFormat="1" applyFont="1" applyFill="1">
      <alignment vertical="center"/>
    </xf>
    <xf numFmtId="14" fontId="52" fillId="0" borderId="0" xfId="0" applyNumberFormat="1" applyFont="1" applyFill="1">
      <alignment vertical="center"/>
    </xf>
    <xf numFmtId="14" fontId="52" fillId="15" borderId="0" xfId="0" applyNumberFormat="1" applyFont="1" applyFill="1" applyAlignment="1">
      <alignment vertical="center" wrapText="1"/>
    </xf>
    <xf numFmtId="14" fontId="52" fillId="0" borderId="0" xfId="0" applyNumberFormat="1" applyFont="1" applyAlignment="1">
      <alignment vertical="center" wrapText="1"/>
    </xf>
    <xf numFmtId="0" fontId="53" fillId="0" borderId="0" xfId="0" applyFont="1">
      <alignment vertical="center"/>
    </xf>
    <xf numFmtId="0" fontId="54" fillId="0" borderId="0" xfId="0" applyFont="1" applyAlignment="1">
      <alignment horizontal="right" vertical="center"/>
    </xf>
    <xf numFmtId="166" fontId="0" fillId="0" borderId="0" xfId="2" applyNumberFormat="1" applyFont="1">
      <alignment vertical="center"/>
    </xf>
    <xf numFmtId="0" fontId="53" fillId="0" borderId="0" xfId="0" applyFont="1" applyAlignment="1">
      <alignment horizontal="right" vertical="center"/>
    </xf>
    <xf numFmtId="170" fontId="0" fillId="0" borderId="0" xfId="0" applyNumberFormat="1">
      <alignment vertical="center"/>
    </xf>
    <xf numFmtId="0" fontId="53" fillId="0" borderId="0" xfId="0" applyFont="1" applyAlignment="1">
      <alignment horizontal="left" vertical="center"/>
    </xf>
    <xf numFmtId="0" fontId="38" fillId="14" borderId="0" xfId="0" applyFont="1" applyFill="1" applyAlignment="1">
      <alignment horizontal="center" vertical="center" wrapText="1"/>
    </xf>
    <xf numFmtId="0" fontId="53" fillId="10" borderId="0" xfId="0" applyFont="1" applyFill="1" applyAlignment="1">
      <alignment horizontal="left" vertical="center"/>
    </xf>
    <xf numFmtId="0" fontId="0" fillId="0" borderId="0" xfId="0" applyAlignment="1">
      <alignment horizontal="right" vertical="center"/>
    </xf>
    <xf numFmtId="0" fontId="34" fillId="0" borderId="0" xfId="0" applyFont="1" applyAlignment="1">
      <alignment horizontal="right" vertical="center"/>
    </xf>
    <xf numFmtId="0" fontId="0" fillId="6" borderId="0" xfId="0" applyFill="1">
      <alignment vertical="center"/>
    </xf>
    <xf numFmtId="9" fontId="53" fillId="6" borderId="0" xfId="2" applyFont="1" applyFill="1" applyAlignment="1">
      <alignment horizontal="right" vertical="center"/>
    </xf>
    <xf numFmtId="9" fontId="0" fillId="6" borderId="0" xfId="2" applyFont="1" applyFill="1">
      <alignment vertical="center"/>
    </xf>
    <xf numFmtId="0" fontId="53" fillId="6" borderId="0" xfId="0" applyFont="1" applyFill="1">
      <alignment vertical="center"/>
    </xf>
    <xf numFmtId="10" fontId="0" fillId="0" borderId="0" xfId="0" applyNumberFormat="1" applyAlignment="1">
      <alignment horizontal="right" vertical="center"/>
    </xf>
    <xf numFmtId="9" fontId="0" fillId="0" borderId="0" xfId="0" applyNumberFormat="1">
      <alignment vertical="center"/>
    </xf>
    <xf numFmtId="0" fontId="0" fillId="6" borderId="0" xfId="0" applyFill="1" applyAlignment="1">
      <alignment horizontal="right" vertical="center"/>
    </xf>
    <xf numFmtId="9" fontId="0" fillId="6" borderId="0" xfId="0" applyNumberFormat="1" applyFill="1">
      <alignment vertical="center"/>
    </xf>
    <xf numFmtId="10" fontId="27" fillId="6" borderId="39" xfId="2" applyNumberFormat="1" applyFont="1" applyFill="1" applyBorder="1" applyAlignment="1">
      <alignment horizontal="right" vertical="center"/>
    </xf>
    <xf numFmtId="10" fontId="1" fillId="6" borderId="0" xfId="2" applyNumberFormat="1" applyFont="1" applyFill="1" applyAlignment="1">
      <alignment horizontal="right" vertical="center"/>
    </xf>
    <xf numFmtId="10" fontId="27" fillId="6" borderId="39" xfId="2" applyNumberFormat="1" applyFont="1" applyFill="1" applyBorder="1" applyAlignment="1">
      <alignment horizontal="right" vertical="center" wrapText="1"/>
    </xf>
    <xf numFmtId="10" fontId="1" fillId="6" borderId="41" xfId="2" applyNumberFormat="1" applyFont="1" applyFill="1" applyBorder="1">
      <alignment vertical="center"/>
    </xf>
    <xf numFmtId="10" fontId="0" fillId="6" borderId="0" xfId="0" applyNumberFormat="1" applyFill="1">
      <alignment vertical="center"/>
    </xf>
    <xf numFmtId="10" fontId="12" fillId="9" borderId="38" xfId="2" applyNumberFormat="1" applyFont="1" applyFill="1" applyBorder="1" applyAlignment="1">
      <alignment horizontal="center" vertical="center"/>
    </xf>
    <xf numFmtId="10" fontId="27" fillId="9" borderId="39" xfId="2" applyNumberFormat="1" applyFont="1" applyFill="1" applyBorder="1" applyAlignment="1">
      <alignment horizontal="right" vertical="center" wrapText="1"/>
    </xf>
    <xf numFmtId="10" fontId="1" fillId="9" borderId="0" xfId="2" applyNumberFormat="1" applyFont="1" applyFill="1" applyAlignment="1">
      <alignment horizontal="right" vertical="center"/>
    </xf>
    <xf numFmtId="167" fontId="1" fillId="6" borderId="0" xfId="0" applyNumberFormat="1" applyFont="1" applyFill="1" applyAlignment="1">
      <alignment horizontal="right" vertical="center"/>
    </xf>
    <xf numFmtId="10" fontId="0" fillId="0" borderId="0" xfId="2" applyNumberFormat="1" applyFont="1" applyAlignment="1">
      <alignment vertical="center" wrapText="1"/>
    </xf>
    <xf numFmtId="0" fontId="32" fillId="0" borderId="20" xfId="0" applyFont="1" applyFill="1" applyBorder="1" applyAlignment="1">
      <alignment vertical="center" wrapText="1"/>
    </xf>
    <xf numFmtId="43" fontId="32" fillId="0" borderId="20" xfId="1" applyNumberFormat="1" applyFont="1" applyFill="1" applyBorder="1">
      <alignment vertical="center"/>
    </xf>
    <xf numFmtId="169" fontId="0" fillId="6" borderId="28" xfId="0" applyNumberFormat="1" applyFill="1" applyBorder="1">
      <alignment vertical="center"/>
    </xf>
    <xf numFmtId="0" fontId="31" fillId="0" borderId="20" xfId="0" applyFont="1" applyBorder="1" applyAlignment="1">
      <alignment vertical="center" wrapText="1"/>
    </xf>
    <xf numFmtId="0" fontId="32" fillId="0" borderId="20" xfId="0" applyFont="1" applyBorder="1" applyAlignment="1">
      <alignment vertical="center" wrapText="1"/>
    </xf>
    <xf numFmtId="171" fontId="1" fillId="0" borderId="23" xfId="1" applyNumberFormat="1" applyFont="1" applyBorder="1">
      <alignment vertical="center"/>
    </xf>
    <xf numFmtId="4" fontId="17" fillId="0" borderId="0" xfId="0" applyNumberFormat="1" applyFont="1" applyFill="1" applyAlignment="1">
      <alignment vertical="center"/>
    </xf>
    <xf numFmtId="169" fontId="0" fillId="0" borderId="28" xfId="0" applyNumberFormat="1" applyBorder="1" applyAlignment="1">
      <alignment horizontal="right" vertical="center"/>
    </xf>
    <xf numFmtId="0" fontId="5" fillId="0" borderId="49" xfId="3" applyFont="1" applyBorder="1" applyAlignment="1">
      <alignment horizontal="center" vertical="center" wrapText="1"/>
    </xf>
    <xf numFmtId="0" fontId="5" fillId="0" borderId="56" xfId="3" applyFont="1" applyBorder="1" applyAlignment="1">
      <alignment horizontal="center" vertical="center" wrapText="1"/>
    </xf>
    <xf numFmtId="0" fontId="5" fillId="0" borderId="57" xfId="3" applyFont="1" applyBorder="1" applyAlignment="1">
      <alignment horizontal="center" vertical="center" wrapText="1"/>
    </xf>
    <xf numFmtId="0" fontId="32" fillId="0" borderId="0" xfId="4" applyFont="1" applyAlignment="1">
      <alignment vertical="center"/>
    </xf>
    <xf numFmtId="14" fontId="32" fillId="0" borderId="0" xfId="4" applyNumberFormat="1" applyFont="1" applyAlignment="1">
      <alignment vertical="center"/>
    </xf>
    <xf numFmtId="0" fontId="38" fillId="2" borderId="0" xfId="4" applyFont="1" applyFill="1">
      <alignment vertical="center"/>
    </xf>
    <xf numFmtId="9" fontId="17" fillId="0" borderId="0" xfId="2" applyFont="1" applyFill="1" applyAlignment="1">
      <alignment vertical="center"/>
    </xf>
    <xf numFmtId="0" fontId="41" fillId="0" borderId="53" xfId="3" applyFont="1" applyBorder="1" applyAlignment="1">
      <alignment horizontal="center" vertical="center"/>
    </xf>
    <xf numFmtId="0" fontId="57" fillId="0" borderId="28" xfId="0" applyFont="1" applyBorder="1" applyAlignment="1">
      <alignment vertical="center" wrapText="1"/>
    </xf>
    <xf numFmtId="0" fontId="58" fillId="0" borderId="28" xfId="0" applyFont="1" applyBorder="1" applyAlignment="1">
      <alignment vertical="center" wrapText="1"/>
    </xf>
    <xf numFmtId="0" fontId="57" fillId="6" borderId="28" xfId="0" applyFont="1" applyFill="1" applyBorder="1" applyAlignment="1">
      <alignment vertical="center" wrapText="1"/>
    </xf>
    <xf numFmtId="0" fontId="58" fillId="6" borderId="28" xfId="0" applyFont="1" applyFill="1" applyBorder="1" applyAlignment="1">
      <alignment vertical="center" wrapText="1"/>
    </xf>
    <xf numFmtId="0" fontId="6" fillId="0" borderId="11" xfId="3" applyFont="1" applyBorder="1" applyAlignment="1">
      <alignment horizontal="center" vertical="center"/>
    </xf>
    <xf numFmtId="0" fontId="6" fillId="0" borderId="58" xfId="3" applyFont="1" applyBorder="1" applyAlignment="1">
      <alignment horizontal="center" vertical="center"/>
    </xf>
    <xf numFmtId="0" fontId="6" fillId="0" borderId="47" xfId="3" applyFont="1" applyBorder="1" applyAlignment="1">
      <alignment horizontal="center" vertical="center"/>
    </xf>
    <xf numFmtId="0" fontId="6" fillId="0" borderId="51" xfId="3" applyFont="1" applyBorder="1" applyAlignment="1">
      <alignment horizontal="center" vertical="center"/>
    </xf>
    <xf numFmtId="0" fontId="6" fillId="0" borderId="54" xfId="3" applyFont="1" applyBorder="1" applyAlignment="1">
      <alignment horizontal="center" vertical="center"/>
    </xf>
    <xf numFmtId="0" fontId="12" fillId="3" borderId="29" xfId="0" applyFont="1" applyFill="1" applyBorder="1" applyAlignment="1">
      <alignment horizontal="center" vertical="center"/>
    </xf>
    <xf numFmtId="0" fontId="12" fillId="3" borderId="38" xfId="0" applyFont="1" applyFill="1" applyBorder="1" applyAlignment="1">
      <alignment horizontal="center" vertical="center"/>
    </xf>
    <xf numFmtId="0" fontId="12" fillId="3" borderId="30" xfId="0" applyFont="1" applyFill="1" applyBorder="1" applyAlignment="1">
      <alignment horizontal="center" vertical="center"/>
    </xf>
    <xf numFmtId="0" fontId="12" fillId="0" borderId="29" xfId="0" applyFont="1" applyFill="1" applyBorder="1" applyAlignment="1">
      <alignment horizontal="center" vertical="center"/>
    </xf>
    <xf numFmtId="0" fontId="12" fillId="0" borderId="38" xfId="0" applyFont="1" applyFill="1" applyBorder="1" applyAlignment="1">
      <alignment horizontal="center" vertical="center"/>
    </xf>
    <xf numFmtId="0" fontId="12" fillId="0" borderId="19" xfId="0" applyFont="1" applyFill="1" applyBorder="1" applyAlignment="1">
      <alignment horizontal="center" vertical="center"/>
    </xf>
    <xf numFmtId="0" fontId="12" fillId="0" borderId="34" xfId="0" applyFont="1" applyFill="1" applyBorder="1" applyAlignment="1">
      <alignment horizontal="center" vertical="center"/>
    </xf>
    <xf numFmtId="0" fontId="12" fillId="0" borderId="22" xfId="0" applyFont="1" applyFill="1" applyBorder="1" applyAlignment="1">
      <alignment horizontal="center" vertical="center"/>
    </xf>
    <xf numFmtId="0" fontId="12" fillId="0" borderId="30" xfId="0" applyFont="1" applyFill="1" applyBorder="1" applyAlignment="1">
      <alignment horizontal="center" vertical="center"/>
    </xf>
    <xf numFmtId="0" fontId="6" fillId="0" borderId="29" xfId="0" applyFont="1" applyBorder="1" applyAlignment="1">
      <alignment horizontal="center" vertical="center"/>
    </xf>
    <xf numFmtId="0" fontId="6" fillId="0" borderId="38" xfId="0" applyFont="1" applyBorder="1" applyAlignment="1">
      <alignment horizontal="center" vertical="center"/>
    </xf>
    <xf numFmtId="0" fontId="6" fillId="0" borderId="30" xfId="0" applyFont="1" applyBorder="1" applyAlignment="1">
      <alignment horizontal="center" vertical="center"/>
    </xf>
    <xf numFmtId="10" fontId="12" fillId="6" borderId="38" xfId="2" applyNumberFormat="1" applyFont="1" applyFill="1" applyBorder="1" applyAlignment="1">
      <alignment horizontal="center" vertical="center"/>
    </xf>
    <xf numFmtId="10" fontId="12" fillId="6" borderId="30" xfId="2" applyNumberFormat="1" applyFont="1" applyFill="1" applyBorder="1" applyAlignment="1">
      <alignment horizontal="center" vertical="center"/>
    </xf>
    <xf numFmtId="0" fontId="34" fillId="0" borderId="0" xfId="0" applyFont="1" applyAlignment="1">
      <alignment horizontal="center" vertical="center"/>
    </xf>
    <xf numFmtId="0" fontId="0" fillId="0" borderId="0" xfId="0" applyAlignment="1">
      <alignment horizontal="center" vertical="center"/>
    </xf>
    <xf numFmtId="14" fontId="52" fillId="0" borderId="0" xfId="0" applyNumberFormat="1" applyFont="1" applyAlignment="1">
      <alignment horizontal="center" vertical="center" wrapText="1"/>
    </xf>
    <xf numFmtId="0" fontId="35" fillId="0" borderId="14" xfId="0" applyFont="1" applyFill="1" applyBorder="1" applyAlignment="1">
      <alignment horizontal="center" vertical="center"/>
    </xf>
    <xf numFmtId="0" fontId="11" fillId="0" borderId="15" xfId="0" applyFont="1" applyFill="1" applyBorder="1" applyAlignment="1">
      <alignment horizontal="center" vertical="center"/>
    </xf>
    <xf numFmtId="0" fontId="35" fillId="0" borderId="15" xfId="0" applyFont="1" applyFill="1" applyBorder="1" applyAlignment="1">
      <alignment horizontal="center" vertical="center"/>
    </xf>
    <xf numFmtId="0" fontId="11" fillId="0" borderId="18" xfId="0" applyFont="1" applyFill="1" applyBorder="1" applyAlignment="1">
      <alignment horizontal="center" vertical="center"/>
    </xf>
    <xf numFmtId="0" fontId="42" fillId="10" borderId="59" xfId="0" applyFont="1" applyFill="1" applyBorder="1" applyAlignment="1">
      <alignment horizontal="center" vertical="center" wrapText="1"/>
    </xf>
    <xf numFmtId="0" fontId="42" fillId="10" borderId="60" xfId="0" applyFont="1" applyFill="1" applyBorder="1" applyAlignment="1">
      <alignment horizontal="center" vertical="center" wrapText="1"/>
    </xf>
    <xf numFmtId="0" fontId="42" fillId="10" borderId="61" xfId="0" applyFont="1" applyFill="1" applyBorder="1" applyAlignment="1">
      <alignment horizontal="center" vertical="center" wrapText="1"/>
    </xf>
    <xf numFmtId="0" fontId="42" fillId="7" borderId="59" xfId="0" applyFont="1" applyFill="1" applyBorder="1" applyAlignment="1">
      <alignment horizontal="center" vertical="center" wrapText="1"/>
    </xf>
    <xf numFmtId="0" fontId="42" fillId="7" borderId="60" xfId="0" applyFont="1" applyFill="1" applyBorder="1" applyAlignment="1">
      <alignment horizontal="center" vertical="center" wrapText="1"/>
    </xf>
    <xf numFmtId="0" fontId="42" fillId="7" borderId="61" xfId="0" applyFont="1" applyFill="1" applyBorder="1" applyAlignment="1">
      <alignment horizontal="center" vertical="center" wrapText="1"/>
    </xf>
    <xf numFmtId="0" fontId="34" fillId="5" borderId="0" xfId="0" applyFont="1" applyFill="1" applyAlignment="1">
      <alignment horizontal="center" vertical="center"/>
    </xf>
    <xf numFmtId="0" fontId="0" fillId="5" borderId="0" xfId="0" applyFill="1" applyAlignment="1">
      <alignment horizontal="center" vertical="center"/>
    </xf>
    <xf numFmtId="0" fontId="34" fillId="7" borderId="0" xfId="0" applyFont="1" applyFill="1" applyAlignment="1">
      <alignment horizontal="center" vertical="center"/>
    </xf>
    <xf numFmtId="0" fontId="0" fillId="7" borderId="0" xfId="0" applyFill="1" applyAlignment="1">
      <alignment horizontal="center" vertical="center"/>
    </xf>
  </cellXfs>
  <cellStyles count="6">
    <cellStyle name="百分比" xfId="2" builtinId="5"/>
    <cellStyle name="常规" xfId="0" builtinId="0"/>
    <cellStyle name="常规 2" xfId="3" xr:uid="{00000000-0005-0000-0000-000031000000}"/>
    <cellStyle name="常规 3" xfId="4" xr:uid="{00000000-0005-0000-0000-000032000000}"/>
    <cellStyle name="超链接" xfId="5" builtinId="8"/>
    <cellStyle name="千位分隔" xfId="1" builtinId="3"/>
  </cellStyles>
  <dxfs count="0"/>
  <tableStyles count="0" defaultTableStyle="TableStyleMedium2"/>
  <colors>
    <mruColors>
      <color rgb="FF1D41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历史估值!$F$13</c:f>
              <c:strCache>
                <c:ptCount val="1"/>
                <c:pt idx="0">
                  <c:v>市值（亿）</c:v>
                </c:pt>
              </c:strCache>
            </c:strRef>
          </c:tx>
          <c:spPr>
            <a:ln w="28575" cap="rnd">
              <a:solidFill>
                <a:schemeClr val="accent1"/>
              </a:solidFill>
              <a:round/>
            </a:ln>
            <a:effectLst/>
          </c:spPr>
          <c:marker>
            <c:symbol val="none"/>
          </c:marker>
          <c:cat>
            <c:numRef>
              <c:f>历史估值!$D$14:$D$36</c:f>
              <c:numCache>
                <c:formatCode>m/d/yyyy</c:formatCode>
                <c:ptCount val="23"/>
                <c:pt idx="0">
                  <c:v>41775</c:v>
                </c:pt>
                <c:pt idx="1">
                  <c:v>42167</c:v>
                </c:pt>
                <c:pt idx="2">
                  <c:v>42207</c:v>
                </c:pt>
                <c:pt idx="3">
                  <c:v>42415</c:v>
                </c:pt>
                <c:pt idx="4">
                  <c:v>42430</c:v>
                </c:pt>
                <c:pt idx="5">
                  <c:v>42467</c:v>
                </c:pt>
                <c:pt idx="6">
                  <c:v>42751</c:v>
                </c:pt>
                <c:pt idx="7">
                  <c:v>42919</c:v>
                </c:pt>
                <c:pt idx="8">
                  <c:v>43385</c:v>
                </c:pt>
                <c:pt idx="9">
                  <c:v>43536</c:v>
                </c:pt>
                <c:pt idx="10">
                  <c:v>43692</c:v>
                </c:pt>
                <c:pt idx="11">
                  <c:v>43868</c:v>
                </c:pt>
                <c:pt idx="12">
                  <c:v>43951</c:v>
                </c:pt>
                <c:pt idx="13">
                  <c:v>44025</c:v>
                </c:pt>
                <c:pt idx="14">
                  <c:v>44056</c:v>
                </c:pt>
              </c:numCache>
            </c:numRef>
          </c:cat>
          <c:val>
            <c:numRef>
              <c:f>历史估值!$F$14:$F$36</c:f>
              <c:numCache>
                <c:formatCode>#,##0.00_ </c:formatCode>
                <c:ptCount val="23"/>
                <c:pt idx="0">
                  <c:v>164.22</c:v>
                </c:pt>
                <c:pt idx="1">
                  <c:v>441.87599999999998</c:v>
                </c:pt>
                <c:pt idx="2">
                  <c:v>247.10279999999997</c:v>
                </c:pt>
                <c:pt idx="3">
                  <c:v>231.2646</c:v>
                </c:pt>
                <c:pt idx="4">
                  <c:v>203.77</c:v>
                </c:pt>
                <c:pt idx="5">
                  <c:v>430.21300000000002</c:v>
                </c:pt>
                <c:pt idx="6">
                  <c:v>207.501</c:v>
                </c:pt>
                <c:pt idx="7">
                  <c:v>300.14400000000001</c:v>
                </c:pt>
                <c:pt idx="8">
                  <c:v>125.56320000000001</c:v>
                </c:pt>
                <c:pt idx="9">
                  <c:v>225.97079999999997</c:v>
                </c:pt>
                <c:pt idx="10">
                  <c:v>115.5288</c:v>
                </c:pt>
                <c:pt idx="11">
                  <c:v>285.58080000000001</c:v>
                </c:pt>
                <c:pt idx="12">
                  <c:v>164.28</c:v>
                </c:pt>
                <c:pt idx="13">
                  <c:v>256.45440000000002</c:v>
                </c:pt>
                <c:pt idx="14">
                  <c:v>183.99360000000001</c:v>
                </c:pt>
              </c:numCache>
            </c:numRef>
          </c:val>
          <c:smooth val="0"/>
          <c:extLst>
            <c:ext xmlns:c16="http://schemas.microsoft.com/office/drawing/2014/chart" uri="{C3380CC4-5D6E-409C-BE32-E72D297353CC}">
              <c16:uniqueId val="{00000000-2195-43EE-BA91-B90C23583B56}"/>
            </c:ext>
          </c:extLst>
        </c:ser>
        <c:dLbls>
          <c:showLegendKey val="0"/>
          <c:showVal val="0"/>
          <c:showCatName val="0"/>
          <c:showSerName val="0"/>
          <c:showPercent val="0"/>
          <c:showBubbleSize val="0"/>
        </c:dLbls>
        <c:smooth val="0"/>
        <c:axId val="709473680"/>
        <c:axId val="142453536"/>
      </c:lineChart>
      <c:dateAx>
        <c:axId val="70947368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53536"/>
        <c:crosses val="autoZero"/>
        <c:auto val="1"/>
        <c:lblOffset val="100"/>
        <c:baseTimeUnit val="days"/>
      </c:dateAx>
      <c:valAx>
        <c:axId val="142453536"/>
        <c:scaling>
          <c:orientation val="minMax"/>
        </c:scaling>
        <c:delete val="0"/>
        <c:axPos val="l"/>
        <c:majorGridlines>
          <c:spPr>
            <a:ln w="9525" cap="flat" cmpd="sng" algn="ctr">
              <a:solidFill>
                <a:schemeClr val="tx1">
                  <a:lumMod val="15000"/>
                  <a:lumOff val="85000"/>
                </a:schemeClr>
              </a:solidFill>
              <a:round/>
            </a:ln>
            <a:effectLst/>
          </c:spPr>
        </c:majorGridlines>
        <c:numFmt formatCode="#,##0.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473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重要股东持股变化图</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股东持股!$A$3</c:f>
              <c:strCache>
                <c:ptCount val="1"/>
                <c:pt idx="0">
                  <c:v>林奇</c:v>
                </c:pt>
              </c:strCache>
            </c:strRef>
          </c:tx>
          <c:spPr>
            <a:ln w="28575" cap="rnd">
              <a:solidFill>
                <a:schemeClr val="accent1"/>
              </a:solidFill>
              <a:round/>
            </a:ln>
            <a:effectLst/>
          </c:spPr>
          <c:marker>
            <c:symbol val="none"/>
          </c:marker>
          <c:cat>
            <c:strRef>
              <c:f>股东持股!$B$1:$AC$1</c:f>
              <c:strCache>
                <c:ptCount val="28"/>
                <c:pt idx="0">
                  <c:v>2013年预案</c:v>
                </c:pt>
                <c:pt idx="1">
                  <c:v>2014/4/14</c:v>
                </c:pt>
                <c:pt idx="3">
                  <c:v>2015年三季报</c:v>
                </c:pt>
                <c:pt idx="4">
                  <c:v>2015/12/9</c:v>
                </c:pt>
                <c:pt idx="5">
                  <c:v>2016年一季报</c:v>
                </c:pt>
                <c:pt idx="6">
                  <c:v>2016年中报</c:v>
                </c:pt>
                <c:pt idx="7">
                  <c:v>2017年一季报</c:v>
                </c:pt>
                <c:pt idx="8">
                  <c:v>2017/5/24</c:v>
                </c:pt>
                <c:pt idx="9">
                  <c:v>2017年中报</c:v>
                </c:pt>
                <c:pt idx="10">
                  <c:v>2017年三季报</c:v>
                </c:pt>
                <c:pt idx="11">
                  <c:v>2017/10/31</c:v>
                </c:pt>
                <c:pt idx="12">
                  <c:v>2017/12/15</c:v>
                </c:pt>
                <c:pt idx="13">
                  <c:v>2018/2/9</c:v>
                </c:pt>
                <c:pt idx="14">
                  <c:v>2018年一季报</c:v>
                </c:pt>
                <c:pt idx="15">
                  <c:v>2018/5/17</c:v>
                </c:pt>
                <c:pt idx="16">
                  <c:v>2018/6/6</c:v>
                </c:pt>
                <c:pt idx="17">
                  <c:v>2018年中报</c:v>
                </c:pt>
                <c:pt idx="18">
                  <c:v>2018/9/10</c:v>
                </c:pt>
                <c:pt idx="19">
                  <c:v>2018/9/25</c:v>
                </c:pt>
                <c:pt idx="20">
                  <c:v>2018年三季报</c:v>
                </c:pt>
                <c:pt idx="21">
                  <c:v>2018年年报</c:v>
                </c:pt>
                <c:pt idx="22">
                  <c:v>2019年一季报</c:v>
                </c:pt>
                <c:pt idx="23">
                  <c:v>2019年中报</c:v>
                </c:pt>
                <c:pt idx="24">
                  <c:v>2019年三季报</c:v>
                </c:pt>
                <c:pt idx="25">
                  <c:v>2019年年报</c:v>
                </c:pt>
                <c:pt idx="26">
                  <c:v>2020年一季报</c:v>
                </c:pt>
                <c:pt idx="27">
                  <c:v>2020/6/15</c:v>
                </c:pt>
              </c:strCache>
            </c:strRef>
          </c:cat>
          <c:val>
            <c:numRef>
              <c:f>股东持股!$B$3:$AC$3</c:f>
              <c:numCache>
                <c:formatCode>0.00%</c:formatCode>
                <c:ptCount val="28"/>
                <c:pt idx="0">
                  <c:v>0.33310000000000001</c:v>
                </c:pt>
                <c:pt idx="2">
                  <c:v>0.36580000000000001</c:v>
                </c:pt>
                <c:pt idx="3">
                  <c:v>0.36580000000000001</c:v>
                </c:pt>
                <c:pt idx="4">
                  <c:v>0.3513</c:v>
                </c:pt>
                <c:pt idx="5">
                  <c:v>0.3513</c:v>
                </c:pt>
                <c:pt idx="6">
                  <c:v>0.3513</c:v>
                </c:pt>
                <c:pt idx="7">
                  <c:v>0.3513</c:v>
                </c:pt>
                <c:pt idx="9">
                  <c:v>0.3513</c:v>
                </c:pt>
                <c:pt idx="10">
                  <c:v>0.3513</c:v>
                </c:pt>
                <c:pt idx="11">
                  <c:v>0.35289999999999999</c:v>
                </c:pt>
                <c:pt idx="12">
                  <c:v>0.34429999999999999</c:v>
                </c:pt>
                <c:pt idx="14">
                  <c:v>0.34429999999999999</c:v>
                </c:pt>
                <c:pt idx="17">
                  <c:v>0.34429999999999999</c:v>
                </c:pt>
                <c:pt idx="18">
                  <c:v>0.34570000000000001</c:v>
                </c:pt>
                <c:pt idx="19">
                  <c:v>0.34620000000000001</c:v>
                </c:pt>
                <c:pt idx="20">
                  <c:v>0.34639999999999999</c:v>
                </c:pt>
                <c:pt idx="21">
                  <c:v>0.34839999999999999</c:v>
                </c:pt>
                <c:pt idx="22">
                  <c:v>0.34839999999999999</c:v>
                </c:pt>
                <c:pt idx="23">
                  <c:v>0.34839999999999999</c:v>
                </c:pt>
                <c:pt idx="24">
                  <c:v>0.33189999999999997</c:v>
                </c:pt>
                <c:pt idx="25">
                  <c:v>0.32150000000000001</c:v>
                </c:pt>
                <c:pt idx="26">
                  <c:v>0.30819999999999997</c:v>
                </c:pt>
                <c:pt idx="27">
                  <c:v>0.29730000000000001</c:v>
                </c:pt>
              </c:numCache>
            </c:numRef>
          </c:val>
          <c:smooth val="0"/>
          <c:extLst>
            <c:ext xmlns:c16="http://schemas.microsoft.com/office/drawing/2014/chart" uri="{C3380CC4-5D6E-409C-BE32-E72D297353CC}">
              <c16:uniqueId val="{00000000-2CE6-4120-AAD6-9D0846E19777}"/>
            </c:ext>
          </c:extLst>
        </c:ser>
        <c:ser>
          <c:idx val="1"/>
          <c:order val="1"/>
          <c:tx>
            <c:strRef>
              <c:f>股东持股!$A$4</c:f>
              <c:strCache>
                <c:ptCount val="1"/>
                <c:pt idx="0">
                  <c:v>王卿伟王卿泳</c:v>
                </c:pt>
              </c:strCache>
            </c:strRef>
          </c:tx>
          <c:spPr>
            <a:ln w="28575" cap="rnd">
              <a:solidFill>
                <a:schemeClr val="accent2"/>
              </a:solidFill>
              <a:round/>
            </a:ln>
            <a:effectLst/>
          </c:spPr>
          <c:marker>
            <c:symbol val="none"/>
          </c:marker>
          <c:cat>
            <c:strRef>
              <c:f>股东持股!$B$1:$AC$1</c:f>
              <c:strCache>
                <c:ptCount val="28"/>
                <c:pt idx="0">
                  <c:v>2013年预案</c:v>
                </c:pt>
                <c:pt idx="1">
                  <c:v>2014/4/14</c:v>
                </c:pt>
                <c:pt idx="3">
                  <c:v>2015年三季报</c:v>
                </c:pt>
                <c:pt idx="4">
                  <c:v>2015/12/9</c:v>
                </c:pt>
                <c:pt idx="5">
                  <c:v>2016年一季报</c:v>
                </c:pt>
                <c:pt idx="6">
                  <c:v>2016年中报</c:v>
                </c:pt>
                <c:pt idx="7">
                  <c:v>2017年一季报</c:v>
                </c:pt>
                <c:pt idx="8">
                  <c:v>2017/5/24</c:v>
                </c:pt>
                <c:pt idx="9">
                  <c:v>2017年中报</c:v>
                </c:pt>
                <c:pt idx="10">
                  <c:v>2017年三季报</c:v>
                </c:pt>
                <c:pt idx="11">
                  <c:v>2017/10/31</c:v>
                </c:pt>
                <c:pt idx="12">
                  <c:v>2017/12/15</c:v>
                </c:pt>
                <c:pt idx="13">
                  <c:v>2018/2/9</c:v>
                </c:pt>
                <c:pt idx="14">
                  <c:v>2018年一季报</c:v>
                </c:pt>
                <c:pt idx="15">
                  <c:v>2018/5/17</c:v>
                </c:pt>
                <c:pt idx="16">
                  <c:v>2018/6/6</c:v>
                </c:pt>
                <c:pt idx="17">
                  <c:v>2018年中报</c:v>
                </c:pt>
                <c:pt idx="18">
                  <c:v>2018/9/10</c:v>
                </c:pt>
                <c:pt idx="19">
                  <c:v>2018/9/25</c:v>
                </c:pt>
                <c:pt idx="20">
                  <c:v>2018年三季报</c:v>
                </c:pt>
                <c:pt idx="21">
                  <c:v>2018年年报</c:v>
                </c:pt>
                <c:pt idx="22">
                  <c:v>2019年一季报</c:v>
                </c:pt>
                <c:pt idx="23">
                  <c:v>2019年中报</c:v>
                </c:pt>
                <c:pt idx="24">
                  <c:v>2019年三季报</c:v>
                </c:pt>
                <c:pt idx="25">
                  <c:v>2019年年报</c:v>
                </c:pt>
                <c:pt idx="26">
                  <c:v>2020年一季报</c:v>
                </c:pt>
                <c:pt idx="27">
                  <c:v>2020/6/15</c:v>
                </c:pt>
              </c:strCache>
            </c:strRef>
          </c:cat>
          <c:val>
            <c:numRef>
              <c:f>股东持股!$B$4:$AC$4</c:f>
              <c:numCache>
                <c:formatCode>0.00%</c:formatCode>
                <c:ptCount val="28"/>
                <c:pt idx="3">
                  <c:v>8.5599999999999996E-2</c:v>
                </c:pt>
                <c:pt idx="4">
                  <c:v>8.2199999999999995E-2</c:v>
                </c:pt>
                <c:pt idx="5">
                  <c:v>8.2199999999999995E-2</c:v>
                </c:pt>
                <c:pt idx="6">
                  <c:v>7.8799999999999995E-2</c:v>
                </c:pt>
                <c:pt idx="7">
                  <c:v>7.8799999999999995E-2</c:v>
                </c:pt>
                <c:pt idx="9">
                  <c:v>7.8799999999999995E-2</c:v>
                </c:pt>
                <c:pt idx="10">
                  <c:v>7.8799999999999995E-2</c:v>
                </c:pt>
                <c:pt idx="12">
                  <c:v>7.6300000000000007E-2</c:v>
                </c:pt>
                <c:pt idx="14">
                  <c:v>7.6300000000000007E-2</c:v>
                </c:pt>
                <c:pt idx="17">
                  <c:v>7.6300000000000007E-2</c:v>
                </c:pt>
                <c:pt idx="20">
                  <c:v>7.6300000000000007E-2</c:v>
                </c:pt>
                <c:pt idx="21">
                  <c:v>7.6300000000000007E-2</c:v>
                </c:pt>
                <c:pt idx="22">
                  <c:v>7.6300000000000007E-2</c:v>
                </c:pt>
                <c:pt idx="23">
                  <c:v>7.6300000000000007E-2</c:v>
                </c:pt>
                <c:pt idx="24">
                  <c:v>8.2799999999999999E-2</c:v>
                </c:pt>
                <c:pt idx="25">
                  <c:v>8.2799999999999999E-2</c:v>
                </c:pt>
                <c:pt idx="26">
                  <c:v>8.2799999999999999E-2</c:v>
                </c:pt>
              </c:numCache>
            </c:numRef>
          </c:val>
          <c:smooth val="0"/>
          <c:extLst>
            <c:ext xmlns:c16="http://schemas.microsoft.com/office/drawing/2014/chart" uri="{C3380CC4-5D6E-409C-BE32-E72D297353CC}">
              <c16:uniqueId val="{00000001-2CE6-4120-AAD6-9D0846E19777}"/>
            </c:ext>
          </c:extLst>
        </c:ser>
        <c:ser>
          <c:idx val="2"/>
          <c:order val="2"/>
          <c:tx>
            <c:strRef>
              <c:f>股东持股!$A$5</c:f>
              <c:strCache>
                <c:ptCount val="1"/>
                <c:pt idx="0">
                  <c:v>一骑当先（陈礼标）</c:v>
                </c:pt>
              </c:strCache>
            </c:strRef>
          </c:tx>
          <c:spPr>
            <a:ln w="28575" cap="rnd">
              <a:solidFill>
                <a:schemeClr val="accent3"/>
              </a:solidFill>
              <a:round/>
            </a:ln>
            <a:effectLst/>
          </c:spPr>
          <c:marker>
            <c:symbol val="none"/>
          </c:marker>
          <c:cat>
            <c:strRef>
              <c:f>股东持股!$B$1:$AC$1</c:f>
              <c:strCache>
                <c:ptCount val="28"/>
                <c:pt idx="0">
                  <c:v>2013年预案</c:v>
                </c:pt>
                <c:pt idx="1">
                  <c:v>2014/4/14</c:v>
                </c:pt>
                <c:pt idx="3">
                  <c:v>2015年三季报</c:v>
                </c:pt>
                <c:pt idx="4">
                  <c:v>2015/12/9</c:v>
                </c:pt>
                <c:pt idx="5">
                  <c:v>2016年一季报</c:v>
                </c:pt>
                <c:pt idx="6">
                  <c:v>2016年中报</c:v>
                </c:pt>
                <c:pt idx="7">
                  <c:v>2017年一季报</c:v>
                </c:pt>
                <c:pt idx="8">
                  <c:v>2017/5/24</c:v>
                </c:pt>
                <c:pt idx="9">
                  <c:v>2017年中报</c:v>
                </c:pt>
                <c:pt idx="10">
                  <c:v>2017年三季报</c:v>
                </c:pt>
                <c:pt idx="11">
                  <c:v>2017/10/31</c:v>
                </c:pt>
                <c:pt idx="12">
                  <c:v>2017/12/15</c:v>
                </c:pt>
                <c:pt idx="13">
                  <c:v>2018/2/9</c:v>
                </c:pt>
                <c:pt idx="14">
                  <c:v>2018年一季报</c:v>
                </c:pt>
                <c:pt idx="15">
                  <c:v>2018/5/17</c:v>
                </c:pt>
                <c:pt idx="16">
                  <c:v>2018/6/6</c:v>
                </c:pt>
                <c:pt idx="17">
                  <c:v>2018年中报</c:v>
                </c:pt>
                <c:pt idx="18">
                  <c:v>2018/9/10</c:v>
                </c:pt>
                <c:pt idx="19">
                  <c:v>2018/9/25</c:v>
                </c:pt>
                <c:pt idx="20">
                  <c:v>2018年三季报</c:v>
                </c:pt>
                <c:pt idx="21">
                  <c:v>2018年年报</c:v>
                </c:pt>
                <c:pt idx="22">
                  <c:v>2019年一季报</c:v>
                </c:pt>
                <c:pt idx="23">
                  <c:v>2019年中报</c:v>
                </c:pt>
                <c:pt idx="24">
                  <c:v>2019年三季报</c:v>
                </c:pt>
                <c:pt idx="25">
                  <c:v>2019年年报</c:v>
                </c:pt>
                <c:pt idx="26">
                  <c:v>2020年一季报</c:v>
                </c:pt>
                <c:pt idx="27">
                  <c:v>2020/6/15</c:v>
                </c:pt>
              </c:strCache>
            </c:strRef>
          </c:cat>
          <c:val>
            <c:numRef>
              <c:f>股东持股!$B$5:$AC$5</c:f>
              <c:numCache>
                <c:formatCode>0.00%</c:formatCode>
                <c:ptCount val="28"/>
                <c:pt idx="0">
                  <c:v>8.3799999999999999E-2</c:v>
                </c:pt>
                <c:pt idx="2">
                  <c:v>9.1999999999999998E-2</c:v>
                </c:pt>
                <c:pt idx="3">
                  <c:v>9.1999999999999998E-2</c:v>
                </c:pt>
                <c:pt idx="4">
                  <c:v>8.8400000000000006E-2</c:v>
                </c:pt>
                <c:pt idx="5">
                  <c:v>8.8400000000000006E-2</c:v>
                </c:pt>
                <c:pt idx="6">
                  <c:v>8.8400000000000006E-2</c:v>
                </c:pt>
                <c:pt idx="7">
                  <c:v>8.8400000000000006E-2</c:v>
                </c:pt>
                <c:pt idx="9">
                  <c:v>8.8400000000000006E-2</c:v>
                </c:pt>
                <c:pt idx="10">
                  <c:v>8.8400000000000006E-2</c:v>
                </c:pt>
                <c:pt idx="11">
                  <c:v>8.8400000000000006E-2</c:v>
                </c:pt>
                <c:pt idx="12">
                  <c:v>8.5699999999999998E-2</c:v>
                </c:pt>
                <c:pt idx="14">
                  <c:v>8.5699999999999998E-2</c:v>
                </c:pt>
                <c:pt idx="16">
                  <c:v>7.9899999999999999E-2</c:v>
                </c:pt>
                <c:pt idx="17">
                  <c:v>7.9899999999999999E-2</c:v>
                </c:pt>
                <c:pt idx="20">
                  <c:v>1.9900000000000001E-2</c:v>
                </c:pt>
                <c:pt idx="21">
                  <c:v>1.9099999999999999E-2</c:v>
                </c:pt>
              </c:numCache>
            </c:numRef>
          </c:val>
          <c:smooth val="0"/>
          <c:extLst>
            <c:ext xmlns:c16="http://schemas.microsoft.com/office/drawing/2014/chart" uri="{C3380CC4-5D6E-409C-BE32-E72D297353CC}">
              <c16:uniqueId val="{00000002-2CE6-4120-AAD6-9D0846E19777}"/>
            </c:ext>
          </c:extLst>
        </c:ser>
        <c:ser>
          <c:idx val="3"/>
          <c:order val="3"/>
          <c:tx>
            <c:strRef>
              <c:f>股东持股!$A$6</c:f>
              <c:strCache>
                <c:ptCount val="1"/>
                <c:pt idx="0">
                  <c:v>朱伟松</c:v>
                </c:pt>
              </c:strCache>
            </c:strRef>
          </c:tx>
          <c:spPr>
            <a:ln w="28575" cap="rnd">
              <a:solidFill>
                <a:schemeClr val="accent4"/>
              </a:solidFill>
              <a:round/>
            </a:ln>
            <a:effectLst/>
          </c:spPr>
          <c:marker>
            <c:symbol val="none"/>
          </c:marker>
          <c:cat>
            <c:strRef>
              <c:f>股东持股!$B$1:$AC$1</c:f>
              <c:strCache>
                <c:ptCount val="28"/>
                <c:pt idx="0">
                  <c:v>2013年预案</c:v>
                </c:pt>
                <c:pt idx="1">
                  <c:v>2014/4/14</c:v>
                </c:pt>
                <c:pt idx="3">
                  <c:v>2015年三季报</c:v>
                </c:pt>
                <c:pt idx="4">
                  <c:v>2015/12/9</c:v>
                </c:pt>
                <c:pt idx="5">
                  <c:v>2016年一季报</c:v>
                </c:pt>
                <c:pt idx="6">
                  <c:v>2016年中报</c:v>
                </c:pt>
                <c:pt idx="7">
                  <c:v>2017年一季报</c:v>
                </c:pt>
                <c:pt idx="8">
                  <c:v>2017/5/24</c:v>
                </c:pt>
                <c:pt idx="9">
                  <c:v>2017年中报</c:v>
                </c:pt>
                <c:pt idx="10">
                  <c:v>2017年三季报</c:v>
                </c:pt>
                <c:pt idx="11">
                  <c:v>2017/10/31</c:v>
                </c:pt>
                <c:pt idx="12">
                  <c:v>2017/12/15</c:v>
                </c:pt>
                <c:pt idx="13">
                  <c:v>2018/2/9</c:v>
                </c:pt>
                <c:pt idx="14">
                  <c:v>2018年一季报</c:v>
                </c:pt>
                <c:pt idx="15">
                  <c:v>2018/5/17</c:v>
                </c:pt>
                <c:pt idx="16">
                  <c:v>2018/6/6</c:v>
                </c:pt>
                <c:pt idx="17">
                  <c:v>2018年中报</c:v>
                </c:pt>
                <c:pt idx="18">
                  <c:v>2018/9/10</c:v>
                </c:pt>
                <c:pt idx="19">
                  <c:v>2018/9/25</c:v>
                </c:pt>
                <c:pt idx="20">
                  <c:v>2018年三季报</c:v>
                </c:pt>
                <c:pt idx="21">
                  <c:v>2018年年报</c:v>
                </c:pt>
                <c:pt idx="22">
                  <c:v>2019年一季报</c:v>
                </c:pt>
                <c:pt idx="23">
                  <c:v>2019年中报</c:v>
                </c:pt>
                <c:pt idx="24">
                  <c:v>2019年三季报</c:v>
                </c:pt>
                <c:pt idx="25">
                  <c:v>2019年年报</c:v>
                </c:pt>
                <c:pt idx="26">
                  <c:v>2020年一季报</c:v>
                </c:pt>
                <c:pt idx="27">
                  <c:v>2020/6/15</c:v>
                </c:pt>
              </c:strCache>
            </c:strRef>
          </c:cat>
          <c:val>
            <c:numRef>
              <c:f>股东持股!$B$6:$AC$6</c:f>
              <c:numCache>
                <c:formatCode>0.00%</c:formatCode>
                <c:ptCount val="28"/>
                <c:pt idx="0">
                  <c:v>8.8900000000000007E-2</c:v>
                </c:pt>
                <c:pt idx="2">
                  <c:v>9.7600000000000006E-2</c:v>
                </c:pt>
                <c:pt idx="3">
                  <c:v>9.7600000000000006E-2</c:v>
                </c:pt>
                <c:pt idx="4">
                  <c:v>9.3799999999999994E-2</c:v>
                </c:pt>
                <c:pt idx="5">
                  <c:v>9.3799999999999994E-2</c:v>
                </c:pt>
                <c:pt idx="6">
                  <c:v>9.3799999999999994E-2</c:v>
                </c:pt>
                <c:pt idx="7">
                  <c:v>9.3799999999999994E-2</c:v>
                </c:pt>
                <c:pt idx="8">
                  <c:v>6.3600000000000004E-2</c:v>
                </c:pt>
                <c:pt idx="9">
                  <c:v>6.3600000000000004E-2</c:v>
                </c:pt>
                <c:pt idx="10">
                  <c:v>6.3600000000000004E-2</c:v>
                </c:pt>
                <c:pt idx="11">
                  <c:v>6.3600000000000004E-2</c:v>
                </c:pt>
                <c:pt idx="12">
                  <c:v>6.1600000000000002E-2</c:v>
                </c:pt>
                <c:pt idx="13">
                  <c:v>5.67E-2</c:v>
                </c:pt>
                <c:pt idx="14">
                  <c:v>5.67E-2</c:v>
                </c:pt>
                <c:pt idx="15">
                  <c:v>5.0799999999999998E-2</c:v>
                </c:pt>
                <c:pt idx="17">
                  <c:v>4.1200000000000001E-2</c:v>
                </c:pt>
                <c:pt idx="20">
                  <c:v>3.5799999999999998E-2</c:v>
                </c:pt>
                <c:pt idx="21">
                  <c:v>2.58E-2</c:v>
                </c:pt>
                <c:pt idx="22">
                  <c:v>1.61E-2</c:v>
                </c:pt>
                <c:pt idx="23">
                  <c:v>1.5599999999999999E-2</c:v>
                </c:pt>
              </c:numCache>
            </c:numRef>
          </c:val>
          <c:smooth val="0"/>
          <c:extLst>
            <c:ext xmlns:c16="http://schemas.microsoft.com/office/drawing/2014/chart" uri="{C3380CC4-5D6E-409C-BE32-E72D297353CC}">
              <c16:uniqueId val="{00000003-2CE6-4120-AAD6-9D0846E19777}"/>
            </c:ext>
          </c:extLst>
        </c:ser>
        <c:dLbls>
          <c:showLegendKey val="0"/>
          <c:showVal val="0"/>
          <c:showCatName val="0"/>
          <c:showSerName val="0"/>
          <c:showPercent val="0"/>
          <c:showBubbleSize val="0"/>
        </c:dLbls>
        <c:smooth val="0"/>
        <c:axId val="117326880"/>
        <c:axId val="13331984"/>
      </c:lineChart>
      <c:catAx>
        <c:axId val="11732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1984"/>
        <c:crosses val="autoZero"/>
        <c:auto val="1"/>
        <c:lblAlgn val="ctr"/>
        <c:lblOffset val="100"/>
        <c:noMultiLvlLbl val="0"/>
      </c:catAx>
      <c:valAx>
        <c:axId val="133319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26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116185476815398"/>
          <c:y val="0.2"/>
          <c:w val="0.88498840769903764"/>
          <c:h val="0.7157487605715952"/>
        </c:manualLayout>
      </c:layout>
      <c:lineChart>
        <c:grouping val="standard"/>
        <c:varyColors val="0"/>
        <c:ser>
          <c:idx val="0"/>
          <c:order val="0"/>
          <c:tx>
            <c:strRef>
              <c:f>腾讯!$A$6</c:f>
              <c:strCache>
                <c:ptCount val="1"/>
                <c:pt idx="0">
                  <c:v>腾讯占中国手游收入比例</c:v>
                </c:pt>
              </c:strCache>
            </c:strRef>
          </c:tx>
          <c:spPr>
            <a:ln w="28575" cap="rnd">
              <a:solidFill>
                <a:schemeClr val="accent1"/>
              </a:solidFill>
              <a:round/>
            </a:ln>
            <a:effectLst/>
          </c:spPr>
          <c:marker>
            <c:symbol val="none"/>
          </c:marker>
          <c:cat>
            <c:strRef>
              <c:f>腾讯!$B$1:$L$1</c:f>
              <c:strCache>
                <c:ptCount val="11"/>
                <c:pt idx="0">
                  <c:v>2014</c:v>
                </c:pt>
                <c:pt idx="1">
                  <c:v>2015</c:v>
                </c:pt>
                <c:pt idx="2">
                  <c:v>2016</c:v>
                </c:pt>
                <c:pt idx="3">
                  <c:v>2017</c:v>
                </c:pt>
                <c:pt idx="4">
                  <c:v>2018</c:v>
                </c:pt>
                <c:pt idx="5">
                  <c:v>2019</c:v>
                </c:pt>
                <c:pt idx="6">
                  <c:v>2020S1</c:v>
                </c:pt>
                <c:pt idx="10">
                  <c:v>網絡遊戲</c:v>
                </c:pt>
              </c:strCache>
            </c:strRef>
          </c:cat>
          <c:val>
            <c:numRef>
              <c:f>腾讯!$B$6:$L$6</c:f>
              <c:numCache>
                <c:formatCode>0%</c:formatCode>
                <c:ptCount val="11"/>
                <c:pt idx="0">
                  <c:v>0.48643142961076757</c:v>
                </c:pt>
                <c:pt idx="1">
                  <c:v>0.41391371939370381</c:v>
                </c:pt>
                <c:pt idx="2">
                  <c:v>0.46630859375</c:v>
                </c:pt>
                <c:pt idx="3">
                  <c:v>0.54081984154323115</c:v>
                </c:pt>
                <c:pt idx="4">
                  <c:v>0.58077037921767694</c:v>
                </c:pt>
                <c:pt idx="5">
                  <c:v>0.59262538738852699</c:v>
                </c:pt>
                <c:pt idx="6">
                  <c:v>0.62770453314068986</c:v>
                </c:pt>
              </c:numCache>
            </c:numRef>
          </c:val>
          <c:smooth val="0"/>
          <c:extLst>
            <c:ext xmlns:c16="http://schemas.microsoft.com/office/drawing/2014/chart" uri="{C3380CC4-5D6E-409C-BE32-E72D297353CC}">
              <c16:uniqueId val="{00000000-92CD-4C1E-8672-55CFDAFD4B27}"/>
            </c:ext>
          </c:extLst>
        </c:ser>
        <c:dLbls>
          <c:showLegendKey val="0"/>
          <c:showVal val="0"/>
          <c:showCatName val="0"/>
          <c:showSerName val="0"/>
          <c:showPercent val="0"/>
          <c:showBubbleSize val="0"/>
        </c:dLbls>
        <c:smooth val="0"/>
        <c:axId val="1588504319"/>
        <c:axId val="1512994623"/>
      </c:lineChart>
      <c:catAx>
        <c:axId val="1588504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994623"/>
        <c:crosses val="autoZero"/>
        <c:auto val="1"/>
        <c:lblAlgn val="ctr"/>
        <c:lblOffset val="100"/>
        <c:noMultiLvlLbl val="0"/>
      </c:catAx>
      <c:valAx>
        <c:axId val="15129946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504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网易!$A$10</c:f>
              <c:strCache>
                <c:ptCount val="1"/>
                <c:pt idx="0">
                  <c:v>网易占中国手游收入比例</c:v>
                </c:pt>
              </c:strCache>
            </c:strRef>
          </c:tx>
          <c:spPr>
            <a:ln w="28575" cap="rnd">
              <a:solidFill>
                <a:schemeClr val="accent1"/>
              </a:solidFill>
              <a:round/>
            </a:ln>
            <a:effectLst/>
          </c:spPr>
          <c:marker>
            <c:symbol val="none"/>
          </c:marker>
          <c:cat>
            <c:numRef>
              <c:f>网易!$B$1:$G$1</c:f>
              <c:numCache>
                <c:formatCode>General</c:formatCode>
                <c:ptCount val="6"/>
                <c:pt idx="0">
                  <c:v>2014</c:v>
                </c:pt>
                <c:pt idx="1">
                  <c:v>2015</c:v>
                </c:pt>
                <c:pt idx="2">
                  <c:v>2016</c:v>
                </c:pt>
                <c:pt idx="3">
                  <c:v>2017</c:v>
                </c:pt>
                <c:pt idx="4">
                  <c:v>2018</c:v>
                </c:pt>
                <c:pt idx="5">
                  <c:v>2019</c:v>
                </c:pt>
              </c:numCache>
            </c:numRef>
          </c:cat>
          <c:val>
            <c:numRef>
              <c:f>网易!$B$10:$G$10</c:f>
              <c:numCache>
                <c:formatCode>0%</c:formatCode>
                <c:ptCount val="6"/>
                <c:pt idx="0">
                  <c:v>2.6965441978901421E-2</c:v>
                </c:pt>
                <c:pt idx="1">
                  <c:v>0.15376016323357947</c:v>
                </c:pt>
                <c:pt idx="2">
                  <c:v>0.211421142578125</c:v>
                </c:pt>
                <c:pt idx="3">
                  <c:v>0.22121646572511194</c:v>
                </c:pt>
                <c:pt idx="4">
                  <c:v>0.21301060017915796</c:v>
                </c:pt>
                <c:pt idx="5">
                  <c:v>0.20963899816583392</c:v>
                </c:pt>
              </c:numCache>
            </c:numRef>
          </c:val>
          <c:smooth val="0"/>
          <c:extLst>
            <c:ext xmlns:c16="http://schemas.microsoft.com/office/drawing/2014/chart" uri="{C3380CC4-5D6E-409C-BE32-E72D297353CC}">
              <c16:uniqueId val="{00000000-7D04-4553-8881-F1CFEC32EF7B}"/>
            </c:ext>
          </c:extLst>
        </c:ser>
        <c:dLbls>
          <c:showLegendKey val="0"/>
          <c:showVal val="0"/>
          <c:showCatName val="0"/>
          <c:showSerName val="0"/>
          <c:showPercent val="0"/>
          <c:showBubbleSize val="0"/>
        </c:dLbls>
        <c:smooth val="0"/>
        <c:axId val="110431392"/>
        <c:axId val="13326160"/>
      </c:lineChart>
      <c:catAx>
        <c:axId val="110431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6160"/>
        <c:crosses val="autoZero"/>
        <c:auto val="1"/>
        <c:lblAlgn val="ctr"/>
        <c:lblOffset val="100"/>
        <c:noMultiLvlLbl val="0"/>
      </c:catAx>
      <c:valAx>
        <c:axId val="133261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31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239278</xdr:colOff>
      <xdr:row>12</xdr:row>
      <xdr:rowOff>128731</xdr:rowOff>
    </xdr:from>
    <xdr:to>
      <xdr:col>13</xdr:col>
      <xdr:colOff>131329</xdr:colOff>
      <xdr:row>24</xdr:row>
      <xdr:rowOff>116031</xdr:rowOff>
    </xdr:to>
    <xdr:graphicFrame macro="">
      <xdr:nvGraphicFramePr>
        <xdr:cNvPr id="2" name="图表 1">
          <a:extLst>
            <a:ext uri="{FF2B5EF4-FFF2-40B4-BE49-F238E27FC236}">
              <a16:creationId xmlns:a16="http://schemas.microsoft.com/office/drawing/2014/main" id="{C64E93AA-9242-4770-B30A-7B3FCFE1D3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57150</xdr:colOff>
      <xdr:row>12</xdr:row>
      <xdr:rowOff>200025</xdr:rowOff>
    </xdr:from>
    <xdr:to>
      <xdr:col>20</xdr:col>
      <xdr:colOff>406400</xdr:colOff>
      <xdr:row>21</xdr:row>
      <xdr:rowOff>282575</xdr:rowOff>
    </xdr:to>
    <xdr:graphicFrame macro="">
      <xdr:nvGraphicFramePr>
        <xdr:cNvPr id="3" name="图表 2">
          <a:extLst>
            <a:ext uri="{FF2B5EF4-FFF2-40B4-BE49-F238E27FC236}">
              <a16:creationId xmlns:a16="http://schemas.microsoft.com/office/drawing/2014/main" id="{63E6C425-9C70-4DF0-81A1-86A4B88E20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266701</xdr:colOff>
      <xdr:row>2</xdr:row>
      <xdr:rowOff>165100</xdr:rowOff>
    </xdr:from>
    <xdr:to>
      <xdr:col>15</xdr:col>
      <xdr:colOff>574675</xdr:colOff>
      <xdr:row>16</xdr:row>
      <xdr:rowOff>38100</xdr:rowOff>
    </xdr:to>
    <xdr:graphicFrame macro="">
      <xdr:nvGraphicFramePr>
        <xdr:cNvPr id="3" name="图表 2">
          <a:extLst>
            <a:ext uri="{FF2B5EF4-FFF2-40B4-BE49-F238E27FC236}">
              <a16:creationId xmlns:a16="http://schemas.microsoft.com/office/drawing/2014/main" id="{3FEFEB2C-DDF3-4BA9-AAE9-F08EA017A8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574675</xdr:colOff>
      <xdr:row>3</xdr:row>
      <xdr:rowOff>127000</xdr:rowOff>
    </xdr:from>
    <xdr:to>
      <xdr:col>15</xdr:col>
      <xdr:colOff>269875</xdr:colOff>
      <xdr:row>17</xdr:row>
      <xdr:rowOff>107950</xdr:rowOff>
    </xdr:to>
    <xdr:graphicFrame macro="">
      <xdr:nvGraphicFramePr>
        <xdr:cNvPr id="3" name="图表 2">
          <a:extLst>
            <a:ext uri="{FF2B5EF4-FFF2-40B4-BE49-F238E27FC236}">
              <a16:creationId xmlns:a16="http://schemas.microsoft.com/office/drawing/2014/main" id="{B8C2B559-079C-455E-83C7-5D8FC884EB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hyperlink" Target="http://www.cninfo.com.cn/new/disclosure/detail?plate=szse&amp;orgId=9900003663&amp;stockCode=002174&amp;announcementId=1207192137&amp;announcementTime=2019-12-25"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21"/>
  <sheetViews>
    <sheetView zoomScaleNormal="100" workbookViewId="0">
      <pane xSplit="3" ySplit="2" topLeftCell="D9" activePane="bottomRight" state="frozen"/>
      <selection pane="topRight"/>
      <selection pane="bottomLeft"/>
      <selection pane="bottomRight" activeCell="E17" sqref="E17"/>
    </sheetView>
  </sheetViews>
  <sheetFormatPr defaultColWidth="9" defaultRowHeight="16.5"/>
  <cols>
    <col min="1" max="1" width="2.6328125" style="1" customWidth="1"/>
    <col min="2" max="2" width="11.6328125" style="1" customWidth="1"/>
    <col min="3" max="3" width="0.453125" style="1" customWidth="1"/>
    <col min="4" max="5" width="35.6328125" style="1" customWidth="1"/>
    <col min="6" max="6" width="49.453125" style="1" customWidth="1"/>
    <col min="7" max="7" width="12.08984375" style="1" customWidth="1"/>
    <col min="8" max="16384" width="9" style="1"/>
  </cols>
  <sheetData>
    <row r="1" spans="2:6" ht="3" customHeight="1"/>
    <row r="2" spans="2:6">
      <c r="B2" s="2"/>
      <c r="C2" s="134"/>
      <c r="D2" s="135" t="s">
        <v>0</v>
      </c>
      <c r="E2" s="135" t="s">
        <v>1</v>
      </c>
      <c r="F2" s="135" t="s">
        <v>2</v>
      </c>
    </row>
    <row r="3" spans="2:6" ht="33">
      <c r="B3" s="318" t="s">
        <v>3</v>
      </c>
      <c r="C3" s="136"/>
      <c r="D3" s="137"/>
      <c r="E3" s="137"/>
      <c r="F3" s="184" t="s">
        <v>295</v>
      </c>
    </row>
    <row r="4" spans="2:6">
      <c r="B4" s="319"/>
      <c r="C4" s="139"/>
      <c r="D4" s="140"/>
      <c r="E4" s="185"/>
      <c r="F4" s="141" t="s">
        <v>298</v>
      </c>
    </row>
    <row r="5" spans="2:6" ht="49.5">
      <c r="B5" s="320"/>
      <c r="C5" s="142"/>
      <c r="D5" s="192" t="s">
        <v>315</v>
      </c>
      <c r="E5" s="144" t="s">
        <v>324</v>
      </c>
      <c r="F5" s="306" t="s">
        <v>325</v>
      </c>
    </row>
    <row r="6" spans="2:6" ht="49.5">
      <c r="B6" s="318" t="s">
        <v>4</v>
      </c>
      <c r="C6" s="136"/>
      <c r="D6" s="185" t="s">
        <v>300</v>
      </c>
      <c r="E6" s="137"/>
      <c r="F6" s="184" t="s">
        <v>299</v>
      </c>
    </row>
    <row r="7" spans="2:6" ht="49.5">
      <c r="B7" s="319"/>
      <c r="C7" s="139"/>
      <c r="E7" s="140"/>
      <c r="F7" s="306" t="s">
        <v>301</v>
      </c>
    </row>
    <row r="8" spans="2:6" ht="33">
      <c r="B8" s="320"/>
      <c r="C8" s="142"/>
      <c r="D8" s="143"/>
      <c r="E8" s="305" t="s">
        <v>297</v>
      </c>
    </row>
    <row r="9" spans="2:6" ht="33">
      <c r="B9" s="318" t="s">
        <v>5</v>
      </c>
      <c r="C9" s="136"/>
      <c r="E9" s="137"/>
      <c r="F9" s="304" t="s">
        <v>296</v>
      </c>
    </row>
    <row r="10" spans="2:6">
      <c r="B10" s="319"/>
      <c r="C10" s="139"/>
      <c r="D10" s="140"/>
      <c r="E10" s="140"/>
      <c r="F10" s="311" t="s">
        <v>314</v>
      </c>
    </row>
    <row r="11" spans="2:6">
      <c r="B11" s="320"/>
      <c r="C11" s="142"/>
      <c r="E11" s="192"/>
      <c r="F11" s="144"/>
    </row>
    <row r="12" spans="2:6">
      <c r="B12" s="318" t="s">
        <v>6</v>
      </c>
      <c r="C12" s="136"/>
      <c r="D12" s="190"/>
      <c r="E12" s="137"/>
      <c r="F12" s="138" t="s">
        <v>293</v>
      </c>
    </row>
    <row r="13" spans="2:6">
      <c r="B13" s="319"/>
      <c r="C13" s="139"/>
      <c r="D13" s="140"/>
      <c r="E13" s="140"/>
      <c r="F13" s="141"/>
    </row>
    <row r="14" spans="2:6">
      <c r="B14" s="320"/>
      <c r="C14" s="142"/>
      <c r="D14" s="143"/>
      <c r="E14" s="143"/>
      <c r="F14" s="144"/>
    </row>
    <row r="15" spans="2:6">
      <c r="B15" s="316" t="s">
        <v>7</v>
      </c>
      <c r="C15" s="136"/>
      <c r="D15" s="145"/>
      <c r="E15" s="137"/>
      <c r="F15" s="189"/>
    </row>
    <row r="16" spans="2:6">
      <c r="B16" s="317"/>
      <c r="C16" s="142"/>
      <c r="D16" s="146"/>
      <c r="E16" s="143"/>
      <c r="F16" s="144"/>
    </row>
    <row r="17" spans="2:6">
      <c r="B17" s="316" t="s">
        <v>8</v>
      </c>
      <c r="C17" s="136"/>
      <c r="D17" s="147"/>
      <c r="E17" s="137"/>
      <c r="F17" s="148"/>
    </row>
    <row r="18" spans="2:6">
      <c r="B18" s="317"/>
      <c r="C18" s="142"/>
      <c r="D18" s="191"/>
      <c r="E18" s="143"/>
      <c r="F18" s="149"/>
    </row>
    <row r="19" spans="2:6">
      <c r="B19" s="318" t="s">
        <v>9</v>
      </c>
      <c r="C19" s="136"/>
      <c r="D19" s="137" t="s">
        <v>303</v>
      </c>
      <c r="E19" s="137"/>
      <c r="F19" s="138"/>
    </row>
    <row r="20" spans="2:6">
      <c r="B20" s="319"/>
      <c r="C20" s="139"/>
      <c r="D20" s="140"/>
      <c r="E20" s="140"/>
      <c r="F20" s="141"/>
    </row>
    <row r="21" spans="2:6">
      <c r="B21" s="320"/>
      <c r="C21" s="142"/>
      <c r="D21" s="150"/>
      <c r="E21" s="150"/>
      <c r="F21" s="151"/>
    </row>
  </sheetData>
  <mergeCells count="7">
    <mergeCell ref="B17:B18"/>
    <mergeCell ref="B19:B21"/>
    <mergeCell ref="B3:B5"/>
    <mergeCell ref="B6:B8"/>
    <mergeCell ref="B9:B11"/>
    <mergeCell ref="B12:B14"/>
    <mergeCell ref="B15:B16"/>
  </mergeCell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1:I20"/>
  <sheetViews>
    <sheetView workbookViewId="0">
      <pane xSplit="3" ySplit="1" topLeftCell="D2" activePane="bottomRight" state="frozen"/>
      <selection pane="topRight"/>
      <selection pane="bottomLeft"/>
      <selection pane="bottomRight" activeCell="E19" sqref="E19"/>
    </sheetView>
  </sheetViews>
  <sheetFormatPr defaultColWidth="8.7265625" defaultRowHeight="16.5"/>
  <cols>
    <col min="1" max="1" width="6" style="6" customWidth="1"/>
    <col min="2" max="2" width="0.90625" style="6" customWidth="1"/>
    <col min="3" max="3" width="16.26953125" style="6" customWidth="1"/>
    <col min="4" max="4" width="17" style="6" customWidth="1"/>
    <col min="5" max="5" width="16.26953125" style="6" customWidth="1"/>
    <col min="6" max="6" width="15.08984375" style="6" customWidth="1"/>
    <col min="7" max="7" width="16.36328125" style="6" customWidth="1"/>
    <col min="8" max="8" width="16.453125" style="6" customWidth="1"/>
    <col min="9" max="9" width="10.1796875" style="6" customWidth="1"/>
    <col min="10" max="16384" width="8.7265625" style="6"/>
  </cols>
  <sheetData>
    <row r="1" spans="3:9">
      <c r="C1" s="160" t="s">
        <v>59</v>
      </c>
      <c r="D1" s="18" t="s">
        <v>31</v>
      </c>
      <c r="E1" s="18" t="s">
        <v>32</v>
      </c>
      <c r="F1" s="19"/>
      <c r="G1" s="20" t="s">
        <v>33</v>
      </c>
      <c r="H1" s="18" t="s">
        <v>34</v>
      </c>
      <c r="I1" s="34"/>
    </row>
    <row r="2" spans="3:9">
      <c r="C2" s="21" t="s">
        <v>18</v>
      </c>
      <c r="D2" s="159">
        <v>12.11</v>
      </c>
      <c r="E2" s="159">
        <v>8.33</v>
      </c>
      <c r="F2" s="161">
        <f>(D2-E2)/E2</f>
        <v>0.45378151260504196</v>
      </c>
      <c r="G2" s="22"/>
      <c r="H2" s="23"/>
      <c r="I2" s="35"/>
    </row>
    <row r="3" spans="3:9">
      <c r="C3" s="21" t="s">
        <v>23</v>
      </c>
      <c r="D3" s="159">
        <v>3.63</v>
      </c>
      <c r="E3" s="159">
        <v>1.73</v>
      </c>
      <c r="F3" s="162">
        <f>(D3-E3)/E3</f>
        <v>1.0982658959537572</v>
      </c>
      <c r="G3" s="22"/>
      <c r="H3" s="23"/>
      <c r="I3" s="36"/>
    </row>
    <row r="4" spans="3:9">
      <c r="C4" s="21" t="s">
        <v>24</v>
      </c>
      <c r="D4" s="159">
        <v>2.83</v>
      </c>
      <c r="E4" s="159">
        <v>1.72</v>
      </c>
      <c r="F4" s="162">
        <f>(D4-E4)/E4</f>
        <v>0.64534883720930236</v>
      </c>
      <c r="G4" s="24"/>
      <c r="H4" s="25"/>
      <c r="I4" s="36"/>
    </row>
    <row r="5" spans="3:9">
      <c r="C5" s="21" t="s">
        <v>35</v>
      </c>
      <c r="D5" s="159"/>
      <c r="E5" s="159"/>
      <c r="F5" s="25"/>
      <c r="G5" s="24"/>
      <c r="H5" s="25"/>
      <c r="I5" s="37"/>
    </row>
    <row r="6" spans="3:9">
      <c r="C6" s="26"/>
      <c r="D6" s="159"/>
      <c r="E6" s="159"/>
      <c r="F6" s="27"/>
      <c r="G6" s="24"/>
      <c r="H6" s="25"/>
      <c r="I6" s="37"/>
    </row>
    <row r="7" spans="3:9">
      <c r="C7" s="26"/>
      <c r="D7" s="159"/>
      <c r="E7" s="159"/>
      <c r="F7" s="27"/>
      <c r="G7" s="24"/>
      <c r="H7" s="25"/>
      <c r="I7" s="37"/>
    </row>
    <row r="8" spans="3:9">
      <c r="C8" s="26"/>
      <c r="D8" s="159"/>
      <c r="E8" s="159"/>
      <c r="F8" s="27"/>
      <c r="G8" s="24"/>
      <c r="H8" s="25"/>
      <c r="I8" s="37"/>
    </row>
    <row r="9" spans="3:9">
      <c r="C9" s="28"/>
      <c r="D9" s="29"/>
      <c r="E9" s="29"/>
      <c r="F9" s="30"/>
      <c r="G9" s="31"/>
      <c r="H9" s="32"/>
      <c r="I9" s="38"/>
    </row>
    <row r="10" spans="3:9">
      <c r="C10" s="33" t="s">
        <v>36</v>
      </c>
      <c r="D10" s="33" t="s">
        <v>37</v>
      </c>
      <c r="E10" s="33" t="s">
        <v>38</v>
      </c>
      <c r="F10" s="33" t="s">
        <v>39</v>
      </c>
      <c r="G10" s="33" t="s">
        <v>40</v>
      </c>
    </row>
    <row r="11" spans="3:9">
      <c r="C11" s="33">
        <v>2017</v>
      </c>
      <c r="D11" s="159">
        <v>8.8800000000000008</v>
      </c>
      <c r="E11" s="159">
        <v>7.92</v>
      </c>
      <c r="F11" s="159">
        <v>7.53</v>
      </c>
      <c r="G11" s="159">
        <v>8.0299999999999994</v>
      </c>
      <c r="H11" s="163">
        <f>SUM(D11:G11)</f>
        <v>32.36</v>
      </c>
    </row>
    <row r="12" spans="3:9">
      <c r="C12" s="33">
        <v>2018</v>
      </c>
      <c r="D12" s="159">
        <v>8.68</v>
      </c>
      <c r="E12" s="159">
        <v>9.19</v>
      </c>
      <c r="F12" s="159">
        <v>8.36</v>
      </c>
      <c r="G12" s="159">
        <v>9.58</v>
      </c>
      <c r="H12" s="163">
        <f>SUM(D12:G12)</f>
        <v>35.809999999999995</v>
      </c>
    </row>
    <row r="13" spans="3:9">
      <c r="C13" s="33">
        <v>2019</v>
      </c>
      <c r="D13" s="159">
        <v>8.33</v>
      </c>
      <c r="E13" s="159">
        <v>8.9700000000000006</v>
      </c>
      <c r="F13" s="159">
        <v>9.1199999999999992</v>
      </c>
      <c r="G13" s="298">
        <v>5.79</v>
      </c>
      <c r="H13" s="163">
        <f>SUM(D13:G13)</f>
        <v>32.21</v>
      </c>
    </row>
    <row r="14" spans="3:9">
      <c r="C14" s="33">
        <v>2020</v>
      </c>
      <c r="D14" s="159">
        <v>12.11</v>
      </c>
      <c r="E14" s="159"/>
      <c r="F14" s="159"/>
      <c r="G14" s="159"/>
    </row>
    <row r="15" spans="3:9">
      <c r="C15" s="33" t="s">
        <v>41</v>
      </c>
      <c r="D15" s="33" t="s">
        <v>37</v>
      </c>
      <c r="E15" s="33" t="s">
        <v>38</v>
      </c>
      <c r="F15" s="33" t="s">
        <v>39</v>
      </c>
      <c r="G15" s="33" t="s">
        <v>40</v>
      </c>
    </row>
    <row r="16" spans="3:9">
      <c r="C16" s="33">
        <v>2017</v>
      </c>
      <c r="D16" s="159">
        <v>2.0499999999999998</v>
      </c>
      <c r="E16" s="159">
        <v>1.34</v>
      </c>
      <c r="F16" s="159">
        <v>1.24</v>
      </c>
      <c r="G16" s="159">
        <v>2.02</v>
      </c>
      <c r="H16" s="163">
        <f>SUM(D16:G16)</f>
        <v>6.65</v>
      </c>
    </row>
    <row r="17" spans="3:8">
      <c r="C17" s="33">
        <v>2018</v>
      </c>
      <c r="D17" s="159">
        <v>2.23</v>
      </c>
      <c r="E17" s="159">
        <v>2.72</v>
      </c>
      <c r="F17" s="159">
        <v>1.9</v>
      </c>
      <c r="G17" s="159">
        <v>3.27</v>
      </c>
      <c r="H17" s="163">
        <f>SUM(D17:G17)</f>
        <v>10.119999999999999</v>
      </c>
    </row>
    <row r="18" spans="3:8">
      <c r="C18" s="33">
        <v>2019</v>
      </c>
      <c r="D18" s="159">
        <v>1.73</v>
      </c>
      <c r="E18" s="159">
        <v>2.34</v>
      </c>
      <c r="F18" s="159">
        <v>2.98</v>
      </c>
      <c r="G18" s="298">
        <v>-4.49</v>
      </c>
      <c r="H18" s="163">
        <f>SUM(D18:G18)</f>
        <v>2.5600000000000005</v>
      </c>
    </row>
    <row r="19" spans="3:8">
      <c r="C19" s="33">
        <v>2020</v>
      </c>
      <c r="D19" s="159">
        <v>3.63</v>
      </c>
      <c r="E19" s="303" t="s">
        <v>294</v>
      </c>
      <c r="F19" s="159"/>
      <c r="G19" s="159"/>
    </row>
    <row r="20" spans="3:8">
      <c r="D20" s="159"/>
      <c r="E20" s="159"/>
      <c r="F20" s="159"/>
      <c r="G20" s="159"/>
    </row>
  </sheetData>
  <pageMargins left="0.75" right="0.75" top="1" bottom="1" header="0.51180555555555596" footer="0.51180555555555596"/>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J19"/>
  <sheetViews>
    <sheetView workbookViewId="0">
      <selection activeCell="C15" sqref="C15"/>
    </sheetView>
  </sheetViews>
  <sheetFormatPr defaultColWidth="8.7265625" defaultRowHeight="14.5"/>
  <cols>
    <col min="2" max="2" width="8.36328125" customWidth="1"/>
    <col min="3" max="3" width="20.6328125" customWidth="1"/>
    <col min="4" max="9" width="12.81640625" customWidth="1"/>
    <col min="10" max="10" width="12.81640625"/>
  </cols>
  <sheetData>
    <row r="1" spans="2:10" ht="15" thickBot="1">
      <c r="D1" s="8" t="s">
        <v>63</v>
      </c>
      <c r="E1" s="8" t="s">
        <v>64</v>
      </c>
      <c r="F1" s="8" t="s">
        <v>65</v>
      </c>
      <c r="G1" s="8" t="s">
        <v>66</v>
      </c>
      <c r="H1" s="8" t="s">
        <v>67</v>
      </c>
      <c r="I1" s="8" t="s">
        <v>68</v>
      </c>
      <c r="J1" s="277" t="s">
        <v>271</v>
      </c>
    </row>
    <row r="2" spans="2:10" ht="15" thickBot="1">
      <c r="B2" s="7"/>
      <c r="C2" s="7"/>
    </row>
    <row r="3" spans="2:10" ht="15" thickBot="1">
      <c r="B3" s="338" t="s">
        <v>268</v>
      </c>
      <c r="C3" s="9" t="s">
        <v>44</v>
      </c>
      <c r="D3" s="10">
        <v>0.86</v>
      </c>
      <c r="E3" s="10">
        <v>0.71</v>
      </c>
      <c r="F3" s="10">
        <v>0.66</v>
      </c>
      <c r="G3" s="10">
        <v>0.56999999999999995</v>
      </c>
      <c r="H3" s="10">
        <v>0.51</v>
      </c>
      <c r="I3" s="10">
        <v>0.4</v>
      </c>
      <c r="J3" s="10">
        <v>0.13</v>
      </c>
    </row>
    <row r="4" spans="2:10" ht="15" thickBot="1">
      <c r="B4" s="339"/>
      <c r="C4" s="9" t="s">
        <v>270</v>
      </c>
      <c r="D4" s="10">
        <v>44.17</v>
      </c>
      <c r="E4" s="10">
        <v>62.76</v>
      </c>
      <c r="F4" s="10">
        <v>74.069999999999993</v>
      </c>
      <c r="G4" s="10">
        <v>63</v>
      </c>
      <c r="H4" s="10">
        <v>68.37</v>
      </c>
      <c r="I4" s="10">
        <v>92.7</v>
      </c>
      <c r="J4" s="10">
        <v>65.41</v>
      </c>
    </row>
    <row r="5" spans="2:10" ht="15" thickBot="1">
      <c r="B5" s="339"/>
      <c r="C5" s="11" t="s">
        <v>269</v>
      </c>
      <c r="D5" s="12">
        <v>161.5</v>
      </c>
      <c r="E5" s="12">
        <v>25.82</v>
      </c>
      <c r="F5" s="12">
        <v>38.92</v>
      </c>
      <c r="G5" s="12">
        <v>46.87</v>
      </c>
      <c r="H5" s="12">
        <v>40.5</v>
      </c>
      <c r="I5" s="17">
        <v>35.99</v>
      </c>
      <c r="J5" s="17">
        <v>44.09</v>
      </c>
    </row>
    <row r="6" spans="2:10" ht="15" thickBot="1">
      <c r="B6" s="13"/>
      <c r="C6" s="14"/>
      <c r="D6" s="15"/>
      <c r="E6" s="15"/>
      <c r="F6" s="15"/>
      <c r="G6" s="15"/>
      <c r="H6" s="15"/>
      <c r="I6" s="15"/>
    </row>
    <row r="7" spans="2:10" ht="15" thickBot="1">
      <c r="B7" s="340" t="s">
        <v>272</v>
      </c>
      <c r="C7" s="16" t="s">
        <v>44</v>
      </c>
      <c r="D7" s="17">
        <v>0.28000000000000003</v>
      </c>
      <c r="E7" s="17">
        <v>1.1599999999999999</v>
      </c>
      <c r="F7" s="17">
        <v>0.95</v>
      </c>
      <c r="G7" s="17">
        <v>0.8</v>
      </c>
      <c r="H7" s="17">
        <v>0.87</v>
      </c>
      <c r="I7" s="17">
        <v>1.43</v>
      </c>
      <c r="J7" s="17">
        <v>0.38</v>
      </c>
    </row>
    <row r="8" spans="2:10" ht="15" thickBot="1">
      <c r="B8" s="339"/>
      <c r="C8" s="9" t="s">
        <v>45</v>
      </c>
      <c r="D8" s="17">
        <v>115.84</v>
      </c>
      <c r="E8" s="17">
        <v>31.72</v>
      </c>
      <c r="F8" s="17">
        <v>49.49</v>
      </c>
      <c r="G8" s="17">
        <v>53.82</v>
      </c>
      <c r="H8" s="17">
        <v>52.8</v>
      </c>
      <c r="I8" s="17">
        <v>35.200000000000003</v>
      </c>
      <c r="J8" s="17">
        <v>29.96</v>
      </c>
    </row>
    <row r="9" spans="2:10" ht="15" thickBot="1">
      <c r="B9" s="341"/>
      <c r="C9" s="11" t="s">
        <v>269</v>
      </c>
      <c r="D9" s="17">
        <v>222.96</v>
      </c>
      <c r="E9" s="17">
        <v>93.05</v>
      </c>
      <c r="F9" s="10">
        <v>122.86</v>
      </c>
      <c r="G9" s="10">
        <v>134.88999999999999</v>
      </c>
      <c r="H9" s="10">
        <v>181.27</v>
      </c>
      <c r="I9" s="10">
        <v>283.91000000000003</v>
      </c>
      <c r="J9" s="10">
        <v>496.08</v>
      </c>
    </row>
    <row r="10" spans="2:10" ht="15" thickBot="1">
      <c r="B10" s="7"/>
      <c r="C10" s="7"/>
      <c r="D10" s="7"/>
      <c r="E10" s="7"/>
      <c r="F10" s="7"/>
      <c r="G10" s="7"/>
      <c r="H10" s="7"/>
      <c r="I10" s="7"/>
    </row>
    <row r="11" spans="2:10" ht="15" thickBot="1">
      <c r="B11" s="338" t="s">
        <v>273</v>
      </c>
      <c r="C11" s="9" t="s">
        <v>44</v>
      </c>
      <c r="D11" s="10">
        <v>0.77</v>
      </c>
      <c r="E11" s="10">
        <v>0.48</v>
      </c>
      <c r="F11" s="10">
        <v>0.64</v>
      </c>
      <c r="G11" s="10">
        <v>0.48</v>
      </c>
      <c r="H11" s="10">
        <v>0.49</v>
      </c>
      <c r="I11" s="10">
        <v>0.49</v>
      </c>
      <c r="J11" s="10">
        <v>0.16</v>
      </c>
    </row>
    <row r="12" spans="2:10" ht="15" thickBot="1">
      <c r="B12" s="339"/>
      <c r="C12" s="9" t="s">
        <v>270</v>
      </c>
      <c r="D12" s="10">
        <v>179.97</v>
      </c>
      <c r="E12" s="10">
        <v>222.66</v>
      </c>
      <c r="F12" s="10">
        <v>76.319999999999993</v>
      </c>
      <c r="G12" s="10">
        <v>81.569999999999993</v>
      </c>
      <c r="H12" s="10">
        <v>81.239999999999995</v>
      </c>
      <c r="I12" s="10">
        <v>96.71</v>
      </c>
      <c r="J12" s="10">
        <v>89.4</v>
      </c>
    </row>
    <row r="13" spans="2:10" ht="15" thickBot="1">
      <c r="B13" s="339"/>
      <c r="C13" s="11" t="s">
        <v>269</v>
      </c>
      <c r="D13" s="12">
        <v>62.31</v>
      </c>
      <c r="E13" s="12">
        <v>19.21</v>
      </c>
      <c r="F13" s="12">
        <v>55.78</v>
      </c>
      <c r="G13" s="12">
        <v>64.75</v>
      </c>
      <c r="H13" s="12">
        <v>44.74</v>
      </c>
      <c r="I13" s="17">
        <v>50.39</v>
      </c>
      <c r="J13" s="17">
        <v>48.93</v>
      </c>
    </row>
    <row r="15" spans="2:10" ht="19">
      <c r="B15" s="312" t="s">
        <v>323</v>
      </c>
      <c r="C15" s="312" t="s">
        <v>316</v>
      </c>
      <c r="D15" s="312" t="s">
        <v>317</v>
      </c>
      <c r="E15" s="312" t="s">
        <v>318</v>
      </c>
      <c r="F15" s="312" t="s">
        <v>100</v>
      </c>
    </row>
    <row r="16" spans="2:10">
      <c r="B16" s="312" t="s">
        <v>319</v>
      </c>
      <c r="C16" s="313">
        <v>57.4</v>
      </c>
      <c r="D16" s="313">
        <v>48.65</v>
      </c>
      <c r="E16" s="313">
        <v>25.94</v>
      </c>
      <c r="F16" s="313">
        <v>2.6</v>
      </c>
    </row>
    <row r="17" spans="2:6">
      <c r="B17" s="312" t="s">
        <v>320</v>
      </c>
      <c r="C17" s="313">
        <v>102.57</v>
      </c>
      <c r="D17" s="313">
        <v>54.27</v>
      </c>
      <c r="E17" s="313">
        <v>36.880000000000003</v>
      </c>
      <c r="F17" s="313">
        <v>13.87</v>
      </c>
    </row>
    <row r="18" spans="2:6">
      <c r="B18" s="314" t="s">
        <v>321</v>
      </c>
      <c r="C18" s="313">
        <v>101.45</v>
      </c>
      <c r="D18" s="313">
        <v>28.11</v>
      </c>
      <c r="E18" s="315">
        <v>132.27000000000001</v>
      </c>
      <c r="F18" s="313">
        <v>24.17</v>
      </c>
    </row>
    <row r="19" spans="2:6">
      <c r="B19" s="312" t="s">
        <v>322</v>
      </c>
      <c r="C19" s="313">
        <v>89.26</v>
      </c>
      <c r="D19" s="313">
        <v>44.59</v>
      </c>
      <c r="E19" s="313">
        <v>32.21</v>
      </c>
      <c r="F19" s="313">
        <v>2.56</v>
      </c>
    </row>
  </sheetData>
  <mergeCells count="3">
    <mergeCell ref="B3:B5"/>
    <mergeCell ref="B7:B9"/>
    <mergeCell ref="B11:B13"/>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745E6-4BBF-4C15-8019-90A2E3741970}">
  <dimension ref="B1:C26"/>
  <sheetViews>
    <sheetView workbookViewId="0">
      <selection activeCell="F26" sqref="F26"/>
    </sheetView>
  </sheetViews>
  <sheetFormatPr defaultColWidth="8.7265625" defaultRowHeight="16.5"/>
  <cols>
    <col min="1" max="1" width="1.6328125" style="3" customWidth="1"/>
    <col min="2" max="2" width="20.54296875" style="3" customWidth="1"/>
    <col min="3" max="3" width="10.90625" style="3" bestFit="1" customWidth="1"/>
    <col min="4" max="16384" width="8.7265625" style="3"/>
  </cols>
  <sheetData>
    <row r="1" spans="2:3">
      <c r="B1" s="309" t="s">
        <v>310</v>
      </c>
    </row>
    <row r="2" spans="2:3">
      <c r="B2" s="3">
        <v>17.059999999999999</v>
      </c>
    </row>
    <row r="4" spans="2:3">
      <c r="B4" s="4" t="s">
        <v>47</v>
      </c>
    </row>
    <row r="5" spans="2:3">
      <c r="B5" s="307" t="s">
        <v>302</v>
      </c>
      <c r="C5" s="186"/>
    </row>
    <row r="7" spans="2:3">
      <c r="B7" s="4" t="s">
        <v>48</v>
      </c>
    </row>
    <row r="8" spans="2:3">
      <c r="B8" s="307" t="s">
        <v>309</v>
      </c>
    </row>
    <row r="10" spans="2:3">
      <c r="B10" s="4" t="s">
        <v>49</v>
      </c>
    </row>
    <row r="11" spans="2:3">
      <c r="B11" s="307" t="s">
        <v>308</v>
      </c>
    </row>
    <row r="12" spans="2:3">
      <c r="B12" s="307" t="s">
        <v>307</v>
      </c>
    </row>
    <row r="14" spans="2:3">
      <c r="B14" s="4" t="s">
        <v>50</v>
      </c>
    </row>
    <row r="15" spans="2:3">
      <c r="B15" s="307" t="s">
        <v>304</v>
      </c>
    </row>
    <row r="16" spans="2:3">
      <c r="B16" s="4" t="s">
        <v>51</v>
      </c>
    </row>
    <row r="17" spans="2:3">
      <c r="B17" s="307" t="s">
        <v>305</v>
      </c>
    </row>
    <row r="18" spans="2:3">
      <c r="B18" s="4" t="s">
        <v>52</v>
      </c>
    </row>
    <row r="19" spans="2:3">
      <c r="B19" s="186" t="s">
        <v>89</v>
      </c>
    </row>
    <row r="20" spans="2:3">
      <c r="B20" s="4" t="s">
        <v>53</v>
      </c>
    </row>
    <row r="21" spans="2:3">
      <c r="B21" s="308" t="s">
        <v>306</v>
      </c>
    </row>
    <row r="23" spans="2:3">
      <c r="B23" s="309" t="s">
        <v>312</v>
      </c>
    </row>
    <row r="24" spans="2:3">
      <c r="B24" s="188" t="s">
        <v>313</v>
      </c>
      <c r="C24" s="187"/>
    </row>
    <row r="25" spans="2:3">
      <c r="B25" s="186"/>
      <c r="C25" s="187"/>
    </row>
    <row r="26" spans="2:3">
      <c r="B26" s="4" t="s">
        <v>54</v>
      </c>
      <c r="C26" s="5"/>
    </row>
  </sheetData>
  <pageMargins left="0.7" right="0.7" top="0.75" bottom="0.75" header="0.3" footer="0.3"/>
  <pageSetup paperSize="9" orientation="portrait" horizontalDpi="300" verticalDpi="300"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8847-3516-4133-B5CC-B49EEE1D013A}">
  <dimension ref="A1:S9"/>
  <sheetViews>
    <sheetView zoomScale="130" zoomScaleNormal="130" workbookViewId="0">
      <pane xSplit="1" ySplit="3" topLeftCell="B4" activePane="bottomRight" state="frozen"/>
      <selection pane="topRight" activeCell="B1" sqref="B1"/>
      <selection pane="bottomLeft" activeCell="A4" sqref="A4"/>
      <selection pane="bottomRight" activeCell="D5" sqref="D5"/>
    </sheetView>
  </sheetViews>
  <sheetFormatPr defaultRowHeight="14.5"/>
  <cols>
    <col min="1" max="1" width="14.6328125" style="201" customWidth="1"/>
    <col min="2" max="2" width="8.7265625" style="201"/>
    <col min="3" max="3" width="10.7265625" style="201" customWidth="1"/>
    <col min="4" max="4" width="11" style="201" customWidth="1"/>
    <col min="5" max="5" width="5.453125" style="171" bestFit="1" customWidth="1"/>
    <col min="6" max="6" width="4.453125" style="171" bestFit="1" customWidth="1"/>
    <col min="7" max="7" width="6" style="171" customWidth="1"/>
    <col min="8" max="8" width="5.453125" style="209" bestFit="1" customWidth="1"/>
    <col min="9" max="10" width="5.08984375" style="209" bestFit="1" customWidth="1"/>
    <col min="11" max="11" width="5.453125" style="171" bestFit="1" customWidth="1"/>
    <col min="12" max="12" width="4.36328125" style="171" customWidth="1"/>
    <col min="13" max="13" width="5.453125" style="171" bestFit="1" customWidth="1"/>
    <col min="14" max="15" width="4.453125" style="209" bestFit="1" customWidth="1"/>
    <col min="16" max="16" width="5.08984375" style="209" bestFit="1" customWidth="1"/>
    <col min="17" max="18" width="4.453125" style="171" bestFit="1" customWidth="1"/>
    <col min="19" max="19" width="5.08984375" style="171" bestFit="1" customWidth="1"/>
  </cols>
  <sheetData>
    <row r="1" spans="1:19">
      <c r="A1" s="200"/>
      <c r="E1" s="345"/>
      <c r="F1" s="346"/>
      <c r="G1" s="347"/>
      <c r="H1" s="342"/>
      <c r="I1" s="343"/>
      <c r="J1" s="344"/>
      <c r="K1" s="345"/>
      <c r="L1" s="346"/>
      <c r="M1" s="347"/>
      <c r="N1" s="342"/>
      <c r="O1" s="343"/>
      <c r="P1" s="344"/>
      <c r="Q1" s="345"/>
      <c r="R1" s="346"/>
      <c r="S1" s="347"/>
    </row>
    <row r="2" spans="1:19" ht="24" customHeight="1">
      <c r="A2" s="202" t="s">
        <v>90</v>
      </c>
      <c r="B2" s="202" t="s">
        <v>91</v>
      </c>
      <c r="C2" s="202" t="s">
        <v>92</v>
      </c>
      <c r="D2" s="202" t="s">
        <v>93</v>
      </c>
      <c r="E2" s="345" t="s">
        <v>95</v>
      </c>
      <c r="F2" s="346"/>
      <c r="G2" s="347"/>
      <c r="H2" s="342" t="s">
        <v>97</v>
      </c>
      <c r="I2" s="343"/>
      <c r="J2" s="344"/>
      <c r="K2" s="345" t="s">
        <v>98</v>
      </c>
      <c r="L2" s="346"/>
      <c r="M2" s="347"/>
      <c r="N2" s="342" t="s">
        <v>99</v>
      </c>
      <c r="O2" s="343"/>
      <c r="P2" s="344"/>
      <c r="Q2" s="345" t="s">
        <v>100</v>
      </c>
      <c r="R2" s="346"/>
      <c r="S2" s="347"/>
    </row>
    <row r="3" spans="1:19">
      <c r="A3" s="202"/>
      <c r="B3" s="202"/>
      <c r="C3" s="202"/>
      <c r="D3" s="202"/>
      <c r="E3" s="198">
        <v>2019</v>
      </c>
      <c r="F3" s="198">
        <v>2018</v>
      </c>
      <c r="G3" s="198">
        <v>2017</v>
      </c>
      <c r="H3" s="207">
        <v>2019</v>
      </c>
      <c r="I3" s="207">
        <v>2018</v>
      </c>
      <c r="J3" s="207">
        <v>2017</v>
      </c>
      <c r="K3" s="198">
        <v>2019</v>
      </c>
      <c r="L3" s="198">
        <v>2018</v>
      </c>
      <c r="M3" s="198">
        <v>2017</v>
      </c>
      <c r="N3" s="207">
        <v>2019</v>
      </c>
      <c r="O3" s="207">
        <v>2018</v>
      </c>
      <c r="P3" s="207">
        <v>2017</v>
      </c>
      <c r="Q3" s="198">
        <v>2019</v>
      </c>
      <c r="R3" s="198">
        <v>2018</v>
      </c>
      <c r="S3" s="198">
        <v>2017</v>
      </c>
    </row>
    <row r="4" spans="1:19" ht="32.5" customHeight="1">
      <c r="A4" s="203" t="s">
        <v>96</v>
      </c>
      <c r="B4" s="202" t="s">
        <v>94</v>
      </c>
      <c r="C4" s="204" t="s">
        <v>101</v>
      </c>
      <c r="D4" s="205" t="s">
        <v>105</v>
      </c>
      <c r="E4" s="199">
        <f>465459165.31/100000000</f>
        <v>4.6545916530999998</v>
      </c>
      <c r="F4" s="199"/>
      <c r="G4" s="199"/>
      <c r="H4" s="208">
        <f>349414906.66/100000000</f>
        <v>3.4941490666000004</v>
      </c>
      <c r="I4" s="208"/>
      <c r="J4" s="208"/>
      <c r="K4" s="199">
        <f>487668791.9/100000000</f>
        <v>4.8766879190000001</v>
      </c>
      <c r="L4" s="199"/>
      <c r="M4" s="199"/>
      <c r="N4" s="208">
        <f>216859786.52/100000000</f>
        <v>2.1685978652000002</v>
      </c>
      <c r="O4" s="208"/>
      <c r="P4" s="208"/>
      <c r="Q4" s="199">
        <f>215110537.01/100000000</f>
        <v>2.1511053700999998</v>
      </c>
      <c r="R4" s="199"/>
      <c r="S4" s="199"/>
    </row>
    <row r="5" spans="1:19" ht="66.5">
      <c r="A5" s="203" t="s">
        <v>102</v>
      </c>
      <c r="B5" s="202" t="s">
        <v>94</v>
      </c>
      <c r="C5" s="204" t="s">
        <v>103</v>
      </c>
      <c r="D5" s="205" t="s">
        <v>104</v>
      </c>
      <c r="E5" s="199">
        <f>2022388722.3/100000000</f>
        <v>20.223887222999998</v>
      </c>
      <c r="F5" s="199"/>
      <c r="G5" s="199"/>
      <c r="H5" s="208">
        <f>788492032.06/100000000</f>
        <v>7.8849203205999991</v>
      </c>
      <c r="I5" s="208"/>
      <c r="J5" s="208"/>
      <c r="K5" s="199">
        <f>812543099.26/100000000</f>
        <v>8.1254309926000001</v>
      </c>
      <c r="L5" s="199"/>
      <c r="M5" s="199"/>
      <c r="N5" s="208">
        <f>79157267.44/100000000</f>
        <v>0.79157267440000001</v>
      </c>
      <c r="O5" s="208"/>
      <c r="P5" s="208"/>
      <c r="Q5" s="199">
        <f>78194981.32/100000000</f>
        <v>0.7819498131999999</v>
      </c>
      <c r="R5" s="199"/>
      <c r="S5" s="199"/>
    </row>
    <row r="6" spans="1:19" ht="36">
      <c r="A6" s="206" t="s">
        <v>106</v>
      </c>
      <c r="B6" s="202" t="s">
        <v>94</v>
      </c>
      <c r="C6" s="202" t="s">
        <v>108</v>
      </c>
      <c r="D6" s="205" t="s">
        <v>107</v>
      </c>
      <c r="E6" s="199">
        <f>642062537.02/100000000</f>
        <v>6.4206253701999998</v>
      </c>
      <c r="F6" s="199"/>
      <c r="G6" s="199"/>
      <c r="H6" s="208">
        <f>528938277.88/100000000</f>
        <v>5.2893827788000003</v>
      </c>
      <c r="I6" s="208"/>
      <c r="J6" s="208"/>
      <c r="K6" s="199">
        <f>294057024.14/100000000</f>
        <v>2.9405702413999997</v>
      </c>
      <c r="L6" s="199"/>
      <c r="M6" s="199"/>
      <c r="N6" s="208">
        <f>51232423.84/100000000</f>
        <v>0.51232423840000008</v>
      </c>
      <c r="O6" s="208"/>
      <c r="P6" s="208"/>
      <c r="Q6" s="199">
        <f>36000566.93/100000000</f>
        <v>0.3600056693</v>
      </c>
      <c r="R6" s="199"/>
      <c r="S6" s="199"/>
    </row>
    <row r="7" spans="1:19" ht="23">
      <c r="A7" s="206" t="s">
        <v>111</v>
      </c>
      <c r="B7" s="202" t="s">
        <v>109</v>
      </c>
      <c r="C7" s="202"/>
      <c r="D7" s="206" t="s">
        <v>110</v>
      </c>
      <c r="E7" s="199">
        <f>919835393.36/100000000</f>
        <v>9.1983539336</v>
      </c>
      <c r="F7" s="199"/>
      <c r="G7" s="199"/>
      <c r="H7" s="208">
        <f>212923446.35/100000000</f>
        <v>2.1292344635</v>
      </c>
      <c r="I7" s="208"/>
      <c r="J7" s="208"/>
      <c r="K7" s="198"/>
      <c r="L7" s="198"/>
      <c r="M7" s="198"/>
      <c r="N7" s="208">
        <f>53077483.98/100000000</f>
        <v>0.53077483979999995</v>
      </c>
      <c r="O7" s="208"/>
      <c r="P7" s="208"/>
      <c r="Q7" s="199">
        <f>53077483.98/100000000</f>
        <v>0.53077483979999995</v>
      </c>
      <c r="R7" s="199"/>
      <c r="S7" s="199"/>
    </row>
    <row r="8" spans="1:19" ht="23">
      <c r="A8" s="206" t="s">
        <v>139</v>
      </c>
      <c r="C8" s="202"/>
      <c r="D8" s="202"/>
      <c r="E8" s="199">
        <v>0</v>
      </c>
      <c r="F8" s="199">
        <f>81552669.56/100000000</f>
        <v>0.81552669560000002</v>
      </c>
      <c r="G8" s="199">
        <f>9000432.19/100000000</f>
        <v>9.0004321899999989E-2</v>
      </c>
      <c r="H8" s="208">
        <v>0</v>
      </c>
      <c r="I8" s="208">
        <f>-32090832.91/100000000</f>
        <v>-0.3209083291</v>
      </c>
      <c r="J8" s="208">
        <f>-69609474.17/100000000</f>
        <v>-0.69609474169999996</v>
      </c>
      <c r="K8" s="199">
        <v>0</v>
      </c>
      <c r="L8" s="199">
        <f>86976739.54/100000000</f>
        <v>0.86976739540000003</v>
      </c>
      <c r="M8" s="199">
        <f>1345141.43/100000000</f>
        <v>1.3451414299999999E-2</v>
      </c>
      <c r="N8" s="208">
        <v>0</v>
      </c>
      <c r="O8" s="208">
        <f>36882194.89/100000000</f>
        <v>0.36882194890000003</v>
      </c>
      <c r="P8" s="208">
        <f>-41894208.89/100000000</f>
        <v>-0.41894208890000001</v>
      </c>
      <c r="Q8" s="199">
        <v>0</v>
      </c>
      <c r="R8" s="199">
        <f>37780042.63/100000000</f>
        <v>0.37780042630000005</v>
      </c>
      <c r="S8" s="199">
        <f>-41691291.1/100000000</f>
        <v>-0.416912911</v>
      </c>
    </row>
    <row r="9" spans="1:19">
      <c r="A9" s="201" t="s">
        <v>10</v>
      </c>
      <c r="E9" s="170">
        <f t="shared" ref="E9:J9" si="0">SUM(E4:E8)</f>
        <v>40.497458179899994</v>
      </c>
      <c r="F9" s="170">
        <f t="shared" si="0"/>
        <v>0.81552669560000002</v>
      </c>
      <c r="G9" s="170">
        <f t="shared" si="0"/>
        <v>9.0004321899999989E-2</v>
      </c>
      <c r="H9" s="220">
        <f t="shared" si="0"/>
        <v>18.797686629500003</v>
      </c>
      <c r="I9" s="220">
        <f t="shared" si="0"/>
        <v>-0.3209083291</v>
      </c>
      <c r="J9" s="220">
        <f t="shared" si="0"/>
        <v>-0.69609474169999996</v>
      </c>
      <c r="K9" s="170">
        <f t="shared" ref="K9:S9" si="1">SUM(K4:K8)</f>
        <v>15.942689153</v>
      </c>
      <c r="L9" s="170">
        <f t="shared" si="1"/>
        <v>0.86976739540000003</v>
      </c>
      <c r="M9" s="170">
        <f t="shared" si="1"/>
        <v>1.3451414299999999E-2</v>
      </c>
      <c r="N9" s="220">
        <f t="shared" si="1"/>
        <v>4.0032696178</v>
      </c>
      <c r="O9" s="220">
        <f t="shared" si="1"/>
        <v>0.36882194890000003</v>
      </c>
      <c r="P9" s="220">
        <f t="shared" si="1"/>
        <v>-0.41894208890000001</v>
      </c>
      <c r="Q9" s="170">
        <f t="shared" si="1"/>
        <v>3.8238356923999994</v>
      </c>
      <c r="R9" s="170">
        <f t="shared" si="1"/>
        <v>0.37780042630000005</v>
      </c>
      <c r="S9" s="170">
        <f t="shared" si="1"/>
        <v>-0.416912911</v>
      </c>
    </row>
  </sheetData>
  <mergeCells count="10">
    <mergeCell ref="N2:P2"/>
    <mergeCell ref="N1:P1"/>
    <mergeCell ref="Q2:S2"/>
    <mergeCell ref="Q1:S1"/>
    <mergeCell ref="E2:G2"/>
    <mergeCell ref="H2:J2"/>
    <mergeCell ref="K2:M2"/>
    <mergeCell ref="E1:G1"/>
    <mergeCell ref="H1:J1"/>
    <mergeCell ref="K1:M1"/>
  </mergeCells>
  <pageMargins left="0.7" right="0.7" top="0.75" bottom="0.75" header="0.3" footer="0.3"/>
  <pageSetup paperSize="9" orientation="portrait" horizontalDpi="300" verticalDpi="30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AA9BB-C272-49D4-BD96-18A214A973C1}">
  <dimension ref="A1:H10"/>
  <sheetViews>
    <sheetView zoomScale="130" zoomScaleNormal="130" workbookViewId="0">
      <selection activeCell="B9" sqref="B9"/>
    </sheetView>
  </sheetViews>
  <sheetFormatPr defaultRowHeight="14.5"/>
  <cols>
    <col min="1" max="1" width="32.1796875" customWidth="1"/>
    <col min="2" max="2" width="14.7265625" bestFit="1" customWidth="1"/>
    <col min="3" max="3" width="17.08984375" customWidth="1"/>
    <col min="4" max="4" width="14.36328125" customWidth="1"/>
    <col min="5" max="5" width="12.90625" customWidth="1"/>
    <col min="6" max="6" width="14.26953125" customWidth="1"/>
  </cols>
  <sheetData>
    <row r="1" spans="1:8" s="212" customFormat="1" ht="24">
      <c r="A1" s="211" t="s">
        <v>122</v>
      </c>
      <c r="B1" s="211" t="s">
        <v>115</v>
      </c>
      <c r="C1" s="211" t="s">
        <v>116</v>
      </c>
      <c r="D1" s="211" t="s">
        <v>123</v>
      </c>
      <c r="E1" s="211" t="s">
        <v>124</v>
      </c>
      <c r="F1" s="211" t="s">
        <v>125</v>
      </c>
      <c r="G1" s="211" t="s">
        <v>113</v>
      </c>
      <c r="H1" s="211" t="s">
        <v>114</v>
      </c>
    </row>
    <row r="2" spans="1:8" s="215" customFormat="1" ht="24">
      <c r="A2" s="213" t="s">
        <v>128</v>
      </c>
      <c r="B2" s="214">
        <v>473.4</v>
      </c>
      <c r="C2" s="214" t="s">
        <v>117</v>
      </c>
      <c r="D2" s="214" t="s">
        <v>118</v>
      </c>
      <c r="E2" s="214"/>
      <c r="F2" s="214"/>
      <c r="G2" s="214"/>
      <c r="H2" s="214"/>
    </row>
    <row r="3" spans="1:8" s="215" customFormat="1" ht="24">
      <c r="A3" s="213" t="s">
        <v>134</v>
      </c>
      <c r="B3" s="214">
        <v>483</v>
      </c>
      <c r="C3" s="213" t="s">
        <v>117</v>
      </c>
      <c r="D3" s="213" t="s">
        <v>118</v>
      </c>
      <c r="E3" s="214"/>
      <c r="F3" s="214"/>
      <c r="G3" s="214"/>
      <c r="H3" s="214"/>
    </row>
    <row r="4" spans="1:8">
      <c r="A4" s="193"/>
      <c r="B4" s="194"/>
      <c r="C4" s="194"/>
      <c r="D4" s="194"/>
      <c r="E4" s="194"/>
      <c r="F4" s="194"/>
      <c r="G4" s="194"/>
      <c r="H4" s="194"/>
    </row>
    <row r="5" spans="1:8">
      <c r="A5" s="193"/>
      <c r="B5" s="194"/>
      <c r="C5" s="194"/>
      <c r="D5" s="194"/>
      <c r="E5" s="194"/>
      <c r="F5" s="194"/>
      <c r="G5" s="194"/>
      <c r="H5" s="194"/>
    </row>
    <row r="6" spans="1:8">
      <c r="A6" s="193"/>
      <c r="B6" s="194"/>
      <c r="C6" s="194"/>
      <c r="D6" s="194"/>
      <c r="E6" s="194"/>
      <c r="F6" s="194"/>
      <c r="G6" s="194"/>
      <c r="H6" s="194"/>
    </row>
    <row r="7" spans="1:8" s="218" customFormat="1" ht="24">
      <c r="A7" s="216" t="s">
        <v>129</v>
      </c>
      <c r="B7" s="217">
        <v>691.61</v>
      </c>
      <c r="C7" s="217" t="s">
        <v>117</v>
      </c>
      <c r="D7" s="217" t="s">
        <v>119</v>
      </c>
      <c r="E7" s="217" t="s">
        <v>120</v>
      </c>
      <c r="F7" s="217" t="s">
        <v>121</v>
      </c>
      <c r="G7" s="217"/>
      <c r="H7" s="217"/>
    </row>
    <row r="8" spans="1:8" s="218" customFormat="1" ht="36">
      <c r="A8" s="216" t="s">
        <v>130</v>
      </c>
      <c r="B8" s="217">
        <v>65.62</v>
      </c>
      <c r="C8" s="216" t="s">
        <v>117</v>
      </c>
      <c r="D8" s="216" t="s">
        <v>126</v>
      </c>
      <c r="E8" s="216" t="s">
        <v>127</v>
      </c>
      <c r="F8" s="216" t="s">
        <v>121</v>
      </c>
      <c r="G8" s="217"/>
      <c r="H8" s="217"/>
    </row>
    <row r="9" spans="1:8" s="218" customFormat="1" ht="24">
      <c r="A9" s="216" t="s">
        <v>131</v>
      </c>
      <c r="B9" s="217">
        <v>191.8</v>
      </c>
      <c r="C9" s="216" t="s">
        <v>117</v>
      </c>
      <c r="D9" s="216" t="s">
        <v>126</v>
      </c>
      <c r="E9" s="216" t="s">
        <v>127</v>
      </c>
      <c r="F9" s="216" t="s">
        <v>121</v>
      </c>
      <c r="G9" s="217"/>
      <c r="H9" s="217"/>
    </row>
    <row r="10" spans="1:8" s="218" customFormat="1" ht="24">
      <c r="A10" s="216" t="s">
        <v>132</v>
      </c>
      <c r="B10" s="217">
        <v>100</v>
      </c>
      <c r="C10" s="216" t="s">
        <v>117</v>
      </c>
      <c r="D10" s="216" t="s">
        <v>119</v>
      </c>
      <c r="E10" s="217" t="s">
        <v>120</v>
      </c>
      <c r="F10" s="216" t="s">
        <v>133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44469-109D-4AA8-A9F2-CD1D845DCB70}">
  <dimension ref="A1:G9"/>
  <sheetViews>
    <sheetView zoomScaleNormal="100" workbookViewId="0">
      <selection activeCell="G5" sqref="G5"/>
    </sheetView>
  </sheetViews>
  <sheetFormatPr defaultRowHeight="14.5"/>
  <cols>
    <col min="1" max="1" width="81.54296875" style="195" customWidth="1"/>
    <col min="2" max="16384" width="8.7265625" style="195"/>
  </cols>
  <sheetData>
    <row r="1" spans="1:7" ht="29">
      <c r="A1" s="210" t="s">
        <v>135</v>
      </c>
    </row>
    <row r="3" spans="1:7" ht="37" customHeight="1">
      <c r="A3" s="210" t="s">
        <v>137</v>
      </c>
    </row>
    <row r="4" spans="1:7" ht="29">
      <c r="A4" s="210" t="s">
        <v>136</v>
      </c>
    </row>
    <row r="5" spans="1:7" ht="43.5">
      <c r="A5" s="219" t="s">
        <v>138</v>
      </c>
    </row>
    <row r="8" spans="1:7" ht="29">
      <c r="B8" s="195" t="s">
        <v>79</v>
      </c>
      <c r="C8" s="195" t="s">
        <v>87</v>
      </c>
      <c r="D8" s="195" t="s">
        <v>86</v>
      </c>
      <c r="E8" s="195" t="s">
        <v>85</v>
      </c>
      <c r="F8" s="195" t="s">
        <v>80</v>
      </c>
      <c r="G8" s="195" t="s">
        <v>84</v>
      </c>
    </row>
    <row r="9" spans="1:7">
      <c r="A9" s="195" t="s">
        <v>193</v>
      </c>
      <c r="B9" s="295">
        <v>1.7999999999999999E-2</v>
      </c>
      <c r="C9" s="295">
        <v>1.7999999999999999E-2</v>
      </c>
      <c r="D9" s="295">
        <v>1.7999999999999999E-2</v>
      </c>
      <c r="E9" s="295">
        <v>1.7999999999999999E-2</v>
      </c>
      <c r="F9" s="295">
        <v>1.26E-2</v>
      </c>
      <c r="G9" s="295">
        <v>1.26E-2</v>
      </c>
    </row>
  </sheetData>
  <hyperlinks>
    <hyperlink ref="A5" r:id="rId1" xr:uid="{1175B8B4-6BEC-406D-A2BE-4F2B24B39CF3}"/>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C88BB-1C76-4FCC-85F6-D4351044D06F}">
  <dimension ref="A1:Z7"/>
  <sheetViews>
    <sheetView zoomScaleNormal="100" workbookViewId="0">
      <pane xSplit="1" ySplit="1" topLeftCell="B2" activePane="bottomRight" state="frozen"/>
      <selection pane="topRight" activeCell="B1" sqref="B1"/>
      <selection pane="bottomLeft" activeCell="A2" sqref="A2"/>
      <selection pane="bottomRight" activeCell="B3" sqref="B3"/>
    </sheetView>
  </sheetViews>
  <sheetFormatPr defaultRowHeight="14.5"/>
  <cols>
    <col min="1" max="1" width="10.81640625" style="177" bestFit="1" customWidth="1"/>
    <col min="2" max="2" width="13.26953125" style="171" bestFit="1" customWidth="1"/>
    <col min="3" max="3" width="8.81640625" style="171" bestFit="1" customWidth="1"/>
    <col min="4" max="4" width="8.81640625" style="171" customWidth="1"/>
    <col min="5" max="5" width="8.81640625" style="171" bestFit="1" customWidth="1"/>
    <col min="6" max="6" width="13.26953125" style="175" bestFit="1" customWidth="1"/>
    <col min="7" max="7" width="8.81640625" style="175" bestFit="1" customWidth="1"/>
    <col min="8" max="8" width="8.81640625" style="175" customWidth="1"/>
    <col min="9" max="9" width="8.81640625" style="175" bestFit="1" customWidth="1"/>
    <col min="10" max="10" width="10.36328125" style="171" bestFit="1" customWidth="1"/>
    <col min="11" max="11" width="8.81640625" style="171" bestFit="1" customWidth="1"/>
    <col min="12" max="12" width="8.81640625" style="171" customWidth="1"/>
    <col min="13" max="13" width="8.81640625" style="171" bestFit="1" customWidth="1"/>
    <col min="14" max="14" width="13.36328125" style="175" bestFit="1" customWidth="1"/>
    <col min="15" max="15" width="12.7265625" style="175" bestFit="1" customWidth="1"/>
    <col min="16" max="16" width="13.36328125" style="175" bestFit="1" customWidth="1"/>
    <col min="17" max="17" width="8.81640625" style="175" bestFit="1" customWidth="1"/>
    <col min="18" max="18" width="14.453125" style="171" bestFit="1" customWidth="1"/>
    <col min="19" max="19" width="8.81640625" style="171" bestFit="1" customWidth="1"/>
    <col min="20" max="20" width="13.36328125" style="171" bestFit="1" customWidth="1"/>
    <col min="21" max="21" width="8.81640625" style="171" bestFit="1" customWidth="1"/>
    <col min="22" max="22" width="13.36328125" style="175" bestFit="1" customWidth="1"/>
    <col min="23" max="23" width="8.81640625" style="175" bestFit="1" customWidth="1"/>
    <col min="24" max="24" width="13.36328125" style="175" bestFit="1" customWidth="1"/>
    <col min="25" max="25" width="8.81640625" style="175" bestFit="1" customWidth="1"/>
  </cols>
  <sheetData>
    <row r="1" spans="1:26">
      <c r="A1" s="178"/>
      <c r="B1" s="350" t="s">
        <v>75</v>
      </c>
      <c r="C1" s="351"/>
      <c r="D1" s="351"/>
      <c r="E1" s="351"/>
      <c r="F1" s="348" t="s">
        <v>76</v>
      </c>
      <c r="G1" s="349"/>
      <c r="H1" s="349"/>
      <c r="I1" s="349"/>
      <c r="J1" s="350" t="s">
        <v>77</v>
      </c>
      <c r="K1" s="351"/>
      <c r="L1" s="351"/>
      <c r="M1" s="351"/>
      <c r="N1" s="348" t="s">
        <v>78</v>
      </c>
      <c r="O1" s="349"/>
      <c r="P1" s="349"/>
      <c r="Q1" s="349"/>
      <c r="R1" s="350" t="s">
        <v>79</v>
      </c>
      <c r="S1" s="351"/>
      <c r="T1" s="351"/>
      <c r="U1" s="351"/>
      <c r="V1" s="348" t="s">
        <v>80</v>
      </c>
      <c r="W1" s="349"/>
      <c r="X1" s="349"/>
      <c r="Y1" s="349"/>
    </row>
    <row r="2" spans="1:26">
      <c r="A2" s="177" t="s">
        <v>81</v>
      </c>
      <c r="B2" s="169" t="s">
        <v>72</v>
      </c>
      <c r="C2" s="169" t="s">
        <v>73</v>
      </c>
      <c r="D2" s="169" t="s">
        <v>57</v>
      </c>
      <c r="E2" s="169" t="s">
        <v>74</v>
      </c>
      <c r="F2" s="173" t="s">
        <v>72</v>
      </c>
      <c r="G2" s="173" t="s">
        <v>73</v>
      </c>
      <c r="H2" s="173" t="s">
        <v>57</v>
      </c>
      <c r="I2" s="173" t="s">
        <v>74</v>
      </c>
      <c r="J2" s="169" t="s">
        <v>72</v>
      </c>
      <c r="K2" s="169" t="s">
        <v>73</v>
      </c>
      <c r="L2" s="169" t="s">
        <v>57</v>
      </c>
      <c r="M2" s="169" t="s">
        <v>74</v>
      </c>
      <c r="N2" s="173" t="s">
        <v>72</v>
      </c>
      <c r="O2" s="173" t="s">
        <v>73</v>
      </c>
      <c r="P2" s="173" t="s">
        <v>57</v>
      </c>
      <c r="Q2" s="173" t="s">
        <v>74</v>
      </c>
      <c r="R2" s="169" t="s">
        <v>72</v>
      </c>
      <c r="S2" s="169" t="s">
        <v>73</v>
      </c>
      <c r="T2" s="169" t="s">
        <v>57</v>
      </c>
      <c r="U2" s="169" t="s">
        <v>74</v>
      </c>
      <c r="V2" s="173" t="s">
        <v>72</v>
      </c>
      <c r="W2" s="173" t="s">
        <v>73</v>
      </c>
      <c r="X2" s="173" t="s">
        <v>57</v>
      </c>
      <c r="Y2" s="173" t="s">
        <v>74</v>
      </c>
    </row>
    <row r="3" spans="1:26">
      <c r="A3" s="178" t="s">
        <v>70</v>
      </c>
      <c r="B3" s="170">
        <v>15015855.9</v>
      </c>
      <c r="C3" s="171">
        <f>B3*E3</f>
        <v>750792.79500000004</v>
      </c>
      <c r="E3" s="172">
        <v>0.05</v>
      </c>
      <c r="F3" s="174">
        <v>28956173.07</v>
      </c>
      <c r="G3" s="175">
        <f>F3*I3</f>
        <v>1447808.6535</v>
      </c>
      <c r="H3" s="175">
        <f>G3-C3</f>
        <v>697015.85849999997</v>
      </c>
      <c r="I3" s="176">
        <v>0.05</v>
      </c>
      <c r="J3" s="171">
        <v>69059956.099999994</v>
      </c>
      <c r="K3" s="171">
        <f>J3*M3</f>
        <v>3452997.8049999997</v>
      </c>
      <c r="L3" s="171">
        <f>K3-G3</f>
        <v>2005189.1514999997</v>
      </c>
      <c r="M3" s="172">
        <v>0.05</v>
      </c>
      <c r="N3" s="174">
        <v>10156388.800000001</v>
      </c>
      <c r="O3" s="175">
        <f>N3*Q3</f>
        <v>507819.44000000006</v>
      </c>
      <c r="P3" s="175">
        <f>O3-K3</f>
        <v>-2945178.3649999998</v>
      </c>
      <c r="Q3" s="176">
        <v>0.05</v>
      </c>
      <c r="R3" s="170">
        <v>102928520.98</v>
      </c>
      <c r="S3" s="171">
        <f>R3*U3</f>
        <v>5146426.0490000006</v>
      </c>
      <c r="T3" s="171">
        <f>S3-O3</f>
        <v>4638606.6090000002</v>
      </c>
      <c r="U3" s="172">
        <v>0.05</v>
      </c>
      <c r="V3" s="174">
        <v>57467985.020000003</v>
      </c>
      <c r="W3" s="175">
        <f>V3*Y3</f>
        <v>2873399.2510000002</v>
      </c>
      <c r="X3" s="175">
        <f>W3-S3</f>
        <v>-2273026.7980000004</v>
      </c>
      <c r="Y3" s="176">
        <v>0.05</v>
      </c>
    </row>
    <row r="4" spans="1:26">
      <c r="A4" s="178" t="s">
        <v>42</v>
      </c>
      <c r="B4" s="170">
        <v>150</v>
      </c>
      <c r="C4" s="171">
        <f>B4*E4</f>
        <v>30</v>
      </c>
      <c r="E4" s="172">
        <v>0.2</v>
      </c>
      <c r="F4" s="174">
        <v>6161.17</v>
      </c>
      <c r="G4" s="175">
        <f>F4*I4</f>
        <v>1232.2340000000002</v>
      </c>
      <c r="H4" s="175">
        <f>G4-C4</f>
        <v>1202.2340000000002</v>
      </c>
      <c r="I4" s="176">
        <v>0.2</v>
      </c>
      <c r="J4" s="171">
        <v>0</v>
      </c>
      <c r="K4" s="171">
        <f>J4*M4</f>
        <v>0</v>
      </c>
      <c r="L4" s="171">
        <f>K4-G4</f>
        <v>-1232.2340000000002</v>
      </c>
      <c r="M4" s="172">
        <v>0.2</v>
      </c>
      <c r="N4" s="174">
        <v>50507164.649999999</v>
      </c>
      <c r="O4" s="175">
        <f>N4*Q4</f>
        <v>10101432.93</v>
      </c>
      <c r="P4" s="175">
        <f>O4-K4</f>
        <v>10101432.93</v>
      </c>
      <c r="Q4" s="176">
        <v>0.2</v>
      </c>
      <c r="R4" s="170">
        <v>72345.38</v>
      </c>
      <c r="S4" s="171">
        <f>R4*U4</f>
        <v>14469.076000000001</v>
      </c>
      <c r="T4" s="171">
        <f>S4-O4</f>
        <v>-10086963.854</v>
      </c>
      <c r="U4" s="172">
        <v>0.2</v>
      </c>
      <c r="V4" s="174">
        <v>34895642.369999997</v>
      </c>
      <c r="W4" s="175">
        <f>V4*Y4</f>
        <v>6979128.4739999995</v>
      </c>
      <c r="X4" s="175">
        <f>W4-S4</f>
        <v>6964659.3979999991</v>
      </c>
      <c r="Y4" s="176">
        <v>0.2</v>
      </c>
    </row>
    <row r="5" spans="1:26">
      <c r="A5" s="178" t="s">
        <v>43</v>
      </c>
      <c r="B5" s="170">
        <v>1572112</v>
      </c>
      <c r="C5" s="171">
        <f>B5*E5</f>
        <v>786056</v>
      </c>
      <c r="E5" s="172">
        <v>0.5</v>
      </c>
      <c r="F5" s="175">
        <v>150</v>
      </c>
      <c r="G5" s="175">
        <f>F5*I5</f>
        <v>75</v>
      </c>
      <c r="H5" s="175">
        <f>G5-C5</f>
        <v>-785981</v>
      </c>
      <c r="I5" s="176">
        <v>0.5</v>
      </c>
      <c r="J5" s="171">
        <v>140</v>
      </c>
      <c r="K5" s="171">
        <f>J5*M5</f>
        <v>70</v>
      </c>
      <c r="L5" s="171">
        <f>K5-G5</f>
        <v>-5</v>
      </c>
      <c r="M5" s="172">
        <v>0.5</v>
      </c>
      <c r="N5" s="174">
        <v>218896.7</v>
      </c>
      <c r="O5" s="175">
        <f>N5*Q5</f>
        <v>109448.35</v>
      </c>
      <c r="P5" s="175">
        <f>O5-K5</f>
        <v>109378.35</v>
      </c>
      <c r="Q5" s="176">
        <v>0.5</v>
      </c>
      <c r="R5" s="170">
        <v>102136.31</v>
      </c>
      <c r="S5" s="171">
        <f>R5*U5</f>
        <v>51068.154999999999</v>
      </c>
      <c r="T5" s="171">
        <f>S5-O5</f>
        <v>-58380.195000000007</v>
      </c>
      <c r="U5" s="172">
        <v>0.5</v>
      </c>
      <c r="V5" s="174">
        <v>102136.31</v>
      </c>
      <c r="W5" s="175">
        <f>V5*Y5</f>
        <v>51068.154999999999</v>
      </c>
      <c r="X5" s="175">
        <f>W5-S5</f>
        <v>0</v>
      </c>
      <c r="Y5" s="176">
        <v>0.5</v>
      </c>
    </row>
    <row r="6" spans="1:26">
      <c r="A6" s="178" t="s">
        <v>71</v>
      </c>
      <c r="B6" s="170">
        <v>47853</v>
      </c>
      <c r="C6" s="171">
        <f>B6*E6</f>
        <v>47853</v>
      </c>
      <c r="E6" s="172">
        <v>1</v>
      </c>
      <c r="F6" s="174">
        <v>509965</v>
      </c>
      <c r="G6" s="175">
        <f>F6*I6</f>
        <v>509965</v>
      </c>
      <c r="H6" s="175">
        <f>G6-C6</f>
        <v>462112</v>
      </c>
      <c r="I6" s="176">
        <v>1</v>
      </c>
      <c r="J6" s="170">
        <v>505855</v>
      </c>
      <c r="K6" s="171">
        <f>J6*M6</f>
        <v>505855</v>
      </c>
      <c r="L6" s="171">
        <f>K6-G6</f>
        <v>-4110</v>
      </c>
      <c r="M6" s="172">
        <v>1</v>
      </c>
      <c r="N6" s="174">
        <v>2521202.4300000002</v>
      </c>
      <c r="O6" s="175">
        <f>N6*Q6</f>
        <v>2521202.4300000002</v>
      </c>
      <c r="P6" s="175">
        <f>O6-K6</f>
        <v>2015347.4300000002</v>
      </c>
      <c r="Q6" s="176">
        <v>1</v>
      </c>
      <c r="R6" s="170">
        <v>495995</v>
      </c>
      <c r="S6" s="171">
        <f>R6*U6</f>
        <v>495995</v>
      </c>
      <c r="T6" s="171">
        <f>S6-O6</f>
        <v>-2025207.4300000002</v>
      </c>
      <c r="U6" s="172">
        <v>1</v>
      </c>
      <c r="V6" s="174">
        <v>495995</v>
      </c>
      <c r="W6" s="175">
        <f>V6*Y6</f>
        <v>495995</v>
      </c>
      <c r="X6" s="175">
        <f>W6-S6</f>
        <v>0</v>
      </c>
      <c r="Y6" s="176">
        <v>1</v>
      </c>
    </row>
    <row r="7" spans="1:26">
      <c r="A7" s="178" t="s">
        <v>82</v>
      </c>
      <c r="B7" s="171">
        <f>SUM(B3:B6)/10000</f>
        <v>1663.59709</v>
      </c>
      <c r="C7" s="171">
        <f>SUM(C3:C6)/10000</f>
        <v>158.47317949999999</v>
      </c>
      <c r="E7" s="172">
        <f>C7/B7</f>
        <v>9.5259351229088768E-2</v>
      </c>
      <c r="F7" s="175">
        <f>SUM(F3:F6)/10000</f>
        <v>2947.2449240000001</v>
      </c>
      <c r="G7" s="175">
        <f>SUM(G3:G6)/10000</f>
        <v>195.90808874999999</v>
      </c>
      <c r="H7" s="175">
        <f>G7-C7</f>
        <v>37.434909250000004</v>
      </c>
      <c r="I7" s="176">
        <f>G7/F7</f>
        <v>6.6471601038204042E-2</v>
      </c>
      <c r="J7" s="171">
        <f>SUM(J3:J6)/10000</f>
        <v>6956.5951099999993</v>
      </c>
      <c r="K7" s="171">
        <f>SUM(K3:K6)/10000</f>
        <v>395.89228049999997</v>
      </c>
      <c r="L7" s="171">
        <f>K7-G7</f>
        <v>199.98419174999998</v>
      </c>
      <c r="M7" s="172">
        <f>K7/J7</f>
        <v>5.6908915099990631E-2</v>
      </c>
      <c r="N7" s="175">
        <f>SUM(N3:N6)/10000</f>
        <v>6340.3652580000007</v>
      </c>
      <c r="O7" s="175">
        <f>SUM(O3:O6)/10000</f>
        <v>1323.9903149999998</v>
      </c>
      <c r="P7" s="175">
        <f>O7-K7</f>
        <v>928.09803449999981</v>
      </c>
      <c r="Q7" s="176">
        <f>O7/N7</f>
        <v>0.20881924954235809</v>
      </c>
      <c r="R7" s="171">
        <f>SUM(R3:R6)/10000</f>
        <v>10359.899767000001</v>
      </c>
      <c r="S7" s="171">
        <f>SUM(S3:S6)/10000</f>
        <v>570.79582800000014</v>
      </c>
      <c r="T7" s="171">
        <f>S7-O7</f>
        <v>-753.19448699999964</v>
      </c>
      <c r="U7" s="172">
        <f>S7/R7</f>
        <v>5.5096655453963923E-2</v>
      </c>
      <c r="V7" s="175">
        <f>SUM(V3:V6)/10000</f>
        <v>9296.1758700000009</v>
      </c>
      <c r="W7" s="175">
        <f>SUM(W3:W6)/10000</f>
        <v>1039.9590879999998</v>
      </c>
      <c r="X7" s="175">
        <f>W7-S7</f>
        <v>469.1632599999997</v>
      </c>
      <c r="Y7" s="176">
        <f>W7/V7</f>
        <v>0.11186955825094558</v>
      </c>
      <c r="Z7">
        <f>H7+L7+P7+T7+X7</f>
        <v>881.48590849999982</v>
      </c>
    </row>
  </sheetData>
  <mergeCells count="6">
    <mergeCell ref="V1:Y1"/>
    <mergeCell ref="B1:E1"/>
    <mergeCell ref="F1:I1"/>
    <mergeCell ref="J1:M1"/>
    <mergeCell ref="N1:Q1"/>
    <mergeCell ref="R1:U1"/>
  </mergeCells>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40793-9BF7-4A3E-B1E0-ECCA9D5B1202}">
  <dimension ref="A1"/>
  <sheetViews>
    <sheetView tabSelected="1" workbookViewId="0"/>
  </sheetViews>
  <sheetFormatPr defaultRowHeight="14.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N60"/>
  <sheetViews>
    <sheetView zoomScale="85" zoomScaleNormal="85" workbookViewId="0">
      <pane xSplit="3" ySplit="1" topLeftCell="D17" activePane="bottomRight" state="frozen"/>
      <selection pane="topRight"/>
      <selection pane="bottomLeft"/>
      <selection pane="bottomRight" activeCell="M11" sqref="M11"/>
    </sheetView>
  </sheetViews>
  <sheetFormatPr defaultColWidth="8.7265625" defaultRowHeight="16.5"/>
  <cols>
    <col min="1" max="1" width="1.6328125" style="6" customWidth="1"/>
    <col min="2" max="2" width="5" style="39" bestFit="1" customWidth="1"/>
    <col min="3" max="3" width="25.54296875" style="6" customWidth="1"/>
    <col min="4" max="5" width="6.26953125" style="6" bestFit="1" customWidth="1"/>
    <col min="6" max="6" width="11.90625" style="6" customWidth="1"/>
    <col min="7" max="7" width="10.26953125" style="6" customWidth="1"/>
    <col min="8" max="10" width="10.7265625" style="6" bestFit="1" customWidth="1"/>
    <col min="11" max="11" width="17.1796875" style="6" customWidth="1"/>
    <col min="12" max="12" width="17.36328125" style="6" bestFit="1" customWidth="1"/>
    <col min="13" max="13" width="18.7265625" style="6"/>
    <col min="14" max="14" width="18.54296875" style="6" bestFit="1" customWidth="1"/>
    <col min="15" max="16384" width="8.7265625" style="6"/>
  </cols>
  <sheetData>
    <row r="1" spans="2:14" ht="29.5" customHeight="1" thickBot="1">
      <c r="B1" s="40"/>
      <c r="C1" s="41"/>
      <c r="D1" s="251">
        <v>2011</v>
      </c>
      <c r="E1" s="251">
        <v>2012</v>
      </c>
      <c r="F1" s="274" t="s">
        <v>164</v>
      </c>
      <c r="G1" s="42">
        <v>2014</v>
      </c>
      <c r="H1" s="42">
        <v>2015</v>
      </c>
      <c r="I1" s="42">
        <v>2016</v>
      </c>
      <c r="J1" s="42">
        <v>2017</v>
      </c>
      <c r="K1" s="42">
        <v>2018</v>
      </c>
      <c r="L1" s="97">
        <v>2019</v>
      </c>
      <c r="M1" s="97" t="s">
        <v>60</v>
      </c>
      <c r="N1" s="97" t="s">
        <v>261</v>
      </c>
    </row>
    <row r="2" spans="2:14">
      <c r="B2" s="324">
        <v>1</v>
      </c>
      <c r="C2" s="153" t="s">
        <v>55</v>
      </c>
      <c r="D2" s="152">
        <v>0.86</v>
      </c>
      <c r="E2" s="152">
        <v>1.74</v>
      </c>
      <c r="F2" s="152">
        <v>6.63</v>
      </c>
      <c r="G2" s="152">
        <v>8.44</v>
      </c>
      <c r="H2" s="152">
        <v>15.35</v>
      </c>
      <c r="I2" s="152">
        <v>25.3</v>
      </c>
      <c r="J2" s="152">
        <v>32.36</v>
      </c>
      <c r="K2" s="152">
        <v>35.81</v>
      </c>
      <c r="L2" s="152">
        <v>32.21</v>
      </c>
      <c r="M2" s="152">
        <v>12.11</v>
      </c>
      <c r="N2" s="44"/>
    </row>
    <row r="3" spans="2:14">
      <c r="B3" s="325"/>
      <c r="C3" s="253" t="s">
        <v>167</v>
      </c>
      <c r="D3" s="152"/>
      <c r="E3" s="152"/>
      <c r="F3" s="152"/>
      <c r="G3" s="152">
        <v>7.43</v>
      </c>
      <c r="H3" s="152">
        <v>8.11</v>
      </c>
      <c r="I3" s="152">
        <v>12.31</v>
      </c>
      <c r="J3" s="152">
        <v>9.0399999999999991</v>
      </c>
      <c r="K3" s="152">
        <v>8.94</v>
      </c>
      <c r="L3" s="152">
        <v>8.81</v>
      </c>
      <c r="M3" s="152"/>
      <c r="N3" s="44"/>
    </row>
    <row r="4" spans="2:14">
      <c r="B4" s="325"/>
      <c r="C4" s="253" t="s">
        <v>168</v>
      </c>
      <c r="D4" s="152"/>
      <c r="E4" s="152"/>
      <c r="F4" s="152"/>
      <c r="G4" s="152">
        <v>1</v>
      </c>
      <c r="H4" s="152">
        <v>7.21</v>
      </c>
      <c r="I4" s="152">
        <v>12.82</v>
      </c>
      <c r="J4" s="152">
        <v>23.01</v>
      </c>
      <c r="K4" s="152">
        <v>25.68</v>
      </c>
      <c r="L4" s="152">
        <v>22.52</v>
      </c>
      <c r="M4" s="152"/>
      <c r="N4" s="44"/>
    </row>
    <row r="5" spans="2:14" s="287" customFormat="1">
      <c r="B5" s="333" t="s">
        <v>260</v>
      </c>
      <c r="C5" s="286" t="s">
        <v>259</v>
      </c>
      <c r="G5" s="287">
        <f>G4/游戏产业数据!C7</f>
        <v>3.637686431429611E-3</v>
      </c>
      <c r="H5" s="287">
        <f>H4/游戏产业数据!D7</f>
        <v>1.4010882238631946E-2</v>
      </c>
      <c r="I5" s="287">
        <f>I4/游戏产业数据!E7</f>
        <v>1.5649414062499999E-2</v>
      </c>
      <c r="J5" s="287">
        <f>J4/游戏产业数据!F7</f>
        <v>1.9815707888391321E-2</v>
      </c>
      <c r="K5" s="287">
        <f>K4/游戏产业数据!G7</f>
        <v>1.9169901463123321E-2</v>
      </c>
      <c r="L5" s="287">
        <f>L4/游戏产业数据!H7</f>
        <v>1.424324837138701E-2</v>
      </c>
    </row>
    <row r="6" spans="2:14" s="287" customFormat="1">
      <c r="B6" s="333"/>
      <c r="C6" s="286" t="s">
        <v>251</v>
      </c>
      <c r="G6" s="287">
        <f>腾讯!B6+网易!B10</f>
        <v>0.51339687158966896</v>
      </c>
      <c r="H6" s="287">
        <f>腾讯!C6+网易!C10</f>
        <v>0.56767388262728324</v>
      </c>
      <c r="I6" s="287">
        <f>腾讯!D6+网易!D10</f>
        <v>0.67772973632812494</v>
      </c>
      <c r="J6" s="287">
        <f>腾讯!E6+网易!E10</f>
        <v>0.76203630726834315</v>
      </c>
      <c r="K6" s="287">
        <f>腾讯!F6+网易!F10</f>
        <v>0.7937809793968349</v>
      </c>
      <c r="L6" s="287">
        <f>腾讯!G6+网易!G10</f>
        <v>0.80226438555436097</v>
      </c>
    </row>
    <row r="7" spans="2:14" s="287" customFormat="1" ht="17" thickBot="1">
      <c r="B7" s="334"/>
      <c r="C7" s="288" t="s">
        <v>250</v>
      </c>
      <c r="G7" s="287">
        <f>G4/(游戏产业数据!C7-腾讯!B5-网易!B9)</f>
        <v>7.4756741562954166E-3</v>
      </c>
      <c r="H7" s="287">
        <f>H4/(游戏产业数据!D7-腾讯!C5-网易!C9)</f>
        <v>3.2408132832171449E-2</v>
      </c>
      <c r="I7" s="287">
        <f>I4/(游戏产业数据!E7-腾讯!D5-网易!D9)</f>
        <v>4.855990709224639E-2</v>
      </c>
      <c r="J7" s="287">
        <f>J4/(游戏产业数据!F7-腾讯!E5-网易!E9)</f>
        <v>8.3271980111423033E-2</v>
      </c>
      <c r="K7" s="287">
        <f>K4/(游戏产业数据!G7-腾讯!F5-网易!F9)</f>
        <v>9.2958939515151107E-2</v>
      </c>
      <c r="L7" s="287">
        <f>L4/(游戏产业数据!H7-腾讯!G5-网易!G9)</f>
        <v>7.2031780472721685E-2</v>
      </c>
    </row>
    <row r="8" spans="2:14" s="293" customFormat="1" ht="17" thickBot="1">
      <c r="B8" s="291" t="s">
        <v>262</v>
      </c>
      <c r="C8" s="292" t="s">
        <v>263</v>
      </c>
      <c r="G8" s="293">
        <f>G3/游戏产业数据!C13</f>
        <v>3.665515540207203E-2</v>
      </c>
      <c r="H8" s="293">
        <f>H3/游戏产业数据!D13</f>
        <v>3.6930783242258652E-2</v>
      </c>
      <c r="I8" s="293">
        <f>I3/游戏产业数据!E13</f>
        <v>6.5793693212186005E-2</v>
      </c>
      <c r="J8" s="293">
        <f>J3/游戏产业数据!F13</f>
        <v>5.7948717948717941E-2</v>
      </c>
      <c r="K8" s="293">
        <f>K3/游戏产业数据!G13</f>
        <v>7.0671936758893272E-2</v>
      </c>
      <c r="L8" s="293">
        <f>L3/游戏产业数据!H13</f>
        <v>8.9260385005065862E-2</v>
      </c>
    </row>
    <row r="9" spans="2:14">
      <c r="B9" s="324">
        <v>1</v>
      </c>
      <c r="C9" s="153" t="s">
        <v>169</v>
      </c>
      <c r="D9" s="152"/>
      <c r="E9" s="152"/>
      <c r="F9" s="152"/>
      <c r="G9" s="152"/>
      <c r="H9" s="152"/>
      <c r="I9" s="152"/>
      <c r="J9" s="152"/>
      <c r="K9" s="152"/>
      <c r="L9" s="152"/>
      <c r="M9" s="152"/>
      <c r="N9" s="44"/>
    </row>
    <row r="10" spans="2:14">
      <c r="B10" s="325"/>
      <c r="C10" s="253" t="s">
        <v>167</v>
      </c>
      <c r="D10" s="152"/>
      <c r="E10" s="152"/>
      <c r="F10" s="152"/>
      <c r="G10" s="152">
        <v>2.16</v>
      </c>
      <c r="H10" s="152">
        <v>3.43</v>
      </c>
      <c r="I10" s="152">
        <v>7.1</v>
      </c>
      <c r="J10" s="152">
        <v>3.78</v>
      </c>
      <c r="K10" s="152">
        <v>3.66</v>
      </c>
      <c r="L10" s="152">
        <v>4.3899999999999997</v>
      </c>
      <c r="M10" s="152"/>
      <c r="N10" s="44"/>
    </row>
    <row r="11" spans="2:14" ht="17" thickBot="1">
      <c r="B11" s="325"/>
      <c r="C11" s="253" t="s">
        <v>168</v>
      </c>
      <c r="D11" s="152"/>
      <c r="E11" s="152"/>
      <c r="F11" s="152"/>
      <c r="G11" s="152">
        <v>0.4</v>
      </c>
      <c r="H11" s="152">
        <v>3</v>
      </c>
      <c r="I11" s="152">
        <v>6.06</v>
      </c>
      <c r="J11" s="152">
        <v>11.57</v>
      </c>
      <c r="K11" s="152">
        <v>11.39</v>
      </c>
      <c r="L11" s="152">
        <v>17.420000000000002</v>
      </c>
      <c r="M11" s="152"/>
      <c r="N11" s="44"/>
    </row>
    <row r="12" spans="2:14" ht="17" thickBot="1">
      <c r="B12" s="324">
        <v>2</v>
      </c>
      <c r="C12" s="50" t="s">
        <v>19</v>
      </c>
      <c r="D12" s="50"/>
      <c r="E12" s="50"/>
      <c r="F12" s="50"/>
      <c r="G12" s="51"/>
      <c r="H12" s="52"/>
      <c r="I12" s="52"/>
      <c r="J12" s="53"/>
      <c r="K12" s="54"/>
      <c r="L12" s="98"/>
      <c r="M12" s="44"/>
      <c r="N12" s="44"/>
    </row>
    <row r="13" spans="2:14" ht="17" thickBot="1">
      <c r="B13" s="325"/>
      <c r="C13" s="253" t="s">
        <v>167</v>
      </c>
      <c r="D13" s="236"/>
      <c r="E13" s="236"/>
      <c r="F13" s="236"/>
      <c r="G13" s="254">
        <f t="shared" ref="G13:L14" si="0">(G3-G10)/G3</f>
        <v>0.70928667563930015</v>
      </c>
      <c r="H13" s="254">
        <f t="shared" si="0"/>
        <v>0.57706535141800253</v>
      </c>
      <c r="I13" s="254">
        <f t="shared" si="0"/>
        <v>0.42323314378554028</v>
      </c>
      <c r="J13" s="254">
        <f t="shared" si="0"/>
        <v>0.58185840707964609</v>
      </c>
      <c r="K13" s="254">
        <f t="shared" si="0"/>
        <v>0.59060402684563751</v>
      </c>
      <c r="L13" s="254">
        <f t="shared" si="0"/>
        <v>0.50170261066969357</v>
      </c>
      <c r="M13" s="44"/>
      <c r="N13" s="44"/>
    </row>
    <row r="14" spans="2:14" ht="17" thickBot="1">
      <c r="B14" s="329"/>
      <c r="C14" s="253" t="s">
        <v>168</v>
      </c>
      <c r="D14" s="236"/>
      <c r="E14" s="236"/>
      <c r="F14" s="236"/>
      <c r="G14" s="254">
        <f t="shared" si="0"/>
        <v>0.6</v>
      </c>
      <c r="H14" s="254">
        <f t="shared" si="0"/>
        <v>0.58391123439667125</v>
      </c>
      <c r="I14" s="254">
        <f t="shared" si="0"/>
        <v>0.52730109204368181</v>
      </c>
      <c r="J14" s="254">
        <f t="shared" si="0"/>
        <v>0.49717514124293788</v>
      </c>
      <c r="K14" s="254">
        <f t="shared" si="0"/>
        <v>0.55646417445482865</v>
      </c>
      <c r="L14" s="289">
        <f t="shared" si="0"/>
        <v>0.22646536412078144</v>
      </c>
      <c r="M14" s="44"/>
      <c r="N14" s="44"/>
    </row>
    <row r="15" spans="2:14">
      <c r="B15" s="326">
        <v>3</v>
      </c>
      <c r="C15" s="56" t="s">
        <v>20</v>
      </c>
      <c r="D15" s="233"/>
      <c r="E15" s="233"/>
      <c r="F15" s="233"/>
      <c r="G15" s="154">
        <v>0.56000000000000005</v>
      </c>
      <c r="H15" s="154">
        <v>1.1000000000000001</v>
      </c>
      <c r="I15" s="154">
        <v>1.83</v>
      </c>
      <c r="J15" s="154">
        <v>2.94</v>
      </c>
      <c r="K15" s="154">
        <v>4.08</v>
      </c>
      <c r="L15" s="154">
        <v>3.37</v>
      </c>
      <c r="M15" s="44"/>
      <c r="N15" s="44"/>
    </row>
    <row r="16" spans="2:14" ht="17" thickBot="1">
      <c r="B16" s="327"/>
      <c r="C16" s="156" t="s">
        <v>56</v>
      </c>
      <c r="D16" s="156"/>
      <c r="E16" s="156"/>
      <c r="F16" s="156"/>
      <c r="G16" s="47"/>
      <c r="H16" s="47"/>
      <c r="I16" s="47"/>
      <c r="J16" s="47"/>
      <c r="K16" s="48"/>
      <c r="L16" s="48"/>
      <c r="M16" s="44"/>
      <c r="N16" s="44"/>
    </row>
    <row r="17" spans="2:14">
      <c r="B17" s="328"/>
      <c r="C17" s="59" t="s">
        <v>21</v>
      </c>
      <c r="D17" s="234"/>
      <c r="E17" s="234"/>
      <c r="F17" s="234"/>
      <c r="G17" s="154">
        <v>1.74</v>
      </c>
      <c r="H17" s="154">
        <v>3.25</v>
      </c>
      <c r="I17" s="154">
        <v>4.41</v>
      </c>
      <c r="J17" s="154">
        <v>6.8</v>
      </c>
      <c r="K17" s="154">
        <v>4.53</v>
      </c>
      <c r="L17" s="154">
        <v>4.28</v>
      </c>
      <c r="M17" s="44"/>
      <c r="N17" s="44"/>
    </row>
    <row r="18" spans="2:14" ht="17" thickBot="1">
      <c r="B18" s="328"/>
      <c r="C18" s="156" t="s">
        <v>56</v>
      </c>
      <c r="D18" s="235"/>
      <c r="E18" s="235"/>
      <c r="F18" s="235"/>
      <c r="G18" s="62"/>
      <c r="H18" s="62"/>
      <c r="I18" s="62"/>
      <c r="J18" s="62"/>
      <c r="K18" s="62"/>
      <c r="L18" s="62"/>
      <c r="M18" s="44"/>
      <c r="N18" s="44"/>
    </row>
    <row r="19" spans="2:14" ht="17" thickBot="1">
      <c r="B19" s="49">
        <v>4</v>
      </c>
      <c r="C19" s="50" t="s">
        <v>22</v>
      </c>
      <c r="D19" s="236"/>
      <c r="E19" s="236"/>
      <c r="F19" s="236"/>
      <c r="G19" s="154">
        <v>-0.06</v>
      </c>
      <c r="H19" s="154">
        <v>0.12</v>
      </c>
      <c r="I19" s="154">
        <v>0.33</v>
      </c>
      <c r="J19" s="154">
        <v>0.91</v>
      </c>
      <c r="K19" s="154">
        <v>0.8</v>
      </c>
      <c r="L19" s="154">
        <v>0.86</v>
      </c>
      <c r="M19" s="44"/>
      <c r="N19" s="44"/>
    </row>
    <row r="20" spans="2:14" ht="17" thickBot="1">
      <c r="B20" s="57">
        <v>5</v>
      </c>
      <c r="C20" s="63" t="s">
        <v>23</v>
      </c>
      <c r="D20" s="154">
        <v>0.12</v>
      </c>
      <c r="E20" s="154">
        <v>0.37</v>
      </c>
      <c r="F20" s="154">
        <v>1.62</v>
      </c>
      <c r="G20" s="154">
        <v>4.08</v>
      </c>
      <c r="H20" s="154">
        <v>5.05</v>
      </c>
      <c r="I20" s="154">
        <v>5.97</v>
      </c>
      <c r="J20" s="154">
        <v>6.64</v>
      </c>
      <c r="K20" s="154">
        <v>10.11</v>
      </c>
      <c r="L20" s="154">
        <v>2.56</v>
      </c>
      <c r="M20" s="154">
        <v>3.63</v>
      </c>
      <c r="N20" s="44"/>
    </row>
    <row r="21" spans="2:14" ht="17" thickBot="1">
      <c r="B21" s="58"/>
      <c r="C21" s="156" t="s">
        <v>57</v>
      </c>
      <c r="D21" s="154"/>
      <c r="E21" s="154"/>
      <c r="F21" s="154"/>
      <c r="G21" s="64"/>
      <c r="H21" s="65"/>
      <c r="I21" s="65"/>
      <c r="J21" s="65"/>
      <c r="K21" s="66"/>
      <c r="L21" s="66"/>
      <c r="M21" s="44"/>
      <c r="N21" s="44"/>
    </row>
    <row r="22" spans="2:14">
      <c r="B22" s="226">
        <v>5.0999999999999996</v>
      </c>
      <c r="C22" s="252" t="s">
        <v>165</v>
      </c>
      <c r="D22" s="67"/>
      <c r="E22" s="67"/>
      <c r="F22" s="67"/>
      <c r="G22" s="155">
        <v>4.1500000000000004</v>
      </c>
      <c r="H22" s="155">
        <v>5.16</v>
      </c>
      <c r="I22" s="155">
        <v>5.88</v>
      </c>
      <c r="J22" s="155">
        <v>6.56</v>
      </c>
      <c r="K22" s="228">
        <v>10.09</v>
      </c>
      <c r="L22" s="228">
        <v>2.57</v>
      </c>
      <c r="M22" s="152">
        <v>3.63</v>
      </c>
      <c r="N22" s="294" t="s">
        <v>264</v>
      </c>
    </row>
    <row r="23" spans="2:14" ht="17" thickBot="1">
      <c r="B23" s="68"/>
      <c r="C23" s="156" t="s">
        <v>166</v>
      </c>
      <c r="D23" s="156"/>
      <c r="E23" s="156"/>
      <c r="F23" s="156"/>
      <c r="G23" s="46"/>
      <c r="H23" s="69"/>
      <c r="I23" s="69"/>
      <c r="J23" s="69"/>
      <c r="K23" s="229"/>
      <c r="L23" s="229"/>
      <c r="M23" s="47">
        <v>1.1013999999999999</v>
      </c>
      <c r="N23" s="44"/>
    </row>
    <row r="24" spans="2:14">
      <c r="B24" s="58">
        <v>6</v>
      </c>
      <c r="C24" s="67" t="s">
        <v>24</v>
      </c>
      <c r="D24" s="67"/>
      <c r="E24" s="67"/>
      <c r="F24" s="67"/>
      <c r="G24" s="155">
        <v>3.97</v>
      </c>
      <c r="H24" s="155">
        <v>4.84</v>
      </c>
      <c r="I24" s="155">
        <v>5.55</v>
      </c>
      <c r="J24" s="155">
        <v>5.99</v>
      </c>
      <c r="K24" s="228">
        <v>7.37</v>
      </c>
      <c r="L24" s="228">
        <v>-1.7</v>
      </c>
      <c r="M24" s="152">
        <v>2.83</v>
      </c>
      <c r="N24" s="44"/>
    </row>
    <row r="25" spans="2:14" ht="17" thickBot="1">
      <c r="B25" s="68"/>
      <c r="C25" s="156" t="s">
        <v>166</v>
      </c>
      <c r="D25" s="156"/>
      <c r="E25" s="156"/>
      <c r="F25" s="156"/>
      <c r="G25" s="46"/>
      <c r="H25" s="69"/>
      <c r="I25" s="69"/>
      <c r="J25" s="69"/>
      <c r="K25" s="229"/>
      <c r="L25" s="229"/>
      <c r="M25" s="47">
        <v>0.64659999999999995</v>
      </c>
      <c r="N25" s="44"/>
    </row>
    <row r="26" spans="2:14" ht="38" customHeight="1">
      <c r="B26" s="55">
        <v>7</v>
      </c>
      <c r="C26" s="256" t="s">
        <v>25</v>
      </c>
      <c r="D26" s="78"/>
      <c r="E26" s="78"/>
      <c r="F26" s="78"/>
      <c r="G26" s="157">
        <v>2.44</v>
      </c>
      <c r="H26" s="157">
        <v>3.28</v>
      </c>
      <c r="I26" s="157">
        <v>5.61</v>
      </c>
      <c r="J26" s="157">
        <v>7.42</v>
      </c>
      <c r="K26" s="230">
        <v>2.73</v>
      </c>
      <c r="L26" s="230">
        <v>5.5</v>
      </c>
      <c r="M26" s="152">
        <v>4.6399999999999997</v>
      </c>
      <c r="N26" s="44"/>
    </row>
    <row r="27" spans="2:14" ht="17" thickBot="1">
      <c r="B27" s="57"/>
      <c r="C27" s="156" t="s">
        <v>56</v>
      </c>
      <c r="D27" s="237"/>
      <c r="E27" s="237"/>
      <c r="F27" s="237"/>
      <c r="G27" s="73"/>
      <c r="H27" s="73"/>
      <c r="I27" s="73"/>
      <c r="J27" s="73"/>
      <c r="K27" s="232"/>
      <c r="L27" s="232"/>
      <c r="M27" s="231"/>
      <c r="N27" s="44"/>
    </row>
    <row r="28" spans="2:14" ht="36.5" customHeight="1">
      <c r="B28" s="58">
        <v>8</v>
      </c>
      <c r="C28" s="255" t="s">
        <v>26</v>
      </c>
      <c r="D28" s="230"/>
      <c r="E28" s="230"/>
      <c r="F28" s="230"/>
      <c r="G28" s="230">
        <v>1.25</v>
      </c>
      <c r="H28" s="230">
        <v>1.88</v>
      </c>
      <c r="I28" s="230">
        <v>3.63</v>
      </c>
      <c r="J28" s="230">
        <v>5.86</v>
      </c>
      <c r="K28" s="230">
        <v>7.31</v>
      </c>
      <c r="L28" s="230">
        <v>7.08</v>
      </c>
      <c r="M28" s="230">
        <v>2.09</v>
      </c>
      <c r="N28" s="44"/>
    </row>
    <row r="29" spans="2:14" ht="17" thickBot="1">
      <c r="B29" s="58"/>
      <c r="C29" s="156" t="s">
        <v>56</v>
      </c>
      <c r="D29" s="237"/>
      <c r="E29" s="237"/>
      <c r="F29" s="237"/>
      <c r="G29" s="73"/>
      <c r="H29" s="73"/>
      <c r="I29" s="73"/>
      <c r="J29" s="73"/>
      <c r="K29" s="73"/>
      <c r="L29" s="73"/>
      <c r="M29" s="44"/>
      <c r="N29" s="44"/>
    </row>
    <row r="30" spans="2:14">
      <c r="B30" s="71">
        <v>9</v>
      </c>
      <c r="C30" s="257" t="s">
        <v>170</v>
      </c>
      <c r="D30" s="230"/>
      <c r="E30" s="230"/>
      <c r="F30" s="230"/>
      <c r="G30" s="230">
        <v>0.88</v>
      </c>
      <c r="H30" s="230">
        <v>0.64</v>
      </c>
      <c r="I30" s="230">
        <v>1.21</v>
      </c>
      <c r="J30" s="230">
        <v>2.4300000000000002</v>
      </c>
      <c r="K30" s="230">
        <v>2.82</v>
      </c>
      <c r="L30" s="230">
        <v>2.89</v>
      </c>
      <c r="M30" s="230">
        <v>0.45</v>
      </c>
      <c r="N30" s="44"/>
    </row>
    <row r="31" spans="2:14" ht="17" thickBot="1">
      <c r="B31" s="72"/>
      <c r="C31" s="156" t="s">
        <v>56</v>
      </c>
      <c r="D31" s="237"/>
      <c r="E31" s="237"/>
      <c r="F31" s="237"/>
      <c r="G31" s="73"/>
      <c r="H31" s="73"/>
      <c r="I31" s="73"/>
      <c r="J31" s="73"/>
      <c r="K31" s="73"/>
      <c r="L31" s="73"/>
      <c r="M31" s="99"/>
      <c r="N31" s="44"/>
    </row>
    <row r="32" spans="2:14">
      <c r="B32" s="324">
        <v>10</v>
      </c>
      <c r="C32" s="43" t="s">
        <v>27</v>
      </c>
      <c r="D32" s="230"/>
      <c r="E32" s="230"/>
      <c r="F32" s="230"/>
      <c r="G32" s="230"/>
      <c r="H32" s="230"/>
      <c r="I32" s="230"/>
      <c r="J32" s="230"/>
      <c r="K32" s="230">
        <v>3.7</v>
      </c>
      <c r="L32" s="230">
        <v>3.19</v>
      </c>
      <c r="M32" s="230">
        <v>0.64</v>
      </c>
      <c r="N32" s="44"/>
    </row>
    <row r="33" spans="2:14">
      <c r="B33" s="325"/>
      <c r="C33" s="59"/>
      <c r="D33" s="59"/>
      <c r="E33" s="59"/>
      <c r="F33" s="59"/>
      <c r="G33" s="70"/>
      <c r="H33" s="70"/>
      <c r="I33" s="70"/>
      <c r="J33" s="70"/>
      <c r="K33" s="62"/>
      <c r="L33" s="62"/>
      <c r="M33" s="44"/>
      <c r="N33" s="44"/>
    </row>
    <row r="34" spans="2:14" ht="17" thickBot="1">
      <c r="B34" s="329"/>
      <c r="C34" s="45" t="s">
        <v>28</v>
      </c>
      <c r="D34" s="45"/>
      <c r="E34" s="45"/>
      <c r="F34" s="45"/>
      <c r="G34" s="75"/>
      <c r="H34" s="75"/>
      <c r="I34" s="75"/>
      <c r="J34" s="76"/>
      <c r="K34" s="77"/>
      <c r="L34" s="100"/>
      <c r="M34" s="44"/>
      <c r="N34" s="44"/>
    </row>
    <row r="35" spans="2:14">
      <c r="B35" s="324">
        <v>11</v>
      </c>
      <c r="C35" s="153" t="s">
        <v>58</v>
      </c>
      <c r="D35" s="238"/>
      <c r="E35" s="238"/>
      <c r="F35" s="238"/>
      <c r="G35" s="155">
        <f>275709972*0.15/100000000</f>
        <v>0.41356495799999998</v>
      </c>
      <c r="H35" s="155">
        <f>2.87*0.18</f>
        <v>0.51659999999999995</v>
      </c>
      <c r="I35" s="155">
        <f>60292053.15/100000000</f>
        <v>0.60292053150000002</v>
      </c>
      <c r="J35" s="155">
        <f>66544531.68/100000000</f>
        <v>0.66544531679999996</v>
      </c>
      <c r="K35" s="196">
        <v>0</v>
      </c>
      <c r="L35" s="155">
        <f>77435202.24/100000000</f>
        <v>0.7743520223999999</v>
      </c>
      <c r="M35" s="44"/>
      <c r="N35" s="44"/>
    </row>
    <row r="36" spans="2:14">
      <c r="B36" s="325"/>
      <c r="C36" s="78" t="s">
        <v>29</v>
      </c>
      <c r="D36" s="78"/>
      <c r="E36" s="78"/>
      <c r="F36" s="78"/>
      <c r="G36" s="79"/>
      <c r="H36" s="79"/>
      <c r="I36" s="80"/>
      <c r="J36" s="81"/>
      <c r="K36" s="197">
        <f>442768824.6/100000000</f>
        <v>4.4276882460000007</v>
      </c>
      <c r="L36" s="101"/>
      <c r="M36" s="44"/>
      <c r="N36" s="44"/>
    </row>
    <row r="37" spans="2:14" ht="17" thickBot="1">
      <c r="B37" s="329"/>
      <c r="C37" s="45" t="s">
        <v>30</v>
      </c>
      <c r="D37" s="45"/>
      <c r="E37" s="45"/>
      <c r="F37" s="45"/>
      <c r="G37" s="47">
        <f t="shared" ref="G37:L37" si="1">(G35+G36)/G22</f>
        <v>9.9654206746987939E-2</v>
      </c>
      <c r="H37" s="47">
        <f t="shared" si="1"/>
        <v>0.10011627906976743</v>
      </c>
      <c r="I37" s="47">
        <f t="shared" si="1"/>
        <v>0.10253750535714286</v>
      </c>
      <c r="J37" s="47">
        <f t="shared" si="1"/>
        <v>0.10143983487804878</v>
      </c>
      <c r="K37" s="47">
        <f t="shared" si="1"/>
        <v>0.43881944955401397</v>
      </c>
      <c r="L37" s="47">
        <f t="shared" si="1"/>
        <v>0.30130428887159533</v>
      </c>
      <c r="M37" s="44"/>
      <c r="N37" s="44"/>
    </row>
    <row r="38" spans="2:14" s="248" customFormat="1" ht="66.5" thickBot="1">
      <c r="B38" s="242"/>
      <c r="C38" s="243" t="s">
        <v>150</v>
      </c>
      <c r="D38" s="243"/>
      <c r="E38" s="243"/>
      <c r="F38" s="241" t="s">
        <v>149</v>
      </c>
      <c r="G38" s="241" t="s">
        <v>149</v>
      </c>
      <c r="H38" s="244" t="s">
        <v>274</v>
      </c>
      <c r="I38" s="244" t="s">
        <v>274</v>
      </c>
      <c r="J38" s="245" t="s">
        <v>274</v>
      </c>
      <c r="K38" s="246" t="s">
        <v>151</v>
      </c>
      <c r="L38" s="246" t="s">
        <v>151</v>
      </c>
      <c r="M38" s="247"/>
      <c r="N38" s="247"/>
    </row>
    <row r="39" spans="2:14" s="248" customFormat="1" ht="32.5" customHeight="1">
      <c r="B39" s="330">
        <v>13</v>
      </c>
      <c r="C39" s="299" t="s">
        <v>152</v>
      </c>
      <c r="D39" s="299"/>
      <c r="E39" s="299"/>
      <c r="F39" s="299"/>
      <c r="G39" s="300" t="s">
        <v>200</v>
      </c>
      <c r="H39" s="300" t="s">
        <v>278</v>
      </c>
      <c r="I39" s="300" t="s">
        <v>278</v>
      </c>
      <c r="J39" s="300" t="s">
        <v>275</v>
      </c>
      <c r="K39" s="300" t="s">
        <v>148</v>
      </c>
      <c r="L39" s="296" t="s">
        <v>112</v>
      </c>
      <c r="M39" s="247"/>
      <c r="N39" s="247"/>
    </row>
    <row r="40" spans="2:14">
      <c r="B40" s="331"/>
      <c r="C40" s="84" t="s">
        <v>276</v>
      </c>
      <c r="D40" s="84"/>
      <c r="E40" s="84"/>
      <c r="F40" s="84"/>
      <c r="G40" s="301">
        <v>47.7</v>
      </c>
      <c r="H40" s="60">
        <v>70</v>
      </c>
      <c r="I40" s="301">
        <v>68.900000000000006</v>
      </c>
      <c r="J40" s="60">
        <v>75</v>
      </c>
      <c r="K40" s="60">
        <v>118</v>
      </c>
      <c r="L40" s="61">
        <v>128</v>
      </c>
      <c r="M40" s="44"/>
      <c r="N40" s="44"/>
    </row>
    <row r="41" spans="2:14" ht="17" thickBot="1">
      <c r="B41" s="332"/>
      <c r="C41" s="85" t="s">
        <v>277</v>
      </c>
      <c r="D41" s="85"/>
      <c r="E41" s="85"/>
      <c r="F41" s="85"/>
      <c r="G41" s="75"/>
      <c r="H41" s="75"/>
      <c r="I41" s="75"/>
      <c r="J41" s="75"/>
      <c r="K41" s="77"/>
      <c r="L41" s="77"/>
      <c r="M41" s="44"/>
      <c r="N41" s="44"/>
    </row>
    <row r="42" spans="2:14">
      <c r="B42" s="322"/>
      <c r="C42" s="168"/>
      <c r="D42" s="168"/>
      <c r="E42" s="168"/>
      <c r="F42" s="168"/>
      <c r="G42" s="86"/>
      <c r="H42" s="86"/>
      <c r="I42" s="86"/>
      <c r="J42" s="86"/>
      <c r="K42" s="87"/>
      <c r="L42" s="102"/>
      <c r="M42" s="44"/>
      <c r="N42" s="44"/>
    </row>
    <row r="43" spans="2:14" ht="17" thickBot="1">
      <c r="B43" s="323"/>
      <c r="C43" s="88"/>
      <c r="D43" s="88"/>
      <c r="E43" s="88"/>
      <c r="F43" s="88"/>
      <c r="G43" s="75"/>
      <c r="H43" s="75"/>
      <c r="I43" s="75"/>
      <c r="J43" s="75"/>
      <c r="K43" s="77"/>
      <c r="L43" s="100"/>
      <c r="M43" s="44"/>
      <c r="N43" s="44"/>
    </row>
    <row r="44" spans="2:14" ht="17" thickBot="1">
      <c r="B44" s="321">
        <v>14</v>
      </c>
      <c r="C44" s="158" t="s">
        <v>266</v>
      </c>
      <c r="D44" s="158"/>
      <c r="E44" s="158"/>
      <c r="F44" s="158"/>
      <c r="G44" s="164">
        <v>1.56</v>
      </c>
      <c r="H44" s="164">
        <v>2.0099999999999998</v>
      </c>
      <c r="I44" s="164">
        <v>6.5</v>
      </c>
      <c r="J44" s="164">
        <v>19.38</v>
      </c>
      <c r="K44" s="164">
        <v>11.56</v>
      </c>
      <c r="L44" s="164">
        <v>15.79</v>
      </c>
      <c r="M44" s="297">
        <v>15.3</v>
      </c>
      <c r="N44" s="44"/>
    </row>
    <row r="45" spans="2:14" ht="17" thickBot="1">
      <c r="B45" s="322"/>
      <c r="C45" s="158" t="s">
        <v>265</v>
      </c>
      <c r="D45" s="158"/>
      <c r="E45" s="158"/>
      <c r="F45" s="158"/>
      <c r="G45" s="164"/>
      <c r="H45" s="164"/>
      <c r="I45" s="164"/>
      <c r="J45" s="164"/>
      <c r="K45" s="164"/>
      <c r="L45" s="6">
        <v>1.02</v>
      </c>
      <c r="M45" s="164">
        <v>1.85</v>
      </c>
      <c r="N45" s="44"/>
    </row>
    <row r="46" spans="2:14" ht="17" thickBot="1">
      <c r="B46" s="322"/>
      <c r="C46" s="158" t="s">
        <v>69</v>
      </c>
      <c r="D46" s="239"/>
      <c r="E46" s="239"/>
      <c r="F46" s="239"/>
      <c r="G46" s="166">
        <f t="shared" ref="G46:M46" si="2">G44+G45</f>
        <v>1.56</v>
      </c>
      <c r="H46" s="166">
        <f t="shared" si="2"/>
        <v>2.0099999999999998</v>
      </c>
      <c r="I46" s="166">
        <f t="shared" si="2"/>
        <v>6.5</v>
      </c>
      <c r="J46" s="166">
        <f t="shared" si="2"/>
        <v>19.38</v>
      </c>
      <c r="K46" s="166">
        <f t="shared" si="2"/>
        <v>11.56</v>
      </c>
      <c r="L46" s="166">
        <f t="shared" si="2"/>
        <v>16.809999999999999</v>
      </c>
      <c r="M46" s="166">
        <f t="shared" si="2"/>
        <v>17.150000000000002</v>
      </c>
      <c r="N46" s="44"/>
    </row>
    <row r="47" spans="2:14" ht="17" thickBot="1">
      <c r="B47" s="322"/>
      <c r="C47" s="158"/>
      <c r="D47" s="239"/>
      <c r="E47" s="239"/>
      <c r="F47" s="239"/>
      <c r="G47" s="167"/>
      <c r="H47" s="167"/>
      <c r="I47" s="167"/>
      <c r="J47" s="167"/>
      <c r="K47" s="167"/>
      <c r="L47" s="167"/>
      <c r="M47" s="167"/>
      <c r="N47" s="44"/>
    </row>
    <row r="48" spans="2:14">
      <c r="B48" s="322"/>
      <c r="C48" s="158" t="s">
        <v>267</v>
      </c>
      <c r="D48" s="158"/>
      <c r="E48" s="158"/>
      <c r="F48" s="158"/>
      <c r="G48" s="164"/>
      <c r="H48" s="164">
        <v>5.3</v>
      </c>
      <c r="I48" s="164">
        <v>9.5299999999999994</v>
      </c>
      <c r="J48" s="164">
        <v>9.82</v>
      </c>
      <c r="K48" s="164">
        <v>9.84</v>
      </c>
      <c r="L48" s="164">
        <v>4.5199999999999996</v>
      </c>
      <c r="M48" s="297">
        <v>4.5199999999999996</v>
      </c>
      <c r="N48" s="44"/>
    </row>
    <row r="49" spans="2:14" ht="17" thickBot="1">
      <c r="B49" s="323"/>
      <c r="C49" s="88"/>
      <c r="D49" s="88"/>
      <c r="E49" s="88"/>
      <c r="F49" s="88"/>
      <c r="G49" s="75"/>
      <c r="H49" s="75"/>
      <c r="I49" s="75"/>
      <c r="J49" s="75"/>
      <c r="K49" s="77"/>
      <c r="L49" s="100"/>
      <c r="M49" s="44"/>
      <c r="N49" s="44"/>
    </row>
    <row r="50" spans="2:14" ht="17" thickBot="1">
      <c r="B50" s="321">
        <v>15</v>
      </c>
      <c r="C50" s="158" t="s">
        <v>61</v>
      </c>
      <c r="D50" s="158"/>
      <c r="E50" s="158"/>
      <c r="F50" s="158"/>
      <c r="G50" s="164">
        <v>4.79</v>
      </c>
      <c r="H50" s="6">
        <v>4.2</v>
      </c>
      <c r="I50" s="6">
        <v>14.92</v>
      </c>
      <c r="J50" s="6">
        <v>21.39</v>
      </c>
      <c r="K50" s="6">
        <v>23.93</v>
      </c>
      <c r="L50" s="6">
        <v>29.52</v>
      </c>
      <c r="M50" s="6">
        <v>28.49</v>
      </c>
      <c r="N50" s="44"/>
    </row>
    <row r="51" spans="2:14" ht="17" thickBot="1">
      <c r="B51" s="322"/>
      <c r="C51" s="158"/>
      <c r="D51" s="239"/>
      <c r="E51" s="239"/>
      <c r="F51" s="239"/>
      <c r="G51" s="93"/>
      <c r="H51" s="94"/>
      <c r="I51" s="94"/>
      <c r="J51" s="94"/>
      <c r="K51" s="94"/>
      <c r="L51" s="103"/>
      <c r="M51" s="44"/>
      <c r="N51" s="44"/>
    </row>
    <row r="52" spans="2:14" ht="17" thickBot="1">
      <c r="B52" s="322"/>
      <c r="C52" s="158" t="s">
        <v>62</v>
      </c>
      <c r="D52" s="240"/>
      <c r="E52" s="240"/>
      <c r="F52" s="240"/>
      <c r="G52" s="165">
        <v>0.01</v>
      </c>
      <c r="H52" s="164">
        <v>3.17</v>
      </c>
      <c r="I52" s="164">
        <v>4.91</v>
      </c>
      <c r="J52" s="164">
        <v>4.29</v>
      </c>
      <c r="K52" s="164">
        <v>4.33</v>
      </c>
      <c r="L52" s="164">
        <v>10.28</v>
      </c>
      <c r="M52" s="164">
        <v>10.57</v>
      </c>
      <c r="N52" s="44"/>
    </row>
    <row r="53" spans="2:14">
      <c r="B53" s="322"/>
      <c r="C53" s="82"/>
      <c r="D53" s="82"/>
      <c r="E53" s="82"/>
      <c r="F53" s="82"/>
      <c r="G53" s="90"/>
      <c r="H53" s="91"/>
      <c r="I53" s="91"/>
      <c r="J53" s="91"/>
      <c r="K53" s="91"/>
      <c r="L53" s="83"/>
      <c r="M53" s="44"/>
      <c r="N53" s="44"/>
    </row>
    <row r="54" spans="2:14">
      <c r="B54" s="322"/>
      <c r="C54" s="84"/>
      <c r="D54" s="84"/>
      <c r="E54" s="84"/>
      <c r="F54" s="84"/>
      <c r="G54" s="60"/>
      <c r="H54" s="94"/>
      <c r="I54" s="94"/>
      <c r="J54" s="94"/>
      <c r="K54" s="94"/>
      <c r="L54" s="103"/>
      <c r="M54" s="44"/>
      <c r="N54" s="44"/>
    </row>
    <row r="55" spans="2:14" ht="17" thickBot="1">
      <c r="B55" s="323"/>
      <c r="C55" s="84"/>
      <c r="D55" s="84"/>
      <c r="E55" s="84"/>
      <c r="F55" s="84"/>
      <c r="G55" s="60"/>
      <c r="H55" s="94"/>
      <c r="I55" s="94"/>
      <c r="J55" s="94"/>
      <c r="K55" s="94"/>
      <c r="L55" s="103"/>
      <c r="M55" s="44"/>
      <c r="N55" s="44"/>
    </row>
    <row r="56" spans="2:14" ht="17" thickBot="1">
      <c r="B56" s="95"/>
      <c r="C56" s="85"/>
      <c r="D56" s="85"/>
      <c r="E56" s="85"/>
      <c r="F56" s="85"/>
      <c r="G56" s="75"/>
      <c r="H56" s="46"/>
      <c r="I56" s="46"/>
      <c r="J56" s="96"/>
      <c r="K56" s="46"/>
      <c r="L56" s="104"/>
      <c r="M56" s="44"/>
      <c r="N56" s="44"/>
    </row>
    <row r="57" spans="2:14">
      <c r="B57" s="89"/>
      <c r="C57" s="82"/>
      <c r="D57" s="82"/>
      <c r="E57" s="82"/>
      <c r="F57" s="82"/>
      <c r="G57" s="74"/>
      <c r="H57" s="82"/>
      <c r="I57" s="82"/>
      <c r="J57" s="82"/>
      <c r="K57" s="82"/>
      <c r="L57" s="105"/>
    </row>
    <row r="58" spans="2:14">
      <c r="B58" s="92"/>
      <c r="C58" s="84"/>
      <c r="D58" s="84"/>
      <c r="E58" s="84"/>
      <c r="F58" s="84"/>
      <c r="G58" s="60"/>
      <c r="H58" s="84"/>
      <c r="I58" s="84"/>
      <c r="J58" s="84"/>
      <c r="K58" s="84"/>
      <c r="L58" s="106"/>
    </row>
    <row r="59" spans="2:14">
      <c r="B59" s="92"/>
      <c r="C59" s="84"/>
      <c r="D59" s="84"/>
      <c r="E59" s="84"/>
      <c r="F59" s="84"/>
      <c r="G59" s="84"/>
      <c r="H59" s="84"/>
      <c r="I59" s="84"/>
      <c r="J59" s="84"/>
      <c r="K59" s="84"/>
      <c r="L59" s="106"/>
    </row>
    <row r="60" spans="2:14">
      <c r="B60" s="95"/>
      <c r="C60" s="85"/>
      <c r="D60" s="85"/>
      <c r="E60" s="85"/>
      <c r="F60" s="85"/>
      <c r="G60" s="85"/>
      <c r="H60" s="85"/>
      <c r="I60" s="85"/>
      <c r="J60" s="85"/>
      <c r="K60" s="85"/>
      <c r="L60" s="107"/>
    </row>
  </sheetData>
  <mergeCells count="11">
    <mergeCell ref="B44:B49"/>
    <mergeCell ref="B50:B55"/>
    <mergeCell ref="B42:B43"/>
    <mergeCell ref="B2:B4"/>
    <mergeCell ref="B15:B18"/>
    <mergeCell ref="B32:B34"/>
    <mergeCell ref="B35:B37"/>
    <mergeCell ref="B39:B41"/>
    <mergeCell ref="B9:B11"/>
    <mergeCell ref="B12:B14"/>
    <mergeCell ref="B5:B7"/>
  </mergeCells>
  <pageMargins left="0.75" right="0.75" top="1" bottom="1" header="0.51180555555555596" footer="0.51180555555555596"/>
  <pageSetup paperSize="9" orientation="portrait" horizontalDpi="1200" verticalDpi="12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12953-2B19-425E-B479-9F925E6EFCB1}">
  <dimension ref="A1:L59"/>
  <sheetViews>
    <sheetView zoomScaleNormal="100" workbookViewId="0">
      <selection activeCell="L7" sqref="L7"/>
    </sheetView>
  </sheetViews>
  <sheetFormatPr defaultColWidth="8.7265625" defaultRowHeight="15.5"/>
  <cols>
    <col min="1" max="2" width="8.7265625" style="108"/>
    <col min="3" max="3" width="34.08984375" style="108" bestFit="1" customWidth="1"/>
    <col min="4" max="4" width="14" style="108" customWidth="1"/>
    <col min="5" max="5" width="13" style="109" customWidth="1"/>
    <col min="6" max="6" width="12" style="108" customWidth="1"/>
    <col min="7" max="7" width="8.7265625" style="108"/>
    <col min="8" max="8" width="8.7265625" style="109"/>
    <col min="9" max="10" width="8.7265625" style="108"/>
    <col min="11" max="11" width="15.81640625" style="108" bestFit="1" customWidth="1"/>
    <col min="12" max="12" width="16.26953125" style="108" customWidth="1"/>
    <col min="13" max="16384" width="8.7265625" style="108"/>
  </cols>
  <sheetData>
    <row r="1" spans="1:12">
      <c r="C1" s="110"/>
      <c r="D1" s="131" t="s">
        <v>13</v>
      </c>
      <c r="E1" s="108"/>
    </row>
    <row r="2" spans="1:12">
      <c r="C2" s="249" t="s">
        <v>154</v>
      </c>
      <c r="D2" s="132">
        <v>0.83</v>
      </c>
      <c r="E2" s="108"/>
    </row>
    <row r="3" spans="1:12">
      <c r="C3" s="113">
        <v>41775</v>
      </c>
      <c r="D3" s="114">
        <v>2.76</v>
      </c>
      <c r="E3" s="179" t="s">
        <v>280</v>
      </c>
    </row>
    <row r="4" spans="1:12">
      <c r="C4" s="113">
        <v>42362</v>
      </c>
      <c r="D4" s="114">
        <v>2.87</v>
      </c>
      <c r="E4" s="179" t="s">
        <v>279</v>
      </c>
      <c r="F4" s="302"/>
      <c r="H4" s="109">
        <f>D4-D3</f>
        <v>0.11000000000000032</v>
      </c>
    </row>
    <row r="5" spans="1:12">
      <c r="C5" s="113">
        <v>42468</v>
      </c>
      <c r="D5" s="132">
        <v>8.61</v>
      </c>
      <c r="E5" s="179" t="s">
        <v>281</v>
      </c>
      <c r="I5" s="302"/>
    </row>
    <row r="6" spans="1:12">
      <c r="C6" s="113">
        <v>43087</v>
      </c>
      <c r="D6" s="132">
        <v>8.8800000000000008</v>
      </c>
      <c r="E6" s="179" t="s">
        <v>282</v>
      </c>
    </row>
    <row r="7" spans="1:12">
      <c r="C7" s="113">
        <v>44012</v>
      </c>
      <c r="D7" s="132">
        <v>9.01</v>
      </c>
      <c r="E7" s="179" t="s">
        <v>283</v>
      </c>
      <c r="H7" s="109">
        <f>D7-D6</f>
        <v>0.12999999999999901</v>
      </c>
      <c r="I7" s="179" t="s">
        <v>311</v>
      </c>
      <c r="L7" s="310">
        <f>H7/0.67</f>
        <v>0.19402985074626716</v>
      </c>
    </row>
    <row r="8" spans="1:12">
      <c r="D8" s="132"/>
      <c r="E8" s="179"/>
    </row>
    <row r="9" spans="1:12">
      <c r="L9" s="109"/>
    </row>
    <row r="11" spans="1:12">
      <c r="K11" s="109"/>
    </row>
    <row r="12" spans="1:12">
      <c r="K12" s="109"/>
    </row>
    <row r="13" spans="1:12">
      <c r="C13" s="110"/>
      <c r="D13" s="180" t="s">
        <v>46</v>
      </c>
      <c r="E13" s="111" t="s">
        <v>11</v>
      </c>
      <c r="F13" s="112" t="s">
        <v>12</v>
      </c>
    </row>
    <row r="14" spans="1:12">
      <c r="C14" s="110" t="s">
        <v>14</v>
      </c>
      <c r="D14" s="113">
        <v>41775</v>
      </c>
      <c r="E14" s="114">
        <v>59.5</v>
      </c>
      <c r="F14" s="115">
        <f>E14*D3</f>
        <v>164.22</v>
      </c>
    </row>
    <row r="15" spans="1:12">
      <c r="A15" s="179"/>
      <c r="C15" s="180" t="s">
        <v>15</v>
      </c>
      <c r="D15" s="113">
        <v>42167</v>
      </c>
      <c r="E15" s="114">
        <v>160.1</v>
      </c>
      <c r="F15" s="115">
        <f>E15*D3</f>
        <v>441.87599999999998</v>
      </c>
    </row>
    <row r="16" spans="1:12">
      <c r="A16" s="179"/>
      <c r="C16" s="180" t="s">
        <v>284</v>
      </c>
      <c r="D16" s="113">
        <v>42207</v>
      </c>
      <c r="E16" s="114">
        <v>89.53</v>
      </c>
      <c r="F16" s="115">
        <f>E16*D3</f>
        <v>247.10279999999997</v>
      </c>
    </row>
    <row r="17" spans="1:6">
      <c r="A17" s="179"/>
      <c r="C17" s="181" t="s">
        <v>285</v>
      </c>
      <c r="D17" s="113">
        <v>42415</v>
      </c>
      <c r="E17" s="114">
        <v>80.58</v>
      </c>
      <c r="F17" s="115">
        <f>E17*D4</f>
        <v>231.2646</v>
      </c>
    </row>
    <row r="18" spans="1:6">
      <c r="A18" s="179"/>
      <c r="C18" s="110" t="s">
        <v>16</v>
      </c>
      <c r="D18" s="113">
        <v>42430</v>
      </c>
      <c r="E18" s="114">
        <v>71</v>
      </c>
      <c r="F18" s="115">
        <f>E18*D4</f>
        <v>203.77</v>
      </c>
    </row>
    <row r="19" spans="1:6">
      <c r="A19" s="179"/>
      <c r="C19" s="180" t="s">
        <v>286</v>
      </c>
      <c r="D19" s="113">
        <v>42467</v>
      </c>
      <c r="E19" s="114">
        <v>149.9</v>
      </c>
      <c r="F19" s="115">
        <f>E19*D4</f>
        <v>430.21300000000002</v>
      </c>
    </row>
    <row r="20" spans="1:6">
      <c r="A20" s="179"/>
      <c r="C20" s="180" t="s">
        <v>287</v>
      </c>
      <c r="D20" s="113">
        <v>42751</v>
      </c>
      <c r="E20" s="114">
        <v>24.1</v>
      </c>
      <c r="F20" s="115">
        <f>E20*D5</f>
        <v>207.501</v>
      </c>
    </row>
    <row r="21" spans="1:6">
      <c r="A21" s="179"/>
      <c r="C21" s="180" t="s">
        <v>288</v>
      </c>
      <c r="D21" s="181">
        <v>42919</v>
      </c>
      <c r="E21" s="114">
        <v>33.799999999999997</v>
      </c>
      <c r="F21" s="115">
        <f>E21*D6</f>
        <v>300.14400000000001</v>
      </c>
    </row>
    <row r="22" spans="1:6">
      <c r="A22" s="179"/>
      <c r="C22" s="180" t="s">
        <v>289</v>
      </c>
      <c r="D22" s="113">
        <v>43385</v>
      </c>
      <c r="E22" s="114">
        <v>14.14</v>
      </c>
      <c r="F22" s="115">
        <f>E22*D6</f>
        <v>125.56320000000001</v>
      </c>
    </row>
    <row r="23" spans="1:6">
      <c r="A23" s="179"/>
      <c r="C23" s="180" t="s">
        <v>290</v>
      </c>
      <c r="D23" s="113">
        <v>43536</v>
      </c>
      <c r="E23" s="114">
        <v>25.08</v>
      </c>
      <c r="F23" s="115">
        <f>E23*D7</f>
        <v>225.97079999999997</v>
      </c>
    </row>
    <row r="24" spans="1:6">
      <c r="A24" s="179"/>
      <c r="C24" s="180" t="s">
        <v>287</v>
      </c>
      <c r="D24" s="113">
        <v>43692</v>
      </c>
      <c r="E24" s="114">
        <v>13.01</v>
      </c>
      <c r="F24" s="115">
        <f>E24*D6</f>
        <v>115.5288</v>
      </c>
    </row>
    <row r="25" spans="1:6">
      <c r="A25" s="179"/>
      <c r="C25" s="180" t="s">
        <v>290</v>
      </c>
      <c r="D25" s="113">
        <v>43868</v>
      </c>
      <c r="E25" s="114">
        <v>32.159999999999997</v>
      </c>
      <c r="F25" s="115">
        <f>E25*D6</f>
        <v>285.58080000000001</v>
      </c>
    </row>
    <row r="26" spans="1:6">
      <c r="A26" s="179"/>
      <c r="C26" s="180" t="s">
        <v>291</v>
      </c>
      <c r="D26" s="113">
        <v>43951</v>
      </c>
      <c r="E26" s="114">
        <v>18.5</v>
      </c>
      <c r="F26" s="115">
        <f>E26*D6</f>
        <v>164.28</v>
      </c>
    </row>
    <row r="27" spans="1:6">
      <c r="A27" s="179"/>
      <c r="C27" s="180" t="s">
        <v>292</v>
      </c>
      <c r="D27" s="113">
        <v>44025</v>
      </c>
      <c r="E27" s="114">
        <v>28.88</v>
      </c>
      <c r="F27" s="115">
        <f>E27*D6</f>
        <v>256.45440000000002</v>
      </c>
    </row>
    <row r="28" spans="1:6">
      <c r="A28" s="179"/>
      <c r="C28" s="180" t="s">
        <v>17</v>
      </c>
      <c r="D28" s="113">
        <v>44056</v>
      </c>
      <c r="E28" s="114">
        <v>20.72</v>
      </c>
      <c r="F28" s="115">
        <f>E28*D6</f>
        <v>183.99360000000001</v>
      </c>
    </row>
    <row r="29" spans="1:6">
      <c r="A29" s="179"/>
      <c r="C29" s="180"/>
      <c r="D29" s="113"/>
      <c r="E29" s="114"/>
      <c r="F29" s="115"/>
    </row>
    <row r="30" spans="1:6">
      <c r="A30" s="179"/>
      <c r="C30" s="180"/>
      <c r="D30" s="113"/>
      <c r="E30" s="114"/>
      <c r="F30" s="115"/>
    </row>
    <row r="31" spans="1:6">
      <c r="A31" s="179"/>
      <c r="C31" s="180"/>
      <c r="D31" s="113"/>
      <c r="E31" s="114"/>
      <c r="F31" s="115"/>
    </row>
    <row r="32" spans="1:6">
      <c r="A32" s="179"/>
      <c r="C32" s="180"/>
      <c r="D32" s="113"/>
      <c r="E32" s="114"/>
      <c r="F32" s="115"/>
    </row>
    <row r="33" spans="1:10">
      <c r="A33" s="179"/>
      <c r="C33" s="180"/>
      <c r="D33" s="113"/>
      <c r="E33" s="114"/>
      <c r="F33" s="115"/>
    </row>
    <row r="34" spans="1:10">
      <c r="A34" s="179"/>
      <c r="C34" s="180"/>
      <c r="D34" s="113"/>
      <c r="E34" s="114"/>
      <c r="F34" s="115"/>
    </row>
    <row r="35" spans="1:10">
      <c r="A35" s="179"/>
      <c r="C35" s="180"/>
      <c r="D35" s="113"/>
      <c r="E35" s="114"/>
      <c r="F35" s="115"/>
    </row>
    <row r="36" spans="1:10">
      <c r="A36" s="179"/>
      <c r="C36" s="180"/>
      <c r="D36" s="113"/>
      <c r="E36" s="114"/>
      <c r="F36" s="115"/>
    </row>
    <row r="37" spans="1:10">
      <c r="A37" s="179"/>
      <c r="C37" s="110"/>
      <c r="D37" s="113"/>
      <c r="E37" s="114"/>
      <c r="F37" s="115"/>
    </row>
    <row r="38" spans="1:10">
      <c r="C38" s="110"/>
      <c r="D38" s="113"/>
      <c r="E38" s="114"/>
      <c r="F38" s="115"/>
    </row>
    <row r="39" spans="1:10">
      <c r="C39" s="116"/>
      <c r="D39" s="117"/>
      <c r="E39" s="118"/>
      <c r="F39" s="118"/>
      <c r="J39" s="122"/>
    </row>
    <row r="40" spans="1:10">
      <c r="C40" s="110"/>
      <c r="D40" s="113"/>
      <c r="E40" s="114"/>
      <c r="F40" s="114"/>
    </row>
    <row r="41" spans="1:10">
      <c r="C41" s="119"/>
      <c r="D41" s="120"/>
      <c r="E41" s="121"/>
      <c r="F41" s="121"/>
    </row>
    <row r="42" spans="1:10">
      <c r="C42" s="110"/>
      <c r="D42" s="113"/>
      <c r="E42" s="114"/>
      <c r="F42" s="114"/>
    </row>
    <row r="43" spans="1:10">
      <c r="C43" s="110"/>
      <c r="D43" s="113"/>
      <c r="E43" s="114"/>
      <c r="F43" s="114"/>
    </row>
    <row r="44" spans="1:10">
      <c r="C44" s="122"/>
      <c r="D44" s="123"/>
      <c r="E44" s="124"/>
      <c r="F44" s="124"/>
    </row>
    <row r="45" spans="1:10">
      <c r="C45" s="110"/>
      <c r="D45" s="113"/>
      <c r="E45" s="114"/>
      <c r="F45" s="114"/>
    </row>
    <row r="46" spans="1:10">
      <c r="C46" s="110"/>
      <c r="D46" s="113"/>
      <c r="E46" s="114"/>
      <c r="F46" s="115"/>
    </row>
    <row r="47" spans="1:10">
      <c r="C47" s="125"/>
      <c r="D47" s="126"/>
      <c r="E47" s="127"/>
      <c r="F47" s="128"/>
    </row>
    <row r="48" spans="1:10">
      <c r="C48" s="119"/>
      <c r="D48" s="120"/>
      <c r="E48" s="121"/>
      <c r="F48" s="129"/>
    </row>
    <row r="49" spans="3:6">
      <c r="C49" s="122"/>
      <c r="D49" s="123"/>
      <c r="E49" s="124"/>
      <c r="F49" s="124"/>
    </row>
    <row r="50" spans="3:6">
      <c r="C50" s="110"/>
      <c r="D50" s="113"/>
      <c r="E50" s="114"/>
      <c r="F50" s="114"/>
    </row>
    <row r="51" spans="3:6">
      <c r="C51" s="110"/>
      <c r="D51" s="113"/>
      <c r="E51" s="114"/>
      <c r="F51" s="114"/>
    </row>
    <row r="52" spans="3:6">
      <c r="C52" s="110"/>
      <c r="D52" s="113"/>
      <c r="E52" s="114"/>
      <c r="F52" s="114"/>
    </row>
    <row r="53" spans="3:6">
      <c r="C53" s="110"/>
      <c r="D53" s="113"/>
      <c r="E53" s="114"/>
      <c r="F53" s="114"/>
    </row>
    <row r="54" spans="3:6">
      <c r="C54" s="110"/>
      <c r="D54" s="113"/>
      <c r="E54" s="114"/>
      <c r="F54" s="114"/>
    </row>
    <row r="55" spans="3:6">
      <c r="C55" s="125"/>
      <c r="D55" s="126"/>
      <c r="E55" s="127"/>
      <c r="F55" s="127"/>
    </row>
    <row r="56" spans="3:6">
      <c r="C56" s="110"/>
      <c r="D56" s="113"/>
      <c r="E56" s="114"/>
      <c r="F56" s="114"/>
    </row>
    <row r="57" spans="3:6">
      <c r="C57" s="122"/>
      <c r="D57" s="123"/>
      <c r="E57" s="124"/>
      <c r="F57" s="124"/>
    </row>
    <row r="59" spans="3:6" ht="18.5">
      <c r="C59" s="110"/>
      <c r="E59" s="114"/>
      <c r="F59" s="130"/>
    </row>
  </sheetData>
  <pageMargins left="0.7" right="0.7" top="0.75" bottom="0.75" header="0.3" footer="0.3"/>
  <pageSetup paperSize="9" orientation="portrait" horizontalDpi="300" verticalDpi="300" r:id="rId1"/>
  <ignoredErrors>
    <ignoredError sqref="F19" formula="1"/>
  </ignoredError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682CE-5082-4394-B7D8-624A5C93B90E}">
  <dimension ref="A1:H14"/>
  <sheetViews>
    <sheetView workbookViewId="0">
      <pane xSplit="2" ySplit="1" topLeftCell="C2" activePane="bottomRight" state="frozen"/>
      <selection pane="topRight" activeCell="B1" sqref="B1"/>
      <selection pane="bottomLeft" activeCell="A2" sqref="A2"/>
      <selection pane="bottomRight" activeCell="H12" sqref="H12"/>
    </sheetView>
  </sheetViews>
  <sheetFormatPr defaultRowHeight="14.5"/>
  <cols>
    <col min="1" max="1" width="8.81640625" bestFit="1" customWidth="1"/>
    <col min="2" max="2" width="15.08984375" bestFit="1" customWidth="1"/>
    <col min="3" max="5" width="8.81640625" bestFit="1" customWidth="1"/>
    <col min="7" max="8" width="8.81640625" bestFit="1" customWidth="1"/>
  </cols>
  <sheetData>
    <row r="1" spans="1:8" s="223" customFormat="1">
      <c r="C1" s="222" t="s">
        <v>63</v>
      </c>
      <c r="D1" s="222" t="s">
        <v>64</v>
      </c>
      <c r="E1" s="222" t="s">
        <v>65</v>
      </c>
      <c r="F1" s="222" t="s">
        <v>66</v>
      </c>
      <c r="G1" s="222" t="s">
        <v>67</v>
      </c>
      <c r="H1" s="222" t="s">
        <v>68</v>
      </c>
    </row>
    <row r="2" spans="1:8">
      <c r="A2" s="335" t="s">
        <v>146</v>
      </c>
      <c r="B2" s="182" t="s">
        <v>140</v>
      </c>
      <c r="C2" s="221">
        <v>7.43</v>
      </c>
      <c r="D2" s="221">
        <v>8.11</v>
      </c>
      <c r="E2" s="221">
        <v>12.31</v>
      </c>
      <c r="F2" s="221">
        <v>9.0399999999999991</v>
      </c>
      <c r="G2" s="221">
        <v>8.94</v>
      </c>
      <c r="H2" s="221">
        <v>8.81</v>
      </c>
    </row>
    <row r="3" spans="1:8">
      <c r="A3" s="336"/>
      <c r="B3" s="182" t="s">
        <v>141</v>
      </c>
      <c r="C3" s="221">
        <v>2.16</v>
      </c>
      <c r="D3" s="221">
        <v>3.43</v>
      </c>
      <c r="E3" s="221">
        <v>7.1</v>
      </c>
      <c r="F3" s="221">
        <v>3.78</v>
      </c>
      <c r="G3" s="221">
        <v>3.66</v>
      </c>
      <c r="H3" s="221">
        <v>4.3899999999999997</v>
      </c>
    </row>
    <row r="4" spans="1:8">
      <c r="A4" s="336"/>
      <c r="B4" s="182" t="s">
        <v>142</v>
      </c>
      <c r="C4" s="221">
        <v>5.27</v>
      </c>
      <c r="D4" s="221">
        <v>4.6900000000000004</v>
      </c>
      <c r="E4" s="221">
        <v>5.22</v>
      </c>
      <c r="F4" s="221">
        <v>5.26</v>
      </c>
      <c r="G4" s="221">
        <v>5.28</v>
      </c>
      <c r="H4" s="221">
        <v>4.43</v>
      </c>
    </row>
    <row r="5" spans="1:8">
      <c r="A5" s="336"/>
      <c r="B5" s="182" t="s">
        <v>143</v>
      </c>
      <c r="C5" s="221">
        <v>70.89</v>
      </c>
      <c r="D5" s="221">
        <v>57.77</v>
      </c>
      <c r="E5" s="221">
        <v>42.36</v>
      </c>
      <c r="F5" s="221">
        <v>58.23</v>
      </c>
      <c r="G5" s="221">
        <v>59.03</v>
      </c>
      <c r="H5" s="221">
        <v>50.25</v>
      </c>
    </row>
    <row r="6" spans="1:8">
      <c r="A6" s="336"/>
      <c r="B6" s="182" t="s">
        <v>144</v>
      </c>
      <c r="C6" s="221">
        <v>88.17</v>
      </c>
      <c r="D6" s="221">
        <v>52.96</v>
      </c>
      <c r="E6" s="221">
        <v>48.99</v>
      </c>
      <c r="F6" s="221">
        <v>27.94</v>
      </c>
      <c r="G6" s="221">
        <v>24.96</v>
      </c>
      <c r="H6" s="221">
        <v>27.37</v>
      </c>
    </row>
    <row r="7" spans="1:8">
      <c r="A7" s="336"/>
      <c r="B7" s="182" t="s">
        <v>145</v>
      </c>
      <c r="C7" s="221">
        <v>89.82</v>
      </c>
      <c r="D7" s="221">
        <v>52.69</v>
      </c>
      <c r="E7" s="221">
        <v>43.55</v>
      </c>
      <c r="F7" s="221">
        <v>31.18</v>
      </c>
      <c r="G7" s="221">
        <v>26.28</v>
      </c>
      <c r="H7" s="221">
        <v>44.56</v>
      </c>
    </row>
    <row r="8" spans="1:8" s="223" customFormat="1">
      <c r="B8" s="222"/>
      <c r="D8" s="224"/>
      <c r="E8" s="225"/>
      <c r="F8" s="224"/>
      <c r="G8" s="224"/>
      <c r="H8" s="224"/>
    </row>
    <row r="9" spans="1:8">
      <c r="A9" s="335" t="s">
        <v>147</v>
      </c>
      <c r="B9" s="182" t="s">
        <v>140</v>
      </c>
      <c r="C9" s="221">
        <v>1</v>
      </c>
      <c r="D9" s="221">
        <v>7.21</v>
      </c>
      <c r="E9" s="221">
        <v>12.82</v>
      </c>
      <c r="F9" s="221">
        <v>23.01</v>
      </c>
      <c r="G9" s="221">
        <v>25.68</v>
      </c>
      <c r="H9" s="221">
        <v>22.52</v>
      </c>
    </row>
    <row r="10" spans="1:8">
      <c r="A10" s="336"/>
      <c r="B10" s="182" t="s">
        <v>141</v>
      </c>
      <c r="C10" s="221">
        <v>0.4</v>
      </c>
      <c r="D10" s="221">
        <v>3</v>
      </c>
      <c r="E10" s="221">
        <v>6.06</v>
      </c>
      <c r="F10" s="221">
        <v>11.57</v>
      </c>
      <c r="G10" s="221">
        <v>11.39</v>
      </c>
      <c r="H10" s="221">
        <v>17.420000000000002</v>
      </c>
    </row>
    <row r="11" spans="1:8">
      <c r="A11" s="336"/>
      <c r="B11" s="182" t="s">
        <v>142</v>
      </c>
      <c r="C11" s="221">
        <v>0.6</v>
      </c>
      <c r="D11" s="221">
        <v>4.21</v>
      </c>
      <c r="E11" s="221">
        <v>6.76</v>
      </c>
      <c r="F11" s="221">
        <v>11.44</v>
      </c>
      <c r="G11" s="221">
        <v>14.29</v>
      </c>
      <c r="H11" s="221">
        <v>5.0999999999999996</v>
      </c>
    </row>
    <row r="12" spans="1:8">
      <c r="A12" s="336"/>
      <c r="B12" s="182" t="s">
        <v>143</v>
      </c>
      <c r="C12" s="221">
        <v>59.89</v>
      </c>
      <c r="D12" s="221">
        <v>58.43</v>
      </c>
      <c r="E12" s="221">
        <v>52.74</v>
      </c>
      <c r="F12" s="221">
        <v>49.72</v>
      </c>
      <c r="G12" s="221">
        <v>55.64</v>
      </c>
      <c r="H12" s="227">
        <v>22.64</v>
      </c>
    </row>
    <row r="13" spans="1:8">
      <c r="A13" s="336"/>
      <c r="B13" s="182" t="s">
        <v>144</v>
      </c>
      <c r="C13" s="221">
        <v>11.83</v>
      </c>
      <c r="D13" s="221">
        <v>47.03</v>
      </c>
      <c r="E13" s="221">
        <v>51.01</v>
      </c>
      <c r="F13" s="221">
        <v>71.12</v>
      </c>
      <c r="G13" s="221">
        <v>71.7</v>
      </c>
      <c r="H13" s="221">
        <v>69.930000000000007</v>
      </c>
    </row>
    <row r="14" spans="1:8">
      <c r="A14" s="336"/>
      <c r="B14" s="182" t="s">
        <v>145</v>
      </c>
      <c r="C14" s="221">
        <v>10.18</v>
      </c>
      <c r="D14" s="221">
        <v>47.33</v>
      </c>
      <c r="E14" s="221">
        <v>56.45</v>
      </c>
      <c r="F14" s="221">
        <v>67.77</v>
      </c>
      <c r="G14" s="221">
        <v>71.13</v>
      </c>
      <c r="H14" s="221">
        <v>51.3</v>
      </c>
    </row>
  </sheetData>
  <mergeCells count="2">
    <mergeCell ref="A2:A7"/>
    <mergeCell ref="A9:A14"/>
  </mergeCell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79D7E-CC53-4FED-9D77-B76EDD3F994C}">
  <dimension ref="A1:AC29"/>
  <sheetViews>
    <sheetView zoomScaleNormal="100" workbookViewId="0">
      <pane xSplit="1" ySplit="1" topLeftCell="N2" activePane="bottomRight" state="frozen"/>
      <selection pane="topRight" activeCell="B1" sqref="B1"/>
      <selection pane="bottomLeft" activeCell="A2" sqref="A2"/>
      <selection pane="bottomRight" activeCell="V7" sqref="V7"/>
    </sheetView>
  </sheetViews>
  <sheetFormatPr defaultRowHeight="14.5"/>
  <cols>
    <col min="1" max="1" width="20.26953125" customWidth="1"/>
    <col min="2" max="2" width="8.90625" style="259" bestFit="1" customWidth="1"/>
    <col min="3" max="3" width="6.90625" style="133" bestFit="1" customWidth="1"/>
    <col min="4" max="4" width="8" bestFit="1" customWidth="1"/>
    <col min="5" max="5" width="6.90625" bestFit="1" customWidth="1"/>
    <col min="6" max="6" width="7.1796875" bestFit="1" customWidth="1"/>
    <col min="7" max="9" width="6.90625" bestFit="1" customWidth="1"/>
    <col min="10" max="10" width="7.1796875" bestFit="1" customWidth="1"/>
    <col min="11" max="12" width="6.90625" bestFit="1" customWidth="1"/>
    <col min="13" max="14" width="7.90625" bestFit="1" customWidth="1"/>
    <col min="15" max="15" width="6.36328125" bestFit="1" customWidth="1"/>
    <col min="16" max="16" width="7.26953125" bestFit="1" customWidth="1"/>
    <col min="17" max="17" width="7.1796875" bestFit="1" customWidth="1"/>
    <col min="19" max="19" width="8.08984375" bestFit="1" customWidth="1"/>
    <col min="20" max="21" width="7" bestFit="1" customWidth="1"/>
    <col min="22" max="22" width="6.90625" bestFit="1" customWidth="1"/>
    <col min="23" max="24" width="8.08984375" bestFit="1" customWidth="1"/>
    <col min="26" max="26" width="6.90625" bestFit="1" customWidth="1"/>
    <col min="28" max="28" width="7" customWidth="1"/>
  </cols>
  <sheetData>
    <row r="1" spans="1:29" s="262" customFormat="1" ht="46.5" customHeight="1">
      <c r="B1" s="266" t="s">
        <v>171</v>
      </c>
      <c r="C1" s="337">
        <v>41743</v>
      </c>
      <c r="D1" s="337"/>
      <c r="E1" s="262" t="s">
        <v>175</v>
      </c>
      <c r="F1" s="267">
        <v>42347</v>
      </c>
      <c r="G1" s="262" t="s">
        <v>177</v>
      </c>
      <c r="H1" s="262" t="s">
        <v>178</v>
      </c>
      <c r="I1" s="262" t="s">
        <v>179</v>
      </c>
      <c r="J1" s="267">
        <v>42879</v>
      </c>
      <c r="K1" s="262" t="s">
        <v>181</v>
      </c>
      <c r="L1" s="262" t="s">
        <v>183</v>
      </c>
      <c r="M1" s="267">
        <v>43039</v>
      </c>
      <c r="N1" s="267">
        <v>43084</v>
      </c>
      <c r="O1" s="267">
        <v>43140</v>
      </c>
      <c r="P1" s="262" t="s">
        <v>185</v>
      </c>
      <c r="Q1" s="267">
        <v>43237</v>
      </c>
      <c r="R1" s="267">
        <v>43257</v>
      </c>
      <c r="S1" s="262" t="s">
        <v>188</v>
      </c>
      <c r="T1" s="267">
        <v>43353</v>
      </c>
      <c r="U1" s="267">
        <v>43368</v>
      </c>
      <c r="V1" s="262" t="s">
        <v>88</v>
      </c>
      <c r="W1" s="262" t="s">
        <v>79</v>
      </c>
      <c r="X1" s="262" t="s">
        <v>87</v>
      </c>
      <c r="Y1" s="262" t="s">
        <v>86</v>
      </c>
      <c r="Z1" s="262" t="s">
        <v>85</v>
      </c>
      <c r="AA1" s="262" t="s">
        <v>80</v>
      </c>
      <c r="AB1" s="262" t="s">
        <v>84</v>
      </c>
      <c r="AC1" s="267">
        <v>43997</v>
      </c>
    </row>
    <row r="2" spans="1:29" s="263" customFormat="1" ht="10.5">
      <c r="B2" s="264" t="s">
        <v>172</v>
      </c>
      <c r="C2" s="265" t="s">
        <v>173</v>
      </c>
      <c r="D2" s="263" t="s">
        <v>153</v>
      </c>
      <c r="F2" s="263" t="s">
        <v>83</v>
      </c>
      <c r="J2" s="263" t="s">
        <v>180</v>
      </c>
      <c r="N2" s="263" t="s">
        <v>83</v>
      </c>
    </row>
    <row r="3" spans="1:29">
      <c r="A3" s="182" t="s">
        <v>156</v>
      </c>
      <c r="B3" s="258">
        <v>0.33310000000000001</v>
      </c>
      <c r="C3" s="260"/>
      <c r="D3" s="250">
        <v>0.36580000000000001</v>
      </c>
      <c r="E3" s="250">
        <v>0.36580000000000001</v>
      </c>
      <c r="F3" s="250">
        <v>0.3513</v>
      </c>
      <c r="G3" s="250">
        <v>0.3513</v>
      </c>
      <c r="H3" s="250">
        <v>0.3513</v>
      </c>
      <c r="I3" s="250">
        <v>0.3513</v>
      </c>
      <c r="J3" s="250"/>
      <c r="K3" s="250">
        <v>0.3513</v>
      </c>
      <c r="L3" s="250">
        <v>0.3513</v>
      </c>
      <c r="M3" s="250">
        <v>0.35289999999999999</v>
      </c>
      <c r="N3" s="250">
        <v>0.34429999999999999</v>
      </c>
      <c r="P3" s="250">
        <v>0.34429999999999999</v>
      </c>
      <c r="S3" s="250">
        <v>0.34429999999999999</v>
      </c>
      <c r="T3" s="250">
        <v>0.34570000000000001</v>
      </c>
      <c r="U3" s="250">
        <v>0.34620000000000001</v>
      </c>
      <c r="V3" s="250">
        <v>0.34639999999999999</v>
      </c>
      <c r="W3" s="250">
        <v>0.34839999999999999</v>
      </c>
      <c r="X3" s="250">
        <v>0.34839999999999999</v>
      </c>
      <c r="Y3" s="250">
        <v>0.34839999999999999</v>
      </c>
      <c r="Z3" s="250">
        <v>0.33189999999999997</v>
      </c>
      <c r="AA3" s="250">
        <v>0.32150000000000001</v>
      </c>
      <c r="AB3" s="250">
        <v>0.30819999999999997</v>
      </c>
      <c r="AC3" s="250">
        <v>0.29730000000000001</v>
      </c>
    </row>
    <row r="4" spans="1:29">
      <c r="A4" s="182" t="s">
        <v>176</v>
      </c>
      <c r="B4" s="258"/>
      <c r="C4" s="260"/>
      <c r="D4" s="250"/>
      <c r="E4" s="250">
        <v>8.5599999999999996E-2</v>
      </c>
      <c r="F4" s="250">
        <v>8.2199999999999995E-2</v>
      </c>
      <c r="G4" s="250">
        <v>8.2199999999999995E-2</v>
      </c>
      <c r="H4" s="250">
        <v>7.8799999999999995E-2</v>
      </c>
      <c r="I4" s="250">
        <v>7.8799999999999995E-2</v>
      </c>
      <c r="J4" s="250"/>
      <c r="K4" s="250">
        <v>7.8799999999999995E-2</v>
      </c>
      <c r="L4" s="250">
        <v>7.8799999999999995E-2</v>
      </c>
      <c r="N4" s="250">
        <v>7.6300000000000007E-2</v>
      </c>
      <c r="P4" s="250">
        <v>7.6300000000000007E-2</v>
      </c>
      <c r="S4" s="250">
        <v>7.6300000000000007E-2</v>
      </c>
      <c r="V4" s="250">
        <v>7.6300000000000007E-2</v>
      </c>
      <c r="W4" s="250">
        <v>7.6300000000000007E-2</v>
      </c>
      <c r="X4" s="250">
        <v>7.6300000000000007E-2</v>
      </c>
      <c r="Y4" s="250">
        <v>7.6300000000000007E-2</v>
      </c>
      <c r="Z4" s="250">
        <v>8.2799999999999999E-2</v>
      </c>
      <c r="AA4" s="250">
        <v>8.2799999999999999E-2</v>
      </c>
      <c r="AB4" s="250">
        <v>8.2799999999999999E-2</v>
      </c>
    </row>
    <row r="5" spans="1:29">
      <c r="A5" s="182" t="s">
        <v>161</v>
      </c>
      <c r="B5" s="258">
        <v>8.3799999999999999E-2</v>
      </c>
      <c r="C5" s="260"/>
      <c r="D5" s="250">
        <v>9.1999999999999998E-2</v>
      </c>
      <c r="E5" s="250">
        <v>9.1999999999999998E-2</v>
      </c>
      <c r="F5" s="250">
        <v>8.8400000000000006E-2</v>
      </c>
      <c r="G5" s="250">
        <v>8.8400000000000006E-2</v>
      </c>
      <c r="H5" s="250">
        <v>8.8400000000000006E-2</v>
      </c>
      <c r="I5" s="250">
        <v>8.8400000000000006E-2</v>
      </c>
      <c r="J5" s="250"/>
      <c r="K5" s="250">
        <v>8.8400000000000006E-2</v>
      </c>
      <c r="L5" s="250">
        <v>8.8400000000000006E-2</v>
      </c>
      <c r="M5" s="250">
        <v>8.8400000000000006E-2</v>
      </c>
      <c r="N5" s="250">
        <v>8.5699999999999998E-2</v>
      </c>
      <c r="P5" s="250">
        <v>8.5699999999999998E-2</v>
      </c>
      <c r="R5" s="250">
        <v>7.9899999999999999E-2</v>
      </c>
      <c r="S5" s="250">
        <v>7.9899999999999999E-2</v>
      </c>
      <c r="V5" s="250">
        <v>1.9900000000000001E-2</v>
      </c>
      <c r="W5" s="250">
        <v>1.9099999999999999E-2</v>
      </c>
    </row>
    <row r="6" spans="1:29">
      <c r="A6" s="182" t="s">
        <v>157</v>
      </c>
      <c r="B6" s="258">
        <v>8.8900000000000007E-2</v>
      </c>
      <c r="C6" s="260"/>
      <c r="D6" s="250">
        <v>9.7600000000000006E-2</v>
      </c>
      <c r="E6" s="250">
        <v>9.7600000000000006E-2</v>
      </c>
      <c r="F6" s="250">
        <v>9.3799999999999994E-2</v>
      </c>
      <c r="G6" s="250">
        <v>9.3799999999999994E-2</v>
      </c>
      <c r="H6" s="250">
        <v>9.3799999999999994E-2</v>
      </c>
      <c r="I6" s="250">
        <v>9.3799999999999994E-2</v>
      </c>
      <c r="J6" s="250">
        <v>6.3600000000000004E-2</v>
      </c>
      <c r="K6" s="250">
        <v>6.3600000000000004E-2</v>
      </c>
      <c r="L6" s="250">
        <v>6.3600000000000004E-2</v>
      </c>
      <c r="M6" s="250">
        <v>6.3600000000000004E-2</v>
      </c>
      <c r="N6" s="250">
        <v>6.1600000000000002E-2</v>
      </c>
      <c r="O6" s="250">
        <v>5.67E-2</v>
      </c>
      <c r="P6" s="250">
        <v>5.67E-2</v>
      </c>
      <c r="Q6" s="250">
        <v>5.0799999999999998E-2</v>
      </c>
      <c r="S6" s="250">
        <v>4.1200000000000001E-2</v>
      </c>
      <c r="V6" s="250">
        <v>3.5799999999999998E-2</v>
      </c>
      <c r="W6" s="250">
        <v>2.58E-2</v>
      </c>
      <c r="X6" s="250">
        <v>1.61E-2</v>
      </c>
      <c r="Y6" s="250">
        <v>1.5599999999999999E-2</v>
      </c>
    </row>
    <row r="7" spans="1:29" ht="24">
      <c r="A7" s="261" t="s">
        <v>193</v>
      </c>
      <c r="B7" s="258"/>
      <c r="C7" s="260"/>
      <c r="D7" s="250"/>
      <c r="E7" s="250"/>
      <c r="F7" s="250"/>
      <c r="G7" s="250"/>
      <c r="H7" s="250"/>
      <c r="I7" s="250"/>
      <c r="J7" s="250"/>
      <c r="K7" s="250"/>
      <c r="L7" s="250"/>
      <c r="M7" s="250"/>
      <c r="N7" s="250"/>
      <c r="O7" s="250"/>
      <c r="P7" s="250"/>
      <c r="Q7" s="250"/>
      <c r="S7" s="250"/>
      <c r="V7" s="250"/>
      <c r="W7" s="250">
        <v>1.7999999999999999E-2</v>
      </c>
      <c r="X7" s="250">
        <v>1.7999999999999999E-2</v>
      </c>
      <c r="Y7" s="250">
        <v>1.7999999999999999E-2</v>
      </c>
      <c r="Z7" s="250">
        <v>1.7999999999999999E-2</v>
      </c>
      <c r="AA7" s="250">
        <v>1.26E-2</v>
      </c>
      <c r="AB7" s="250">
        <v>1.26E-2</v>
      </c>
    </row>
    <row r="8" spans="1:29">
      <c r="A8" s="261" t="s">
        <v>196</v>
      </c>
      <c r="B8" s="258"/>
      <c r="C8" s="260"/>
      <c r="D8" s="250"/>
      <c r="E8" s="250"/>
      <c r="F8" s="250"/>
      <c r="G8" s="250"/>
      <c r="H8" s="250"/>
      <c r="I8" s="250"/>
      <c r="J8" s="250"/>
      <c r="K8" s="250"/>
      <c r="L8" s="250"/>
      <c r="M8" s="250"/>
      <c r="N8" s="250"/>
      <c r="O8" s="250"/>
      <c r="P8" s="250"/>
      <c r="Q8" s="250"/>
      <c r="S8" s="250"/>
      <c r="V8" s="250"/>
      <c r="W8" s="250"/>
      <c r="X8" s="250"/>
      <c r="Y8" s="250"/>
      <c r="Z8" s="250"/>
      <c r="AA8" s="250">
        <v>8.8000000000000005E-3</v>
      </c>
      <c r="AB8" s="250">
        <v>1.84E-2</v>
      </c>
    </row>
    <row r="9" spans="1:29" ht="24">
      <c r="A9" s="261" t="s">
        <v>197</v>
      </c>
      <c r="B9" s="258"/>
      <c r="C9" s="260"/>
      <c r="D9" s="250"/>
      <c r="E9" s="250"/>
      <c r="F9" s="250"/>
      <c r="G9" s="250"/>
      <c r="H9" s="250"/>
      <c r="I9" s="250"/>
      <c r="J9" s="250"/>
      <c r="K9" s="250"/>
      <c r="L9" s="250"/>
      <c r="M9" s="250"/>
      <c r="N9" s="250"/>
      <c r="O9" s="250"/>
      <c r="P9" s="250"/>
      <c r="Q9" s="250"/>
      <c r="S9" s="250"/>
      <c r="V9" s="250"/>
      <c r="W9" s="250"/>
      <c r="X9" s="250"/>
      <c r="Y9" s="250"/>
      <c r="Z9" s="250"/>
      <c r="AA9" s="250">
        <v>9.1999999999999998E-3</v>
      </c>
    </row>
    <row r="10" spans="1:29">
      <c r="A10" s="210" t="s">
        <v>191</v>
      </c>
      <c r="B10" s="258"/>
      <c r="C10" s="260"/>
      <c r="D10" s="250"/>
      <c r="E10" s="250"/>
      <c r="F10" s="250"/>
      <c r="G10" s="250"/>
      <c r="H10" s="250"/>
      <c r="I10" s="250"/>
      <c r="J10" s="250"/>
      <c r="K10" s="250"/>
      <c r="L10" s="250"/>
      <c r="M10" s="250"/>
      <c r="N10" s="250"/>
      <c r="O10" s="250"/>
      <c r="P10" s="250"/>
      <c r="Q10" s="250"/>
      <c r="S10" s="250"/>
      <c r="V10" s="250">
        <v>2.3099999999999999E-2</v>
      </c>
      <c r="W10" s="250">
        <v>1.9900000000000001E-2</v>
      </c>
      <c r="X10" s="250">
        <v>1.83E-2</v>
      </c>
      <c r="Y10" s="250">
        <v>1.83E-2</v>
      </c>
      <c r="Z10" s="250">
        <v>1.8499999999999999E-2</v>
      </c>
      <c r="AA10" s="250">
        <v>8.8000000000000005E-3</v>
      </c>
    </row>
    <row r="11" spans="1:29">
      <c r="A11" s="210" t="s">
        <v>195</v>
      </c>
      <c r="B11" s="258"/>
      <c r="C11" s="260"/>
      <c r="D11" s="250"/>
      <c r="E11" s="250"/>
      <c r="F11" s="250"/>
      <c r="G11" s="250"/>
      <c r="H11" s="250"/>
      <c r="I11" s="250"/>
      <c r="J11" s="250"/>
      <c r="K11" s="250"/>
      <c r="L11" s="250"/>
      <c r="M11" s="250"/>
      <c r="N11" s="250"/>
      <c r="O11" s="250"/>
      <c r="P11" s="250"/>
      <c r="Q11" s="250"/>
      <c r="S11" s="250"/>
      <c r="V11" s="250"/>
      <c r="W11" s="250"/>
      <c r="X11" s="250"/>
      <c r="Y11" s="250"/>
      <c r="Z11" s="250">
        <v>1.2699999999999999E-2</v>
      </c>
    </row>
    <row r="12" spans="1:29">
      <c r="A12" s="182" t="s">
        <v>160</v>
      </c>
      <c r="B12" s="258">
        <v>1.78E-2</v>
      </c>
      <c r="C12" s="260"/>
      <c r="D12" s="250">
        <v>1.95E-2</v>
      </c>
      <c r="P12" s="250">
        <v>1.8200000000000001E-2</v>
      </c>
      <c r="S12" s="250">
        <v>1.8200000000000001E-2</v>
      </c>
      <c r="V12" s="250">
        <v>1.8200000000000001E-2</v>
      </c>
      <c r="X12" s="250">
        <v>1.4199999999999999E-2</v>
      </c>
      <c r="Z12" s="250">
        <v>1.12E-2</v>
      </c>
      <c r="AA12" s="250">
        <v>1.12E-2</v>
      </c>
      <c r="AB12" s="250">
        <v>1.12E-2</v>
      </c>
    </row>
    <row r="13" spans="1:29" ht="31.5">
      <c r="A13" s="262" t="s">
        <v>198</v>
      </c>
      <c r="B13" s="258"/>
      <c r="C13" s="260"/>
      <c r="D13" s="250"/>
      <c r="P13" s="250"/>
      <c r="S13" s="250"/>
      <c r="V13" s="250"/>
      <c r="X13" s="250"/>
      <c r="Z13" s="250"/>
      <c r="AA13" s="250"/>
      <c r="AB13" s="250">
        <v>7.7000000000000002E-3</v>
      </c>
    </row>
    <row r="14" spans="1:29" ht="31.5">
      <c r="A14" s="262" t="s">
        <v>199</v>
      </c>
      <c r="B14" s="258"/>
      <c r="C14" s="260"/>
      <c r="D14" s="250"/>
      <c r="P14" s="250"/>
      <c r="S14" s="250"/>
      <c r="V14" s="250"/>
      <c r="X14" s="250"/>
      <c r="Z14" s="250"/>
      <c r="AA14" s="250"/>
      <c r="AB14" s="250">
        <v>5.5999999999999999E-3</v>
      </c>
    </row>
    <row r="15" spans="1:29" ht="27" customHeight="1">
      <c r="A15" s="210" t="s">
        <v>189</v>
      </c>
      <c r="B15" s="258"/>
      <c r="C15" s="260"/>
      <c r="D15" s="250"/>
      <c r="E15" s="250"/>
      <c r="F15" s="250"/>
      <c r="G15" s="250"/>
      <c r="H15" s="250"/>
      <c r="I15" s="250"/>
      <c r="J15" s="250"/>
      <c r="K15" s="250"/>
      <c r="L15" s="250"/>
      <c r="N15" s="250"/>
      <c r="P15" s="250"/>
      <c r="T15" s="250">
        <v>0.06</v>
      </c>
      <c r="V15" s="250">
        <v>0.06</v>
      </c>
      <c r="W15" s="250">
        <v>0.06</v>
      </c>
      <c r="X15" s="250">
        <v>0.06</v>
      </c>
      <c r="Y15" s="250">
        <v>5.9900000000000002E-2</v>
      </c>
      <c r="Z15" s="250">
        <v>0.05</v>
      </c>
    </row>
    <row r="16" spans="1:29" ht="29">
      <c r="A16" s="210" t="s">
        <v>192</v>
      </c>
      <c r="B16" s="258"/>
      <c r="C16" s="260"/>
      <c r="D16" s="250"/>
      <c r="E16" s="250"/>
      <c r="F16" s="250"/>
      <c r="G16" s="250"/>
      <c r="H16" s="250"/>
      <c r="I16" s="250"/>
      <c r="J16" s="250"/>
      <c r="K16" s="250"/>
      <c r="L16" s="250"/>
      <c r="N16" s="250"/>
      <c r="P16" s="250"/>
      <c r="T16" s="250"/>
      <c r="V16" s="250">
        <v>3.5000000000000003E-2</v>
      </c>
      <c r="W16" s="250">
        <v>3.9E-2</v>
      </c>
      <c r="X16" s="250">
        <v>3.8399999999999997E-2</v>
      </c>
      <c r="Y16" s="250">
        <v>3.6999999999999998E-2</v>
      </c>
      <c r="Z16" s="250">
        <v>3.6999999999999998E-2</v>
      </c>
    </row>
    <row r="17" spans="1:28">
      <c r="A17" s="210" t="s">
        <v>194</v>
      </c>
      <c r="B17" s="258"/>
      <c r="C17" s="260"/>
      <c r="D17" s="250"/>
      <c r="E17" s="250"/>
      <c r="F17" s="250"/>
      <c r="G17" s="250"/>
      <c r="H17" s="250"/>
      <c r="I17" s="250"/>
      <c r="J17" s="250"/>
      <c r="K17" s="250"/>
      <c r="L17" s="250"/>
      <c r="N17" s="250"/>
      <c r="P17" s="250"/>
      <c r="T17" s="250"/>
      <c r="V17" s="250"/>
      <c r="W17" s="250">
        <v>1.7500000000000002E-2</v>
      </c>
      <c r="X17" s="250">
        <v>1.7500000000000002E-2</v>
      </c>
      <c r="Y17" s="250">
        <v>1.7500000000000002E-2</v>
      </c>
      <c r="Z17" s="250">
        <v>1.7500000000000002E-2</v>
      </c>
      <c r="AA17" s="250">
        <v>1.7500000000000002E-2</v>
      </c>
      <c r="AB17" s="250">
        <v>1.38E-2</v>
      </c>
    </row>
    <row r="18" spans="1:28" ht="32.5" customHeight="1">
      <c r="A18" s="210" t="s">
        <v>190</v>
      </c>
      <c r="B18" s="258"/>
      <c r="C18" s="260"/>
      <c r="D18" s="250"/>
      <c r="E18" s="250"/>
      <c r="F18" s="250"/>
      <c r="G18" s="250"/>
      <c r="H18" s="250"/>
      <c r="I18" s="250"/>
      <c r="J18" s="250"/>
      <c r="K18" s="250"/>
      <c r="L18" s="250"/>
      <c r="M18" s="250"/>
      <c r="N18" s="250"/>
      <c r="O18" s="250"/>
      <c r="P18" s="250"/>
      <c r="Q18" s="250"/>
      <c r="S18" s="250"/>
      <c r="V18" s="250">
        <v>2.4299999999999999E-2</v>
      </c>
      <c r="AA18" s="250">
        <v>9.5999999999999992E-3</v>
      </c>
      <c r="AB18" s="250">
        <v>9.5999999999999992E-3</v>
      </c>
    </row>
    <row r="19" spans="1:28">
      <c r="A19" s="182" t="s">
        <v>158</v>
      </c>
      <c r="B19" s="258">
        <v>2.86E-2</v>
      </c>
      <c r="C19" s="260"/>
      <c r="D19" s="250">
        <v>3.15E-2</v>
      </c>
      <c r="E19" s="250">
        <v>3.1399999999999997E-2</v>
      </c>
      <c r="F19" s="250">
        <v>3.0200000000000001E-2</v>
      </c>
      <c r="G19" s="250">
        <v>2.7799999999999998E-2</v>
      </c>
      <c r="H19" s="250">
        <v>2.6800000000000001E-2</v>
      </c>
      <c r="I19" s="250">
        <v>2.63E-2</v>
      </c>
      <c r="J19" s="250"/>
      <c r="K19" s="250">
        <v>2.52E-2</v>
      </c>
      <c r="M19" s="250">
        <v>2.5100000000000001E-2</v>
      </c>
      <c r="N19" s="250">
        <v>2.4299999999999999E-2</v>
      </c>
      <c r="P19" s="250">
        <v>2.3199999999999998E-2</v>
      </c>
    </row>
    <row r="20" spans="1:28">
      <c r="A20" s="182" t="s">
        <v>159</v>
      </c>
      <c r="B20" s="258">
        <v>2.4799999999999999E-2</v>
      </c>
      <c r="C20" s="260"/>
      <c r="D20" s="250">
        <v>2.7300000000000001E-2</v>
      </c>
    </row>
    <row r="21" spans="1:28">
      <c r="A21" s="182" t="s">
        <v>163</v>
      </c>
      <c r="B21" s="258">
        <v>2.07E-2</v>
      </c>
      <c r="C21" s="260"/>
      <c r="D21" s="250">
        <v>2.2800000000000001E-2</v>
      </c>
      <c r="E21" s="250">
        <v>2.2800000000000001E-2</v>
      </c>
      <c r="F21" s="250">
        <v>2.1899999999999999E-2</v>
      </c>
      <c r="G21" s="250">
        <v>1.4200000000000001E-2</v>
      </c>
      <c r="H21" s="250">
        <v>1.2999999999999999E-2</v>
      </c>
    </row>
    <row r="22" spans="1:28" ht="31.5">
      <c r="A22" s="262" t="s">
        <v>182</v>
      </c>
      <c r="B22" s="258"/>
      <c r="C22" s="260"/>
      <c r="D22" s="250"/>
      <c r="E22" s="250"/>
      <c r="F22" s="250"/>
      <c r="G22" s="250"/>
      <c r="H22" s="250"/>
      <c r="I22" s="250"/>
      <c r="J22" s="250"/>
      <c r="K22" s="250">
        <v>1.3899999999999999E-2</v>
      </c>
      <c r="L22" s="250">
        <v>1.54E-2</v>
      </c>
      <c r="M22" s="250">
        <v>1.54E-2</v>
      </c>
      <c r="N22" s="250">
        <v>1.52E-2</v>
      </c>
      <c r="P22" s="250">
        <v>1.52E-2</v>
      </c>
      <c r="S22" s="250">
        <v>1.6899999999999998E-2</v>
      </c>
      <c r="Y22" s="250">
        <v>1.26E-2</v>
      </c>
    </row>
    <row r="23" spans="1:28" ht="31.5">
      <c r="A23" s="262" t="s">
        <v>184</v>
      </c>
      <c r="B23" s="258"/>
      <c r="C23" s="260"/>
      <c r="D23" s="250"/>
      <c r="E23" s="250"/>
      <c r="F23" s="250"/>
      <c r="G23" s="250"/>
      <c r="H23" s="250"/>
      <c r="I23" s="250"/>
      <c r="J23" s="250"/>
      <c r="K23" s="250"/>
      <c r="L23" s="250">
        <v>1.0500000000000001E-2</v>
      </c>
      <c r="M23" s="250">
        <v>1.1299999999999999E-2</v>
      </c>
      <c r="N23" s="250">
        <v>1.0800000000000001E-2</v>
      </c>
    </row>
    <row r="24" spans="1:28" ht="31.5">
      <c r="A24" s="262" t="s">
        <v>186</v>
      </c>
      <c r="B24" s="258"/>
      <c r="C24" s="260"/>
      <c r="D24" s="250"/>
      <c r="E24" s="250"/>
      <c r="F24" s="250"/>
      <c r="G24" s="250"/>
      <c r="H24" s="250"/>
      <c r="I24" s="250"/>
      <c r="J24" s="250"/>
      <c r="K24" s="250"/>
      <c r="L24" s="250"/>
      <c r="M24" s="250"/>
      <c r="N24" s="250"/>
      <c r="P24" s="250">
        <v>1.2699999999999999E-2</v>
      </c>
    </row>
    <row r="25" spans="1:28">
      <c r="A25" s="262" t="s">
        <v>187</v>
      </c>
      <c r="B25" s="258"/>
      <c r="C25" s="260"/>
      <c r="D25" s="250"/>
      <c r="E25" s="250"/>
      <c r="F25" s="250"/>
      <c r="G25" s="250"/>
      <c r="H25" s="250"/>
      <c r="I25" s="250"/>
      <c r="J25" s="250"/>
      <c r="K25" s="250">
        <f t="shared" ref="K25:P25" si="0">SUM(K22:K24)</f>
        <v>1.3899999999999999E-2</v>
      </c>
      <c r="L25" s="250">
        <f t="shared" si="0"/>
        <v>2.5899999999999999E-2</v>
      </c>
      <c r="M25" s="250">
        <f t="shared" si="0"/>
        <v>2.6700000000000002E-2</v>
      </c>
      <c r="N25" s="250">
        <f t="shared" si="0"/>
        <v>2.6000000000000002E-2</v>
      </c>
      <c r="O25" s="250">
        <f t="shared" si="0"/>
        <v>0</v>
      </c>
      <c r="P25" s="250">
        <f t="shared" si="0"/>
        <v>2.7900000000000001E-2</v>
      </c>
      <c r="S25" s="250">
        <f>SUM(S22:S24)</f>
        <v>1.6899999999999998E-2</v>
      </c>
    </row>
    <row r="26" spans="1:28">
      <c r="A26" s="182" t="s">
        <v>162</v>
      </c>
      <c r="B26" s="258">
        <v>3.8800000000000001E-2</v>
      </c>
      <c r="C26" s="260"/>
      <c r="D26" s="250">
        <v>4.2700000000000002E-2</v>
      </c>
    </row>
    <row r="27" spans="1:28">
      <c r="A27" s="182" t="s">
        <v>155</v>
      </c>
      <c r="B27" s="258">
        <v>0.12790000000000001</v>
      </c>
      <c r="C27" s="260">
        <v>0.46710000000000002</v>
      </c>
      <c r="D27" s="250">
        <v>0.14050000000000001</v>
      </c>
    </row>
    <row r="28" spans="1:28">
      <c r="A28" s="182" t="s">
        <v>174</v>
      </c>
      <c r="B28" s="258"/>
      <c r="C28" s="260">
        <v>0.53290000000000004</v>
      </c>
      <c r="D28" s="250">
        <v>0.1603</v>
      </c>
    </row>
    <row r="29" spans="1:28">
      <c r="D29" s="250">
        <f>SUM(D3:D28)</f>
        <v>0.99999999999999989</v>
      </c>
    </row>
  </sheetData>
  <mergeCells count="1">
    <mergeCell ref="C1:D1"/>
  </mergeCells>
  <pageMargins left="0.7" right="0.7" top="0.75" bottom="0.75" header="0.3" footer="0.3"/>
  <pageSetup paperSize="9" orientation="portrait" horizontalDpi="300" verticalDpi="300" r:id="rId1"/>
  <ignoredErrors>
    <ignoredError sqref="N25 K25:L25 P25" formulaRange="1"/>
  </ignoredError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A7B47-7A01-48AC-9C44-BC56AB76A029}">
  <dimension ref="A1:I39"/>
  <sheetViews>
    <sheetView zoomScale="115" zoomScaleNormal="115" workbookViewId="0">
      <pane xSplit="1" ySplit="1" topLeftCell="B2" activePane="bottomRight" state="frozen"/>
      <selection pane="topRight" activeCell="B1" sqref="B1"/>
      <selection pane="bottomLeft" activeCell="A2" sqref="A2"/>
      <selection pane="bottomRight" activeCell="C9" sqref="C9"/>
    </sheetView>
  </sheetViews>
  <sheetFormatPr defaultRowHeight="14.5"/>
  <cols>
    <col min="1" max="1" width="37" bestFit="1" customWidth="1"/>
    <col min="8" max="8" width="10" bestFit="1" customWidth="1"/>
    <col min="10" max="10" width="8.90625" bestFit="1" customWidth="1"/>
  </cols>
  <sheetData>
    <row r="1" spans="1:9" s="276" customFormat="1">
      <c r="B1" s="276">
        <v>2013</v>
      </c>
      <c r="C1" s="276">
        <v>2014</v>
      </c>
      <c r="D1" s="276">
        <v>2015</v>
      </c>
      <c r="E1" s="276">
        <v>2016</v>
      </c>
      <c r="F1" s="276">
        <v>2017</v>
      </c>
      <c r="G1" s="277">
        <v>2018</v>
      </c>
      <c r="H1" s="276">
        <v>2019</v>
      </c>
      <c r="I1" s="277" t="s">
        <v>234</v>
      </c>
    </row>
    <row r="2" spans="1:9">
      <c r="A2" s="268" t="s">
        <v>203</v>
      </c>
      <c r="C2">
        <v>1144.8</v>
      </c>
      <c r="D2">
        <v>1407</v>
      </c>
      <c r="E2">
        <v>1655.7</v>
      </c>
      <c r="F2">
        <v>2036.1</v>
      </c>
      <c r="G2">
        <v>2144.4</v>
      </c>
      <c r="H2">
        <v>2308.8000000000002</v>
      </c>
      <c r="I2">
        <v>732.03</v>
      </c>
    </row>
    <row r="3" spans="1:9">
      <c r="A3" s="269" t="s">
        <v>201</v>
      </c>
      <c r="E3" s="270">
        <f>(E2-D2)/D2</f>
        <v>0.17675906183368872</v>
      </c>
      <c r="F3" s="270">
        <f>(F2-E2)/E2</f>
        <v>0.2297517666243884</v>
      </c>
      <c r="G3" s="270">
        <f>(G2-F2)/F2</f>
        <v>5.3189921909533019E-2</v>
      </c>
      <c r="H3" s="270">
        <f>(H2-G2)/G2</f>
        <v>7.6664801343033051E-2</v>
      </c>
    </row>
    <row r="4" spans="1:9">
      <c r="A4" s="268" t="s">
        <v>218</v>
      </c>
      <c r="D4">
        <v>218.9</v>
      </c>
      <c r="E4">
        <v>312.10000000000002</v>
      </c>
      <c r="F4">
        <v>430.7</v>
      </c>
      <c r="G4">
        <v>490.4</v>
      </c>
      <c r="H4">
        <v>526.79999999999995</v>
      </c>
    </row>
    <row r="5" spans="1:9">
      <c r="A5" s="269" t="s">
        <v>201</v>
      </c>
      <c r="E5" s="270">
        <f>(E4-D4)/D4</f>
        <v>0.42576518958428511</v>
      </c>
      <c r="F5" s="270">
        <f>(F4-E4)/E4</f>
        <v>0.38000640820249904</v>
      </c>
      <c r="G5" s="270">
        <f>(G4-F4)/F4</f>
        <v>0.13861156257255627</v>
      </c>
      <c r="H5" s="270">
        <f>(H4-G4)/G4</f>
        <v>7.4225122349102723E-2</v>
      </c>
    </row>
    <row r="6" spans="1:9">
      <c r="A6" s="269" t="s">
        <v>56</v>
      </c>
      <c r="D6" s="270">
        <f>D4/D2</f>
        <v>0.15557924662402275</v>
      </c>
      <c r="E6" s="270">
        <f>E4/E2</f>
        <v>0.18850033218578247</v>
      </c>
      <c r="F6" s="270">
        <f>F4/F2</f>
        <v>0.21153185010559403</v>
      </c>
      <c r="G6" s="270">
        <f>G4/G2</f>
        <v>0.22868867748554372</v>
      </c>
      <c r="H6" s="270">
        <f>H4/H2</f>
        <v>0.22817047817047814</v>
      </c>
    </row>
    <row r="7" spans="1:9">
      <c r="A7" s="281" t="s">
        <v>212</v>
      </c>
      <c r="C7">
        <v>274.89999999999998</v>
      </c>
      <c r="D7">
        <v>514.6</v>
      </c>
      <c r="E7">
        <v>819.2</v>
      </c>
      <c r="F7">
        <v>1161.2</v>
      </c>
      <c r="G7">
        <v>1339.6</v>
      </c>
      <c r="H7">
        <v>1581.1</v>
      </c>
      <c r="I7">
        <v>553.70000000000005</v>
      </c>
    </row>
    <row r="8" spans="1:9">
      <c r="A8" s="269" t="s">
        <v>201</v>
      </c>
      <c r="E8" s="270">
        <f>(E7-D7)/D7</f>
        <v>0.5919160513019821</v>
      </c>
      <c r="F8" s="270">
        <f>(F7-E7)/E7</f>
        <v>0.41748046875</v>
      </c>
      <c r="G8" s="270">
        <f>(G7-F7)/F7</f>
        <v>0.15363417154667572</v>
      </c>
      <c r="H8" s="270">
        <f>(H7-G7)/G7</f>
        <v>0.18027769483427891</v>
      </c>
    </row>
    <row r="9" spans="1:9">
      <c r="A9" s="269" t="s">
        <v>223</v>
      </c>
      <c r="D9" s="270">
        <f>D7/D2</f>
        <v>0.36574271499644634</v>
      </c>
      <c r="E9" s="270">
        <f>E7/E2</f>
        <v>0.49477562360330979</v>
      </c>
      <c r="F9" s="270">
        <f>F7/F2</f>
        <v>0.57030597711310849</v>
      </c>
      <c r="G9" s="270">
        <f>G7/G2</f>
        <v>0.62469688490953168</v>
      </c>
      <c r="H9" s="270">
        <f>H7/H2</f>
        <v>0.6848146223146222</v>
      </c>
    </row>
    <row r="10" spans="1:9">
      <c r="A10" s="268" t="s">
        <v>211</v>
      </c>
      <c r="C10">
        <v>608.9</v>
      </c>
      <c r="D10">
        <v>611.6</v>
      </c>
      <c r="E10">
        <v>582.5</v>
      </c>
      <c r="F10">
        <v>648.6</v>
      </c>
      <c r="G10">
        <v>619.6</v>
      </c>
      <c r="H10">
        <v>615.1</v>
      </c>
      <c r="I10">
        <v>143.5</v>
      </c>
    </row>
    <row r="11" spans="1:9">
      <c r="A11" s="269" t="s">
        <v>201</v>
      </c>
      <c r="E11" s="270">
        <f>(E10-D10)/D10</f>
        <v>-4.7580117724002655E-2</v>
      </c>
      <c r="F11" s="270">
        <f>(F10-E10)/E10</f>
        <v>0.11347639484978544</v>
      </c>
      <c r="G11" s="270">
        <f>(G10-F10)/F10</f>
        <v>-4.4711686709836572E-2</v>
      </c>
      <c r="H11" s="270">
        <f>(H10-G10)/G10</f>
        <v>-7.2627501613944474E-3</v>
      </c>
    </row>
    <row r="12" spans="1:9">
      <c r="A12" s="269" t="s">
        <v>207</v>
      </c>
      <c r="D12" s="270">
        <f>D10/D2</f>
        <v>0.43468372423596308</v>
      </c>
      <c r="E12" s="270">
        <f>E10/E2</f>
        <v>0.35181494232046867</v>
      </c>
      <c r="F12" s="270">
        <f>F10/F2</f>
        <v>0.31855016944157949</v>
      </c>
      <c r="G12" s="270">
        <f>G10/G2</f>
        <v>0.28893863085245292</v>
      </c>
      <c r="H12" s="270">
        <f>H10/H2</f>
        <v>0.2664154539154539</v>
      </c>
    </row>
    <row r="13" spans="1:9">
      <c r="A13" s="268" t="s">
        <v>213</v>
      </c>
      <c r="C13">
        <v>202.7</v>
      </c>
      <c r="D13">
        <v>219.6</v>
      </c>
      <c r="E13">
        <v>187.1</v>
      </c>
      <c r="F13">
        <v>156</v>
      </c>
      <c r="G13">
        <v>126.5</v>
      </c>
      <c r="H13">
        <v>98.7</v>
      </c>
      <c r="I13">
        <v>20.63</v>
      </c>
    </row>
    <row r="14" spans="1:9">
      <c r="A14" s="269" t="s">
        <v>201</v>
      </c>
      <c r="E14" s="270">
        <f>(E13-D13)/D13</f>
        <v>-0.14799635701275046</v>
      </c>
      <c r="F14" s="270">
        <f>(F13-E13)/E13</f>
        <v>-0.16622127204703366</v>
      </c>
      <c r="G14" s="270">
        <f>(G13-F13)/F13</f>
        <v>-0.1891025641025641</v>
      </c>
      <c r="H14" s="270">
        <f>(H13-G13)/G13</f>
        <v>-0.21976284584980235</v>
      </c>
    </row>
    <row r="15" spans="1:9">
      <c r="A15" s="268" t="s">
        <v>214</v>
      </c>
      <c r="G15">
        <v>0.5</v>
      </c>
      <c r="H15">
        <v>0.7</v>
      </c>
    </row>
    <row r="16" spans="1:9">
      <c r="A16" s="268" t="s">
        <v>215</v>
      </c>
      <c r="G16">
        <v>17.899999999999999</v>
      </c>
      <c r="H16">
        <v>26.7</v>
      </c>
    </row>
    <row r="17" spans="1:9">
      <c r="A17" s="281" t="s">
        <v>220</v>
      </c>
      <c r="E17">
        <v>110.3</v>
      </c>
      <c r="F17">
        <v>159.80000000000001</v>
      </c>
      <c r="G17">
        <v>190.9</v>
      </c>
      <c r="H17">
        <v>215.6</v>
      </c>
      <c r="I17">
        <v>76.2</v>
      </c>
    </row>
    <row r="18" spans="1:9">
      <c r="A18" s="269" t="s">
        <v>56</v>
      </c>
      <c r="D18" s="270"/>
      <c r="E18" s="270">
        <f>E17/E2</f>
        <v>6.6618348734674149E-2</v>
      </c>
      <c r="F18" s="270">
        <f>F17/F2</f>
        <v>7.8483375079809445E-2</v>
      </c>
      <c r="G18" s="270">
        <f>G17/G2</f>
        <v>8.9022570415967173E-2</v>
      </c>
      <c r="H18" s="270">
        <f>H17/H2</f>
        <v>9.3381843381843369E-2</v>
      </c>
    </row>
    <row r="19" spans="1:9">
      <c r="A19" s="182"/>
    </row>
    <row r="20" spans="1:9">
      <c r="A20" s="182" t="s">
        <v>204</v>
      </c>
      <c r="C20">
        <v>30.76</v>
      </c>
      <c r="D20">
        <v>53.1</v>
      </c>
      <c r="E20">
        <v>72.3</v>
      </c>
      <c r="F20">
        <v>82.8</v>
      </c>
      <c r="G20">
        <v>95.9</v>
      </c>
      <c r="H20">
        <v>115.9</v>
      </c>
      <c r="I20">
        <v>37.81</v>
      </c>
    </row>
    <row r="21" spans="1:9">
      <c r="A21" s="269" t="s">
        <v>201</v>
      </c>
      <c r="D21" s="270">
        <f>(D20-C20)/C20</f>
        <v>0.72626788036410916</v>
      </c>
      <c r="E21" s="270">
        <f>(E20-D20)/D20</f>
        <v>0.36158192090395469</v>
      </c>
      <c r="F21" s="270">
        <f>(F20-E20)/E20</f>
        <v>0.14522821576763487</v>
      </c>
      <c r="G21" s="270">
        <f>(G20-F20)/F20</f>
        <v>0.15821256038647355</v>
      </c>
      <c r="H21" s="270">
        <f>(H20-G20)/G20</f>
        <v>0.20855057351407716</v>
      </c>
    </row>
    <row r="22" spans="1:9">
      <c r="A22" s="269" t="s">
        <v>221</v>
      </c>
      <c r="D22" s="270"/>
      <c r="E22" s="270"/>
      <c r="F22" s="270"/>
      <c r="G22" s="270"/>
      <c r="H22" s="272">
        <f>1147*0.23/7</f>
        <v>37.687142857142859</v>
      </c>
    </row>
    <row r="23" spans="1:9">
      <c r="A23" s="182" t="s">
        <v>205</v>
      </c>
      <c r="D23">
        <v>986.7</v>
      </c>
      <c r="E23">
        <v>1182.5</v>
      </c>
      <c r="F23">
        <v>1397.4</v>
      </c>
      <c r="G23">
        <v>1643.9</v>
      </c>
      <c r="H23">
        <v>1895.1</v>
      </c>
    </row>
    <row r="24" spans="1:9">
      <c r="A24" s="269" t="s">
        <v>201</v>
      </c>
      <c r="E24" s="270">
        <f>(E23-D23)/D23</f>
        <v>0.19843924191750273</v>
      </c>
      <c r="F24" s="270">
        <f>(F23-E23)/E23</f>
        <v>0.18173361522198739</v>
      </c>
      <c r="G24" s="270">
        <f>(G23-F23)/F23</f>
        <v>0.17639902676399025</v>
      </c>
      <c r="H24" s="270">
        <f>(H23-G23)/G23</f>
        <v>0.15280734837885504</v>
      </c>
    </row>
    <row r="25" spans="1:9">
      <c r="A25" s="269" t="s">
        <v>206</v>
      </c>
      <c r="E25" s="270">
        <f>E23/E2</f>
        <v>0.71419943226429905</v>
      </c>
      <c r="F25" s="270">
        <f>F23/F2</f>
        <v>0.68631206718726989</v>
      </c>
      <c r="G25" s="270">
        <f>G23/G2</f>
        <v>0.76660138033948888</v>
      </c>
      <c r="H25" s="270">
        <f>H23/H2</f>
        <v>0.82081600831600821</v>
      </c>
    </row>
    <row r="26" spans="1:9">
      <c r="A26" s="268" t="s">
        <v>202</v>
      </c>
      <c r="C26">
        <v>5.17</v>
      </c>
      <c r="D26">
        <v>5.3</v>
      </c>
      <c r="E26">
        <v>5.7</v>
      </c>
      <c r="F26">
        <v>5.8</v>
      </c>
      <c r="G26">
        <v>6.24</v>
      </c>
      <c r="H26">
        <v>6.4</v>
      </c>
      <c r="I26">
        <v>6.54</v>
      </c>
    </row>
    <row r="27" spans="1:9">
      <c r="A27" s="269" t="s">
        <v>201</v>
      </c>
      <c r="E27" s="270">
        <f>(E26-D26)/D26</f>
        <v>7.5471698113207614E-2</v>
      </c>
      <c r="F27" s="270">
        <f>(F26-E26)/E26</f>
        <v>1.7543859649122744E-2</v>
      </c>
      <c r="G27" s="270">
        <f>(G26-F26)/F26</f>
        <v>7.586206896551731E-2</v>
      </c>
      <c r="H27" s="270">
        <f>(H26-G26)/G26</f>
        <v>2.5641025641025664E-2</v>
      </c>
      <c r="I27" s="270">
        <f>(I26-H26)/H26</f>
        <v>2.187499999999995E-2</v>
      </c>
    </row>
    <row r="28" spans="1:9">
      <c r="A28" s="268" t="s">
        <v>208</v>
      </c>
      <c r="D28">
        <v>4.5999999999999996</v>
      </c>
      <c r="E28">
        <v>5.3</v>
      </c>
      <c r="F28">
        <v>5.5</v>
      </c>
      <c r="G28">
        <v>6</v>
      </c>
      <c r="H28">
        <v>6.2</v>
      </c>
    </row>
    <row r="29" spans="1:9">
      <c r="A29" s="269" t="s">
        <v>201</v>
      </c>
      <c r="E29" s="270">
        <f>(E28-D28)/D28</f>
        <v>0.1521739130434783</v>
      </c>
      <c r="F29" s="270">
        <f>(F28-E28)/E28</f>
        <v>3.7735849056603807E-2</v>
      </c>
      <c r="G29" s="270">
        <f>(G28-F28)/F28</f>
        <v>9.0909090909090912E-2</v>
      </c>
      <c r="H29" s="270">
        <f>(H28-G28)/G28</f>
        <v>3.3333333333333361E-2</v>
      </c>
    </row>
    <row r="30" spans="1:9">
      <c r="A30" s="268" t="s">
        <v>209</v>
      </c>
      <c r="D30">
        <v>1.54</v>
      </c>
      <c r="E30">
        <v>1.56</v>
      </c>
      <c r="F30">
        <v>1.58</v>
      </c>
      <c r="G30">
        <v>1.5</v>
      </c>
      <c r="H30">
        <v>1.42</v>
      </c>
    </row>
    <row r="31" spans="1:9">
      <c r="A31" s="269" t="s">
        <v>201</v>
      </c>
      <c r="E31" s="183">
        <f>(E30-D30)/D30</f>
        <v>1.2987012987012998E-2</v>
      </c>
      <c r="F31" s="183">
        <f>(F30-E30)/E30</f>
        <v>1.2820512820512832E-2</v>
      </c>
      <c r="G31" s="183">
        <f>(G30-F30)/F30</f>
        <v>-5.0632911392405104E-2</v>
      </c>
      <c r="H31" s="183">
        <f>(H30-G30)/G30</f>
        <v>-5.3333333333333378E-2</v>
      </c>
      <c r="I31" s="183"/>
    </row>
    <row r="32" spans="1:9">
      <c r="A32" s="268" t="s">
        <v>210</v>
      </c>
      <c r="D32">
        <v>3</v>
      </c>
      <c r="E32">
        <v>2.8</v>
      </c>
      <c r="F32">
        <v>2.6</v>
      </c>
      <c r="G32">
        <v>2.2000000000000002</v>
      </c>
      <c r="H32">
        <v>1.9</v>
      </c>
    </row>
    <row r="33" spans="1:9">
      <c r="A33" s="269" t="s">
        <v>201</v>
      </c>
      <c r="E33" s="183">
        <f>(E32-D32)/D32</f>
        <v>-6.6666666666666721E-2</v>
      </c>
      <c r="F33" s="183">
        <f>(F32-E32)/E32</f>
        <v>-7.1428571428571341E-2</v>
      </c>
      <c r="G33" s="183">
        <f>(G32-F32)/F32</f>
        <v>-0.1538461538461538</v>
      </c>
      <c r="H33" s="183">
        <f>(H32-G32)/G32</f>
        <v>-0.13636363636363646</v>
      </c>
      <c r="I33" s="183"/>
    </row>
    <row r="34" spans="1:9">
      <c r="A34" s="268" t="s">
        <v>216</v>
      </c>
      <c r="G34">
        <v>6.8000000000000005E-2</v>
      </c>
      <c r="H34">
        <v>8.3000000000000004E-2</v>
      </c>
    </row>
    <row r="35" spans="1:9">
      <c r="A35" s="281" t="s">
        <v>217</v>
      </c>
      <c r="D35">
        <v>2.2999999999999998</v>
      </c>
      <c r="E35">
        <v>2.5</v>
      </c>
      <c r="F35">
        <v>2.6</v>
      </c>
      <c r="G35">
        <v>2.9</v>
      </c>
      <c r="H35">
        <v>3</v>
      </c>
      <c r="I35" s="278">
        <v>3.57</v>
      </c>
    </row>
    <row r="36" spans="1:9">
      <c r="A36" s="269" t="s">
        <v>56</v>
      </c>
      <c r="E36" s="183">
        <f>E35/E26</f>
        <v>0.43859649122807015</v>
      </c>
      <c r="F36" s="183">
        <f>F35/F26</f>
        <v>0.44827586206896552</v>
      </c>
      <c r="G36" s="183">
        <f>G35/G26</f>
        <v>0.4647435897435897</v>
      </c>
      <c r="H36" s="183">
        <f>H35/H26</f>
        <v>0.46875</v>
      </c>
      <c r="I36" s="183">
        <f>I35/I26</f>
        <v>0.54587155963302747</v>
      </c>
    </row>
    <row r="37" spans="1:9">
      <c r="A37" s="268" t="s">
        <v>219</v>
      </c>
      <c r="E37">
        <v>0.8</v>
      </c>
      <c r="F37">
        <v>0.9</v>
      </c>
      <c r="G37">
        <v>1.04</v>
      </c>
      <c r="H37" s="182">
        <v>1.1599999999999999</v>
      </c>
    </row>
    <row r="38" spans="1:9">
      <c r="A38" s="269" t="s">
        <v>201</v>
      </c>
      <c r="E38" s="183"/>
      <c r="F38" s="183">
        <f>(F37-E37)/E37</f>
        <v>0.12499999999999997</v>
      </c>
      <c r="G38" s="183">
        <f>(G37-F37)/F37</f>
        <v>0.15555555555555556</v>
      </c>
      <c r="H38" s="183">
        <f>(H37-G37)/G37</f>
        <v>0.11538461538461527</v>
      </c>
      <c r="I38" s="183"/>
    </row>
    <row r="39" spans="1:9">
      <c r="A39" s="269" t="s">
        <v>56</v>
      </c>
      <c r="E39" s="270">
        <f>E37/E28</f>
        <v>0.15094339622641512</v>
      </c>
      <c r="F39" s="270">
        <f>F37/F28</f>
        <v>0.16363636363636364</v>
      </c>
      <c r="G39" s="270">
        <f>G37/G28</f>
        <v>0.17333333333333334</v>
      </c>
      <c r="H39" s="270">
        <f>H37/H28</f>
        <v>0.18709677419354837</v>
      </c>
    </row>
  </sheetData>
  <pageMargins left="0.7" right="0.7" top="0.75" bottom="0.75" header="0.3" footer="0.3"/>
  <pageSetup paperSize="9"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BE6A7-4C89-4508-854E-25BCBBAFEAFB}">
  <dimension ref="A1:M15"/>
  <sheetViews>
    <sheetView workbookViewId="0">
      <selection activeCell="A6" sqref="A6"/>
    </sheetView>
  </sheetViews>
  <sheetFormatPr defaultRowHeight="14.5"/>
  <cols>
    <col min="1" max="1" width="25.1796875" bestFit="1" customWidth="1"/>
    <col min="2" max="2" width="9.7265625" customWidth="1"/>
    <col min="7" max="7" width="6.81640625" bestFit="1" customWidth="1"/>
    <col min="8" max="8" width="10.81640625" bestFit="1" customWidth="1"/>
  </cols>
  <sheetData>
    <row r="1" spans="1:13" s="276" customFormat="1">
      <c r="B1" s="276">
        <v>2014</v>
      </c>
      <c r="C1" s="276">
        <v>2015</v>
      </c>
      <c r="D1" s="276">
        <v>2016</v>
      </c>
      <c r="E1" s="276">
        <v>2017</v>
      </c>
      <c r="F1" s="277">
        <v>2018</v>
      </c>
      <c r="G1" s="276">
        <v>2019</v>
      </c>
      <c r="H1" s="276" t="s">
        <v>224</v>
      </c>
      <c r="L1" s="182" t="s">
        <v>228</v>
      </c>
      <c r="M1" t="s">
        <v>233</v>
      </c>
    </row>
    <row r="2" spans="1:13">
      <c r="A2" s="273" t="s">
        <v>225</v>
      </c>
      <c r="B2">
        <v>447.56</v>
      </c>
      <c r="C2">
        <v>565.87</v>
      </c>
      <c r="D2">
        <v>708.44</v>
      </c>
      <c r="E2">
        <v>978.83</v>
      </c>
      <c r="F2">
        <v>1039.92</v>
      </c>
      <c r="G2">
        <f>1147</f>
        <v>1147</v>
      </c>
      <c r="H2">
        <v>372.98</v>
      </c>
    </row>
    <row r="3" spans="1:13">
      <c r="A3" s="273"/>
      <c r="B3" s="273"/>
    </row>
    <row r="4" spans="1:13">
      <c r="A4" s="273" t="s">
        <v>226</v>
      </c>
      <c r="B4" s="273"/>
    </row>
    <row r="5" spans="1:13">
      <c r="A5" s="271" t="s">
        <v>222</v>
      </c>
      <c r="B5" s="271">
        <v>133.72</v>
      </c>
      <c r="C5">
        <v>213</v>
      </c>
      <c r="D5">
        <v>382</v>
      </c>
      <c r="E5">
        <v>628</v>
      </c>
      <c r="F5">
        <v>778</v>
      </c>
      <c r="G5">
        <v>937</v>
      </c>
      <c r="H5">
        <v>347.56</v>
      </c>
    </row>
    <row r="6" spans="1:13" s="280" customFormat="1">
      <c r="A6" s="279" t="s">
        <v>235</v>
      </c>
      <c r="B6" s="279">
        <f>B5/游戏产业数据!C7</f>
        <v>0.48643142961076757</v>
      </c>
      <c r="C6" s="279">
        <f>C5/游戏产业数据!D7</f>
        <v>0.41391371939370381</v>
      </c>
      <c r="D6" s="279">
        <f>D5/游戏产业数据!E7</f>
        <v>0.46630859375</v>
      </c>
      <c r="E6" s="279">
        <f>E5/游戏产业数据!F7</f>
        <v>0.54081984154323115</v>
      </c>
      <c r="F6" s="279">
        <f>F5/游戏产业数据!G7</f>
        <v>0.58077037921767694</v>
      </c>
      <c r="G6" s="279">
        <f>G5/游戏产业数据!H7</f>
        <v>0.59262538738852699</v>
      </c>
      <c r="H6" s="279">
        <f>H5/游戏产业数据!I7</f>
        <v>0.62770453314068986</v>
      </c>
    </row>
    <row r="7" spans="1:13">
      <c r="A7" s="271" t="s">
        <v>237</v>
      </c>
      <c r="B7" s="271"/>
      <c r="E7">
        <v>551</v>
      </c>
      <c r="F7">
        <v>506</v>
      </c>
      <c r="G7">
        <v>474</v>
      </c>
      <c r="H7">
        <v>117.95</v>
      </c>
    </row>
    <row r="8" spans="1:13" s="280" customFormat="1">
      <c r="A8" s="279" t="s">
        <v>236</v>
      </c>
      <c r="B8" s="279"/>
      <c r="C8" s="279"/>
      <c r="D8" s="279"/>
      <c r="E8" s="279">
        <f>E7/游戏产业数据!F10</f>
        <v>0.84952204748689486</v>
      </c>
      <c r="F8" s="279">
        <f>F7/游戏产业数据!G10</f>
        <v>0.81665590703679791</v>
      </c>
      <c r="G8" s="279">
        <f>G7/游戏产业数据!H10</f>
        <v>0.77060640546252634</v>
      </c>
      <c r="H8" s="279">
        <f>H7/游戏产业数据!I10</f>
        <v>0.82195121951219519</v>
      </c>
    </row>
    <row r="9" spans="1:13">
      <c r="A9" s="271"/>
      <c r="B9" s="271"/>
      <c r="G9" s="270"/>
    </row>
    <row r="10" spans="1:13">
      <c r="A10" s="275" t="s">
        <v>227</v>
      </c>
      <c r="B10" s="275"/>
      <c r="E10">
        <f>E5+E7</f>
        <v>1179</v>
      </c>
      <c r="F10">
        <f>F5+F7</f>
        <v>1284</v>
      </c>
      <c r="G10">
        <f>G5+G7</f>
        <v>1411</v>
      </c>
      <c r="H10">
        <f>H5+H7</f>
        <v>465.51</v>
      </c>
    </row>
    <row r="12" spans="1:13">
      <c r="A12" t="s">
        <v>229</v>
      </c>
      <c r="B12">
        <v>5</v>
      </c>
      <c r="C12">
        <v>6.97</v>
      </c>
      <c r="D12">
        <v>8.89</v>
      </c>
      <c r="E12">
        <v>9.89</v>
      </c>
      <c r="F12">
        <v>10.98</v>
      </c>
      <c r="G12">
        <v>11.648</v>
      </c>
    </row>
    <row r="13" spans="1:13">
      <c r="A13" t="s">
        <v>230</v>
      </c>
      <c r="B13">
        <v>5.76</v>
      </c>
      <c r="C13">
        <v>6.41</v>
      </c>
      <c r="D13">
        <v>6.52</v>
      </c>
      <c r="E13">
        <v>6.83</v>
      </c>
      <c r="F13">
        <v>6.99</v>
      </c>
      <c r="G13">
        <v>6.47</v>
      </c>
    </row>
    <row r="14" spans="1:13">
      <c r="A14" t="s">
        <v>231</v>
      </c>
      <c r="B14">
        <v>0.83699999999999997</v>
      </c>
      <c r="C14">
        <v>0.94599999999999995</v>
      </c>
      <c r="D14">
        <v>1.1000000000000001</v>
      </c>
      <c r="E14">
        <v>1.35</v>
      </c>
      <c r="F14">
        <v>1.6</v>
      </c>
      <c r="G14">
        <v>1.8</v>
      </c>
    </row>
    <row r="15" spans="1:13">
      <c r="A15" t="s">
        <v>232</v>
      </c>
      <c r="D15">
        <v>0.5</v>
      </c>
    </row>
  </sheetData>
  <pageMargins left="0.7" right="0.7" top="0.75" bottom="0.75" header="0.3" footer="0.3"/>
  <pageSetup paperSize="9" orientation="portrait" horizontalDpi="300" verticalDpi="300"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15D95-033C-4782-B96F-8E97469FAE5B}">
  <dimension ref="A1:H13"/>
  <sheetViews>
    <sheetView workbookViewId="0">
      <selection activeCell="B1" sqref="B1:G1"/>
    </sheetView>
  </sheetViews>
  <sheetFormatPr defaultRowHeight="14.5"/>
  <cols>
    <col min="1" max="1" width="23.08984375" bestFit="1" customWidth="1"/>
    <col min="7" max="7" width="9.81640625" bestFit="1" customWidth="1"/>
  </cols>
  <sheetData>
    <row r="1" spans="1:8" s="276" customFormat="1">
      <c r="B1" s="276">
        <v>2014</v>
      </c>
      <c r="C1" s="276">
        <v>2015</v>
      </c>
      <c r="D1" s="276">
        <v>2016</v>
      </c>
      <c r="E1" s="276">
        <v>2017</v>
      </c>
      <c r="F1" s="276">
        <v>2018</v>
      </c>
      <c r="G1" s="276">
        <v>2019</v>
      </c>
      <c r="H1" s="276" t="s">
        <v>224</v>
      </c>
    </row>
    <row r="2" spans="1:8" s="276" customFormat="1">
      <c r="A2" s="276" t="s">
        <v>239</v>
      </c>
      <c r="B2" s="276">
        <v>92.66</v>
      </c>
      <c r="C2" s="276">
        <v>173.14</v>
      </c>
      <c r="D2" s="276">
        <v>279.8</v>
      </c>
      <c r="E2" s="276">
        <v>362.82</v>
      </c>
      <c r="F2" s="276">
        <v>401.9</v>
      </c>
      <c r="G2" s="276">
        <v>464.23</v>
      </c>
    </row>
    <row r="3" spans="1:8" s="276" customFormat="1">
      <c r="A3" s="276" t="s">
        <v>240</v>
      </c>
      <c r="B3" s="276">
        <v>21.12</v>
      </c>
      <c r="C3" s="276">
        <v>53.94</v>
      </c>
      <c r="D3" s="276">
        <v>99.74</v>
      </c>
      <c r="E3" s="276">
        <v>134.72999999999999</v>
      </c>
      <c r="F3" s="276">
        <v>146.18</v>
      </c>
      <c r="G3" s="276">
        <v>169.74</v>
      </c>
    </row>
    <row r="4" spans="1:8" s="276" customFormat="1">
      <c r="A4" s="277" t="s">
        <v>247</v>
      </c>
      <c r="B4" s="276">
        <v>71.540000000000006</v>
      </c>
      <c r="C4" s="276">
        <v>119.21</v>
      </c>
      <c r="D4" s="276">
        <v>180.06</v>
      </c>
      <c r="E4" s="276">
        <v>228.08</v>
      </c>
      <c r="F4" s="276">
        <v>255.72</v>
      </c>
      <c r="G4" s="276">
        <v>294.48</v>
      </c>
    </row>
    <row r="5" spans="1:8" s="276" customFormat="1">
      <c r="A5" s="276" t="s">
        <v>244</v>
      </c>
      <c r="B5" s="282">
        <v>0.77200000000000002</v>
      </c>
      <c r="C5" s="282">
        <v>0.68799999999999994</v>
      </c>
      <c r="D5" s="282">
        <v>0.64400000000000002</v>
      </c>
      <c r="E5" s="282">
        <v>0.629</v>
      </c>
      <c r="F5" s="282">
        <v>0.63600000000000001</v>
      </c>
      <c r="G5" s="282">
        <v>0.63400000000000001</v>
      </c>
    </row>
    <row r="6" spans="1:8" s="276" customFormat="1">
      <c r="A6" s="276" t="s">
        <v>241</v>
      </c>
      <c r="E6" s="276">
        <v>323.70999999999998</v>
      </c>
      <c r="F6" s="276">
        <v>363.6</v>
      </c>
      <c r="G6" s="276">
        <v>419.7</v>
      </c>
    </row>
    <row r="7" spans="1:8" s="276" customFormat="1">
      <c r="A7" s="276" t="s">
        <v>242</v>
      </c>
      <c r="E7" s="276">
        <v>39.1</v>
      </c>
      <c r="F7" s="276">
        <v>38.299999999999997</v>
      </c>
      <c r="G7" s="276">
        <v>44.6</v>
      </c>
    </row>
    <row r="8" spans="1:8">
      <c r="A8" t="s">
        <v>238</v>
      </c>
      <c r="B8" s="283">
        <v>0.08</v>
      </c>
      <c r="C8" s="250">
        <v>0.45700000000000002</v>
      </c>
      <c r="D8" s="250">
        <v>0.61899999999999999</v>
      </c>
      <c r="E8" s="250">
        <v>0.70799999999999996</v>
      </c>
      <c r="F8" s="250">
        <v>0.71</v>
      </c>
      <c r="G8" s="250">
        <v>0.71399999999999997</v>
      </c>
    </row>
    <row r="9" spans="1:8" s="278" customFormat="1">
      <c r="A9" s="284" t="s">
        <v>248</v>
      </c>
      <c r="B9" s="284">
        <f t="shared" ref="B9:G9" si="0">B8*B2</f>
        <v>7.4127999999999998</v>
      </c>
      <c r="C9" s="284">
        <f t="shared" si="0"/>
        <v>79.124979999999994</v>
      </c>
      <c r="D9" s="284">
        <f t="shared" si="0"/>
        <v>173.1962</v>
      </c>
      <c r="E9" s="284">
        <f t="shared" si="0"/>
        <v>256.87655999999998</v>
      </c>
      <c r="F9" s="284">
        <f t="shared" si="0"/>
        <v>285.34899999999999</v>
      </c>
      <c r="G9" s="284">
        <f t="shared" si="0"/>
        <v>331.46021999999999</v>
      </c>
    </row>
    <row r="10" spans="1:8" s="278" customFormat="1">
      <c r="A10" s="279" t="s">
        <v>249</v>
      </c>
      <c r="B10" s="285">
        <f>B9/游戏产业数据!C7</f>
        <v>2.6965441978901421E-2</v>
      </c>
      <c r="C10" s="285">
        <f>C9/游戏产业数据!D7</f>
        <v>0.15376016323357947</v>
      </c>
      <c r="D10" s="285">
        <f>D9/游戏产业数据!E7</f>
        <v>0.211421142578125</v>
      </c>
      <c r="E10" s="285">
        <f>E9/游戏产业数据!F7</f>
        <v>0.22121646572511194</v>
      </c>
      <c r="F10" s="285">
        <f>F9/游戏产业数据!G7</f>
        <v>0.21301060017915796</v>
      </c>
      <c r="G10" s="285">
        <f>G9/游戏产业数据!H7</f>
        <v>0.20963899816583392</v>
      </c>
    </row>
    <row r="11" spans="1:8">
      <c r="A11" s="182" t="s">
        <v>245</v>
      </c>
      <c r="E11" s="250"/>
      <c r="F11" s="250"/>
      <c r="G11" s="276">
        <v>11592</v>
      </c>
    </row>
    <row r="12" spans="1:8">
      <c r="A12" s="195" t="s">
        <v>243</v>
      </c>
      <c r="E12" s="250">
        <v>8.7999999999999995E-2</v>
      </c>
      <c r="F12" s="250">
        <v>7.4999999999999997E-2</v>
      </c>
      <c r="G12" s="250">
        <v>7.4999999999999997E-2</v>
      </c>
    </row>
    <row r="13" spans="1:8">
      <c r="A13" s="182" t="s">
        <v>246</v>
      </c>
      <c r="E13" s="250">
        <v>0.53900000000000003</v>
      </c>
      <c r="F13" s="250">
        <v>0.39600000000000002</v>
      </c>
      <c r="G13" s="250">
        <v>0.36799999999999999</v>
      </c>
    </row>
  </sheetData>
  <pageMargins left="0.7" right="0.7" top="0.75" bottom="0.75" header="0.3" footer="0.3"/>
  <pageSetup paperSize="9"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91D94-0F67-4187-A73A-F5BABB4EE687}">
  <dimension ref="A1:G10"/>
  <sheetViews>
    <sheetView workbookViewId="0">
      <selection activeCell="K15" sqref="K15"/>
    </sheetView>
  </sheetViews>
  <sheetFormatPr defaultRowHeight="14.5"/>
  <cols>
    <col min="1" max="1" width="21.08984375" bestFit="1" customWidth="1"/>
  </cols>
  <sheetData>
    <row r="1" spans="1:7">
      <c r="B1" s="276">
        <v>2014</v>
      </c>
      <c r="C1" s="276">
        <v>2015</v>
      </c>
      <c r="D1" s="276">
        <v>2016</v>
      </c>
      <c r="E1" s="276">
        <v>2017</v>
      </c>
      <c r="F1" s="276">
        <v>2018</v>
      </c>
      <c r="G1" s="276">
        <v>2019</v>
      </c>
    </row>
    <row r="2" spans="1:7">
      <c r="A2" t="s">
        <v>252</v>
      </c>
      <c r="C2">
        <v>5.14</v>
      </c>
      <c r="D2">
        <v>16.39</v>
      </c>
      <c r="E2">
        <v>32.840000000000003</v>
      </c>
      <c r="F2">
        <v>55.82</v>
      </c>
      <c r="G2">
        <v>119.89</v>
      </c>
    </row>
    <row r="3" spans="1:7">
      <c r="A3" t="s">
        <v>256</v>
      </c>
      <c r="C3" s="250">
        <v>0.183</v>
      </c>
      <c r="D3" s="250">
        <v>0.61850000000000005</v>
      </c>
      <c r="E3" s="250">
        <v>0.76490000000000002</v>
      </c>
      <c r="F3" s="250">
        <v>0.8095</v>
      </c>
      <c r="G3" s="250">
        <v>0.87670000000000003</v>
      </c>
    </row>
    <row r="4" spans="1:7" s="278" customFormat="1">
      <c r="A4" s="278" t="s">
        <v>253</v>
      </c>
      <c r="C4" s="290">
        <f>C2/游戏产业数据!D7</f>
        <v>9.9883404586086268E-3</v>
      </c>
      <c r="D4" s="290">
        <f>D2/游戏产业数据!E7</f>
        <v>2.0007324218750001E-2</v>
      </c>
      <c r="E4" s="290">
        <f>E2/游戏产业数据!F7</f>
        <v>2.8281088529107823E-2</v>
      </c>
      <c r="F4" s="290">
        <f>F2/游戏产业数据!G7</f>
        <v>4.1669154971633329E-2</v>
      </c>
      <c r="G4" s="290">
        <f>G2/游戏产业数据!H7</f>
        <v>7.5826955916766817E-2</v>
      </c>
    </row>
    <row r="5" spans="1:7">
      <c r="D5" s="250"/>
      <c r="E5" s="250"/>
      <c r="F5" s="250"/>
      <c r="G5" s="250"/>
    </row>
    <row r="6" spans="1:7">
      <c r="A6" t="s">
        <v>254</v>
      </c>
      <c r="B6">
        <v>2.76</v>
      </c>
      <c r="C6">
        <v>36.700000000000003</v>
      </c>
      <c r="D6">
        <v>29.49</v>
      </c>
      <c r="E6">
        <v>22.99</v>
      </c>
      <c r="F6">
        <v>16.46</v>
      </c>
      <c r="G6">
        <v>12.32</v>
      </c>
    </row>
    <row r="7" spans="1:7">
      <c r="A7" t="s">
        <v>257</v>
      </c>
      <c r="B7" s="250">
        <v>0.68759999999999999</v>
      </c>
      <c r="C7" s="250">
        <v>0.62819999999999998</v>
      </c>
      <c r="D7" s="250">
        <v>0.7026</v>
      </c>
      <c r="E7" s="250">
        <v>0.66859999999999997</v>
      </c>
      <c r="F7" s="250">
        <v>0.71899999999999997</v>
      </c>
      <c r="G7" s="250">
        <v>0.75770000000000004</v>
      </c>
    </row>
    <row r="8" spans="1:7" s="278" customFormat="1">
      <c r="A8" s="278" t="s">
        <v>258</v>
      </c>
      <c r="B8" s="290">
        <f>B6/游戏产业数据!C13</f>
        <v>1.3616181549087321E-2</v>
      </c>
      <c r="C8" s="290">
        <f>C6/游戏产业数据!D13</f>
        <v>0.16712204007285977</v>
      </c>
      <c r="D8" s="290">
        <f>D6/游戏产业数据!E13</f>
        <v>0.15761624799572421</v>
      </c>
      <c r="E8" s="290">
        <f>E6/游戏产业数据!F13</f>
        <v>0.14737179487179486</v>
      </c>
      <c r="F8" s="290">
        <f>F6/游戏产业数据!G13</f>
        <v>0.13011857707509883</v>
      </c>
      <c r="G8" s="290">
        <f>G6/游戏产业数据!H13</f>
        <v>0.12482269503546099</v>
      </c>
    </row>
    <row r="9" spans="1:7">
      <c r="B9" s="250"/>
      <c r="C9" s="250"/>
      <c r="D9" s="250"/>
      <c r="E9" s="250"/>
      <c r="F9" s="250"/>
      <c r="G9" s="250"/>
    </row>
    <row r="10" spans="1:7">
      <c r="A10" t="s">
        <v>255</v>
      </c>
      <c r="F10">
        <v>1379</v>
      </c>
      <c r="G10">
        <v>1582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结论</vt:lpstr>
      <vt:lpstr>本公司数据</vt:lpstr>
      <vt:lpstr>历史估值</vt:lpstr>
      <vt:lpstr>公司分部</vt:lpstr>
      <vt:lpstr>股东持股</vt:lpstr>
      <vt:lpstr>游戏产业数据</vt:lpstr>
      <vt:lpstr>腾讯</vt:lpstr>
      <vt:lpstr>网易</vt:lpstr>
      <vt:lpstr>三七互娱</vt:lpstr>
      <vt:lpstr>财务数据 最新</vt:lpstr>
      <vt:lpstr>经营指标对比</vt:lpstr>
      <vt:lpstr>可转债</vt:lpstr>
      <vt:lpstr>子公司们</vt:lpstr>
      <vt:lpstr>诉讼</vt:lpstr>
      <vt:lpstr>员工持股计划</vt:lpstr>
      <vt:lpstr>d长期应收</vt:lpstr>
      <vt:lpstr>非财务数据</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pearl</cp:lastModifiedBy>
  <dcterms:created xsi:type="dcterms:W3CDTF">2016-04-10T06:13:00Z</dcterms:created>
  <dcterms:modified xsi:type="dcterms:W3CDTF">2020-08-15T07:57:47Z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y fmtid="{D5CDD505-2E9C-101B-9397-08002B2CF9AE}" pid="3" name="EM_Doc_Temp_ID">
    <vt:lpwstr>b056a912</vt:lpwstr>
  </property>
</Properties>
</file>