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20490" windowHeight="8295" tabRatio="562"/>
  </bookViews>
  <sheets>
    <sheet name="Setup" sheetId="7" r:id="rId1"/>
    <sheet name="Variables" sheetId="2" r:id="rId2"/>
    <sheet name="Outputs" sheetId="12" r:id="rId3"/>
    <sheet name="Lookups" sheetId="11" r:id="rId4"/>
  </sheets>
  <definedNames>
    <definedName name="_xlnm._FilterDatabase" localSheetId="2" hidden="1">Outputs!$A$2:$H$3</definedName>
    <definedName name="_xlnm._FilterDatabase" localSheetId="1" hidden="1">Variables!$A$2:$AA$3</definedName>
    <definedName name="AnalysisType">Lookups!$A$19:$A$29</definedName>
    <definedName name="instance_defs">Lookups!$A$2:$E$10</definedName>
    <definedName name="instance_types">Lookups!$A$2:$A$10</definedName>
    <definedName name="nsga">Lookups!$R$20:$S$27</definedName>
    <definedName name="nsga_nrel">Lookups!$R$20:$S$27</definedName>
    <definedName name="optim">Lookups!$L$19:$M$24</definedName>
    <definedName name="rgenoud">Lookups!$O$19:$P$30</definedName>
    <definedName name="samplemethod">Lookups!$A$14:$A$16</definedName>
    <definedName name="SensitivityType">Lookups!$A$14:$A$15</definedName>
    <definedName name="sentivity">Lookups!$A$14:$A$15</definedName>
    <definedName name="simulate_data_point">Lookups!$G$14</definedName>
    <definedName name="TrueFalse">Lookups!$C$14:$C$15</definedName>
    <definedName name="Workflow">Lookups!$E$14:$E$15</definedName>
  </definedNames>
  <calcPr calcId="145621"/>
</workbook>
</file>

<file path=xl/calcChain.xml><?xml version="1.0" encoding="utf-8"?>
<calcChain xmlns="http://schemas.openxmlformats.org/spreadsheetml/2006/main">
  <c r="B23" i="7" l="1"/>
  <c r="B24" i="7"/>
  <c r="B36" i="7"/>
  <c r="B35" i="7"/>
  <c r="B34" i="7"/>
  <c r="B33" i="7"/>
  <c r="B32" i="7"/>
  <c r="B31" i="7"/>
  <c r="B30" i="7"/>
  <c r="B29" i="7"/>
  <c r="B28" i="7"/>
  <c r="B27" i="7"/>
  <c r="B26" i="7"/>
  <c r="B25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E7" i="7"/>
  <c r="E9" i="7" s="1"/>
  <c r="E8" i="7"/>
  <c r="C8" i="7"/>
  <c r="C7" i="7"/>
  <c r="D8" i="7"/>
  <c r="D7" i="7"/>
</calcChain>
</file>

<file path=xl/sharedStrings.xml><?xml version="1.0" encoding="utf-8"?>
<sst xmlns="http://schemas.openxmlformats.org/spreadsheetml/2006/main" count="333" uniqueCount="259">
  <si>
    <t>type</t>
  </si>
  <si>
    <t># Variable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</si>
  <si>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</si>
  <si>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</si>
  <si>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</si>
  <si>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</si>
  <si>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</si>
  <si>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</si>
  <si>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</si>
  <si>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</si>
  <si>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</si>
  <si>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</si>
  <si>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</si>
  <si>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</si>
  <si>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</si>
  <si>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</si>
  <si>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</si>
  <si>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</si>
  <si>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</si>
  <si>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</si>
  <si>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</si>
  <si>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</si>
  <si>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</si>
  <si>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</si>
  <si>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</si>
  <si>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</si>
  <si>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</si>
  <si>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</si>
  <si>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</si>
  <si>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</si>
  <si>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</si>
  <si>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</si>
  <si>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</si>
  <si>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</si>
  <si>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</si>
  <si>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</si>
  <si>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</si>
  <si>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OSM</t>
  </si>
  <si>
    <t>Parameter Display Name (will make machine name)</t>
  </si>
  <si>
    <t>Other Notes</t>
  </si>
  <si>
    <t>RubyMeasure</t>
  </si>
  <si>
    <t>Static/Default Value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</si>
  <si>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</si>
  <si>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</si>
  <si>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</si>
  <si>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</si>
  <si>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</si>
  <si>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</si>
  <si>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</si>
  <si>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</si>
  <si>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</si>
  <si>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</si>
  <si>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</si>
  <si>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</si>
  <si>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</si>
  <si>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</si>
  <si>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</si>
  <si>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You can change the identifier (which becomes the file name for the zip and json file) and the seed model location.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</si>
  <si>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</si>
  <si>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</si>
  <si>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</si>
  <si>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</si>
  <si>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</si>
  <si>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</si>
  <si>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</si>
  <si>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</si>
  <si>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</si>
  <si>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</si>
  <si>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</si>
  <si>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</si>
  <si>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Simulate Data Point Filename</t>
  </si>
  <si>
    <t>simulate_data_point.rb</t>
  </si>
  <si>
    <t>Run Data Point Filename</t>
  </si>
  <si>
    <t>Outputs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</si>
  <si>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</si>
  <si>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</si>
  <si>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</si>
  <si>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</si>
  <si>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</si>
  <si>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</si>
  <si>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</si>
  <si>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</si>
  <si>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</si>
  <si>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</si>
  <si>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</si>
  <si>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</si>
  <si>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</si>
  <si>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</si>
  <si>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</si>
  <si>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delta_x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</si>
  <si>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</si>
  <si>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</si>
  <si>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</si>
  <si>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</si>
  <si>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</si>
  <si>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</si>
  <si>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</si>
  <si>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</si>
  <si>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</si>
  <si>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</si>
  <si>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</si>
  <si>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</si>
  <si>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</si>
  <si>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</si>
  <si>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</si>
  <si>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</si>
  <si>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</si>
  <si>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</si>
  <si>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</si>
  <si>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</si>
  <si>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</si>
  <si>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</si>
  <si>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</si>
  <si>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</si>
  <si>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</si>
  <si>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</si>
  <si>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</si>
  <si>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</si>
  <si>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</si>
  <si>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</si>
  <si>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</si>
  <si>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</si>
  <si>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</si>
  <si>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</si>
  <si>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</si>
  <si>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</si>
  <si>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</si>
  <si>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</si>
  <si>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</si>
  <si>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</si>
  <si>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</si>
  <si>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</si>
  <si>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</si>
  <si>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</si>
  <si>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</si>
  <si>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</si>
  <si>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</si>
  <si>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</si>
  <si>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</si>
  <si>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</si>
  <si>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</si>
  <si>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</si>
  <si>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</si>
  <si>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</si>
  <si>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</si>
  <si>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</si>
  <si>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</si>
  <si>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</si>
  <si>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>Use a minimum of 2 cores for server.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</si>
  <si>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</si>
  <si>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</si>
  <si>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</si>
  <si>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</si>
  <si>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</si>
  <si>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</si>
  <si>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>Relative to this spreadsheet or absolute path</t>
  </si>
  <si>
    <t>Path (relative to this spreadsheet or absolute path)</t>
  </si>
  <si>
    <t>Files to include (relative to this spreadsheet or absolute path). If a directory then it will include all subfolders and files</t>
  </si>
  <si>
    <t>Taxonomy Identifier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</si>
  <si>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</si>
  <si>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</si>
  <si>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</si>
  <si>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</si>
  <si>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</si>
  <si>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</si>
  <si>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</si>
  <si>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Machine Name thats Link to Dencity Taxonomy</t>
  </si>
  <si>
    <t>Measure/Variable Unique Name</t>
  </si>
  <si>
    <t>double, integer, bool</t>
  </si>
  <si>
    <t>double</t>
  </si>
  <si>
    <t>integer</t>
  </si>
  <si>
    <t>Parameter Short Display Name</t>
  </si>
  <si>
    <t>Short Display Name</t>
  </si>
  <si>
    <t>Short display names are used for plots and exported to metadata</t>
  </si>
  <si>
    <t>m3.medium</t>
  </si>
  <si>
    <t>1 Cores</t>
  </si>
  <si>
    <t>$0.07/hour</t>
  </si>
  <si>
    <t>4 GB</t>
  </si>
  <si>
    <t>32 GB</t>
  </si>
  <si>
    <t>40 GB</t>
  </si>
  <si>
    <t>80 GB</t>
  </si>
  <si>
    <t>16 GB</t>
  </si>
  <si>
    <t>160 GB</t>
  </si>
  <si>
    <t>32 Cores</t>
  </si>
  <si>
    <t>320 GB</t>
  </si>
  <si>
    <t>Use only for cluster configuration testing</t>
  </si>
  <si>
    <t>Recommended for Server</t>
  </si>
  <si>
    <t>Storage</t>
  </si>
  <si>
    <t>Total Cost</t>
  </si>
  <si>
    <t>Can be used as worker</t>
  </si>
  <si>
    <t>Recommended for worker</t>
  </si>
  <si>
    <t>AWS Tag</t>
  </si>
  <si>
    <t>org=5500</t>
  </si>
  <si>
    <t>Add extra tags to your instances (key=value). Add another line if you need another tag.</t>
  </si>
  <si>
    <t>Worker Initialization Scripts - Name</t>
  </si>
  <si>
    <t>Path (relative or absolute) to local script</t>
  </si>
  <si>
    <t>Arguments (in the form of an array ["19837,"z",{b: 'something'}])</t>
  </si>
  <si>
    <t>These scripts will be executed in this order on each worker node when it is initialized.  These can be used to download any analysis-wide files such as BCL data, utility data, etc. Name is arbitary, but a name must exist to include the line.</t>
  </si>
  <si>
    <t>Worker Finalization Scripts - Name</t>
  </si>
  <si>
    <t>Path (relative or absolute) to local script)</t>
  </si>
  <si>
    <t>These scripts will be executed in this order on each worker node when it is finalized. Can be used to push all the results of the anlaysis to a specific location. Name is arbitary, but a name must exist to include the line.</t>
  </si>
  <si>
    <t>Number of worker nodes to start. This can be zero for testing purposes (all simulations will be run on the server node).</t>
  </si>
  <si>
    <t>0.4.2</t>
  </si>
  <si>
    <t>single_run</t>
  </si>
  <si>
    <t>repeat_run</t>
  </si>
  <si>
    <t>Number of Runs</t>
  </si>
  <si>
    <t>Exit On Guideline14</t>
  </si>
  <si>
    <t>0 false / 1 true (for use with calibration report)</t>
  </si>
  <si>
    <t>doe</t>
  </si>
  <si>
    <t>positive integer (this discretizes a continous variable)</t>
  </si>
  <si>
    <t>full_factorial</t>
  </si>
  <si>
    <t>balance</t>
  </si>
  <si>
    <t>0 false / 1 true (load balancing)</t>
  </si>
  <si>
    <t>gradientcheck</t>
  </si>
  <si>
    <t>0 false / 1 true</t>
  </si>
  <si>
    <t>toursize</t>
  </si>
  <si>
    <t>Tournament Size</t>
  </si>
  <si>
    <t>Experiment Type</t>
  </si>
  <si>
    <t>baseline_perturbation</t>
  </si>
  <si>
    <t>in_measure_combinations</t>
  </si>
  <si>
    <t>(TRUE/FALSE) Run full factorial search over in-measure variable combinations</t>
  </si>
  <si>
    <t>include_baseline_in_combinations</t>
  </si>
  <si>
    <t>(TRUE/FALSE) If in_measure_combinations are TRUE, sets if static values be included in combinations</t>
  </si>
  <si>
    <t>morris</t>
  </si>
  <si>
    <t>r</t>
  </si>
  <si>
    <t>levels</t>
  </si>
  <si>
    <t>grid_jump</t>
  </si>
  <si>
    <t>oat</t>
  </si>
  <si>
    <t>integer specifying the number of levels of the design</t>
  </si>
  <si>
    <t>integer giving the number of repetitions of the design</t>
  </si>
  <si>
    <t>shorowit</t>
  </si>
  <si>
    <t>empty seed</t>
  </si>
  <si>
    <t>res_stock</t>
  </si>
  <si>
    <t>string</t>
  </si>
  <si>
    <t>../measures</t>
  </si>
  <si>
    <t>../seeds/EmptySeedModel.osm</t>
  </si>
  <si>
    <t>ReportingMeasure</t>
  </si>
  <si>
    <t>../results/pnw</t>
  </si>
  <si>
    <t>1.15.7-resstock</t>
  </si>
  <si>
    <t>ServerDirectoryCleanup</t>
  </si>
  <si>
    <t>Server Directory Cleanup</t>
  </si>
  <si>
    <t>existing_results</t>
  </si>
  <si>
    <t>Directory</t>
  </si>
  <si>
    <t>Rebuild Existing Models</t>
  </si>
  <si>
    <t>RebuildExistingModel</t>
  </si>
  <si>
    <t>Sample Value</t>
  </si>
  <si>
    <t>sample_value</t>
  </si>
  <si>
    <t>variable</t>
  </si>
  <si>
    <t>uniform</t>
  </si>
  <si>
    <t>ResStock Upgrades</t>
  </si>
  <si>
    <t>Set Res Stock Mode - Pacific Northwest</t>
  </si>
  <si>
    <t>SetResStockMode</t>
  </si>
  <si>
    <t>Res Stock Mode</t>
  </si>
  <si>
    <t>res_stock_mode</t>
  </si>
  <si>
    <t>pnw</t>
  </si>
  <si>
    <t>resources</t>
  </si>
  <si>
    <t>../resources/</t>
  </si>
  <si>
    <t>../weather/pnw/*.*</t>
  </si>
  <si>
    <t>../results/pnw/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</si>
</sst>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scheme val="minor"/>
    </font>
    <font>
      <sz val="12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C5D9F1"/>
        <bgColor rgb="FF000000"/>
      </patternFill>
    </fill>
    <fill>
      <patternFill patternType="solid">
        <fgColor rgb="FFEBF1DE"/>
        <bgColor rgb="FF000000"/>
      </patternFill>
    </fill>
    <fill>
      <patternFill patternType="solid">
        <fgColor rgb="FFE26B0A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D8E4BC"/>
        <bgColor rgb="FF000000"/>
      </patternFill>
    </fill>
    <fill>
      <patternFill patternType="solid">
        <fgColor rgb="FFDAEEF3"/>
        <bgColor rgb="FF000000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150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9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3" fillId="2" borderId="0" xfId="0" applyFont="1" applyFill="1" applyAlignment="1">
      <alignment wrapText="1"/>
    </xf>
    <xf numFmtId="0" fontId="5" fillId="0" borderId="0" xfId="0" applyFont="1"/>
    <xf numFmtId="0" fontId="0" fillId="0" borderId="0" xfId="0" applyAlignment="1">
      <alignment horizontal="right"/>
    </xf>
    <xf numFmtId="0" fontId="0" fillId="4" borderId="0" xfId="0" applyFill="1"/>
    <xf numFmtId="0" fontId="0" fillId="4" borderId="0" xfId="0" applyFill="1" applyAlignment="1">
      <alignment wrapText="1"/>
    </xf>
    <xf numFmtId="0" fontId="0" fillId="5" borderId="0" xfId="0" applyFill="1"/>
    <xf numFmtId="0" fontId="6" fillId="0" borderId="0" xfId="0" applyFont="1"/>
    <xf numFmtId="0" fontId="0" fillId="5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4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5" borderId="0" xfId="0" applyFill="1" applyAlignment="1">
      <alignment horizontal="left" wrapText="1"/>
    </xf>
    <xf numFmtId="0" fontId="0" fillId="5" borderId="0" xfId="0" applyFill="1" applyAlignment="1">
      <alignment horizontal="right" wrapText="1"/>
    </xf>
    <xf numFmtId="0" fontId="6" fillId="6" borderId="0" xfId="0" applyFont="1" applyFill="1"/>
    <xf numFmtId="0" fontId="7" fillId="6" borderId="0" xfId="0" applyFont="1" applyFill="1"/>
    <xf numFmtId="0" fontId="7" fillId="7" borderId="0" xfId="0" applyFont="1" applyFill="1"/>
    <xf numFmtId="0" fontId="7" fillId="8" borderId="0" xfId="0" applyFont="1" applyFill="1"/>
    <xf numFmtId="0" fontId="4" fillId="10" borderId="0" xfId="0" applyFont="1" applyFill="1"/>
    <xf numFmtId="0" fontId="4" fillId="10" borderId="0" xfId="0" applyFont="1" applyFill="1" applyAlignment="1">
      <alignment wrapText="1"/>
    </xf>
    <xf numFmtId="0" fontId="4" fillId="10" borderId="0" xfId="0" applyFont="1" applyFill="1" applyAlignment="1">
      <alignment horizontal="center" wrapText="1"/>
    </xf>
    <xf numFmtId="0" fontId="4" fillId="10" borderId="0" xfId="0" applyFont="1" applyFill="1" applyAlignment="1">
      <alignment horizontal="left" wrapText="1"/>
    </xf>
    <xf numFmtId="0" fontId="4" fillId="10" borderId="0" xfId="0" applyFont="1" applyFill="1" applyAlignment="1">
      <alignment horizontal="right" wrapText="1"/>
    </xf>
    <xf numFmtId="0" fontId="6" fillId="11" borderId="0" xfId="0" applyFont="1" applyFill="1"/>
    <xf numFmtId="0" fontId="0" fillId="3" borderId="1" xfId="0" applyFill="1" applyBorder="1" applyAlignment="1">
      <alignment horizontal="left" wrapText="1"/>
    </xf>
    <xf numFmtId="0" fontId="0" fillId="3" borderId="0" xfId="0" applyFill="1"/>
    <xf numFmtId="0" fontId="5" fillId="11" borderId="0" xfId="0" applyFont="1" applyFill="1"/>
    <xf numFmtId="0" fontId="8" fillId="3" borderId="0" xfId="0" applyFont="1" applyFill="1"/>
    <xf numFmtId="0" fontId="8" fillId="3" borderId="0" xfId="0" applyFont="1" applyFill="1" applyAlignment="1"/>
    <xf numFmtId="0" fontId="0" fillId="0" borderId="0" xfId="0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Fill="1" applyBorder="1"/>
    <xf numFmtId="0" fontId="5" fillId="12" borderId="0" xfId="0" applyFont="1" applyFill="1"/>
    <xf numFmtId="0" fontId="6" fillId="12" borderId="0" xfId="0" applyFont="1" applyFill="1"/>
    <xf numFmtId="0" fontId="6" fillId="0" borderId="0" xfId="0" applyFont="1" applyFill="1"/>
    <xf numFmtId="0" fontId="7" fillId="9" borderId="0" xfId="0" applyFont="1" applyFill="1" applyAlignment="1">
      <alignment horizontal="center"/>
    </xf>
  </cellXfs>
  <cellStyles count="150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"/>
  <sheetViews>
    <sheetView tabSelected="1" workbookViewId="0">
      <selection activeCell="B10" sqref="B10"/>
    </sheetView>
  </sheetViews>
  <sheetFormatPr defaultColWidth="10.7109375" defaultRowHeight="15" x14ac:dyDescent="0.25"/>
  <cols>
    <col min="1" max="1" width="25.7109375" style="1" customWidth="1"/>
    <col min="2" max="2" width="42.7109375" style="17" bestFit="1" customWidth="1"/>
    <col min="3" max="3" width="44.7109375" style="1" customWidth="1"/>
    <col min="4" max="5" width="33.140625" style="2" customWidth="1"/>
    <col min="6" max="6" width="61.7109375" style="1" customWidth="1"/>
    <col min="7" max="16384" width="10.7109375" style="1"/>
  </cols>
  <sheetData>
    <row r="1" spans="1:6" ht="14.45" x14ac:dyDescent="0.3">
      <c r="A1" s="12"/>
      <c r="B1" s="19"/>
      <c r="C1" s="12"/>
      <c r="D1" s="13"/>
      <c r="E1" s="13"/>
      <c r="F1" s="13" t="s">
        <v>4</v>
      </c>
    </row>
    <row r="2" spans="1:6" s="7" customFormat="1" ht="14.45" x14ac:dyDescent="0.3">
      <c r="A2" s="6" t="s">
        <v>42</v>
      </c>
      <c r="B2" s="18"/>
      <c r="C2" s="8"/>
      <c r="D2" s="8"/>
      <c r="E2" s="8"/>
      <c r="F2" s="8"/>
    </row>
    <row r="3" spans="1:6" ht="14.45" x14ac:dyDescent="0.3">
      <c r="A3" s="1" t="s">
        <v>43</v>
      </c>
      <c r="B3" s="17" t="s">
        <v>202</v>
      </c>
      <c r="F3" s="1" t="s">
        <v>44</v>
      </c>
    </row>
    <row r="4" spans="1:6" ht="30" x14ac:dyDescent="0.25">
      <c r="A4" s="1" t="s">
        <v>64</v>
      </c>
      <c r="B4" s="16" t="s">
        <v>230</v>
      </c>
      <c r="F4" s="2" t="s">
        <v>65</v>
      </c>
    </row>
    <row r="5" spans="1:6" ht="75" x14ac:dyDescent="0.25">
      <c r="A5" s="1" t="s">
        <v>74</v>
      </c>
      <c r="B5" s="42" t="s">
        <v>238</v>
      </c>
      <c r="F5" s="2" t="s">
        <v>154</v>
      </c>
    </row>
    <row r="6" spans="1:6" ht="46.15" customHeight="1" x14ac:dyDescent="0.25">
      <c r="A6" s="1" t="s">
        <v>75</v>
      </c>
      <c r="B6" s="16" t="s">
        <v>232</v>
      </c>
      <c r="F6" s="2" t="s">
        <v>77</v>
      </c>
    </row>
    <row r="7" spans="1:6" x14ac:dyDescent="0.25">
      <c r="A7" s="1" t="s">
        <v>49</v>
      </c>
      <c r="B7" s="43" t="s">
        <v>146</v>
      </c>
      <c r="C7" s="23" t="str">
        <f>VLOOKUP($B7,instance_defs,5,FALSE)</f>
        <v>Recommended for worker</v>
      </c>
      <c r="D7" s="23" t="str">
        <f>VLOOKUP($B7,instance_defs,2,FALSE)&amp;" with "&amp;VLOOKUP($B7,instance_defs,4,FALSE)</f>
        <v>32 Cores with 320 GB</v>
      </c>
      <c r="E7" s="23" t="str">
        <f>VLOOKUP($B7,instance_defs,3,FALSE)</f>
        <v>$1.68/hour</v>
      </c>
      <c r="F7" s="1" t="s">
        <v>148</v>
      </c>
    </row>
    <row r="8" spans="1:6" ht="30" x14ac:dyDescent="0.25">
      <c r="A8" s="1" t="s">
        <v>50</v>
      </c>
      <c r="B8" s="16" t="s">
        <v>146</v>
      </c>
      <c r="C8" s="23" t="str">
        <f>VLOOKUP($B8,instance_defs,5,FALSE)</f>
        <v>Recommended for worker</v>
      </c>
      <c r="D8" s="23" t="str">
        <f>VLOOKUP($B8,instance_defs,2,FALSE)&amp;" with "&amp;VLOOKUP($B8,instance_defs,4,FALSE)</f>
        <v>32 Cores with 320 GB</v>
      </c>
      <c r="E8" s="23" t="str">
        <f>VLOOKUP($B8,instance_defs,3,FALSE)</f>
        <v>$1.68/hour</v>
      </c>
      <c r="F8" s="2" t="s">
        <v>51</v>
      </c>
    </row>
    <row r="9" spans="1:6" ht="30" x14ac:dyDescent="0.25">
      <c r="A9" s="1" t="s">
        <v>66</v>
      </c>
      <c r="B9" s="16">
        <v>4</v>
      </c>
      <c r="C9" s="3"/>
      <c r="D9" s="23" t="s">
        <v>188</v>
      </c>
      <c r="E9" s="23" t="str">
        <f>"$"&amp;VALUE(LEFT(E7,5))+B9*VALUE(LEFT(E8,5))&amp;"/hour"</f>
        <v>$8.4/hour</v>
      </c>
      <c r="F9" s="2" t="s">
        <v>201</v>
      </c>
    </row>
    <row r="10" spans="1:6" s="22" customFormat="1" ht="30" x14ac:dyDescent="0.25">
      <c r="A10" s="22" t="s">
        <v>191</v>
      </c>
      <c r="B10" s="16" t="s">
        <v>192</v>
      </c>
      <c r="C10" s="3"/>
      <c r="D10" s="23"/>
      <c r="E10" s="23"/>
      <c r="F10" s="2" t="s">
        <v>193</v>
      </c>
    </row>
    <row r="12" spans="1:6" s="7" customFormat="1" x14ac:dyDescent="0.25">
      <c r="A12" s="6" t="s">
        <v>24</v>
      </c>
      <c r="B12" s="18"/>
      <c r="C12" s="6"/>
      <c r="D12" s="8"/>
      <c r="E12" s="8"/>
      <c r="F12" s="8"/>
    </row>
    <row r="13" spans="1:6" x14ac:dyDescent="0.25">
      <c r="A13" s="1" t="s">
        <v>35</v>
      </c>
      <c r="B13" s="16" t="s">
        <v>249</v>
      </c>
      <c r="F13" s="1" t="s">
        <v>76</v>
      </c>
    </row>
    <row r="14" spans="1:6" x14ac:dyDescent="0.25">
      <c r="A14" s="1" t="s">
        <v>21</v>
      </c>
      <c r="B14" s="16" t="s">
        <v>234</v>
      </c>
      <c r="F14" s="22" t="s">
        <v>155</v>
      </c>
    </row>
    <row r="15" spans="1:6" x14ac:dyDescent="0.25">
      <c r="A15" s="1" t="s">
        <v>22</v>
      </c>
      <c r="B15" s="16" t="s">
        <v>237</v>
      </c>
      <c r="F15" s="22" t="s">
        <v>155</v>
      </c>
    </row>
    <row r="16" spans="1:6" x14ac:dyDescent="0.25">
      <c r="A16" s="1" t="s">
        <v>70</v>
      </c>
      <c r="B16" s="17" t="s">
        <v>71</v>
      </c>
      <c r="F16" s="1" t="s">
        <v>44</v>
      </c>
    </row>
    <row r="17" spans="1:6" x14ac:dyDescent="0.25">
      <c r="A17" s="1" t="s">
        <v>72</v>
      </c>
      <c r="B17" s="17" t="s">
        <v>88</v>
      </c>
      <c r="F17" s="1" t="s">
        <v>44</v>
      </c>
    </row>
    <row r="19" spans="1:6" s="2" customFormat="1" ht="60" x14ac:dyDescent="0.25">
      <c r="A19" s="6" t="s">
        <v>23</v>
      </c>
      <c r="B19" s="18" t="s">
        <v>149</v>
      </c>
      <c r="C19" s="6"/>
      <c r="D19" s="6"/>
      <c r="E19" s="6"/>
      <c r="F19" s="8" t="s">
        <v>63</v>
      </c>
    </row>
    <row r="20" spans="1:6" x14ac:dyDescent="0.25">
      <c r="A20" s="1" t="s">
        <v>59</v>
      </c>
      <c r="B20" s="16" t="s">
        <v>14</v>
      </c>
    </row>
    <row r="21" spans="1:6" s="22" customFormat="1" x14ac:dyDescent="0.25">
      <c r="B21" s="17"/>
      <c r="D21" s="2"/>
      <c r="E21" s="2"/>
    </row>
    <row r="22" spans="1:6" s="2" customFormat="1" ht="60" x14ac:dyDescent="0.25">
      <c r="A22" s="6" t="s">
        <v>58</v>
      </c>
      <c r="B22" s="18" t="s">
        <v>152</v>
      </c>
      <c r="C22" s="6" t="s">
        <v>150</v>
      </c>
      <c r="D22" s="6" t="s">
        <v>151</v>
      </c>
      <c r="E22" s="6"/>
      <c r="F22" s="8" t="s">
        <v>63</v>
      </c>
    </row>
    <row r="23" spans="1:6" ht="30.75" customHeight="1" x14ac:dyDescent="0.25">
      <c r="A23" s="22" t="str">
        <f>IF(LEN(INDEX(Lookups!$C$19:$AI$28,1,3*MATCH(Setup!$B20,Lookups!$A$19:$A$30,0)-2))=0,"",INDEX(Lookups!$C$19:$AI$28,1,3*MATCH(Setup!$B20,Lookups!$A$19:$A$30,0)-2))</f>
        <v>Sample Method</v>
      </c>
      <c r="B23" s="17" t="str">
        <f>IF(D23&lt;&gt;"",D23,IF(LEN(INDEX(Lookups!$C$19:$AI$28,1,3*MATCH(Setup!$B20,Lookups!$A$19:$A$30,0)-1))=0,"",INDEX(Lookups!$C$19:$AI$28,1,3*MATCH(Setup!$B20,Lookups!$A$19:$A$30,0)-1)))</f>
        <v>all_variables</v>
      </c>
      <c r="C23" s="24" t="str">
        <f>IF(LEN(INDEX(Lookups!$C$19:$AI$28,1,3*MATCH(Setup!$B20,Lookups!$A$19:$A$30,0)))=0,"",INDEX(Lookups!$C$19:$AI$28,1,3*MATCH(Setup!$B20,Lookups!$A$19:$A$29,0)))</f>
        <v>individual_variables / all_variables</v>
      </c>
      <c r="D23" s="26" t="s">
        <v>60</v>
      </c>
      <c r="E23" s="22"/>
    </row>
    <row r="24" spans="1:6" ht="46.5" customHeight="1" x14ac:dyDescent="0.25">
      <c r="A24" s="22" t="str">
        <f>IF(LEN(INDEX(Lookups!$C$19:$AI$28,2,3*MATCH(Setup!$B20,Lookups!$A$19:$A$30,0)-2))=0,"",INDEX(Lookups!$C$19:$AI$28,2,3*MATCH(Setup!$B20,Lookups!$A$19:$A$30,0)-2))</f>
        <v>Number of Samples</v>
      </c>
      <c r="B24" s="17">
        <f>IF(D24&lt;&gt;"",D24,IF(LEN(INDEX(Lookups!$C$19:$AI$28,2,3*MATCH(Setup!$B20,Lookups!$A$19:$A$30,0)-1))=0,"",INDEX(Lookups!$C$19:$AI$28,2,3*MATCH(Setup!$B20,Lookups!$A$19:$A$30,0)-1)))</f>
        <v>10000</v>
      </c>
      <c r="C24" s="24" t="str">
        <f>IF(LEN(INDEX(Lookups!$C$19:$AI$28,2,3*MATCH(Setup!$B20,Lookups!$A$19:$A$30,0)))=0,"",INDEX(Lookups!$C$19:$AI$28,2,3*MATCH(Setup!$B20,Lookups!$A$19:$A$29,0)))</f>
        <v>positive integer (if individual, total simulations is this times each variable)</v>
      </c>
      <c r="D24" s="26">
        <v>10000</v>
      </c>
      <c r="E24" s="22"/>
    </row>
    <row r="25" spans="1:6" x14ac:dyDescent="0.25">
      <c r="A25" s="22" t="str">
        <f>IF(LEN(INDEX(Lookups!$C$19:$AI$28,3,3*MATCH(Setup!$B20,Lookups!$A$19:$A$30,0)-2))=0,"",INDEX(Lookups!$C$19:$AI$28,3,3*MATCH(Setup!$B20,Lookups!$A$19:$A$30,0)-2))</f>
        <v/>
      </c>
      <c r="B25" s="17" t="str">
        <f>IF(D25&lt;&gt;"",D25,IF(LEN(INDEX(Lookups!$C$19:$AI$28,3,3*MATCH(Setup!$B20,Lookups!$A$19:$A$30,0)-1))=0,"",INDEX(Lookups!$C$19:$AI$28,3,3*MATCH(Setup!$B20,Lookups!$A$19:$A$30,0)-1)))</f>
        <v/>
      </c>
      <c r="C25" s="24" t="str">
        <f>IF(LEN(INDEX(Lookups!$C$19:$AI$28,3,3*MATCH(Setup!$B20,Lookups!$A$19:$A$30,0)))=0,"",INDEX(Lookups!$C$19:$AI$28,3,3*MATCH(Setup!$B20,Lookups!$A$19:$A$29,0)))</f>
        <v/>
      </c>
      <c r="D25" s="26"/>
      <c r="E25" s="22"/>
    </row>
    <row r="26" spans="1:6" s="22" customFormat="1" x14ac:dyDescent="0.25">
      <c r="A26" s="22" t="str">
        <f>IF(LEN(INDEX(Lookups!$C$19:$AI$28,4,3*MATCH(Setup!$B20,Lookups!$A$19:$A$30,0)-2))=0,"",INDEX(Lookups!$C$19:$AI$28,4,3*MATCH(Setup!$B20,Lookups!$A$19:$A$30,0)-2))</f>
        <v/>
      </c>
      <c r="B26" s="17" t="str">
        <f>IF(D26&lt;&gt;"",D26,IF(LEN(INDEX(Lookups!$C$19:$AI$28,4,3*MATCH(Setup!$B20,Lookups!$A$19:$A$30,0)-1))=0,"",INDEX(Lookups!$C$19:$AI$28,4,3*MATCH(Setup!$B20,Lookups!$A$19:$A$30,0)-1)))</f>
        <v/>
      </c>
      <c r="C26" s="24" t="str">
        <f>IF(LEN(INDEX(Lookups!$C$19:$AI$28,4,3*MATCH(Setup!$B20,Lookups!$A$19:$A$30,0)))=0,"",INDEX(Lookups!$C$19:$AI$28,4,3*MATCH(Setup!$B20,Lookups!$A$19:$A$29,0)))</f>
        <v/>
      </c>
      <c r="D26" s="26"/>
    </row>
    <row r="27" spans="1:6" s="22" customFormat="1" x14ac:dyDescent="0.25">
      <c r="A27" s="22" t="str">
        <f>IF(LEN(INDEX(Lookups!$C$19:$AI$28,5,3*MATCH(Setup!$B20,Lookups!$A$19:$A$30,0)-2))=0,"",INDEX(Lookups!$C$19:$AI$28,5,3*MATCH(Setup!$B20,Lookups!$A$19:$A$30,0)-2))</f>
        <v/>
      </c>
      <c r="B27" s="17" t="str">
        <f>IF(D27&lt;&gt;"",D27,IF(LEN(INDEX(Lookups!$C$19:$AI$28,5,3*MATCH(Setup!$B20,Lookups!$A$19:$A$30,0)-1))=0,"",INDEX(Lookups!$C$19:$AI$28,5,3*MATCH(Setup!$B20,Lookups!$A$19:$A$30,0)-1)))</f>
        <v/>
      </c>
      <c r="C27" s="24" t="str">
        <f>IF(LEN(INDEX(Lookups!$C$19:$AI$28,5,3*MATCH(Setup!$B20,Lookups!$A$19:$A$30,0)))=0,"",INDEX(Lookups!$C$19:$AI$28,5,3*MATCH(Setup!$B20,Lookups!$A$19:$A$29,0)))</f>
        <v/>
      </c>
      <c r="D27" s="26"/>
    </row>
    <row r="28" spans="1:6" s="22" customFormat="1" x14ac:dyDescent="0.25">
      <c r="A28" s="22" t="str">
        <f>IF(LEN(INDEX(Lookups!$C$19:$AI$28,6,3*MATCH(Setup!$B20,Lookups!$A$19:$A$30,0)-2))=0,"",INDEX(Lookups!$C$19:$AI$28,6,3*MATCH(Setup!$B20,Lookups!$A$19:$A$30,0)-2))</f>
        <v/>
      </c>
      <c r="B28" s="17" t="str">
        <f>IF(D28&lt;&gt;"",D28,IF(LEN(INDEX(Lookups!$C$19:$AI$28,6,3*MATCH(Setup!$B20,Lookups!$A$19:$A$30,0)-1))=0,"",INDEX(Lookups!$C$19:$AI$28,6,3*MATCH(Setup!$B20,Lookups!$A$19:$A$30,0)-1)))</f>
        <v/>
      </c>
      <c r="C28" s="24" t="str">
        <f>IF(LEN(INDEX(Lookups!$C$19:$AI$28,6,3*MATCH(Setup!$B20,Lookups!$A$19:$A$30,0)))=0,"",INDEX(Lookups!$C$19:$AI$28,6,3*MATCH(Setup!$B20,Lookups!$A$19:$A$29,0)))</f>
        <v/>
      </c>
      <c r="D28" s="26"/>
    </row>
    <row r="29" spans="1:6" s="22" customFormat="1" x14ac:dyDescent="0.25">
      <c r="A29" s="22" t="str">
        <f>IF(LEN(INDEX(Lookups!$C$19:$AI$28,7,3*MATCH(Setup!$B20,Lookups!$A$19:$A$30,0)-2))=0,"",INDEX(Lookups!$C$19:$AI$28,7,3*MATCH(Setup!$B20,Lookups!$A$19:$A$30,0)-2))</f>
        <v/>
      </c>
      <c r="B29" s="17" t="str">
        <f>IF(D29&lt;&gt;"",D29,IF(LEN(INDEX(Lookups!$C$19:$AI$28,7,3*MATCH(Setup!$B20,Lookups!$A$19:$A$30,0)-1))=0,"",INDEX(Lookups!$C$19:$AI$28,7,3*MATCH(Setup!$B20,Lookups!$A$19:$A$30,0)-1)))</f>
        <v/>
      </c>
      <c r="C29" s="24" t="str">
        <f>IF(LEN(INDEX(Lookups!$C$19:$AI$28,7,3*MATCH(Setup!$B20,Lookups!$A$19:$A$30,0)))=0,"",INDEX(Lookups!$C$19:$AI$28,7,3*MATCH(Setup!$B20,Lookups!$A$19:$A$29,0)))</f>
        <v/>
      </c>
      <c r="D29" s="26"/>
    </row>
    <row r="30" spans="1:6" s="22" customFormat="1" x14ac:dyDescent="0.25">
      <c r="A30" s="22" t="str">
        <f>IF(LEN(INDEX(Lookups!$C$19:$AI$28,8,3*MATCH(Setup!$B20,Lookups!$A$19:$A$30,0)-2))=0,"",INDEX(Lookups!$C$19:$AI$28,8,3*MATCH(Setup!$B20,Lookups!$A$19:$A$30,0)-2))</f>
        <v/>
      </c>
      <c r="B30" s="17" t="str">
        <f>IF(D30&lt;&gt;"",D30,IF(LEN(INDEX(Lookups!$C$19:$AI$28,8,3*MATCH(Setup!$B20,Lookups!$A$19:$A$30,0)-1))=0,"",INDEX(Lookups!$C$19:$AI$28,8,3*MATCH(Setup!$B20,Lookups!$A$19:$A$30,0)-1)))</f>
        <v/>
      </c>
      <c r="C30" s="24" t="str">
        <f>IF(LEN(INDEX(Lookups!$C$19:$AI$28,8,3*MATCH(Setup!$B20,Lookups!$A$19:$A$30,0)))=0,"",INDEX(Lookups!$C$19:$AI$28,8,3*MATCH(Setup!$B20,Lookups!$A$19:$A$29,0)))</f>
        <v/>
      </c>
      <c r="D30" s="26"/>
    </row>
    <row r="31" spans="1:6" s="22" customFormat="1" x14ac:dyDescent="0.25">
      <c r="A31" s="22" t="str">
        <f>IF(LEN(INDEX(Lookups!$C$19:$AI$28,9,3*MATCH(Setup!$B20,Lookups!$A$19:$A$30,0)-2))=0,"",INDEX(Lookups!$C$19:$AI$28,9,3*MATCH(Setup!$B20,Lookups!$A$19:$A$30,0)-2))</f>
        <v/>
      </c>
      <c r="B31" s="17" t="str">
        <f>IF(D31&lt;&gt;"",D31,IF(LEN(INDEX(Lookups!$C$19:$AI$28,9,3*MATCH(Setup!$B20,Lookups!$A$19:$A$30,0)-1))=0,"",INDEX(Lookups!$C$19:$AI$28,9,3*MATCH(Setup!$B20,Lookups!$A$19:$A$30,0)-1)))</f>
        <v/>
      </c>
      <c r="C31" s="24" t="str">
        <f>IF(LEN(INDEX(Lookups!$C$19:$AI$28,9,3*MATCH(Setup!$B20,Lookups!$A$19:$A$30,0)))=0,"",INDEX(Lookups!$C$19:$AI$28,9,3*MATCH(Setup!$B20,Lookups!$A$19:$A$29,0)))</f>
        <v/>
      </c>
      <c r="D31" s="26"/>
    </row>
    <row r="32" spans="1:6" x14ac:dyDescent="0.25">
      <c r="A32" s="22" t="str">
        <f>IF(LEN(INDEX(Lookups!$C$19:$AI$28,10,3*MATCH(Setup!$B20,Lookups!$A$19:$A$30,0)-2))=0,"",INDEX(Lookups!$C$19:$AI$28,10,3*MATCH(Setup!$B20,Lookups!$A$19:$A$30,0)-2))</f>
        <v/>
      </c>
      <c r="B32" s="17" t="str">
        <f>IF(D32&lt;&gt;"",D32,IF(LEN(INDEX(Lookups!$C$19:$AI$28,10,3*MATCH(Setup!$B20,Lookups!$A$19:$A$30,0)-1))=0,"",INDEX(Lookups!$C$19:$AI$28,10,3*MATCH(Setup!$B20,Lookups!$A$19:$A$30,0)-1)))</f>
        <v/>
      </c>
      <c r="C32" s="24" t="str">
        <f>IF(LEN(INDEX(Lookups!$C$19:$AI$28,10,3*MATCH(Setup!$B20,Lookups!$A$19:$A$30,0)))=0,"",INDEX(Lookups!$C$19:$AI$28,10,3*MATCH(Setup!$B20,Lookups!$A$19:$A$29,0)))</f>
        <v/>
      </c>
      <c r="D32" s="26"/>
      <c r="E32" s="22"/>
    </row>
    <row r="33" spans="1:6" s="22" customFormat="1" x14ac:dyDescent="0.25">
      <c r="A33" s="22" t="str">
        <f>IF(LEN(INDEX(Lookups!$C$19:$AI$32,11,3*MATCH(Setup!$B20,Lookups!$A$19:$A$30,0)-2))=0,"",INDEX(Lookups!$C$19:$AI$32,11,3*MATCH(Setup!$B20,Lookups!$A$19:$A$30,0)-2))</f>
        <v/>
      </c>
      <c r="B33" s="17" t="str">
        <f>IF(D33&lt;&gt;"",D33,IF(LEN(INDEX(Lookups!$C$19:$AI$29,11,3*MATCH(Setup!$B20,Lookups!$A$19:$A$30,0)-1))=0,"",INDEX(Lookups!$C$19:$AI$29,11,3*MATCH(Setup!$B20,Lookups!$A$19:$A$30,0)-1)))</f>
        <v/>
      </c>
      <c r="C33" s="24" t="str">
        <f>IF(LEN(INDEX(Lookups!$C$19:$AI$32,11,3*MATCH(Setup!$B20,Lookups!$A$19:$A$30,0)))=0,"",INDEX(Lookups!$C$19:$AI$32,11,3*MATCH(Setup!$B20,Lookups!$A$19:$A$29,0)))</f>
        <v/>
      </c>
      <c r="D33" s="26"/>
    </row>
    <row r="34" spans="1:6" s="22" customFormat="1" x14ac:dyDescent="0.25">
      <c r="A34" s="22" t="str">
        <f>IF(LEN(INDEX(Lookups!$C$19:$AI$32,12,3*MATCH(Setup!$B20,Lookups!$A$19:$A$30,0)-2))=0,"",INDEX(Lookups!$C$19:$AI$32,12,3*MATCH(Setup!$B20,Lookups!$A$19:$A$30,0)-2))</f>
        <v/>
      </c>
      <c r="B34" s="17" t="str">
        <f>IF(D34&lt;&gt;"",D34,IF(LEN(INDEX(Lookups!$C$19:$AI$32,12,3*MATCH(Setup!$B20,Lookups!$A$19:$A$30,0)-1))=0,"",INDEX(Lookups!$C$19:$AI$32,12,3*MATCH(Setup!$B20,Lookups!$A$19:$A$30,0)-1)))</f>
        <v/>
      </c>
      <c r="C34" s="24" t="str">
        <f>IF(LEN(INDEX(Lookups!$C$19:$AI$32,12,3*MATCH(Setup!$B20,Lookups!$A$19:$A$30,0)))=0,"",INDEX(Lookups!$C$19:$AI$32,12,3*MATCH(Setup!$B20,Lookups!$A$19:$A$29,0)))</f>
        <v/>
      </c>
      <c r="D34" s="2"/>
      <c r="E34" s="2"/>
    </row>
    <row r="35" spans="1:6" s="22" customFormat="1" x14ac:dyDescent="0.25">
      <c r="A35" s="22" t="str">
        <f>IF(LEN(INDEX(Lookups!$C$19:$AI$32,13,3*MATCH(Setup!$B20,Lookups!$A$19:$A$30,0)-2))=0,"",INDEX(Lookups!$C$19:$AI$32,13,3*MATCH(Setup!$B20,Lookups!$A$19:$A$30,0)-2))</f>
        <v/>
      </c>
      <c r="B35" s="17" t="str">
        <f>IF(D35&lt;&gt;"",D35,IF(LEN(INDEX(Lookups!$C$19:$AI$32,13,3*MATCH(Setup!$B20,Lookups!$A$19:$A$30,0)-1))=0,"",INDEX(Lookups!$C$19:$AI$32,13,3*MATCH(Setup!$B20,Lookups!$A$19:$A$30,0)-1)))</f>
        <v/>
      </c>
      <c r="C35" s="24" t="str">
        <f>IF(LEN(INDEX(Lookups!$C$19:$AI$32,13,3*MATCH(Setup!$B20,Lookups!$A$19:$A$30,0)))=0,"",INDEX(Lookups!$C$19:$AI$32,13,3*MATCH(Setup!$B20,Lookups!$A$19:$A$29,0)))</f>
        <v/>
      </c>
      <c r="D35" s="2"/>
      <c r="E35" s="2"/>
    </row>
    <row r="36" spans="1:6" s="22" customFormat="1" x14ac:dyDescent="0.25">
      <c r="A36" s="22" t="str">
        <f>IF(LEN(INDEX(Lookups!$C$19:$AI$32,14,3*MATCH(Setup!$B20,Lookups!$A$19:$A$30,0)-2))=0,"",INDEX(Lookups!$C$19:$AI$32,14,3*MATCH(Setup!$B20,Lookups!$A$19:$A$30,0)-2))</f>
        <v/>
      </c>
      <c r="B36" s="17" t="str">
        <f>IF(D36&lt;&gt;"",D36,IF(LEN(INDEX(Lookups!$C$19:$AI$32,14,3*MATCH(Setup!$B20,Lookups!$A$19:$A$30,0)-1))=0,"",INDEX(Lookups!$C$19:$AI$32,14,3*MATCH(Setup!$B20,Lookups!$A$19:$A$30,0)-1)))</f>
        <v/>
      </c>
      <c r="C36" s="24" t="str">
        <f>IF(LEN(INDEX(Lookups!$C$19:$AI$32,14,3*MATCH(Setup!$B20,Lookups!$A$19:$A$30,0)))=0,"",INDEX(Lookups!$C$19:$AI$32,14,3*MATCH(Setup!$B20,Lookups!$A$19:$A$29,0)))</f>
        <v/>
      </c>
      <c r="D36" s="2"/>
      <c r="E36" s="2"/>
    </row>
    <row r="37" spans="1:6" s="2" customFormat="1" ht="30" x14ac:dyDescent="0.25">
      <c r="A37" s="6" t="s">
        <v>29</v>
      </c>
      <c r="B37" s="18" t="s">
        <v>156</v>
      </c>
      <c r="C37" s="6" t="s">
        <v>27</v>
      </c>
      <c r="D37" s="6"/>
      <c r="E37" s="6"/>
      <c r="F37" s="8"/>
    </row>
    <row r="38" spans="1:6" x14ac:dyDescent="0.25">
      <c r="A38" s="1" t="s">
        <v>25</v>
      </c>
      <c r="B38" s="25" t="s">
        <v>257</v>
      </c>
    </row>
    <row r="40" spans="1:6" s="2" customFormat="1" ht="30" x14ac:dyDescent="0.25">
      <c r="A40" s="6" t="s">
        <v>26</v>
      </c>
      <c r="B40" s="37" t="s">
        <v>61</v>
      </c>
      <c r="C40" s="6" t="s">
        <v>34</v>
      </c>
      <c r="D40" s="6" t="s">
        <v>156</v>
      </c>
      <c r="E40" s="6"/>
      <c r="F40" s="8" t="s">
        <v>56</v>
      </c>
    </row>
    <row r="41" spans="1:6" ht="30" x14ac:dyDescent="0.25">
      <c r="A41" s="22" t="s">
        <v>28</v>
      </c>
      <c r="B41" s="16" t="s">
        <v>231</v>
      </c>
      <c r="C41" s="14" t="s">
        <v>37</v>
      </c>
      <c r="D41" s="14" t="s">
        <v>235</v>
      </c>
      <c r="F41" s="2" t="s">
        <v>57</v>
      </c>
    </row>
    <row r="43" spans="1:6" s="2" customFormat="1" ht="45" x14ac:dyDescent="0.25">
      <c r="A43" s="6" t="s">
        <v>31</v>
      </c>
      <c r="B43" s="18" t="s">
        <v>30</v>
      </c>
      <c r="C43" s="6" t="s">
        <v>157</v>
      </c>
      <c r="D43" s="6"/>
      <c r="E43" s="6"/>
      <c r="F43" s="8" t="s">
        <v>153</v>
      </c>
    </row>
    <row r="44" spans="1:6" s="22" customFormat="1" x14ac:dyDescent="0.25">
      <c r="A44" s="44" t="s">
        <v>242</v>
      </c>
      <c r="B44" s="42" t="s">
        <v>255</v>
      </c>
      <c r="C44" s="22" t="s">
        <v>256</v>
      </c>
      <c r="D44" s="2"/>
      <c r="E44" s="2"/>
    </row>
    <row r="45" spans="1:6" x14ac:dyDescent="0.25">
      <c r="A45" s="44" t="s">
        <v>242</v>
      </c>
      <c r="B45" s="17" t="s">
        <v>241</v>
      </c>
      <c r="C45" s="1" t="s">
        <v>258</v>
      </c>
    </row>
    <row r="47" spans="1:6" s="2" customFormat="1" ht="60" x14ac:dyDescent="0.25">
      <c r="A47" s="6" t="s">
        <v>194</v>
      </c>
      <c r="B47" s="18" t="s">
        <v>195</v>
      </c>
      <c r="C47" s="6" t="s">
        <v>196</v>
      </c>
      <c r="D47" s="18"/>
      <c r="E47" s="18"/>
      <c r="F47" s="8" t="s">
        <v>197</v>
      </c>
    </row>
    <row r="48" spans="1:6" s="2" customFormat="1" x14ac:dyDescent="0.25">
      <c r="B48" s="24"/>
      <c r="D48" s="24"/>
      <c r="E48" s="24"/>
      <c r="F48" s="7"/>
    </row>
    <row r="49" spans="1:6" s="22" customFormat="1" x14ac:dyDescent="0.25">
      <c r="B49" s="17"/>
      <c r="D49" s="2"/>
    </row>
    <row r="50" spans="1:6" s="2" customFormat="1" ht="60" x14ac:dyDescent="0.25">
      <c r="A50" s="6" t="s">
        <v>198</v>
      </c>
      <c r="B50" s="18" t="s">
        <v>199</v>
      </c>
      <c r="C50" s="6" t="s">
        <v>196</v>
      </c>
      <c r="D50" s="18"/>
      <c r="E50" s="18"/>
      <c r="F50" s="8" t="s">
        <v>200</v>
      </c>
    </row>
  </sheetData>
  <dataConsolidate/>
  <dataValidations count="4">
    <dataValidation type="list" allowBlank="1" showInputMessage="1" showErrorMessage="1" sqref="B20">
      <formula1>AnalysisType</formula1>
    </dataValidation>
    <dataValidation type="list" allowBlank="1" showInputMessage="1" showErrorMessage="1" sqref="B17">
      <formula1>Workflow</formula1>
    </dataValidation>
    <dataValidation type="list" allowBlank="1" showInputMessage="1" showErrorMessage="1" sqref="B16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"/>
  <sheetViews>
    <sheetView zoomScale="85" zoomScaleNormal="85" workbookViewId="0">
      <selection activeCell="B10" sqref="B10"/>
    </sheetView>
  </sheetViews>
  <sheetFormatPr defaultColWidth="11.42578125" defaultRowHeight="15" x14ac:dyDescent="0.25"/>
  <cols>
    <col min="1" max="1" width="9.140625" style="1" customWidth="1"/>
    <col min="2" max="2" width="35.42578125" style="1" bestFit="1" customWidth="1"/>
    <col min="3" max="3" width="29.28515625" style="1" bestFit="1" customWidth="1"/>
    <col min="4" max="4" width="45.5703125" style="1" bestFit="1" customWidth="1"/>
    <col min="5" max="5" width="30" style="1" bestFit="1" customWidth="1"/>
    <col min="6" max="6" width="7" style="22" customWidth="1"/>
    <col min="7" max="7" width="9.7109375" style="1" customWidth="1"/>
    <col min="8" max="8" width="6.7109375" style="1" customWidth="1"/>
    <col min="9" max="9" width="36" style="4" bestFit="1" customWidth="1"/>
    <col min="10" max="10" width="11.140625" style="4" customWidth="1"/>
    <col min="11" max="11" width="7.140625" style="1" customWidth="1"/>
    <col min="12" max="12" width="8.140625" style="1" customWidth="1"/>
    <col min="13" max="13" width="6.7109375" style="1" customWidth="1"/>
    <col min="14" max="15" width="7.7109375" style="1" customWidth="1"/>
    <col min="16" max="16" width="11.42578125" style="1"/>
    <col min="17" max="18" width="15.7109375" style="1" bestFit="1" customWidth="1"/>
    <col min="19" max="19" width="11.42578125" style="1"/>
    <col min="20" max="20" width="46.140625" style="1" customWidth="1"/>
    <col min="21" max="23" width="11.42578125" style="1"/>
    <col min="24" max="24" width="13.28515625" style="1" bestFit="1" customWidth="1"/>
    <col min="25" max="16384" width="11.42578125" style="1"/>
  </cols>
  <sheetData>
    <row r="1" spans="1:26" ht="18" x14ac:dyDescent="0.35">
      <c r="A1" s="27"/>
      <c r="B1" s="27"/>
      <c r="C1" s="27"/>
      <c r="D1" s="28" t="s">
        <v>36</v>
      </c>
      <c r="E1" s="27"/>
      <c r="F1" s="27"/>
      <c r="G1" s="27"/>
      <c r="H1" s="27"/>
      <c r="I1" s="27"/>
      <c r="J1" s="27"/>
      <c r="K1" s="29" t="s">
        <v>78</v>
      </c>
      <c r="L1" s="29"/>
      <c r="M1" s="29"/>
      <c r="N1" s="29"/>
      <c r="O1" s="29"/>
      <c r="P1" s="30" t="s">
        <v>79</v>
      </c>
      <c r="Q1" s="30"/>
      <c r="R1" s="30"/>
      <c r="S1" s="27"/>
      <c r="T1" s="27"/>
      <c r="U1" s="48" t="s">
        <v>39</v>
      </c>
      <c r="V1" s="48"/>
      <c r="W1" s="48"/>
      <c r="X1" s="48"/>
      <c r="Y1" s="48"/>
      <c r="Z1" s="48"/>
    </row>
    <row r="2" spans="1:26" s="5" customFormat="1" ht="15.6" x14ac:dyDescent="0.3">
      <c r="A2" s="31" t="s">
        <v>2</v>
      </c>
      <c r="B2" s="31" t="s">
        <v>33</v>
      </c>
      <c r="C2" s="31" t="s">
        <v>91</v>
      </c>
      <c r="D2" s="31" t="s">
        <v>90</v>
      </c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</row>
    <row r="3" spans="1:26" s="9" customFormat="1" ht="62.45" x14ac:dyDescent="0.3">
      <c r="A3" s="32" t="s">
        <v>1</v>
      </c>
      <c r="B3" s="32" t="s">
        <v>0</v>
      </c>
      <c r="C3" s="32" t="s">
        <v>21</v>
      </c>
      <c r="D3" s="32" t="s">
        <v>38</v>
      </c>
      <c r="E3" s="32" t="s">
        <v>32</v>
      </c>
      <c r="F3" s="33" t="s">
        <v>171</v>
      </c>
      <c r="G3" s="34" t="s">
        <v>10</v>
      </c>
      <c r="H3" s="32" t="s">
        <v>6</v>
      </c>
      <c r="I3" s="32" t="s">
        <v>41</v>
      </c>
      <c r="J3" s="32" t="s">
        <v>11</v>
      </c>
      <c r="K3" s="35" t="s">
        <v>12</v>
      </c>
      <c r="L3" s="35" t="s">
        <v>13</v>
      </c>
      <c r="M3" s="35" t="s">
        <v>9</v>
      </c>
      <c r="N3" s="35" t="s">
        <v>8</v>
      </c>
      <c r="O3" s="35" t="s">
        <v>89</v>
      </c>
      <c r="P3" s="35" t="s">
        <v>80</v>
      </c>
      <c r="Q3" s="35" t="s">
        <v>81</v>
      </c>
      <c r="R3" s="32" t="s">
        <v>7</v>
      </c>
      <c r="S3" s="32" t="s">
        <v>5</v>
      </c>
      <c r="T3" s="32" t="s">
        <v>4</v>
      </c>
      <c r="U3" s="32" t="s">
        <v>19</v>
      </c>
      <c r="V3" s="32" t="s">
        <v>15</v>
      </c>
      <c r="W3" s="32" t="s">
        <v>16</v>
      </c>
      <c r="X3" s="32" t="s">
        <v>17</v>
      </c>
      <c r="Y3" s="32" t="s">
        <v>18</v>
      </c>
      <c r="Z3" s="32"/>
    </row>
    <row r="4" spans="1:26" s="36" customFormat="1" ht="15.75" x14ac:dyDescent="0.25">
      <c r="A4" s="39" t="b">
        <v>1</v>
      </c>
      <c r="B4" s="39" t="s">
        <v>250</v>
      </c>
      <c r="C4" s="39" t="s">
        <v>251</v>
      </c>
      <c r="D4" s="39" t="s">
        <v>251</v>
      </c>
      <c r="E4" s="39" t="s">
        <v>40</v>
      </c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</row>
    <row r="5" spans="1:26" s="21" customFormat="1" ht="15.6" customHeight="1" x14ac:dyDescent="0.25">
      <c r="A5" s="10"/>
      <c r="B5" s="10" t="s">
        <v>20</v>
      </c>
      <c r="C5" s="10"/>
      <c r="D5" s="10" t="s">
        <v>252</v>
      </c>
      <c r="E5" s="10" t="s">
        <v>253</v>
      </c>
      <c r="F5" s="10"/>
      <c r="G5" s="10" t="s">
        <v>233</v>
      </c>
      <c r="H5" s="10"/>
      <c r="I5" s="10" t="s">
        <v>254</v>
      </c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5"/>
      <c r="Z5" s="15"/>
    </row>
    <row r="6" spans="1:26" s="36" customFormat="1" ht="15.75" x14ac:dyDescent="0.25">
      <c r="A6" s="39" t="b">
        <v>1</v>
      </c>
      <c r="B6" s="39" t="s">
        <v>243</v>
      </c>
      <c r="C6" s="39" t="s">
        <v>244</v>
      </c>
      <c r="D6" s="39" t="s">
        <v>244</v>
      </c>
      <c r="E6" s="39" t="s">
        <v>40</v>
      </c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</row>
    <row r="7" spans="1:26" s="46" customFormat="1" ht="15.75" x14ac:dyDescent="0.25">
      <c r="A7" s="45"/>
      <c r="B7" s="45" t="s">
        <v>247</v>
      </c>
      <c r="C7" s="45"/>
      <c r="D7" s="45" t="s">
        <v>245</v>
      </c>
      <c r="E7" s="45" t="s">
        <v>246</v>
      </c>
      <c r="F7" s="45"/>
      <c r="G7" s="45" t="s">
        <v>169</v>
      </c>
      <c r="H7" s="45"/>
      <c r="I7" s="45">
        <v>0.5</v>
      </c>
      <c r="J7" s="45"/>
      <c r="K7" s="45">
        <v>0</v>
      </c>
      <c r="L7" s="45">
        <v>1</v>
      </c>
      <c r="M7" s="45">
        <v>0.5</v>
      </c>
      <c r="N7" s="45">
        <v>0.1666667</v>
      </c>
      <c r="O7" s="45"/>
      <c r="P7" s="45"/>
      <c r="Q7" s="45"/>
      <c r="R7" s="45" t="s">
        <v>248</v>
      </c>
      <c r="S7" s="45"/>
      <c r="T7" s="45"/>
      <c r="U7" s="45"/>
      <c r="V7" s="45"/>
      <c r="W7" s="45"/>
      <c r="X7" s="45"/>
    </row>
    <row r="8" spans="1:26" s="38" customFormat="1" ht="15.75" x14ac:dyDescent="0.25">
      <c r="A8" s="40" t="b">
        <v>1</v>
      </c>
      <c r="B8" s="40" t="s">
        <v>240</v>
      </c>
      <c r="C8" s="40" t="s">
        <v>239</v>
      </c>
      <c r="D8" s="40" t="s">
        <v>239</v>
      </c>
      <c r="E8" s="40" t="s">
        <v>236</v>
      </c>
      <c r="F8" s="40"/>
      <c r="G8" s="40"/>
      <c r="H8" s="41"/>
      <c r="I8" s="41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</row>
  </sheetData>
  <autoFilter ref="A2:AA3"/>
  <mergeCells count="1">
    <mergeCell ref="U1:Z1"/>
  </mergeCells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4"/>
  <sheetViews>
    <sheetView workbookViewId="0">
      <pane ySplit="3" topLeftCell="A4" activePane="bottomLeft" state="frozen"/>
      <selection pane="bottomLeft"/>
    </sheetView>
  </sheetViews>
  <sheetFormatPr defaultColWidth="11.42578125" defaultRowHeight="15" x14ac:dyDescent="0.25"/>
  <cols>
    <col min="1" max="1" width="30" style="1" bestFit="1" customWidth="1"/>
    <col min="2" max="2" width="32.5703125" style="22" bestFit="1" customWidth="1"/>
    <col min="3" max="3" width="26.140625" style="1" bestFit="1" customWidth="1"/>
    <col min="4" max="4" width="49.7109375" style="1" bestFit="1" customWidth="1"/>
    <col min="5" max="5" width="9.140625" style="1" bestFit="1" customWidth="1"/>
    <col min="6" max="6" width="14.28515625" style="1" bestFit="1" customWidth="1"/>
    <col min="7" max="7" width="9.7109375" style="1" customWidth="1"/>
    <col min="8" max="8" width="9.140625" style="1" bestFit="1" customWidth="1"/>
    <col min="9" max="9" width="19.28515625" style="1" bestFit="1" customWidth="1"/>
    <col min="10" max="10" width="26.28515625" style="1" bestFit="1" customWidth="1"/>
    <col min="11" max="11" width="8.42578125" style="1" customWidth="1"/>
    <col min="12" max="12" width="25.7109375" style="1" bestFit="1" customWidth="1"/>
    <col min="13" max="13" width="7.42578125" style="1" customWidth="1"/>
    <col min="14" max="16384" width="11.42578125" style="1"/>
  </cols>
  <sheetData>
    <row r="1" spans="1:13" s="22" customFormat="1" ht="18" x14ac:dyDescent="0.35">
      <c r="A1" s="27"/>
      <c r="B1" s="27"/>
      <c r="C1" s="27"/>
      <c r="D1" s="28"/>
      <c r="E1" s="28" t="s">
        <v>73</v>
      </c>
      <c r="F1" s="28"/>
      <c r="G1" s="28"/>
      <c r="H1" s="27"/>
      <c r="I1" s="27"/>
      <c r="J1" s="27"/>
      <c r="K1" s="27"/>
      <c r="L1" s="15"/>
      <c r="M1" s="15"/>
    </row>
    <row r="2" spans="1:13" s="5" customFormat="1" ht="15.6" x14ac:dyDescent="0.3">
      <c r="A2" s="32" t="s">
        <v>67</v>
      </c>
      <c r="B2" s="32" t="s">
        <v>172</v>
      </c>
      <c r="C2" s="32" t="s">
        <v>158</v>
      </c>
      <c r="D2" s="32" t="s">
        <v>68</v>
      </c>
      <c r="E2" s="32" t="s">
        <v>6</v>
      </c>
      <c r="F2" s="32" t="s">
        <v>10</v>
      </c>
      <c r="G2" s="32" t="s">
        <v>159</v>
      </c>
      <c r="H2" s="32" t="s">
        <v>160</v>
      </c>
      <c r="I2" s="32" t="s">
        <v>161</v>
      </c>
      <c r="J2" s="32" t="s">
        <v>162</v>
      </c>
      <c r="K2" s="32" t="s">
        <v>163</v>
      </c>
      <c r="L2" s="32" t="s">
        <v>164</v>
      </c>
      <c r="M2" s="32"/>
    </row>
    <row r="3" spans="1:13" s="9" customFormat="1" ht="46.9" x14ac:dyDescent="0.3">
      <c r="A3" s="32" t="s">
        <v>165</v>
      </c>
      <c r="B3" s="32" t="s">
        <v>173</v>
      </c>
      <c r="C3" s="32" t="s">
        <v>166</v>
      </c>
      <c r="D3" s="32" t="s">
        <v>167</v>
      </c>
      <c r="E3" s="32"/>
      <c r="F3" s="32" t="s">
        <v>168</v>
      </c>
      <c r="G3" s="32" t="s">
        <v>69</v>
      </c>
      <c r="H3" s="32" t="s">
        <v>69</v>
      </c>
      <c r="I3" s="32" t="s">
        <v>69</v>
      </c>
      <c r="J3" s="34" t="s">
        <v>169</v>
      </c>
      <c r="K3" s="32" t="s">
        <v>169</v>
      </c>
      <c r="L3" s="32" t="s">
        <v>170</v>
      </c>
      <c r="M3" s="32"/>
    </row>
    <row r="4" spans="1:13" s="22" customFormat="1" x14ac:dyDescent="0.25">
      <c r="A4" s="15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</row>
    <row r="5" spans="1:13" s="22" customFormat="1" x14ac:dyDescent="0.25">
      <c r="A5" s="15"/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</row>
    <row r="6" spans="1:13" s="22" customForma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</row>
    <row r="7" spans="1:13" s="22" customFormat="1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</row>
    <row r="8" spans="1:13" s="22" customFormat="1" x14ac:dyDescent="0.25">
      <c r="A8" s="15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</row>
    <row r="9" spans="1:13" s="22" customFormat="1" x14ac:dyDescent="0.25">
      <c r="A9" s="15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</row>
    <row r="10" spans="1:13" s="22" customFormat="1" x14ac:dyDescent="0.25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</row>
    <row r="11" spans="1:13" s="22" customFormat="1" x14ac:dyDescent="0.25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</row>
    <row r="12" spans="1:13" s="22" customFormat="1" x14ac:dyDescent="0.25">
      <c r="A12" s="15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</row>
    <row r="13" spans="1:13" s="22" customFormat="1" x14ac:dyDescent="0.25">
      <c r="A13" s="15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</row>
    <row r="14" spans="1:13" s="22" customFormat="1" x14ac:dyDescent="0.25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</row>
    <row r="15" spans="1:13" s="22" customFormat="1" x14ac:dyDescent="0.25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</row>
    <row r="16" spans="1:13" s="22" customFormat="1" x14ac:dyDescent="0.25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</row>
    <row r="17" spans="1:13" s="22" customFormat="1" x14ac:dyDescent="0.25">
      <c r="A17" s="47"/>
      <c r="B17" s="21"/>
      <c r="D17" s="15"/>
      <c r="F17" s="15"/>
      <c r="G17" s="15"/>
      <c r="H17" s="15"/>
      <c r="I17" s="15"/>
    </row>
    <row r="18" spans="1:13" s="22" customFormat="1" x14ac:dyDescent="0.25">
      <c r="A18" s="47"/>
      <c r="B18" s="21"/>
      <c r="D18" s="15"/>
      <c r="F18" s="15"/>
      <c r="G18" s="15"/>
      <c r="H18" s="15"/>
      <c r="I18" s="15"/>
    </row>
    <row r="19" spans="1:13" s="22" customFormat="1" x14ac:dyDescent="0.25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</row>
    <row r="20" spans="1:13" s="22" customFormat="1" x14ac:dyDescent="0.25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</row>
    <row r="21" spans="1:13" s="22" customFormat="1" x14ac:dyDescent="0.25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</row>
    <row r="22" spans="1:13" s="22" customFormat="1" x14ac:dyDescent="0.25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</row>
    <row r="23" spans="1:13" s="22" customFormat="1" x14ac:dyDescent="0.25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</row>
    <row r="24" spans="1:13" s="22" customFormat="1" x14ac:dyDescent="0.25">
      <c r="A24" s="47"/>
      <c r="B24" s="21"/>
      <c r="D24" s="15"/>
      <c r="F24" s="15"/>
      <c r="G24" s="15"/>
      <c r="H24" s="15"/>
      <c r="I24" s="15"/>
    </row>
    <row r="25" spans="1:13" s="22" customFormat="1" x14ac:dyDescent="0.25">
      <c r="A25" s="47"/>
      <c r="B25" s="21"/>
      <c r="D25" s="15"/>
      <c r="F25" s="15"/>
      <c r="G25" s="15"/>
      <c r="H25" s="15"/>
      <c r="I25" s="15"/>
    </row>
    <row r="26" spans="1:13" s="22" customFormat="1" x14ac:dyDescent="0.25">
      <c r="A26" s="47"/>
      <c r="B26" s="21"/>
      <c r="D26" s="15"/>
      <c r="F26" s="15"/>
      <c r="G26" s="15"/>
      <c r="H26" s="15"/>
      <c r="I26" s="15"/>
    </row>
    <row r="27" spans="1:13" s="22" customFormat="1" x14ac:dyDescent="0.25">
      <c r="A27" s="47"/>
      <c r="B27" s="21"/>
      <c r="D27" s="15"/>
      <c r="F27" s="15"/>
      <c r="G27" s="15"/>
      <c r="H27" s="15"/>
      <c r="I27" s="15"/>
    </row>
    <row r="28" spans="1:13" s="22" customFormat="1" x14ac:dyDescent="0.25">
      <c r="A28" s="47"/>
      <c r="B28" s="21"/>
      <c r="D28" s="15"/>
      <c r="F28" s="15"/>
      <c r="G28" s="15"/>
      <c r="H28" s="15"/>
      <c r="I28" s="15"/>
    </row>
    <row r="29" spans="1:13" s="22" customFormat="1" x14ac:dyDescent="0.25">
      <c r="A29" s="47"/>
      <c r="B29" s="21"/>
      <c r="D29" s="15"/>
      <c r="F29" s="15"/>
      <c r="G29" s="15"/>
      <c r="H29" s="15"/>
      <c r="I29" s="15"/>
    </row>
    <row r="30" spans="1:13" s="22" customFormat="1" x14ac:dyDescent="0.25">
      <c r="A30" s="47"/>
      <c r="B30" s="21"/>
      <c r="D30" s="15"/>
      <c r="F30" s="15"/>
      <c r="G30" s="15"/>
      <c r="H30" s="15"/>
      <c r="I30" s="15"/>
    </row>
    <row r="31" spans="1:13" s="22" customFormat="1" x14ac:dyDescent="0.25">
      <c r="A31" s="47"/>
      <c r="B31" s="21"/>
      <c r="D31" s="15"/>
      <c r="F31" s="15"/>
      <c r="G31" s="15"/>
      <c r="H31" s="15"/>
      <c r="I31" s="15"/>
    </row>
    <row r="32" spans="1:13" s="22" customFormat="1" x14ac:dyDescent="0.25">
      <c r="A32" s="47"/>
      <c r="B32" s="21"/>
      <c r="D32" s="15"/>
      <c r="F32" s="15"/>
      <c r="G32" s="15"/>
      <c r="H32" s="15"/>
      <c r="I32" s="15"/>
    </row>
    <row r="33" spans="1:9" s="22" customFormat="1" x14ac:dyDescent="0.25">
      <c r="A33" s="47"/>
      <c r="B33" s="21"/>
      <c r="D33" s="15"/>
      <c r="F33" s="15"/>
      <c r="G33" s="15"/>
      <c r="H33" s="15"/>
      <c r="I33" s="15"/>
    </row>
    <row r="34" spans="1:9" s="22" customFormat="1" x14ac:dyDescent="0.25">
      <c r="A34" s="47"/>
      <c r="B34" s="21"/>
      <c r="D34" s="15"/>
      <c r="F34" s="15"/>
      <c r="G34" s="15"/>
      <c r="H34" s="15"/>
      <c r="I34" s="15"/>
    </row>
    <row r="35" spans="1:9" s="22" customFormat="1" x14ac:dyDescent="0.25">
      <c r="A35" s="47"/>
      <c r="B35" s="21"/>
      <c r="D35" s="15"/>
      <c r="F35" s="15"/>
      <c r="G35" s="15"/>
      <c r="H35" s="15"/>
      <c r="I35" s="15"/>
    </row>
    <row r="36" spans="1:9" s="22" customFormat="1" x14ac:dyDescent="0.25">
      <c r="A36" s="47"/>
      <c r="B36" s="21"/>
      <c r="D36" s="15"/>
      <c r="F36" s="15"/>
      <c r="G36" s="15"/>
      <c r="H36" s="15"/>
      <c r="I36" s="15"/>
    </row>
    <row r="37" spans="1:9" s="22" customFormat="1" x14ac:dyDescent="0.25">
      <c r="A37" s="47"/>
      <c r="B37" s="21"/>
      <c r="D37" s="15"/>
      <c r="F37" s="15"/>
      <c r="G37" s="15"/>
      <c r="H37" s="15"/>
      <c r="I37" s="15"/>
    </row>
    <row r="38" spans="1:9" s="22" customFormat="1" x14ac:dyDescent="0.25">
      <c r="A38" s="47"/>
      <c r="B38" s="21"/>
      <c r="D38" s="15"/>
      <c r="F38" s="15"/>
      <c r="G38" s="15"/>
      <c r="H38" s="15"/>
      <c r="I38" s="15"/>
    </row>
    <row r="39" spans="1:9" s="22" customFormat="1" x14ac:dyDescent="0.25">
      <c r="A39" s="47"/>
      <c r="B39" s="21"/>
      <c r="D39" s="15"/>
      <c r="F39" s="15"/>
      <c r="G39" s="15"/>
      <c r="H39" s="15"/>
      <c r="I39" s="15"/>
    </row>
    <row r="40" spans="1:9" s="22" customFormat="1" x14ac:dyDescent="0.25">
      <c r="A40" s="47"/>
      <c r="B40" s="21"/>
      <c r="D40" s="15"/>
      <c r="F40" s="15"/>
      <c r="G40" s="15"/>
      <c r="H40" s="15"/>
      <c r="I40" s="15"/>
    </row>
    <row r="41" spans="1:9" s="22" customFormat="1" x14ac:dyDescent="0.25">
      <c r="A41" s="47"/>
      <c r="B41" s="21"/>
      <c r="D41" s="15"/>
      <c r="F41" s="15"/>
      <c r="G41" s="15"/>
      <c r="H41" s="15"/>
      <c r="I41" s="15"/>
    </row>
    <row r="42" spans="1:9" s="22" customFormat="1" x14ac:dyDescent="0.25">
      <c r="A42" s="47"/>
      <c r="B42" s="21"/>
      <c r="D42" s="15"/>
      <c r="F42" s="15"/>
      <c r="G42" s="15"/>
      <c r="H42" s="15"/>
      <c r="I42" s="15"/>
    </row>
    <row r="43" spans="1:9" s="22" customFormat="1" x14ac:dyDescent="0.25">
      <c r="A43" s="47"/>
      <c r="B43" s="21"/>
      <c r="D43" s="15"/>
      <c r="F43" s="15"/>
      <c r="G43" s="15"/>
      <c r="H43" s="15"/>
      <c r="I43" s="15"/>
    </row>
    <row r="44" spans="1:9" s="22" customFormat="1" x14ac:dyDescent="0.25">
      <c r="A44" s="47"/>
      <c r="B44" s="21"/>
      <c r="D44" s="15"/>
      <c r="F44" s="15"/>
      <c r="G44" s="15"/>
      <c r="H44" s="15"/>
      <c r="I44" s="15"/>
    </row>
    <row r="45" spans="1:9" s="22" customFormat="1" x14ac:dyDescent="0.25">
      <c r="A45" s="47"/>
      <c r="B45" s="21"/>
      <c r="D45" s="15"/>
      <c r="F45" s="15"/>
      <c r="G45" s="15"/>
      <c r="H45" s="15"/>
      <c r="I45" s="15"/>
    </row>
    <row r="46" spans="1:9" s="22" customFormat="1" x14ac:dyDescent="0.25">
      <c r="A46" s="47"/>
      <c r="B46" s="21"/>
      <c r="D46" s="15"/>
      <c r="F46" s="15"/>
      <c r="G46" s="15"/>
      <c r="H46" s="15"/>
      <c r="I46" s="15"/>
    </row>
    <row r="47" spans="1:9" s="22" customFormat="1" x14ac:dyDescent="0.25">
      <c r="A47" s="47"/>
      <c r="B47" s="21"/>
      <c r="D47" s="15"/>
      <c r="F47" s="15"/>
      <c r="G47" s="15"/>
      <c r="H47" s="15"/>
      <c r="I47" s="15"/>
    </row>
    <row r="48" spans="1:9" s="22" customFormat="1" x14ac:dyDescent="0.25">
      <c r="A48" s="47"/>
      <c r="B48" s="21"/>
      <c r="D48" s="15"/>
      <c r="F48" s="15"/>
      <c r="G48" s="15"/>
      <c r="H48" s="15"/>
      <c r="I48" s="15"/>
    </row>
    <row r="49" spans="1:9" s="22" customFormat="1" x14ac:dyDescent="0.25">
      <c r="A49" s="47"/>
      <c r="B49" s="21"/>
      <c r="D49" s="15"/>
      <c r="F49" s="15"/>
      <c r="G49" s="15"/>
      <c r="H49" s="15"/>
      <c r="I49" s="15"/>
    </row>
    <row r="50" spans="1:9" s="22" customFormat="1" x14ac:dyDescent="0.25">
      <c r="A50" s="47"/>
      <c r="B50" s="21"/>
      <c r="D50" s="15"/>
      <c r="F50" s="15"/>
      <c r="G50" s="15"/>
      <c r="H50" s="15"/>
      <c r="I50" s="15"/>
    </row>
    <row r="51" spans="1:9" s="22" customFormat="1" x14ac:dyDescent="0.25">
      <c r="A51" s="47"/>
      <c r="B51" s="21"/>
      <c r="D51" s="15"/>
      <c r="F51" s="15"/>
      <c r="G51" s="15"/>
      <c r="H51" s="15"/>
      <c r="I51" s="15"/>
    </row>
    <row r="52" spans="1:9" s="22" customFormat="1" x14ac:dyDescent="0.25">
      <c r="A52" s="47"/>
      <c r="B52" s="21"/>
      <c r="D52" s="15"/>
      <c r="F52" s="15"/>
      <c r="G52" s="15"/>
      <c r="H52" s="15"/>
      <c r="I52" s="15"/>
    </row>
    <row r="53" spans="1:9" s="22" customFormat="1" x14ac:dyDescent="0.25">
      <c r="A53" s="47"/>
      <c r="B53" s="21"/>
      <c r="D53" s="15"/>
      <c r="F53" s="15"/>
      <c r="G53" s="15"/>
      <c r="H53" s="15"/>
      <c r="I53" s="15"/>
    </row>
    <row r="54" spans="1:9" s="22" customFormat="1" x14ac:dyDescent="0.25">
      <c r="A54" s="47"/>
      <c r="B54" s="21"/>
      <c r="D54" s="15"/>
      <c r="F54" s="15"/>
      <c r="G54" s="15"/>
      <c r="H54" s="15"/>
      <c r="I54" s="15"/>
    </row>
  </sheetData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2"/>
  <sheetViews>
    <sheetView topLeftCell="A10" workbookViewId="0">
      <selection activeCell="O29" sqref="O29"/>
    </sheetView>
  </sheetViews>
  <sheetFormatPr defaultColWidth="11.42578125" defaultRowHeight="15" x14ac:dyDescent="0.25"/>
  <cols>
    <col min="1" max="1" width="16.140625" bestFit="1" customWidth="1"/>
    <col min="2" max="2" width="14" bestFit="1" customWidth="1"/>
    <col min="4" max="4" width="15.28515625" customWidth="1"/>
    <col min="5" max="5" width="16.140625" customWidth="1"/>
    <col min="8" max="8" width="22.28515625" customWidth="1"/>
    <col min="17" max="17" width="24.42578125" customWidth="1"/>
  </cols>
  <sheetData>
    <row r="1" spans="1:7" ht="14.45" x14ac:dyDescent="0.3">
      <c r="A1" t="s">
        <v>48</v>
      </c>
      <c r="B1" t="s">
        <v>45</v>
      </c>
      <c r="C1" t="s">
        <v>46</v>
      </c>
      <c r="D1" t="s">
        <v>187</v>
      </c>
      <c r="E1" t="s">
        <v>4</v>
      </c>
    </row>
    <row r="2" spans="1:7" s="21" customFormat="1" ht="14.45" x14ac:dyDescent="0.3">
      <c r="A2" s="21" t="s">
        <v>174</v>
      </c>
      <c r="B2" s="21" t="s">
        <v>175</v>
      </c>
      <c r="C2" s="21" t="s">
        <v>176</v>
      </c>
      <c r="D2" s="21" t="s">
        <v>177</v>
      </c>
      <c r="E2" s="21" t="s">
        <v>185</v>
      </c>
    </row>
    <row r="3" spans="1:7" s="21" customFormat="1" ht="14.45" x14ac:dyDescent="0.3">
      <c r="A3" s="21" t="s">
        <v>133</v>
      </c>
      <c r="B3" s="21" t="s">
        <v>52</v>
      </c>
      <c r="C3" s="21" t="s">
        <v>134</v>
      </c>
      <c r="D3" s="21" t="s">
        <v>178</v>
      </c>
      <c r="E3" s="21" t="s">
        <v>186</v>
      </c>
    </row>
    <row r="4" spans="1:7" s="21" customFormat="1" ht="14.45" x14ac:dyDescent="0.3">
      <c r="A4" s="21" t="s">
        <v>135</v>
      </c>
      <c r="B4" s="21" t="s">
        <v>53</v>
      </c>
      <c r="C4" s="21" t="s">
        <v>136</v>
      </c>
      <c r="D4" s="21" t="s">
        <v>179</v>
      </c>
      <c r="E4" s="21" t="s">
        <v>186</v>
      </c>
    </row>
    <row r="5" spans="1:7" s="21" customFormat="1" ht="14.45" x14ac:dyDescent="0.3">
      <c r="A5" s="21" t="s">
        <v>137</v>
      </c>
      <c r="B5" s="21" t="s">
        <v>54</v>
      </c>
      <c r="C5" s="21" t="s">
        <v>138</v>
      </c>
      <c r="D5" s="21" t="s">
        <v>180</v>
      </c>
      <c r="E5" s="21" t="s">
        <v>186</v>
      </c>
    </row>
    <row r="6" spans="1:7" s="21" customFormat="1" ht="14.45" x14ac:dyDescent="0.3">
      <c r="A6" s="21" t="s">
        <v>139</v>
      </c>
      <c r="B6" s="21" t="s">
        <v>52</v>
      </c>
      <c r="C6" s="21" t="s">
        <v>140</v>
      </c>
      <c r="D6" s="21" t="s">
        <v>181</v>
      </c>
      <c r="E6" s="21" t="s">
        <v>189</v>
      </c>
    </row>
    <row r="7" spans="1:7" s="21" customFormat="1" ht="14.45" x14ac:dyDescent="0.3">
      <c r="A7" s="21" t="s">
        <v>141</v>
      </c>
      <c r="B7" s="21" t="s">
        <v>53</v>
      </c>
      <c r="C7" s="21" t="s">
        <v>142</v>
      </c>
      <c r="D7" s="21" t="s">
        <v>179</v>
      </c>
      <c r="E7" s="21" t="s">
        <v>189</v>
      </c>
    </row>
    <row r="8" spans="1:7" s="21" customFormat="1" ht="14.45" x14ac:dyDescent="0.3">
      <c r="A8" s="21" t="s">
        <v>47</v>
      </c>
      <c r="B8" s="21" t="s">
        <v>54</v>
      </c>
      <c r="C8" s="21" t="s">
        <v>143</v>
      </c>
      <c r="D8" s="21" t="s">
        <v>180</v>
      </c>
      <c r="E8" s="21" t="s">
        <v>190</v>
      </c>
    </row>
    <row r="9" spans="1:7" s="21" customFormat="1" ht="14.45" x14ac:dyDescent="0.3">
      <c r="A9" s="21" t="s">
        <v>144</v>
      </c>
      <c r="B9" s="21" t="s">
        <v>55</v>
      </c>
      <c r="C9" s="21" t="s">
        <v>145</v>
      </c>
      <c r="D9" s="21" t="s">
        <v>182</v>
      </c>
      <c r="E9" s="21" t="s">
        <v>190</v>
      </c>
    </row>
    <row r="10" spans="1:7" ht="14.45" x14ac:dyDescent="0.3">
      <c r="A10" s="21" t="s">
        <v>146</v>
      </c>
      <c r="B10" s="21" t="s">
        <v>183</v>
      </c>
      <c r="C10" s="21" t="s">
        <v>147</v>
      </c>
      <c r="D10" s="21" t="s">
        <v>184</v>
      </c>
      <c r="E10" s="21" t="s">
        <v>190</v>
      </c>
    </row>
    <row r="11" spans="1:7" s="21" customFormat="1" ht="14.45" x14ac:dyDescent="0.3"/>
    <row r="12" spans="1:7" s="21" customFormat="1" ht="14.45" x14ac:dyDescent="0.3"/>
    <row r="13" spans="1:7" ht="14.45" x14ac:dyDescent="0.3">
      <c r="A13" t="s">
        <v>113</v>
      </c>
      <c r="C13" s="11" t="s">
        <v>97</v>
      </c>
      <c r="E13" t="s">
        <v>98</v>
      </c>
      <c r="G13" t="s">
        <v>115</v>
      </c>
    </row>
    <row r="14" spans="1:7" ht="14.45" x14ac:dyDescent="0.3">
      <c r="A14" t="s">
        <v>62</v>
      </c>
      <c r="C14" t="b">
        <v>1</v>
      </c>
      <c r="E14" t="s">
        <v>99</v>
      </c>
      <c r="G14" t="s">
        <v>71</v>
      </c>
    </row>
    <row r="15" spans="1:7" ht="14.45" x14ac:dyDescent="0.3">
      <c r="A15" t="s">
        <v>60</v>
      </c>
      <c r="C15" t="b">
        <v>0</v>
      </c>
      <c r="E15" t="s">
        <v>88</v>
      </c>
    </row>
    <row r="16" spans="1:7" s="21" customFormat="1" ht="14.45" x14ac:dyDescent="0.3"/>
    <row r="18" spans="1:35" ht="14.45" x14ac:dyDescent="0.3">
      <c r="A18" t="s">
        <v>92</v>
      </c>
      <c r="C18" t="s">
        <v>93</v>
      </c>
      <c r="F18" s="21" t="s">
        <v>223</v>
      </c>
      <c r="G18" s="21"/>
      <c r="H18" s="21"/>
      <c r="I18" t="s">
        <v>14</v>
      </c>
      <c r="L18" t="s">
        <v>100</v>
      </c>
      <c r="O18" t="s">
        <v>103</v>
      </c>
      <c r="R18" t="s">
        <v>107</v>
      </c>
      <c r="U18" s="21" t="s">
        <v>96</v>
      </c>
      <c r="X18" s="21" t="s">
        <v>208</v>
      </c>
      <c r="Y18" s="21"/>
      <c r="Z18" s="21"/>
      <c r="AA18" t="s">
        <v>203</v>
      </c>
      <c r="AD18" t="s">
        <v>204</v>
      </c>
      <c r="AG18" s="21" t="s">
        <v>218</v>
      </c>
      <c r="AH18" s="21"/>
      <c r="AI18" s="21"/>
    </row>
    <row r="19" spans="1:35" ht="14.45" x14ac:dyDescent="0.3">
      <c r="A19" t="s">
        <v>93</v>
      </c>
      <c r="F19" s="21" t="s">
        <v>224</v>
      </c>
      <c r="G19" s="21">
        <v>10</v>
      </c>
      <c r="H19" t="s">
        <v>229</v>
      </c>
      <c r="I19" t="s">
        <v>114</v>
      </c>
      <c r="J19" t="s">
        <v>62</v>
      </c>
      <c r="K19" t="s">
        <v>116</v>
      </c>
      <c r="L19" s="1" t="s">
        <v>82</v>
      </c>
      <c r="M19" s="20">
        <v>0.01</v>
      </c>
      <c r="N19" s="22" t="s">
        <v>121</v>
      </c>
      <c r="O19" s="1" t="s">
        <v>105</v>
      </c>
      <c r="P19">
        <v>30</v>
      </c>
      <c r="Q19" t="s">
        <v>123</v>
      </c>
      <c r="R19" t="s">
        <v>3</v>
      </c>
      <c r="S19">
        <v>30</v>
      </c>
      <c r="T19" s="21" t="s">
        <v>123</v>
      </c>
      <c r="X19" s="21" t="s">
        <v>217</v>
      </c>
      <c r="Y19" s="21" t="s">
        <v>210</v>
      </c>
      <c r="Z19" s="21" t="s">
        <v>210</v>
      </c>
      <c r="AD19" s="21" t="s">
        <v>205</v>
      </c>
      <c r="AE19" s="21">
        <v>30</v>
      </c>
      <c r="AF19" s="21" t="s">
        <v>132</v>
      </c>
      <c r="AG19" s="21" t="s">
        <v>219</v>
      </c>
      <c r="AH19" s="21" t="b">
        <v>1</v>
      </c>
      <c r="AI19" s="21" t="s">
        <v>220</v>
      </c>
    </row>
    <row r="20" spans="1:35" ht="14.45" x14ac:dyDescent="0.3">
      <c r="A20" s="21" t="s">
        <v>223</v>
      </c>
      <c r="F20" s="21" t="s">
        <v>225</v>
      </c>
      <c r="G20" s="21">
        <v>10</v>
      </c>
      <c r="H20" t="s">
        <v>228</v>
      </c>
      <c r="I20" t="s">
        <v>3</v>
      </c>
      <c r="J20">
        <v>30</v>
      </c>
      <c r="K20" t="s">
        <v>132</v>
      </c>
      <c r="L20" s="1" t="s">
        <v>87</v>
      </c>
      <c r="M20" s="20">
        <v>0.01</v>
      </c>
      <c r="N20" t="s">
        <v>120</v>
      </c>
      <c r="O20" s="22" t="s">
        <v>108</v>
      </c>
      <c r="P20">
        <v>5</v>
      </c>
      <c r="Q20" s="21" t="s">
        <v>122</v>
      </c>
      <c r="R20" s="22" t="s">
        <v>108</v>
      </c>
      <c r="S20">
        <v>3</v>
      </c>
      <c r="T20" t="s">
        <v>122</v>
      </c>
      <c r="X20" s="21" t="s">
        <v>3</v>
      </c>
      <c r="Y20" s="21">
        <v>2</v>
      </c>
      <c r="Z20" s="21" t="s">
        <v>209</v>
      </c>
      <c r="AG20" s="21" t="s">
        <v>221</v>
      </c>
      <c r="AH20" s="21" t="b">
        <v>1</v>
      </c>
      <c r="AI20" s="21" t="s">
        <v>222</v>
      </c>
    </row>
    <row r="21" spans="1:35" x14ac:dyDescent="0.25">
      <c r="A21" t="s">
        <v>14</v>
      </c>
      <c r="F21" s="21" t="s">
        <v>226</v>
      </c>
      <c r="G21" s="21">
        <v>1</v>
      </c>
      <c r="H21" s="21"/>
      <c r="L21" s="1" t="s">
        <v>101</v>
      </c>
      <c r="M21" s="20">
        <v>45036000000000</v>
      </c>
      <c r="N21" t="s">
        <v>119</v>
      </c>
      <c r="O21" s="1" t="s">
        <v>104</v>
      </c>
      <c r="P21">
        <v>2</v>
      </c>
      <c r="Q21" t="s">
        <v>127</v>
      </c>
      <c r="R21" s="22" t="s">
        <v>109</v>
      </c>
      <c r="S21">
        <v>0.85</v>
      </c>
      <c r="T21" t="s">
        <v>128</v>
      </c>
    </row>
    <row r="22" spans="1:35" x14ac:dyDescent="0.25">
      <c r="A22" t="s">
        <v>86</v>
      </c>
      <c r="F22" s="21" t="s">
        <v>0</v>
      </c>
      <c r="G22" s="21" t="s">
        <v>227</v>
      </c>
      <c r="H22" s="21" t="s">
        <v>227</v>
      </c>
      <c r="L22" s="1" t="s">
        <v>102</v>
      </c>
      <c r="M22">
        <v>100</v>
      </c>
      <c r="N22" t="s">
        <v>118</v>
      </c>
      <c r="O22" t="s">
        <v>124</v>
      </c>
      <c r="P22">
        <v>2</v>
      </c>
      <c r="Q22" t="s">
        <v>125</v>
      </c>
      <c r="R22" s="22" t="s">
        <v>110</v>
      </c>
      <c r="S22">
        <v>5</v>
      </c>
      <c r="T22" t="s">
        <v>130</v>
      </c>
    </row>
    <row r="23" spans="1:35" x14ac:dyDescent="0.25">
      <c r="A23" t="s">
        <v>95</v>
      </c>
      <c r="F23" s="21"/>
      <c r="G23" s="21"/>
      <c r="H23" s="21"/>
      <c r="L23" s="1" t="s">
        <v>83</v>
      </c>
      <c r="M23" s="22" t="s">
        <v>84</v>
      </c>
      <c r="O23" s="21" t="s">
        <v>213</v>
      </c>
      <c r="P23" s="21">
        <v>1</v>
      </c>
      <c r="Q23" s="22" t="s">
        <v>214</v>
      </c>
      <c r="R23" s="22" t="s">
        <v>111</v>
      </c>
      <c r="S23">
        <v>5</v>
      </c>
      <c r="T23" s="21" t="s">
        <v>131</v>
      </c>
    </row>
    <row r="24" spans="1:35" x14ac:dyDescent="0.25">
      <c r="A24" t="s">
        <v>94</v>
      </c>
      <c r="F24" s="21"/>
      <c r="G24" s="21"/>
      <c r="H24" s="21"/>
      <c r="L24" s="1" t="s">
        <v>85</v>
      </c>
      <c r="M24" s="22">
        <v>2</v>
      </c>
      <c r="N24" t="s">
        <v>117</v>
      </c>
      <c r="O24" s="1" t="s">
        <v>106</v>
      </c>
      <c r="P24" s="20">
        <v>0.01</v>
      </c>
      <c r="Q24" s="22" t="s">
        <v>126</v>
      </c>
      <c r="R24" s="22" t="s">
        <v>112</v>
      </c>
      <c r="S24">
        <v>0.8</v>
      </c>
      <c r="T24" t="s">
        <v>129</v>
      </c>
    </row>
    <row r="25" spans="1:35" x14ac:dyDescent="0.25">
      <c r="A25" t="s">
        <v>96</v>
      </c>
      <c r="F25" s="21"/>
      <c r="G25" s="21"/>
      <c r="H25" s="21"/>
      <c r="L25" s="21" t="s">
        <v>206</v>
      </c>
      <c r="M25" s="22">
        <v>0</v>
      </c>
      <c r="N25" s="22" t="s">
        <v>207</v>
      </c>
      <c r="O25" s="1" t="s">
        <v>82</v>
      </c>
      <c r="P25" s="20">
        <v>0.01</v>
      </c>
      <c r="Q25" s="22" t="s">
        <v>121</v>
      </c>
      <c r="R25" s="22" t="s">
        <v>215</v>
      </c>
      <c r="S25" s="21">
        <v>2</v>
      </c>
      <c r="T25" s="21" t="s">
        <v>216</v>
      </c>
    </row>
    <row r="26" spans="1:35" x14ac:dyDescent="0.25">
      <c r="A26" t="s">
        <v>208</v>
      </c>
      <c r="F26" s="21"/>
      <c r="G26" s="21"/>
      <c r="H26" s="21"/>
      <c r="O26" s="1" t="s">
        <v>87</v>
      </c>
      <c r="P26" s="20">
        <v>0.01</v>
      </c>
      <c r="Q26" s="21" t="s">
        <v>120</v>
      </c>
      <c r="R26" s="22" t="s">
        <v>83</v>
      </c>
      <c r="S26" s="22" t="s">
        <v>84</v>
      </c>
    </row>
    <row r="27" spans="1:35" x14ac:dyDescent="0.25">
      <c r="A27" t="s">
        <v>203</v>
      </c>
      <c r="F27" s="21"/>
      <c r="G27" s="21"/>
      <c r="H27" s="21"/>
      <c r="O27" s="1" t="s">
        <v>101</v>
      </c>
      <c r="P27" s="20">
        <v>45036000000000</v>
      </c>
      <c r="Q27" s="21" t="s">
        <v>119</v>
      </c>
      <c r="R27" s="22" t="s">
        <v>85</v>
      </c>
      <c r="S27" s="22">
        <v>2</v>
      </c>
      <c r="T27" s="21" t="s">
        <v>117</v>
      </c>
    </row>
    <row r="28" spans="1:35" x14ac:dyDescent="0.25">
      <c r="A28" t="s">
        <v>204</v>
      </c>
      <c r="F28" s="21"/>
      <c r="G28" s="21"/>
      <c r="H28" s="21"/>
      <c r="O28" s="1" t="s">
        <v>102</v>
      </c>
      <c r="P28" s="21">
        <v>100</v>
      </c>
      <c r="Q28" s="21" t="s">
        <v>118</v>
      </c>
      <c r="R28" t="s">
        <v>206</v>
      </c>
      <c r="S28" s="22">
        <v>0</v>
      </c>
      <c r="T28" s="22" t="s">
        <v>207</v>
      </c>
    </row>
    <row r="29" spans="1:35" x14ac:dyDescent="0.25">
      <c r="A29" s="21" t="s">
        <v>218</v>
      </c>
      <c r="F29" s="21"/>
      <c r="G29" s="21"/>
      <c r="H29" s="21"/>
      <c r="O29" s="1" t="s">
        <v>83</v>
      </c>
      <c r="P29" s="22" t="s">
        <v>84</v>
      </c>
    </row>
    <row r="30" spans="1:35" x14ac:dyDescent="0.25">
      <c r="F30" s="21"/>
      <c r="G30" s="21"/>
      <c r="H30" s="21"/>
      <c r="O30" s="1" t="s">
        <v>85</v>
      </c>
      <c r="P30" s="22">
        <v>2</v>
      </c>
      <c r="Q30" s="21" t="s">
        <v>117</v>
      </c>
    </row>
    <row r="31" spans="1:35" x14ac:dyDescent="0.25">
      <c r="F31" s="21"/>
      <c r="G31" s="21"/>
      <c r="H31" s="21"/>
      <c r="O31" s="21" t="s">
        <v>206</v>
      </c>
      <c r="P31" s="22">
        <v>0</v>
      </c>
      <c r="Q31" s="22" t="s">
        <v>207</v>
      </c>
    </row>
    <row r="32" spans="1:35" x14ac:dyDescent="0.25">
      <c r="F32" s="21"/>
      <c r="G32" s="21"/>
      <c r="H32" s="21"/>
      <c r="O32" t="s">
        <v>211</v>
      </c>
      <c r="P32" s="22">
        <v>1</v>
      </c>
      <c r="Q32" s="22" t="s">
        <v>212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13</vt:i4>
      </vt:variant>
    </vt:vector>
  </HeadingPairs>
  <TitlesOfParts>
    <vt:vector size="17" baseType="lpstr">
      <vt:lpstr>Setup</vt:lpstr>
      <vt:lpstr>Variables</vt:lpstr>
      <vt:lpstr>Outputs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shorowit</cp:lastModifiedBy>
  <dcterms:created xsi:type="dcterms:W3CDTF">2013-02-05T14:00:14Z</dcterms:created>
  <dcterms:modified xsi:type="dcterms:W3CDTF">2016-06-15T19:01:49Z</dcterms:modified>
</cp:coreProperties>
</file>