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LECTION RESULTS\"/>
    </mc:Choice>
  </mc:AlternateContent>
  <xr:revisionPtr revIDLastSave="0" documentId="13_ncr:1_{DE47C0B1-C32A-4C3B-9263-800358589C0E}" xr6:coauthVersionLast="45" xr6:coauthVersionMax="45" xr10:uidLastSave="{00000000-0000-0000-0000-000000000000}"/>
  <bookViews>
    <workbookView xWindow="-120" yWindow="-120" windowWidth="29040" windowHeight="15840" activeTab="2" xr2:uid="{4AA35817-A5F4-48E7-8991-C207A7F07E3B}"/>
  </bookViews>
  <sheets>
    <sheet name="REEVES COUNTY GENERAL ELECT AV" sheetId="2" r:id="rId1"/>
    <sheet name="REEVES COUNTY GENERAL ELECT EV" sheetId="5" r:id="rId2"/>
    <sheet name="REEVES COUNTY GENERAL ELECT ED" sheetId="9" r:id="rId3"/>
    <sheet name="MAN RECOUNT" sheetId="8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63" i="9" l="1"/>
  <c r="M162" i="9"/>
  <c r="N161" i="9"/>
  <c r="N153" i="9"/>
  <c r="M155" i="9"/>
  <c r="M154" i="9"/>
  <c r="M147" i="9"/>
  <c r="M146" i="9"/>
  <c r="N145" i="9"/>
  <c r="N136" i="9"/>
  <c r="M138" i="9"/>
  <c r="M137" i="9"/>
  <c r="M130" i="9"/>
  <c r="M129" i="9"/>
  <c r="N128" i="9"/>
  <c r="N119" i="9"/>
  <c r="M121" i="9"/>
  <c r="M120" i="9"/>
  <c r="M112" i="9"/>
  <c r="N111" i="9"/>
  <c r="N110" i="9"/>
  <c r="M111" i="9"/>
  <c r="M89" i="9"/>
  <c r="M105" i="9"/>
  <c r="N103" i="9"/>
  <c r="M104" i="9"/>
  <c r="M96" i="9"/>
  <c r="M95" i="9"/>
  <c r="N95" i="9"/>
  <c r="N94" i="9"/>
  <c r="N88" i="9"/>
  <c r="N87" i="9"/>
  <c r="M80" i="9"/>
  <c r="M79" i="9"/>
  <c r="M88" i="9"/>
  <c r="N78" i="9"/>
  <c r="N69" i="9"/>
  <c r="M71" i="9"/>
  <c r="M70" i="9"/>
  <c r="M63" i="9"/>
  <c r="M62" i="9"/>
  <c r="N61" i="9"/>
  <c r="N51" i="9"/>
  <c r="M53" i="9"/>
  <c r="M52" i="9"/>
  <c r="N37" i="9"/>
  <c r="M39" i="9"/>
  <c r="M38" i="9"/>
  <c r="M31" i="9"/>
  <c r="M30" i="9"/>
  <c r="M21" i="9"/>
  <c r="M20" i="9"/>
  <c r="N29" i="9"/>
  <c r="N19" i="9"/>
  <c r="M75" i="2"/>
  <c r="M76" i="2"/>
  <c r="M77" i="2"/>
  <c r="B78" i="2"/>
  <c r="C78" i="2"/>
  <c r="D78" i="2"/>
  <c r="E78" i="2"/>
  <c r="F78" i="2"/>
  <c r="G78" i="2"/>
  <c r="H78" i="2"/>
  <c r="I78" i="2"/>
  <c r="J78" i="2"/>
  <c r="K78" i="2"/>
  <c r="L78" i="2"/>
  <c r="M78" i="2"/>
  <c r="B18" i="8" l="1"/>
  <c r="C18" i="8"/>
  <c r="L24" i="8"/>
  <c r="L25" i="8"/>
  <c r="L26" i="8"/>
  <c r="L27" i="8"/>
  <c r="I28" i="8"/>
  <c r="J28" i="8"/>
  <c r="K28" i="8"/>
  <c r="E24" i="8"/>
  <c r="E25" i="8"/>
  <c r="E26" i="8"/>
  <c r="E27" i="8"/>
  <c r="B28" i="8"/>
  <c r="C28" i="8"/>
  <c r="D28" i="8"/>
  <c r="E28" i="8" l="1"/>
  <c r="L28" i="8"/>
  <c r="C119" i="9"/>
  <c r="B153" i="9"/>
  <c r="B136" i="9"/>
  <c r="K18" i="8"/>
  <c r="J18" i="8"/>
  <c r="I18" i="8"/>
  <c r="L17" i="8"/>
  <c r="L16" i="8"/>
  <c r="L15" i="8"/>
  <c r="L14" i="8"/>
  <c r="L6" i="8"/>
  <c r="L5" i="8"/>
  <c r="L4" i="8"/>
  <c r="L3" i="8"/>
  <c r="K7" i="8"/>
  <c r="J7" i="8"/>
  <c r="I7" i="8"/>
  <c r="D18" i="8"/>
  <c r="E17" i="8"/>
  <c r="E16" i="8"/>
  <c r="E15" i="8"/>
  <c r="E14" i="8"/>
  <c r="B7" i="8"/>
  <c r="C7" i="8"/>
  <c r="K110" i="5"/>
  <c r="K37" i="5"/>
  <c r="H110" i="5"/>
  <c r="H103" i="5"/>
  <c r="H94" i="5"/>
  <c r="L161" i="9"/>
  <c r="K161" i="9"/>
  <c r="J161" i="9"/>
  <c r="I161" i="9"/>
  <c r="H161" i="9"/>
  <c r="G161" i="9"/>
  <c r="F161" i="9"/>
  <c r="E161" i="9"/>
  <c r="D161" i="9"/>
  <c r="C161" i="9"/>
  <c r="B161" i="9"/>
  <c r="M160" i="9"/>
  <c r="M161" i="9" s="1"/>
  <c r="L153" i="9"/>
  <c r="K153" i="9"/>
  <c r="J153" i="9"/>
  <c r="I153" i="9"/>
  <c r="H153" i="9"/>
  <c r="G153" i="9"/>
  <c r="F153" i="9"/>
  <c r="E153" i="9"/>
  <c r="C153" i="9"/>
  <c r="M152" i="9"/>
  <c r="M153" i="9" s="1"/>
  <c r="L145" i="9"/>
  <c r="K145" i="9"/>
  <c r="J145" i="9"/>
  <c r="I145" i="9"/>
  <c r="H145" i="9"/>
  <c r="G145" i="9"/>
  <c r="F145" i="9"/>
  <c r="E145" i="9"/>
  <c r="D145" i="9"/>
  <c r="C145" i="9"/>
  <c r="B145" i="9"/>
  <c r="M144" i="9"/>
  <c r="M143" i="9"/>
  <c r="L136" i="9"/>
  <c r="K136" i="9"/>
  <c r="I136" i="9"/>
  <c r="H136" i="9"/>
  <c r="G136" i="9"/>
  <c r="F136" i="9"/>
  <c r="E136" i="9"/>
  <c r="D136" i="9"/>
  <c r="C136" i="9"/>
  <c r="M135" i="9"/>
  <c r="M134" i="9"/>
  <c r="L128" i="9"/>
  <c r="K128" i="9"/>
  <c r="J128" i="9"/>
  <c r="I128" i="9"/>
  <c r="H128" i="9"/>
  <c r="G128" i="9"/>
  <c r="F128" i="9"/>
  <c r="E128" i="9"/>
  <c r="D128" i="9"/>
  <c r="C128" i="9"/>
  <c r="B128" i="9"/>
  <c r="M127" i="9"/>
  <c r="M126" i="9"/>
  <c r="M125" i="9"/>
  <c r="L119" i="9"/>
  <c r="K119" i="9"/>
  <c r="J119" i="9"/>
  <c r="I119" i="9"/>
  <c r="H119" i="9"/>
  <c r="G119" i="9"/>
  <c r="F119" i="9"/>
  <c r="E119" i="9"/>
  <c r="D119" i="9"/>
  <c r="B119" i="9"/>
  <c r="M118" i="9"/>
  <c r="M117" i="9"/>
  <c r="L110" i="9"/>
  <c r="K110" i="9"/>
  <c r="J110" i="9"/>
  <c r="I110" i="9"/>
  <c r="H110" i="9"/>
  <c r="G110" i="9"/>
  <c r="F110" i="9"/>
  <c r="E110" i="9"/>
  <c r="D110" i="9"/>
  <c r="C110" i="9"/>
  <c r="B110" i="9"/>
  <c r="M109" i="9"/>
  <c r="M108" i="9"/>
  <c r="L103" i="9"/>
  <c r="K103" i="9"/>
  <c r="J103" i="9"/>
  <c r="I103" i="9"/>
  <c r="H103" i="9"/>
  <c r="G103" i="9"/>
  <c r="F103" i="9"/>
  <c r="E103" i="9"/>
  <c r="D103" i="9"/>
  <c r="C103" i="9"/>
  <c r="B103" i="9"/>
  <c r="M102" i="9"/>
  <c r="M101" i="9"/>
  <c r="L94" i="9"/>
  <c r="K94" i="9"/>
  <c r="J94" i="9"/>
  <c r="I94" i="9"/>
  <c r="H94" i="9"/>
  <c r="G94" i="9"/>
  <c r="F94" i="9"/>
  <c r="E94" i="9"/>
  <c r="D94" i="9"/>
  <c r="C94" i="9"/>
  <c r="B94" i="9"/>
  <c r="M93" i="9"/>
  <c r="M92" i="9"/>
  <c r="L87" i="9"/>
  <c r="K87" i="9"/>
  <c r="J87" i="9"/>
  <c r="I87" i="9"/>
  <c r="H87" i="9"/>
  <c r="G87" i="9"/>
  <c r="F87" i="9"/>
  <c r="E87" i="9"/>
  <c r="D87" i="9"/>
  <c r="C87" i="9"/>
  <c r="B87" i="9"/>
  <c r="M86" i="9"/>
  <c r="M85" i="9"/>
  <c r="M84" i="9"/>
  <c r="L78" i="9"/>
  <c r="K78" i="9"/>
  <c r="J78" i="9"/>
  <c r="I78" i="9"/>
  <c r="H78" i="9"/>
  <c r="G78" i="9"/>
  <c r="F78" i="9"/>
  <c r="E78" i="9"/>
  <c r="D78" i="9"/>
  <c r="C78" i="9"/>
  <c r="B78" i="9"/>
  <c r="M77" i="9"/>
  <c r="M76" i="9"/>
  <c r="M75" i="9"/>
  <c r="L69" i="9"/>
  <c r="K69" i="9"/>
  <c r="J69" i="9"/>
  <c r="I69" i="9"/>
  <c r="H69" i="9"/>
  <c r="G69" i="9"/>
  <c r="F69" i="9"/>
  <c r="E69" i="9"/>
  <c r="D69" i="9"/>
  <c r="C69" i="9"/>
  <c r="B69" i="9"/>
  <c r="M68" i="9"/>
  <c r="M67" i="9"/>
  <c r="L61" i="9"/>
  <c r="K61" i="9"/>
  <c r="J61" i="9"/>
  <c r="I61" i="9"/>
  <c r="H61" i="9"/>
  <c r="G61" i="9"/>
  <c r="F61" i="9"/>
  <c r="E61" i="9"/>
  <c r="D61" i="9"/>
  <c r="C61" i="9"/>
  <c r="B61" i="9"/>
  <c r="M60" i="9"/>
  <c r="M59" i="9"/>
  <c r="M58" i="9"/>
  <c r="L51" i="9"/>
  <c r="K51" i="9"/>
  <c r="J51" i="9"/>
  <c r="I51" i="9"/>
  <c r="H51" i="9"/>
  <c r="G51" i="9"/>
  <c r="F51" i="9"/>
  <c r="E51" i="9"/>
  <c r="D51" i="9"/>
  <c r="C51" i="9"/>
  <c r="B51" i="9"/>
  <c r="M50" i="9"/>
  <c r="M49" i="9"/>
  <c r="M48" i="9"/>
  <c r="M47" i="9"/>
  <c r="L37" i="9"/>
  <c r="K37" i="9"/>
  <c r="J37" i="9"/>
  <c r="I37" i="9"/>
  <c r="H37" i="9"/>
  <c r="G37" i="9"/>
  <c r="F37" i="9"/>
  <c r="E37" i="9"/>
  <c r="D37" i="9"/>
  <c r="C37" i="9"/>
  <c r="B37" i="9"/>
  <c r="M36" i="9"/>
  <c r="M35" i="9"/>
  <c r="M34" i="9"/>
  <c r="L29" i="9"/>
  <c r="K29" i="9"/>
  <c r="J29" i="9"/>
  <c r="I29" i="9"/>
  <c r="H29" i="9"/>
  <c r="G29" i="9"/>
  <c r="F29" i="9"/>
  <c r="E29" i="9"/>
  <c r="D29" i="9"/>
  <c r="C29" i="9"/>
  <c r="B29" i="9"/>
  <c r="M28" i="9"/>
  <c r="M27" i="9"/>
  <c r="M26" i="9"/>
  <c r="M25" i="9"/>
  <c r="M24" i="9"/>
  <c r="L19" i="9"/>
  <c r="K19" i="9"/>
  <c r="J19" i="9"/>
  <c r="I19" i="9"/>
  <c r="H19" i="9"/>
  <c r="G19" i="9"/>
  <c r="F19" i="9"/>
  <c r="E19" i="9"/>
  <c r="D19" i="9"/>
  <c r="C19" i="9"/>
  <c r="B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4" i="9"/>
  <c r="G161" i="5"/>
  <c r="H161" i="5"/>
  <c r="I161" i="5"/>
  <c r="L161" i="5"/>
  <c r="F161" i="5"/>
  <c r="L7" i="8" l="1"/>
  <c r="E18" i="8"/>
  <c r="L18" i="8"/>
  <c r="M51" i="9"/>
  <c r="M94" i="9"/>
  <c r="M87" i="9"/>
  <c r="M136" i="9"/>
  <c r="M128" i="9"/>
  <c r="M110" i="9"/>
  <c r="M145" i="9"/>
  <c r="M19" i="9"/>
  <c r="M29" i="9"/>
  <c r="M61" i="9"/>
  <c r="M103" i="9"/>
  <c r="M69" i="9"/>
  <c r="M119" i="9"/>
  <c r="M37" i="9"/>
  <c r="M78" i="9"/>
  <c r="K161" i="5"/>
  <c r="E161" i="5"/>
  <c r="L153" i="5"/>
  <c r="K153" i="5"/>
  <c r="I153" i="5"/>
  <c r="H153" i="5"/>
  <c r="G153" i="5"/>
  <c r="F153" i="5"/>
  <c r="E153" i="5"/>
  <c r="L145" i="5"/>
  <c r="K145" i="5"/>
  <c r="I145" i="5"/>
  <c r="H145" i="5"/>
  <c r="G145" i="5"/>
  <c r="F145" i="5"/>
  <c r="E145" i="5"/>
  <c r="L136" i="5"/>
  <c r="K136" i="5"/>
  <c r="I136" i="5"/>
  <c r="H136" i="5"/>
  <c r="G136" i="5"/>
  <c r="F136" i="5"/>
  <c r="E136" i="5"/>
  <c r="L128" i="5"/>
  <c r="K128" i="5"/>
  <c r="I128" i="5"/>
  <c r="H128" i="5"/>
  <c r="G128" i="5"/>
  <c r="F128" i="5"/>
  <c r="E128" i="5"/>
  <c r="L119" i="5"/>
  <c r="K119" i="5"/>
  <c r="I119" i="5"/>
  <c r="H119" i="5"/>
  <c r="G119" i="5"/>
  <c r="F119" i="5"/>
  <c r="E119" i="5"/>
  <c r="G110" i="5"/>
  <c r="I110" i="5"/>
  <c r="L110" i="5"/>
  <c r="F110" i="5"/>
  <c r="E110" i="5"/>
  <c r="L103" i="5"/>
  <c r="K103" i="5"/>
  <c r="I103" i="5"/>
  <c r="G103" i="5"/>
  <c r="F103" i="5"/>
  <c r="E103" i="5"/>
  <c r="L94" i="5"/>
  <c r="K94" i="5"/>
  <c r="I94" i="5"/>
  <c r="G94" i="5"/>
  <c r="F94" i="5"/>
  <c r="E94" i="5"/>
  <c r="L87" i="5"/>
  <c r="K87" i="5"/>
  <c r="I87" i="5"/>
  <c r="H87" i="5"/>
  <c r="G87" i="5"/>
  <c r="F87" i="5"/>
  <c r="E87" i="5"/>
  <c r="G78" i="5"/>
  <c r="H78" i="5"/>
  <c r="I78" i="5"/>
  <c r="K78" i="5"/>
  <c r="L78" i="5"/>
  <c r="F78" i="5"/>
  <c r="E78" i="5"/>
  <c r="L69" i="5"/>
  <c r="K69" i="5"/>
  <c r="I69" i="5"/>
  <c r="H69" i="5"/>
  <c r="G69" i="5"/>
  <c r="F69" i="5"/>
  <c r="E69" i="5"/>
  <c r="L61" i="5"/>
  <c r="K61" i="5"/>
  <c r="I61" i="5"/>
  <c r="H61" i="5"/>
  <c r="G61" i="5"/>
  <c r="F61" i="5"/>
  <c r="E61" i="5"/>
  <c r="L51" i="5"/>
  <c r="K51" i="5"/>
  <c r="I51" i="5"/>
  <c r="H51" i="5"/>
  <c r="G51" i="5"/>
  <c r="F51" i="5"/>
  <c r="E51" i="5"/>
  <c r="L37" i="5"/>
  <c r="I37" i="5"/>
  <c r="H37" i="5"/>
  <c r="G37" i="5"/>
  <c r="F37" i="5"/>
  <c r="E37" i="5"/>
  <c r="L29" i="5"/>
  <c r="K29" i="5"/>
  <c r="I29" i="5"/>
  <c r="H29" i="5"/>
  <c r="G29" i="5"/>
  <c r="F29" i="5"/>
  <c r="E29" i="5"/>
  <c r="D145" i="5"/>
  <c r="L19" i="5" l="1"/>
  <c r="K19" i="5"/>
  <c r="I19" i="5"/>
  <c r="H19" i="5"/>
  <c r="G19" i="5"/>
  <c r="F19" i="5"/>
  <c r="E19" i="5"/>
  <c r="E3" i="8"/>
  <c r="E4" i="8"/>
  <c r="E5" i="8"/>
  <c r="E6" i="8"/>
  <c r="D7" i="8"/>
  <c r="L126" i="2"/>
  <c r="L61" i="2"/>
  <c r="L51" i="2"/>
  <c r="J108" i="2"/>
  <c r="J29" i="2"/>
  <c r="I142" i="2"/>
  <c r="I51" i="2"/>
  <c r="H150" i="2"/>
  <c r="H19" i="2"/>
  <c r="G51" i="2"/>
  <c r="G19" i="2"/>
  <c r="F94" i="2"/>
  <c r="L37" i="2"/>
  <c r="K37" i="2"/>
  <c r="I37" i="2"/>
  <c r="H37" i="2"/>
  <c r="G37" i="2"/>
  <c r="F37" i="2"/>
  <c r="L158" i="2"/>
  <c r="K158" i="2"/>
  <c r="I158" i="2"/>
  <c r="H158" i="2"/>
  <c r="G158" i="2"/>
  <c r="F158" i="2"/>
  <c r="E158" i="2"/>
  <c r="L150" i="2"/>
  <c r="K150" i="2"/>
  <c r="I150" i="2"/>
  <c r="F150" i="2"/>
  <c r="G150" i="2"/>
  <c r="E150" i="2"/>
  <c r="L142" i="2"/>
  <c r="K142" i="2"/>
  <c r="H142" i="2"/>
  <c r="G142" i="2"/>
  <c r="F142" i="2"/>
  <c r="E142" i="2"/>
  <c r="L133" i="2"/>
  <c r="K133" i="2"/>
  <c r="I133" i="2"/>
  <c r="H133" i="2"/>
  <c r="G133" i="2"/>
  <c r="F133" i="2"/>
  <c r="E133" i="2"/>
  <c r="K126" i="2"/>
  <c r="I126" i="2"/>
  <c r="H126" i="2"/>
  <c r="G126" i="2"/>
  <c r="F126" i="2"/>
  <c r="E126" i="2"/>
  <c r="I117" i="2"/>
  <c r="K117" i="2"/>
  <c r="L117" i="2"/>
  <c r="H117" i="2"/>
  <c r="G117" i="2"/>
  <c r="F117" i="2"/>
  <c r="E117" i="2"/>
  <c r="L108" i="2"/>
  <c r="K108" i="2"/>
  <c r="I108" i="2"/>
  <c r="H108" i="2"/>
  <c r="G108" i="2"/>
  <c r="F108" i="2"/>
  <c r="E108" i="2"/>
  <c r="F101" i="2"/>
  <c r="G101" i="2"/>
  <c r="H101" i="2"/>
  <c r="I101" i="2"/>
  <c r="K101" i="2"/>
  <c r="L101" i="2"/>
  <c r="E101" i="2"/>
  <c r="G94" i="2"/>
  <c r="H94" i="2"/>
  <c r="I94" i="2"/>
  <c r="L94" i="2"/>
  <c r="E94" i="2"/>
  <c r="L87" i="2"/>
  <c r="K87" i="2"/>
  <c r="I87" i="2"/>
  <c r="H87" i="2"/>
  <c r="G87" i="2"/>
  <c r="F87" i="2"/>
  <c r="E87" i="2"/>
  <c r="L69" i="2"/>
  <c r="K69" i="2"/>
  <c r="I69" i="2"/>
  <c r="H69" i="2"/>
  <c r="G69" i="2"/>
  <c r="F69" i="2"/>
  <c r="E69" i="2"/>
  <c r="K61" i="2"/>
  <c r="I61" i="2"/>
  <c r="H61" i="2"/>
  <c r="G61" i="2"/>
  <c r="F61" i="2"/>
  <c r="E61" i="2"/>
  <c r="K51" i="2"/>
  <c r="H51" i="2"/>
  <c r="F51" i="2"/>
  <c r="E51" i="2"/>
  <c r="L29" i="2"/>
  <c r="I19" i="2"/>
  <c r="J19" i="2"/>
  <c r="L19" i="2"/>
  <c r="K19" i="2"/>
  <c r="K29" i="2"/>
  <c r="I29" i="2"/>
  <c r="H29" i="2"/>
  <c r="G29" i="2"/>
  <c r="F29" i="2"/>
  <c r="E37" i="2"/>
  <c r="E29" i="2"/>
  <c r="F19" i="2"/>
  <c r="E19" i="2"/>
  <c r="D117" i="2"/>
  <c r="J161" i="5"/>
  <c r="D161" i="5"/>
  <c r="C161" i="5"/>
  <c r="B161" i="5"/>
  <c r="M160" i="5"/>
  <c r="M161" i="5" s="1"/>
  <c r="J153" i="5"/>
  <c r="D153" i="5"/>
  <c r="C153" i="5"/>
  <c r="B153" i="5"/>
  <c r="M152" i="5"/>
  <c r="M153" i="5" s="1"/>
  <c r="J145" i="5"/>
  <c r="C145" i="5"/>
  <c r="B145" i="5"/>
  <c r="M144" i="5"/>
  <c r="M143" i="5"/>
  <c r="J136" i="5"/>
  <c r="D136" i="5"/>
  <c r="C136" i="5"/>
  <c r="B136" i="5"/>
  <c r="M135" i="5"/>
  <c r="M134" i="5"/>
  <c r="J128" i="5"/>
  <c r="D128" i="5"/>
  <c r="C128" i="5"/>
  <c r="B128" i="5"/>
  <c r="M127" i="5"/>
  <c r="M126" i="5"/>
  <c r="M125" i="5"/>
  <c r="J119" i="5"/>
  <c r="D119" i="5"/>
  <c r="C119" i="5"/>
  <c r="B119" i="5"/>
  <c r="M118" i="5"/>
  <c r="M117" i="5"/>
  <c r="J110" i="5"/>
  <c r="D110" i="5"/>
  <c r="C110" i="5"/>
  <c r="B110" i="5"/>
  <c r="M109" i="5"/>
  <c r="M108" i="5"/>
  <c r="J103" i="5"/>
  <c r="D103" i="5"/>
  <c r="C103" i="5"/>
  <c r="B103" i="5"/>
  <c r="M102" i="5"/>
  <c r="M101" i="5"/>
  <c r="J94" i="5"/>
  <c r="D94" i="5"/>
  <c r="C94" i="5"/>
  <c r="B94" i="5"/>
  <c r="M93" i="5"/>
  <c r="M92" i="5"/>
  <c r="J87" i="5"/>
  <c r="D87" i="5"/>
  <c r="C87" i="5"/>
  <c r="B87" i="5"/>
  <c r="M86" i="5"/>
  <c r="M85" i="5"/>
  <c r="M84" i="5"/>
  <c r="J78" i="5"/>
  <c r="D78" i="5"/>
  <c r="C78" i="5"/>
  <c r="B78" i="5"/>
  <c r="M77" i="5"/>
  <c r="M76" i="5"/>
  <c r="M75" i="5"/>
  <c r="J69" i="5"/>
  <c r="D69" i="5"/>
  <c r="C69" i="5"/>
  <c r="B69" i="5"/>
  <c r="M68" i="5"/>
  <c r="M67" i="5"/>
  <c r="J61" i="5"/>
  <c r="D61" i="5"/>
  <c r="C61" i="5"/>
  <c r="B61" i="5"/>
  <c r="M60" i="5"/>
  <c r="M59" i="5"/>
  <c r="M58" i="5"/>
  <c r="J51" i="5"/>
  <c r="D51" i="5"/>
  <c r="C51" i="5"/>
  <c r="B51" i="5"/>
  <c r="M50" i="5"/>
  <c r="M49" i="5"/>
  <c r="M48" i="5"/>
  <c r="M47" i="5"/>
  <c r="J37" i="5"/>
  <c r="D37" i="5"/>
  <c r="C37" i="5"/>
  <c r="B37" i="5"/>
  <c r="M36" i="5"/>
  <c r="M35" i="5"/>
  <c r="M34" i="5"/>
  <c r="J29" i="5"/>
  <c r="D29" i="5"/>
  <c r="C29" i="5"/>
  <c r="B29" i="5"/>
  <c r="M28" i="5"/>
  <c r="M27" i="5"/>
  <c r="M26" i="5"/>
  <c r="M25" i="5"/>
  <c r="M24" i="5"/>
  <c r="J19" i="5"/>
  <c r="D19" i="5"/>
  <c r="C19" i="5"/>
  <c r="B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4" i="5"/>
  <c r="M84" i="2"/>
  <c r="M85" i="2"/>
  <c r="M86" i="2"/>
  <c r="D87" i="2"/>
  <c r="C87" i="2"/>
  <c r="M4" i="2"/>
  <c r="D19" i="2"/>
  <c r="C19" i="2"/>
  <c r="M24" i="2"/>
  <c r="M25" i="2"/>
  <c r="M26" i="2"/>
  <c r="M27" i="2"/>
  <c r="M28" i="2"/>
  <c r="D29" i="2"/>
  <c r="C29" i="2"/>
  <c r="M34" i="2"/>
  <c r="M35" i="2"/>
  <c r="M36" i="2"/>
  <c r="D37" i="2"/>
  <c r="C37" i="2"/>
  <c r="M47" i="2"/>
  <c r="M48" i="2"/>
  <c r="M49" i="2"/>
  <c r="M50" i="2"/>
  <c r="D51" i="2"/>
  <c r="C51" i="2"/>
  <c r="M58" i="2"/>
  <c r="M59" i="2"/>
  <c r="M60" i="2"/>
  <c r="D61" i="2"/>
  <c r="C61" i="2"/>
  <c r="M67" i="2"/>
  <c r="M68" i="2"/>
  <c r="D69" i="2"/>
  <c r="C69" i="2"/>
  <c r="M92" i="2"/>
  <c r="M93" i="2"/>
  <c r="D94" i="2"/>
  <c r="C94" i="2"/>
  <c r="M99" i="2"/>
  <c r="M100" i="2"/>
  <c r="D101" i="2"/>
  <c r="C101" i="2"/>
  <c r="M106" i="2"/>
  <c r="M107" i="2"/>
  <c r="D108" i="2"/>
  <c r="C108" i="2"/>
  <c r="M115" i="2"/>
  <c r="M116" i="2"/>
  <c r="C117" i="2"/>
  <c r="M123" i="2"/>
  <c r="M124" i="2"/>
  <c r="M125" i="2"/>
  <c r="D126" i="2"/>
  <c r="C126" i="2"/>
  <c r="B126" i="2"/>
  <c r="M131" i="2"/>
  <c r="M132" i="2"/>
  <c r="D133" i="2"/>
  <c r="C133" i="2"/>
  <c r="B133" i="2"/>
  <c r="M140" i="2"/>
  <c r="M141" i="2"/>
  <c r="D142" i="2"/>
  <c r="C142" i="2"/>
  <c r="B142" i="2"/>
  <c r="M149" i="2"/>
  <c r="D150" i="2"/>
  <c r="C150" i="2"/>
  <c r="B150" i="2"/>
  <c r="M157" i="2"/>
  <c r="M158" i="2" s="1"/>
  <c r="D158" i="2"/>
  <c r="C158" i="2"/>
  <c r="B158" i="2"/>
  <c r="B117" i="2"/>
  <c r="B108" i="2"/>
  <c r="B101" i="2"/>
  <c r="B94" i="2"/>
  <c r="B87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B69" i="2"/>
  <c r="B61" i="2"/>
  <c r="B51" i="2"/>
  <c r="B37" i="2"/>
  <c r="B29" i="2"/>
  <c r="B19" i="2"/>
  <c r="J158" i="2"/>
  <c r="J150" i="2"/>
  <c r="J142" i="2"/>
  <c r="J133" i="2"/>
  <c r="J126" i="2"/>
  <c r="J117" i="2"/>
  <c r="J101" i="2"/>
  <c r="J94" i="2"/>
  <c r="J87" i="2"/>
  <c r="J69" i="2"/>
  <c r="J61" i="2"/>
  <c r="J51" i="2"/>
  <c r="J37" i="2"/>
  <c r="E7" i="8" l="1"/>
  <c r="M69" i="5"/>
  <c r="M37" i="5"/>
  <c r="M136" i="5"/>
  <c r="M128" i="5"/>
  <c r="M94" i="5"/>
  <c r="M103" i="5"/>
  <c r="M51" i="5"/>
  <c r="M78" i="5"/>
  <c r="M87" i="5"/>
  <c r="M110" i="5"/>
  <c r="M119" i="5"/>
  <c r="M145" i="5"/>
  <c r="M61" i="5"/>
  <c r="M29" i="5"/>
  <c r="M19" i="5"/>
  <c r="M69" i="2"/>
  <c r="M101" i="2"/>
  <c r="M133" i="2"/>
  <c r="M126" i="2"/>
  <c r="M61" i="2"/>
  <c r="M51" i="2"/>
  <c r="M37" i="2"/>
  <c r="M87" i="2"/>
  <c r="M150" i="2"/>
  <c r="M94" i="2"/>
  <c r="M29" i="2"/>
  <c r="M142" i="2"/>
  <c r="M117" i="2"/>
  <c r="M108" i="2"/>
  <c r="M19" i="2" l="1"/>
</calcChain>
</file>

<file path=xl/sharedStrings.xml><?xml version="1.0" encoding="utf-8"?>
<sst xmlns="http://schemas.openxmlformats.org/spreadsheetml/2006/main" count="1802" uniqueCount="142">
  <si>
    <t>PROVISIONAL BALLOTS COUNTED = 6</t>
  </si>
  <si>
    <t>BALMORHEA COMMUNTIY CENTER</t>
  </si>
  <si>
    <t>SARAGOSA MPC</t>
  </si>
  <si>
    <t>REEVES COUNTY ANNEX</t>
  </si>
  <si>
    <t>PECOS COMMUNITY CENTER</t>
  </si>
  <si>
    <t>REEVES COUNTY SENIOR CENTER</t>
  </si>
  <si>
    <t>CANDIDATE NAME</t>
  </si>
  <si>
    <t>BOX 4</t>
  </si>
  <si>
    <t>BOX 5</t>
  </si>
  <si>
    <t>BOX 6</t>
  </si>
  <si>
    <t>BOX 10</t>
  </si>
  <si>
    <t>BOX 7</t>
  </si>
  <si>
    <t>TOTAL</t>
  </si>
  <si>
    <t>PROVISIONAL</t>
  </si>
  <si>
    <t>Total</t>
  </si>
  <si>
    <t>OVER</t>
  </si>
  <si>
    <t>UNDER</t>
  </si>
  <si>
    <t>U.S. SENATOR</t>
  </si>
  <si>
    <t>MARY "MJ' HEGAR</t>
  </si>
  <si>
    <t>U.S. REPRESENTATIVE DISTRICT 23</t>
  </si>
  <si>
    <t>GINA ORTIZ JONES</t>
  </si>
  <si>
    <t>RAILROAD COMMISSIONER</t>
  </si>
  <si>
    <t>CHRYSTA CASTANEDA</t>
  </si>
  <si>
    <t>AMY CLARK MEACHUM</t>
  </si>
  <si>
    <t>KATHY CHENG</t>
  </si>
  <si>
    <t>JUSTICE, SUPREME COURT, PLACE 7</t>
  </si>
  <si>
    <t>JUSTICE, SUPREME COURT, PLACE 8</t>
  </si>
  <si>
    <t>GISELA D TRIANA</t>
  </si>
  <si>
    <t>ELIZABETH DAVID FRIZELL</t>
  </si>
  <si>
    <t>TINA CLINTON</t>
  </si>
  <si>
    <t>JUDGE, COURT OF CRIMINAL APPEALS PLACE 9</t>
  </si>
  <si>
    <t>BRANDON BIRMINGHAM</t>
  </si>
  <si>
    <t>GEORGINA PEREZ</t>
  </si>
  <si>
    <t>ROLAND GUTIERREZ</t>
  </si>
  <si>
    <t>EDDIE MORALES</t>
  </si>
  <si>
    <t>YVONNE RODRIGUEZ</t>
  </si>
  <si>
    <t>RANDALL REYNOLDS</t>
  </si>
  <si>
    <t>COUNTY ATTORNEY</t>
  </si>
  <si>
    <t>ALVA ALVAREZ</t>
  </si>
  <si>
    <t>SHERIFF</t>
  </si>
  <si>
    <t>ARTURO "ART" GRANADO</t>
  </si>
  <si>
    <t>COUNTY TAX ASSESSOR-COLLECTOR</t>
  </si>
  <si>
    <t>JACKIE HERNANDEZ</t>
  </si>
  <si>
    <t>JAY HANEY</t>
  </si>
  <si>
    <t>PRESIDENT/VICE-PRESIDENT</t>
  </si>
  <si>
    <t>BOX 2</t>
  </si>
  <si>
    <t>BOX 11</t>
  </si>
  <si>
    <t>REEVES CO CIVIC CENTER</t>
  </si>
  <si>
    <t>REEVES CO. ANNEX II</t>
  </si>
  <si>
    <t>BOX 3</t>
  </si>
  <si>
    <t>BOX 12</t>
  </si>
  <si>
    <t>TOYAH CITY BLDG</t>
  </si>
  <si>
    <t>JOSEPH BIDEN/ KAMALA HARRIS</t>
  </si>
  <si>
    <t>JO JORGENSEN/ JEREMY "SPIKE" COHEN</t>
  </si>
  <si>
    <t>HOWIE HAWKINS/ ANGELA WALKER</t>
  </si>
  <si>
    <t>PRESIDENT R. BODDIE/ ERIC STONEHAM</t>
  </si>
  <si>
    <t>BRIAN CARROLL/ AMAR PATEL</t>
  </si>
  <si>
    <t>TODD CELLA/ TIM CELLA</t>
  </si>
  <si>
    <t xml:space="preserve">DONALD J. TRUMP/ MICHAEL PENCE </t>
  </si>
  <si>
    <t>JESSE CUELLAR/ JIMMY MONREAL</t>
  </si>
  <si>
    <t>TOM HOEFLING/ ANDY PRIOR</t>
  </si>
  <si>
    <t>GLORIA LA RIVA/ LEONARD PELTIER</t>
  </si>
  <si>
    <t>ABRAM LOEB/ JENNIFER JAIRALA</t>
  </si>
  <si>
    <t>ROBERT MORROW/ ANNE BECKETT</t>
  </si>
  <si>
    <t>KESEY WELLS/ RACHEL WELLS</t>
  </si>
  <si>
    <t>BOX 1</t>
  </si>
  <si>
    <t>BOX 8</t>
  </si>
  <si>
    <t>JOHN CORNYN</t>
  </si>
  <si>
    <t>KERRY DOUGLAS MCKENNON</t>
  </si>
  <si>
    <t>DAVID B COLLINS</t>
  </si>
  <si>
    <t>RICARDO TURULLOLS-BONILLA</t>
  </si>
  <si>
    <t>TONY GONZALES</t>
  </si>
  <si>
    <t>BETO VILLELA</t>
  </si>
  <si>
    <t>JAMES "JIM" WRIGHT</t>
  </si>
  <si>
    <t>MATT STERETT</t>
  </si>
  <si>
    <t>KATIJA "KAT" GRUENE</t>
  </si>
  <si>
    <t>NATHAN HECHT</t>
  </si>
  <si>
    <t>CHIEF JUSTICE, SUPREME COURT</t>
  </si>
  <si>
    <t>MARK ASH</t>
  </si>
  <si>
    <t>JUSTICE, SUPREME COURT, PLACE 6</t>
  </si>
  <si>
    <t>JANE BLAND</t>
  </si>
  <si>
    <t>JEFF BOYD</t>
  </si>
  <si>
    <t>STACI WILLIAMS</t>
  </si>
  <si>
    <t>WILLIAM BRYAN STRANGE III</t>
  </si>
  <si>
    <t>BRETT BUSBY</t>
  </si>
  <si>
    <t>TOM OXFORD</t>
  </si>
  <si>
    <t>JUDGE, COURT OF CRIMINAL APPEALS PLACE 3</t>
  </si>
  <si>
    <t>BERT RICHARDSON</t>
  </si>
  <si>
    <t>JUDGE, COURT OF CRIMINAL APPEALS PLACE 4</t>
  </si>
  <si>
    <t>KEVIN PATRICK YEARY</t>
  </si>
  <si>
    <t>DAVID NEWELL</t>
  </si>
  <si>
    <t xml:space="preserve">MEMBER, STATE BOARD OF EDUCATION, DIST. 1 </t>
  </si>
  <si>
    <t>JENNIFER IVEY</t>
  </si>
  <si>
    <t>STATE SENATOR, DIST. 19</t>
  </si>
  <si>
    <t>PETER "PETE" FLORES</t>
  </si>
  <si>
    <t>JO-ANNE VALDIVIA</t>
  </si>
  <si>
    <t>STATE REPRESENTATIVE DIST. 74</t>
  </si>
  <si>
    <t>RUBEN FALCON</t>
  </si>
  <si>
    <t>CHIEF JUSTICE, 8TH COURT OF APPEALS DISTTRICT</t>
  </si>
  <si>
    <t>JEFF ALLEY</t>
  </si>
  <si>
    <t>DISTRICT JUDGE, 143RD JUDICAL DIST.</t>
  </si>
  <si>
    <t>MIKE SWANSON</t>
  </si>
  <si>
    <t>DISTRICT ATTORNEY, 143RD JUDICAL DIST.</t>
  </si>
  <si>
    <t>COUNTY OFFICES DECLARED ELECTED</t>
  </si>
  <si>
    <t>ROESMARY CHAPARRIA</t>
  </si>
  <si>
    <t>COUNTY COMMISSIONER PRCT 1</t>
  </si>
  <si>
    <t>ROJELIO (ROY) ALVARADO)</t>
  </si>
  <si>
    <t>COUNTY COMMISSIONER PRCT 3</t>
  </si>
  <si>
    <t>PAUL HINOJOS</t>
  </si>
  <si>
    <t>JUSTICE OF THE PEACE PRCT 4</t>
  </si>
  <si>
    <t>(UNEXPIERD TERM) CECIL J LEE</t>
  </si>
  <si>
    <t>COOUNTY CONSTABEL PRCT 1</t>
  </si>
  <si>
    <t>COUNTY CONSTABEL PRCT 2</t>
  </si>
  <si>
    <t>COUNTY CONSTABEL PRCT 3</t>
  </si>
  <si>
    <t>COUNTY CONSTABEL PRCT 4</t>
  </si>
  <si>
    <t>JERRY C. MATTA</t>
  </si>
  <si>
    <t>JOSE A SALDANA</t>
  </si>
  <si>
    <t>The following totals are for Early Voting</t>
  </si>
  <si>
    <t>The following totals are for Mail In</t>
  </si>
  <si>
    <t>BALLOTS COUNTED - TOTAL</t>
  </si>
  <si>
    <t>59</t>
  </si>
  <si>
    <t>BY MAIL</t>
  </si>
  <si>
    <t xml:space="preserve">BOX 3 / 51 </t>
  </si>
  <si>
    <t>BOX 5/ 36</t>
  </si>
  <si>
    <t xml:space="preserve">BOX 8/ 25 </t>
  </si>
  <si>
    <t>PRECINCTS COUNTED = 11                                                                  PROVISIONAL VOTERS = 78</t>
  </si>
  <si>
    <r>
      <rPr>
        <b/>
        <sz val="11"/>
        <rFont val="Times New Roman"/>
        <family val="1"/>
      </rPr>
      <t xml:space="preserve"> NUMBER OF REGISTERED VOTERS PER BOX:                                                                                                             </t>
    </r>
    <r>
      <rPr>
        <sz val="11"/>
        <rFont val="Times New Roman"/>
        <family val="1"/>
      </rPr>
      <t xml:space="preserve">   BOX 1 =</t>
    </r>
    <r>
      <rPr>
        <b/>
        <sz val="11"/>
        <rFont val="Times New Roman"/>
        <family val="1"/>
      </rPr>
      <t xml:space="preserve"> 462</t>
    </r>
    <r>
      <rPr>
        <sz val="11"/>
        <rFont val="Times New Roman"/>
        <family val="1"/>
      </rPr>
      <t xml:space="preserve"> BOX 2 =</t>
    </r>
    <r>
      <rPr>
        <b/>
        <sz val="11"/>
        <rFont val="Times New Roman"/>
        <family val="1"/>
      </rPr>
      <t xml:space="preserve"> 871</t>
    </r>
    <r>
      <rPr>
        <sz val="11"/>
        <rFont val="Times New Roman"/>
        <family val="1"/>
      </rPr>
      <t xml:space="preserve"> BOX 3 = </t>
    </r>
    <r>
      <rPr>
        <b/>
        <sz val="11"/>
        <rFont val="Times New Roman"/>
        <family val="1"/>
      </rPr>
      <t xml:space="preserve">931 </t>
    </r>
    <r>
      <rPr>
        <sz val="11"/>
        <rFont val="Times New Roman"/>
        <family val="1"/>
      </rPr>
      <t>BOX 4</t>
    </r>
    <r>
      <rPr>
        <b/>
        <sz val="11"/>
        <rFont val="Times New Roman"/>
        <family val="1"/>
      </rPr>
      <t xml:space="preserve"> = 129 </t>
    </r>
    <r>
      <rPr>
        <sz val="11"/>
        <rFont val="Times New Roman"/>
        <family val="1"/>
      </rPr>
      <t xml:space="preserve"> BOX 5 =</t>
    </r>
    <r>
      <rPr>
        <b/>
        <sz val="11"/>
        <rFont val="Times New Roman"/>
        <family val="1"/>
      </rPr>
      <t xml:space="preserve"> 490 </t>
    </r>
    <r>
      <rPr>
        <sz val="11"/>
        <rFont val="Times New Roman"/>
        <family val="1"/>
      </rPr>
      <t xml:space="preserve">BOX 6 = </t>
    </r>
    <r>
      <rPr>
        <b/>
        <sz val="11"/>
        <rFont val="Times New Roman"/>
        <family val="1"/>
      </rPr>
      <t xml:space="preserve">139       </t>
    </r>
    <r>
      <rPr>
        <sz val="11"/>
        <rFont val="Times New Roman"/>
        <family val="1"/>
      </rPr>
      <t>BOX 7</t>
    </r>
    <r>
      <rPr>
        <b/>
        <sz val="11"/>
        <rFont val="Times New Roman"/>
        <family val="1"/>
      </rPr>
      <t xml:space="preserve"> = 914 </t>
    </r>
    <r>
      <rPr>
        <sz val="11"/>
        <rFont val="Times New Roman"/>
        <family val="1"/>
      </rPr>
      <t xml:space="preserve">BOX 8 = </t>
    </r>
    <r>
      <rPr>
        <b/>
        <sz val="11"/>
        <rFont val="Times New Roman"/>
        <family val="1"/>
      </rPr>
      <t>589</t>
    </r>
    <r>
      <rPr>
        <sz val="11"/>
        <rFont val="Times New Roman"/>
        <family val="1"/>
      </rPr>
      <t xml:space="preserve">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BOX 10 = </t>
    </r>
    <r>
      <rPr>
        <b/>
        <sz val="11"/>
        <rFont val="Times New Roman"/>
        <family val="1"/>
      </rPr>
      <t xml:space="preserve">1111 </t>
    </r>
    <r>
      <rPr>
        <sz val="11"/>
        <rFont val="Times New Roman"/>
        <family val="1"/>
      </rPr>
      <t>BOX 11</t>
    </r>
    <r>
      <rPr>
        <b/>
        <sz val="11"/>
        <rFont val="Times New Roman"/>
        <family val="1"/>
      </rPr>
      <t xml:space="preserve"> = 906 </t>
    </r>
    <r>
      <rPr>
        <sz val="11"/>
        <rFont val="Times New Roman"/>
        <family val="1"/>
      </rPr>
      <t xml:space="preserve">BOX 12 = </t>
    </r>
    <r>
      <rPr>
        <b/>
        <sz val="11"/>
        <rFont val="Times New Roman"/>
        <family val="1"/>
      </rPr>
      <t>1041</t>
    </r>
    <r>
      <rPr>
        <sz val="11"/>
        <rFont val="Times New Roman"/>
        <family val="1"/>
      </rPr>
      <t xml:space="preserve">                                                                                                                                                                          </t>
    </r>
    <r>
      <rPr>
        <b/>
        <sz val="11"/>
        <rFont val="Times New Roman"/>
        <family val="1"/>
      </rPr>
      <t>TOTAL NUMBER  OF REGISTERED VOTERS =  7583</t>
    </r>
  </si>
  <si>
    <t>The following totals are for Election Day</t>
  </si>
  <si>
    <t>Column1</t>
  </si>
  <si>
    <t>EARLY VOTING</t>
  </si>
  <si>
    <t>BOX 3/ 415</t>
  </si>
  <si>
    <t>BOX 5/ 46</t>
  </si>
  <si>
    <t>BOX 8 / 146</t>
  </si>
  <si>
    <t>ELECTON DAY</t>
  </si>
  <si>
    <t>64</t>
  </si>
  <si>
    <t>124</t>
  </si>
  <si>
    <t>ELECTION DAY</t>
  </si>
  <si>
    <t>BOX 3/ 85</t>
  </si>
  <si>
    <t>BOX 5 / 193</t>
  </si>
  <si>
    <t>BOX 8/ 70</t>
  </si>
  <si>
    <t xml:space="preserve">BOX 5/ 193 </t>
  </si>
  <si>
    <t>BOX 8 / 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</si>
</sst>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i/>
      <sz val="11"/>
      <name val="Times New Roman"/>
      <family val="1"/>
    </font>
    <font>
      <b/>
      <sz val="6"/>
      <name val="Times New Roman"/>
      <family val="1"/>
    </font>
    <font>
      <sz val="14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i/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/>
    <xf numFmtId="0" fontId="8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3" fillId="0" borderId="1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Border="1" applyAlignment="1">
      <alignment horizontal="right"/>
    </xf>
    <xf numFmtId="0" fontId="2" fillId="0" borderId="0" xfId="0" applyFont="1" applyBorder="1"/>
    <xf numFmtId="0" fontId="13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4" xfId="0" applyFont="1" applyBorder="1"/>
    <xf numFmtId="0" fontId="2" fillId="0" borderId="11" xfId="0" applyFont="1" applyBorder="1"/>
    <xf numFmtId="0" fontId="7" fillId="0" borderId="0" xfId="0" applyFont="1" applyBorder="1"/>
    <xf numFmtId="0" fontId="2" fillId="0" borderId="0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173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color auto="1"/>
        <name val="Times New Roman"/>
        <family val="1"/>
        <scheme val="none"/>
      </font>
      <alignment horizontal="center" vertical="center" textRotation="0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rgb="FF000000"/>
        </top>
      </border>
    </dxf>
    <dxf>
      <font>
        <strike val="0"/>
        <outline val="0"/>
        <shadow val="0"/>
        <vertAlign val="baseline"/>
        <color auto="1"/>
        <name val="Times New Roman"/>
        <scheme val="none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color auto="1"/>
        <name val="Times New Roman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62C5759D-48A1-4336-BD6A-7E71AA75CEAC}" name="Table11264" displayName="Table11264" ref="A5:M19" totalsRowCount="1" headerRowDxfId="1733" dataDxfId="1731" totalsRowDxfId="1729" headerRowBorderDxfId="1732" tableBorderDxfId="1730" totalsRowBorderDxfId="1728">
  <autoFilter ref="A5:M18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196E8573-A4C3-4CB5-85F3-85F014887192}" name="CANDIDATE NAME" totalsRowLabel="Total" dataDxfId="1727" totalsRowDxfId="290"/>
    <tableColumn id="17" xr3:uid="{45789ABA-D6BE-4AB0-BEF9-0B8BAA9CA24B}" name="BOX 1" totalsRowFunction="sum" dataDxfId="1726" totalsRowDxfId="289"/>
    <tableColumn id="13" xr3:uid="{984439FC-DF7D-475F-9A7F-045C73D3A6AE}" name="BOX 2" totalsRowFunction="sum" dataDxfId="1725" totalsRowDxfId="288"/>
    <tableColumn id="2" xr3:uid="{6FFE4421-36A1-402F-93F0-0F911142A0C1}" name="BOX 3" totalsRowFunction="sum" dataDxfId="1724" totalsRowDxfId="287"/>
    <tableColumn id="14" xr3:uid="{7BC296CA-C026-4C46-8556-6C5327936D59}" name="BOX 4" totalsRowFunction="sum" dataDxfId="1723" totalsRowDxfId="286"/>
    <tableColumn id="6" xr3:uid="{F1905118-8E2F-431C-9B77-13AC0B773A49}" name="BOX 5" totalsRowFunction="sum" dataDxfId="1722" totalsRowDxfId="285"/>
    <tableColumn id="5" xr3:uid="{060ED729-D9EE-495F-A602-97C5C235EEDE}" name="BOX 6" totalsRowFunction="sum" dataDxfId="1721" totalsRowDxfId="284"/>
    <tableColumn id="8" xr3:uid="{011AEB95-C90E-4664-AF66-A4844DAB6B48}" name="BOX 7" totalsRowFunction="sum" dataDxfId="1720" totalsRowDxfId="283"/>
    <tableColumn id="7" xr3:uid="{8A9DF64B-9633-4A7E-9D02-F126AC3F333C}" name="BOX 8" totalsRowFunction="sum" dataDxfId="1719" totalsRowDxfId="282"/>
    <tableColumn id="10" xr3:uid="{D953888A-5E06-40EB-9287-9BC853731A40}" name="BOX 10" totalsRowFunction="sum" dataDxfId="1718" totalsRowDxfId="281"/>
    <tableColumn id="16" xr3:uid="{9C072C4B-A8A7-476C-AD4C-D3C3D61587FA}" name="BOX 11" totalsRowFunction="sum" dataDxfId="1717" totalsRowDxfId="280"/>
    <tableColumn id="3" xr3:uid="{38185D20-16BF-45DC-84B2-69C14EF9F510}" name="BOX 12" totalsRowFunction="sum" dataDxfId="1716" totalsRowDxfId="279"/>
    <tableColumn id="4" xr3:uid="{1516F82E-FA36-4CFA-9260-A89629918956}" name="TOTAL" totalsRowFunction="sum" dataDxfId="1715" totalsRowDxfId="278">
      <calculatedColumnFormula>SUM(Table11264[[#This Row],[BOX 1]:[BOX 12]])</calculatedColumnFormula>
    </tableColumn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3E08F436-89A0-4098-85D1-F5DBB2927CB7}" name="Table112404142444647495051535475" displayName="Table112404142444647495051535475" ref="A105:M108" totalsRowCount="1" headerRowDxfId="1426" dataDxfId="1424" totalsRowDxfId="1422" headerRowBorderDxfId="1425" tableBorderDxfId="1423" totalsRowBorderDxfId="1421">
  <autoFilter ref="A105:M107" xr:uid="{8A42D2EB-3C85-4132-A1D6-44CA41E3F3E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18A6E7F0-5FF9-4232-9D08-C7C0A3A1A758}" name="CANDIDATE NAME" totalsRowLabel="Total" dataDxfId="1420" totalsRowDxfId="1419"/>
    <tableColumn id="17" xr3:uid="{271C10D3-A051-425D-B0DE-88FF676C3AC5}" name="BOX 1" totalsRowFunction="sum" dataDxfId="1418" totalsRowDxfId="1417"/>
    <tableColumn id="13" xr3:uid="{267C8053-CDD5-4358-ACBB-61E3C8405898}" name="BOX 2" totalsRowFunction="sum" dataDxfId="1416" totalsRowDxfId="1415"/>
    <tableColumn id="2" xr3:uid="{B01F6FE1-39B3-4A51-A62D-9F1A69F73E9A}" name="BOX 3" totalsRowFunction="sum" dataDxfId="1414" totalsRowDxfId="1413"/>
    <tableColumn id="14" xr3:uid="{BCED0720-9246-4974-BABC-330D2F3586DD}" name="BOX 4" totalsRowFunction="sum" dataDxfId="1412" totalsRowDxfId="1411"/>
    <tableColumn id="6" xr3:uid="{9AA0CC64-F570-4FDD-B548-A2B7D1E87067}" name="BOX 5" totalsRowFunction="sum" dataDxfId="1410" totalsRowDxfId="1409"/>
    <tableColumn id="5" xr3:uid="{96225887-0ACA-4D75-BA24-D4891B9D6F78}" name="BOX 6" totalsRowFunction="sum" dataDxfId="1408" totalsRowDxfId="1407"/>
    <tableColumn id="8" xr3:uid="{B83A0A62-E134-40A6-8CD7-2477E7A3129B}" name="BOX 7" totalsRowFunction="sum" dataDxfId="1406" totalsRowDxfId="1405"/>
    <tableColumn id="7" xr3:uid="{ECE40153-BF0A-4B3D-A4E9-88EA97E01921}" name="BOX 8" totalsRowFunction="sum" dataDxfId="1404" totalsRowDxfId="1403"/>
    <tableColumn id="10" xr3:uid="{57C0EF84-A806-4A69-AD37-1316421AAEE9}" name="BOX 10" totalsRowFunction="sum" dataDxfId="1402" totalsRowDxfId="1401"/>
    <tableColumn id="16" xr3:uid="{B548640A-4484-4D8F-B2FF-14AF4AEB71CA}" name="BOX 11" totalsRowFunction="sum" dataDxfId="1400" totalsRowDxfId="1399"/>
    <tableColumn id="3" xr3:uid="{35E5648E-3FFE-49D8-A9CA-1E83E7BFAFA4}" name="BOX 12" totalsRowFunction="sum" dataDxfId="1398" totalsRowDxfId="1397"/>
    <tableColumn id="4" xr3:uid="{E39F8EB5-0F11-417D-8976-2CD9AAFFFE84}" name="TOTAL" totalsRowFunction="sum" dataDxfId="1396" totalsRowDxfId="1395">
      <calculatedColumnFormula>SUM(Table112404142444647495051535475[[#This Row],[BOX 1]:[BOX 12]])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56021875-A5B0-4163-8CAF-B0E70CA83A6B}" name="Table112404142444647495051535676" displayName="Table112404142444647495051535676" ref="A114:M117" totalsRowCount="1" headerRowDxfId="1394" dataDxfId="1392" totalsRowDxfId="1390" headerRowBorderDxfId="1393" tableBorderDxfId="1391" totalsRowBorderDxfId="1389">
  <autoFilter ref="A114:M116" xr:uid="{F230EAC9-C30A-4C39-BA3F-FB2313CA552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E0446DE9-26C2-4285-BCB5-D24D8DB967E9}" name="CANDIDATE NAME" totalsRowLabel="Total" dataDxfId="1388" totalsRowDxfId="1387"/>
    <tableColumn id="17" xr3:uid="{3EF7D2B1-9896-4B25-B69C-A3C09F5A3271}" name="BOX 1" totalsRowFunction="sum" dataDxfId="1386" totalsRowDxfId="1385"/>
    <tableColumn id="13" xr3:uid="{B23D561A-ECE4-41F1-83BC-7FFBAC5384F7}" name="BOX 2" totalsRowFunction="sum" dataDxfId="1384" totalsRowDxfId="1383"/>
    <tableColumn id="2" xr3:uid="{0FFD2CC7-306C-4BA7-8EC6-136FA0D499E2}" name="BOX 3" totalsRowFunction="sum" dataDxfId="1382" totalsRowDxfId="1381"/>
    <tableColumn id="14" xr3:uid="{7D477383-8F93-4077-8CDD-759C041127ED}" name="BOX 4" totalsRowFunction="sum" dataDxfId="1380" totalsRowDxfId="1379"/>
    <tableColumn id="6" xr3:uid="{619DE77A-F448-46D3-BDCC-8DBFB5C515F0}" name="BOX 5" totalsRowFunction="sum" dataDxfId="1378" totalsRowDxfId="1377"/>
    <tableColumn id="5" xr3:uid="{93345FAF-7D1A-4C98-947F-57534A8E954E}" name="BOX 6" totalsRowFunction="sum" dataDxfId="1376" totalsRowDxfId="1375"/>
    <tableColumn id="8" xr3:uid="{80B98E72-0D59-4726-8E74-2C36F2A9E507}" name="BOX 7" totalsRowFunction="sum" dataDxfId="1374" totalsRowDxfId="1373"/>
    <tableColumn id="7" xr3:uid="{7192DB87-9BA1-41E6-8C4D-93FA0CF868DC}" name="BOX 8" totalsRowFunction="sum" dataDxfId="1372" totalsRowDxfId="1371"/>
    <tableColumn id="10" xr3:uid="{22D5105A-55A9-44F4-B9E6-8DAAF8ED5F15}" name="BOX 10" totalsRowFunction="sum" dataDxfId="1370" totalsRowDxfId="1369"/>
    <tableColumn id="16" xr3:uid="{6F48BEB0-1BAA-497F-9328-FC642F6078D9}" name="BOX 11" totalsRowFunction="sum" dataDxfId="1368" totalsRowDxfId="1367"/>
    <tableColumn id="3" xr3:uid="{1C04FB8B-62BE-4A25-A466-24B6378AE50E}" name="BOX 12" totalsRowFunction="sum" dataDxfId="1366" totalsRowDxfId="1365"/>
    <tableColumn id="4" xr3:uid="{C2F60D26-C2FE-4F7F-8110-DF8DCE8121B2}" name="TOTAL" totalsRowFunction="sum" dataDxfId="1364" totalsRowDxfId="1363">
      <calculatedColumnFormula>SUM(Table112404142444647495051535676[[#This Row],[BOX 1]:[BOX 12]])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3E9E9944-9AFE-47A9-9FBE-C59810C050ED}" name="Table11240414244464749505153565877" displayName="Table11240414244464749505153565877" ref="A122:M126" totalsRowCount="1" headerRowDxfId="1362" dataDxfId="1360" totalsRowDxfId="1358" headerRowBorderDxfId="1361" tableBorderDxfId="1359" totalsRowBorderDxfId="1357">
  <autoFilter ref="A122:M125" xr:uid="{F0A2E59E-F808-4F35-8E51-F1D34859D8D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1FE33204-96B6-4E9C-B824-960955CE41FB}" name="CANDIDATE NAME" totalsRowLabel="Total" dataDxfId="1356" totalsRowDxfId="1355"/>
    <tableColumn id="17" xr3:uid="{876B0845-5AD5-419F-BDFF-7D1766DD4C37}" name="BOX 1" totalsRowFunction="sum" dataDxfId="1354" totalsRowDxfId="1353"/>
    <tableColumn id="13" xr3:uid="{303CAD89-DD0B-4BA7-97CB-A4B08AC66A3B}" name="BOX 2" totalsRowFunction="sum" dataDxfId="1352" totalsRowDxfId="1351"/>
    <tableColumn id="2" xr3:uid="{1D290300-CC79-4A49-935E-85D6EA3CEA40}" name="BOX 3" totalsRowFunction="sum" dataDxfId="1350" totalsRowDxfId="1349"/>
    <tableColumn id="14" xr3:uid="{34400D4C-7BCD-4C4A-9D3F-50A3256F00C5}" name="BOX 4" totalsRowFunction="sum" dataDxfId="1348" totalsRowDxfId="1347"/>
    <tableColumn id="6" xr3:uid="{D6615656-640E-4301-B961-5F28C89F4F4A}" name="BOX 5" totalsRowFunction="sum" dataDxfId="1346" totalsRowDxfId="1345"/>
    <tableColumn id="5" xr3:uid="{19D62F2D-7402-4EF2-BC0E-994D4AAD5AF0}" name="BOX 6" totalsRowFunction="sum" dataDxfId="1344" totalsRowDxfId="1343"/>
    <tableColumn id="8" xr3:uid="{15519FAC-686E-4F1C-8F68-AFCBA1C76975}" name="BOX 7" totalsRowFunction="sum" dataDxfId="1342" totalsRowDxfId="1341"/>
    <tableColumn id="7" xr3:uid="{3FB34866-1A76-4E19-952D-AFDC55598C40}" name="BOX 8" totalsRowFunction="sum" dataDxfId="1340" totalsRowDxfId="1339"/>
    <tableColumn id="10" xr3:uid="{FBB871DD-99FD-447D-88BE-A36C64D0DC7F}" name="BOX 10" totalsRowFunction="sum" dataDxfId="1338" totalsRowDxfId="1337"/>
    <tableColumn id="16" xr3:uid="{A21B0BDD-D356-4CD0-93E8-C7850785560B}" name="BOX 11" totalsRowFunction="sum" dataDxfId="1336" totalsRowDxfId="1335"/>
    <tableColumn id="3" xr3:uid="{4A452280-1B6D-496F-99E7-44E24B78ACAC}" name="BOX 12" totalsRowFunction="sum" dataDxfId="1334" totalsRowDxfId="1333"/>
    <tableColumn id="4" xr3:uid="{2A9EC562-F2C0-46CF-AE5D-C41E0965237B}" name="TOTAL" totalsRowFunction="sum" dataDxfId="1332" totalsRowDxfId="1331">
      <calculatedColumnFormula>SUM(Table11240414244464749505153565877[[#This Row],[BOX 1]:[BOX 12]])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290E6CAE-478C-488E-B1C6-41621439FD66}" name="Table1124041424446474950515356585978" displayName="Table1124041424446474950515356585978" ref="A130:M133" totalsRowCount="1" headerRowDxfId="1330" dataDxfId="1328" totalsRowDxfId="1326" headerRowBorderDxfId="1329" tableBorderDxfId="1327" totalsRowBorderDxfId="1325">
  <autoFilter ref="A130:M132" xr:uid="{458078A0-16D3-4F52-B5CA-759BF44E8FC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179FB86A-F3D3-457D-AC79-66348BA80A8B}" name="CANDIDATE NAME" totalsRowLabel="Total" dataDxfId="1324" totalsRowDxfId="1323"/>
    <tableColumn id="17" xr3:uid="{7A7A0B1D-C070-44A1-ABD4-13E2C7CD93AA}" name="BOX 1" totalsRowFunction="sum" dataDxfId="1322" totalsRowDxfId="1321"/>
    <tableColumn id="13" xr3:uid="{0051EBDE-0D01-450C-A590-0ADCDA57CDF4}" name="BOX 2" totalsRowFunction="sum" dataDxfId="1320" totalsRowDxfId="1319"/>
    <tableColumn id="2" xr3:uid="{C896ABE2-73E7-4436-A2B7-F081F87FFE7E}" name="BOX 3" totalsRowFunction="sum" dataDxfId="1318" totalsRowDxfId="1317"/>
    <tableColumn id="14" xr3:uid="{D957DB8B-0F64-4850-B8A3-E1AC72408410}" name="BOX 4" totalsRowFunction="sum" dataDxfId="1316" totalsRowDxfId="1315"/>
    <tableColumn id="6" xr3:uid="{5CFBEE53-81D1-4109-AD97-AB8703AC0A04}" name="BOX 5" totalsRowFunction="sum" dataDxfId="1314" totalsRowDxfId="1313"/>
    <tableColumn id="5" xr3:uid="{D67BE600-3F03-4EFF-8272-C90568A8E9C7}" name="BOX 6" totalsRowFunction="sum" dataDxfId="1312" totalsRowDxfId="1311"/>
    <tableColumn id="8" xr3:uid="{A8A2CA5C-A44B-4386-8873-7E4C0D4D01AA}" name="BOX 7" totalsRowFunction="sum" dataDxfId="1310" totalsRowDxfId="1309"/>
    <tableColumn id="7" xr3:uid="{6892964D-4752-4561-9E3A-2F6533B83AF9}" name="BOX 8" totalsRowFunction="sum" dataDxfId="1308" totalsRowDxfId="1307"/>
    <tableColumn id="10" xr3:uid="{FE8FD68B-025B-4206-A1ED-BED3C48093A5}" name="BOX 10" totalsRowFunction="sum" dataDxfId="1306" totalsRowDxfId="1305"/>
    <tableColumn id="16" xr3:uid="{8D1ADE7C-21C1-4496-BFB2-42D811615D93}" name="BOX 11" totalsRowFunction="sum" dataDxfId="1304" totalsRowDxfId="1303"/>
    <tableColumn id="3" xr3:uid="{D1C396EF-2487-4D8B-A345-FD6EA12513EA}" name="BOX 12" totalsRowFunction="sum" dataDxfId="1302" totalsRowDxfId="1301"/>
    <tableColumn id="4" xr3:uid="{75ED386A-2C33-47A4-B399-6424EA56CF22}" name="TOTAL" totalsRowFunction="sum" dataDxfId="1300" totalsRowDxfId="1299">
      <calculatedColumnFormula>SUM(Table1124041424446474950515356585978[[#This Row],[BOX 1]:[BOX 12]])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9A8E3BF3-30C9-4A1D-AAC2-8638A1C3A263}" name="Table112404142444647495051535658596079" displayName="Table112404142444647495051535658596079" ref="A139:M142" totalsRowCount="1" headerRowDxfId="1298" dataDxfId="1296" totalsRowDxfId="1294" headerRowBorderDxfId="1297" tableBorderDxfId="1295" totalsRowBorderDxfId="1293">
  <autoFilter ref="A139:M141" xr:uid="{1A022D4C-886C-4A00-9287-5CC6D82CF65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7C9A88EC-12EE-419D-9823-075D997B3D7C}" name="CANDIDATE NAME" totalsRowLabel="Total" dataDxfId="1292" totalsRowDxfId="1291"/>
    <tableColumn id="17" xr3:uid="{C6EE9AA7-E70B-4E1E-A904-3441479E5411}" name="BOX 1" totalsRowFunction="sum" dataDxfId="1290" totalsRowDxfId="1289"/>
    <tableColumn id="13" xr3:uid="{E464314D-2406-4C57-8BFB-DD3C2D7A9CF6}" name="BOX 2" totalsRowFunction="sum" dataDxfId="1288" totalsRowDxfId="1287"/>
    <tableColumn id="2" xr3:uid="{F79AD584-2BF6-412B-9E44-455188F25136}" name="BOX 3" totalsRowFunction="sum" dataDxfId="1286" totalsRowDxfId="1285"/>
    <tableColumn id="14" xr3:uid="{A53C2BE5-C363-46E4-93CB-C9E0128CC5BD}" name="BOX 4" totalsRowFunction="sum" dataDxfId="1284" totalsRowDxfId="1283"/>
    <tableColumn id="6" xr3:uid="{F36DB1E8-2C96-49D8-A795-E66ADB17EBC2}" name="BOX 5" totalsRowFunction="sum" dataDxfId="1282" totalsRowDxfId="1281"/>
    <tableColumn id="5" xr3:uid="{34CFC27F-C991-4366-B980-91156EEDDE84}" name="BOX 6" totalsRowFunction="sum" dataDxfId="1280" totalsRowDxfId="1279"/>
    <tableColumn id="8" xr3:uid="{3A2C4E3C-AE4E-46EC-94D5-6B32DED40470}" name="BOX 7" totalsRowFunction="sum" dataDxfId="1278" totalsRowDxfId="1277"/>
    <tableColumn id="7" xr3:uid="{0C56DE00-8700-4663-8E0A-3441B8262FCD}" name="BOX 8" totalsRowFunction="sum" dataDxfId="1276" totalsRowDxfId="1275"/>
    <tableColumn id="10" xr3:uid="{E1A32DC9-00A6-446E-8D3F-2AE19886471A}" name="BOX 10" totalsRowFunction="sum" dataDxfId="1274" totalsRowDxfId="1273"/>
    <tableColumn id="16" xr3:uid="{3CADA7E8-4724-496C-9FAE-036365B05080}" name="BOX 11" totalsRowFunction="sum" dataDxfId="1272" totalsRowDxfId="1271"/>
    <tableColumn id="3" xr3:uid="{BFB905C8-A803-43CD-840E-2573F6C89039}" name="BOX 12" totalsRowFunction="sum" dataDxfId="1270" totalsRowDxfId="1269"/>
    <tableColumn id="4" xr3:uid="{7FE22691-0553-4680-A7D9-0AFA29D6177E}" name="TOTAL" totalsRowFunction="sum" dataDxfId="1268" totalsRowDxfId="1267">
      <calculatedColumnFormula>SUM(B140:L140)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356A78E2-4D8F-46E0-B726-601F8DF42769}" name="Table11240414244464749505153565859606180" displayName="Table11240414244464749505153565859606180" ref="A148:M150" totalsRowCount="1" headerRowDxfId="1266" dataDxfId="1264" totalsRowDxfId="1262" headerRowBorderDxfId="1265" tableBorderDxfId="1263" totalsRowBorderDxfId="1261">
  <autoFilter ref="A148:M149" xr:uid="{FCC0D5F6-3ADC-4102-BC34-5DA45DFC12D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EA720C18-BDD2-4185-A562-DAA86D6CEE7F}" name="CANDIDATE NAME" totalsRowLabel="Total" dataDxfId="1260" totalsRowDxfId="1259"/>
    <tableColumn id="17" xr3:uid="{E5F5813E-8BCD-4212-B4DF-B2A9A251964B}" name="BOX 1" totalsRowFunction="sum" dataDxfId="1258" totalsRowDxfId="1257"/>
    <tableColumn id="13" xr3:uid="{02985354-8202-4B63-AB85-DE22CA448F30}" name="BOX 2" totalsRowFunction="sum" dataDxfId="1256" totalsRowDxfId="1255"/>
    <tableColumn id="2" xr3:uid="{38196996-7898-429E-A5B8-7CD96783D957}" name="BOX 3" totalsRowFunction="sum" dataDxfId="1254" totalsRowDxfId="1253"/>
    <tableColumn id="14" xr3:uid="{B6C10F5F-B253-461B-B3D0-01A2B8B02EE8}" name="BOX 4" totalsRowFunction="sum" dataDxfId="1252" totalsRowDxfId="1251"/>
    <tableColumn id="6" xr3:uid="{7A21207D-9AB8-47A2-B3AD-57E5D0FDDECA}" name="BOX 5" totalsRowFunction="sum" dataDxfId="1250" totalsRowDxfId="1249"/>
    <tableColumn id="5" xr3:uid="{E86D9CE7-7171-435A-9D71-EB8C68FE6EEA}" name="BOX 6" totalsRowFunction="sum" dataDxfId="1248" totalsRowDxfId="1247"/>
    <tableColumn id="8" xr3:uid="{819A72A9-E351-4D46-AD23-0D64B5144E5B}" name="BOX 7" totalsRowFunction="sum" dataDxfId="1246" totalsRowDxfId="1245"/>
    <tableColumn id="7" xr3:uid="{EBF8AA5B-DFFC-47D8-A0FF-DF6DC6305284}" name="BOX 8" totalsRowFunction="sum" dataDxfId="1244" totalsRowDxfId="1243"/>
    <tableColumn id="10" xr3:uid="{14F59A77-C0A7-400A-8691-241CEC05C78B}" name="BOX 10" totalsRowFunction="sum" dataDxfId="1242" totalsRowDxfId="1241"/>
    <tableColumn id="16" xr3:uid="{DD6BA1FA-8F42-486E-89F9-DD573BE12B3D}" name="BOX 11" totalsRowFunction="sum" dataDxfId="1240" totalsRowDxfId="1239"/>
    <tableColumn id="3" xr3:uid="{A3F9F10F-813E-4B9C-BCA5-25E18E4FC688}" name="BOX 12" totalsRowFunction="sum" dataDxfId="1238" totalsRowDxfId="1237"/>
    <tableColumn id="4" xr3:uid="{E9BB6E0C-6117-4FA1-92EA-87716FD4F38E}" name="TOTAL" totalsRowFunction="sum" dataDxfId="1236" totalsRowDxfId="1235">
      <calculatedColumnFormula>SUM(Table11240414244464749505153565859606180[[#This Row],[BOX 1]:[BOX 12]])</calculatedColumnFormula>
    </tableColumn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7F12B016-26EA-49DB-940D-929351C55D7F}" name="Table1124041424446474950515356585960616281" displayName="Table1124041424446474950515356585960616281" ref="A156:M158" totalsRowCount="1" headerRowDxfId="1234" dataDxfId="1232" totalsRowDxfId="1230" headerRowBorderDxfId="1233" tableBorderDxfId="1231" totalsRowBorderDxfId="1229">
  <autoFilter ref="A156:M157" xr:uid="{E0E499CB-4497-45AE-B6E4-B6560CA90BA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2A99E8F0-6B1E-484D-8278-6BA1B42743A8}" name="CANDIDATE NAME" totalsRowLabel="Total" dataDxfId="1228" totalsRowDxfId="1227"/>
    <tableColumn id="17" xr3:uid="{0117F85C-2413-4993-BBC0-FC28DD241309}" name="BOX 1" totalsRowFunction="sum" dataDxfId="1226" totalsRowDxfId="1225"/>
    <tableColumn id="13" xr3:uid="{77B01B80-1B64-4C6A-99CE-FD007596ECE8}" name="BOX 2" totalsRowFunction="sum" dataDxfId="1224" totalsRowDxfId="1223"/>
    <tableColumn id="2" xr3:uid="{3923B6A6-DE73-4012-8844-9152569056A5}" name="BOX 3" totalsRowFunction="sum" dataDxfId="1222" totalsRowDxfId="1221"/>
    <tableColumn id="14" xr3:uid="{FEDADC2B-A1C1-4D1A-8863-9DE4D76055F8}" name="BOX 4" totalsRowFunction="sum" dataDxfId="1220" totalsRowDxfId="1219"/>
    <tableColumn id="6" xr3:uid="{A3938C77-8B31-4FB5-A3C9-943B46F61661}" name="BOX 5" totalsRowFunction="sum" dataDxfId="1218" totalsRowDxfId="1217"/>
    <tableColumn id="5" xr3:uid="{8B5129E3-9F16-41F9-B85B-4B2A9C462734}" name="BOX 6" totalsRowFunction="sum" dataDxfId="1216" totalsRowDxfId="1215"/>
    <tableColumn id="8" xr3:uid="{16B9B33D-FE85-4E03-881D-8F373919A8CC}" name="BOX 7" totalsRowFunction="sum" dataDxfId="1214" totalsRowDxfId="1213"/>
    <tableColumn id="7" xr3:uid="{B3CDC2B7-FFA8-45FE-8853-3D9BE6892A27}" name="BOX 8" totalsRowFunction="sum" dataDxfId="1212" totalsRowDxfId="1211"/>
    <tableColumn id="10" xr3:uid="{21C08453-2312-4710-A01A-261522372451}" name="BOX 10" totalsRowFunction="sum" dataDxfId="1210" totalsRowDxfId="1209"/>
    <tableColumn id="16" xr3:uid="{CEAE2B9C-F832-4591-93E1-6822E312D427}" name="BOX 11" totalsRowFunction="sum" dataDxfId="1208" totalsRowDxfId="1207"/>
    <tableColumn id="3" xr3:uid="{10400999-D7EA-4516-86EE-B852EC611B2A}" name="BOX 12" totalsRowFunction="sum" dataDxfId="1206" totalsRowDxfId="1205"/>
    <tableColumn id="4" xr3:uid="{74AA2033-7C39-45F4-888C-5F4072091A27}" name="TOTAL" totalsRowFunction="sum" dataDxfId="1204" totalsRowDxfId="1203">
      <calculatedColumnFormula>SUM(Table1124041424446474950515356585960616281[[#This Row],[BOX 1]:[BOX 12]])</calculatedColumnFormula>
    </tableColumn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BD31228C-F876-4654-8D8A-D15D100A3A3B}" name="Table11240414244464770" displayName="Table11240414244464770" ref="A74:M78" totalsRowCount="1" headerRowDxfId="1554" dataDxfId="1552" totalsRowDxfId="1550" headerRowBorderDxfId="1553" tableBorderDxfId="1551" totalsRowBorderDxfId="1549">
  <autoFilter ref="A74:M77" xr:uid="{0B2BB887-E1AD-4501-9396-3C989FDAE75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BE1FEC7A-D78E-4109-8EB9-D088F4D9324B}" name="CANDIDATE NAME" totalsRowLabel="Total" dataDxfId="1548" totalsRowDxfId="1547"/>
    <tableColumn id="17" xr3:uid="{6A28D376-0AC5-40DD-9CDE-4C1AD4E5A001}" name="BOX 1" totalsRowFunction="sum" dataDxfId="1546" totalsRowDxfId="1545"/>
    <tableColumn id="13" xr3:uid="{398EA4A3-8FF9-40A4-9746-39CC0735E176}" name="BOX 2" totalsRowFunction="sum" dataDxfId="1544" totalsRowDxfId="1543"/>
    <tableColumn id="2" xr3:uid="{DD790744-3ADE-4E8F-8AB6-428691DFAD75}" name="BOX 3" totalsRowFunction="sum" dataDxfId="1542" totalsRowDxfId="1541"/>
    <tableColumn id="14" xr3:uid="{FCD196FB-F213-48D9-946C-6438082499C1}" name="BOX 4" totalsRowFunction="sum" dataDxfId="1540" totalsRowDxfId="1539"/>
    <tableColumn id="6" xr3:uid="{902EF3EB-0B39-49AE-843D-8996E771FE15}" name="BOX 5" totalsRowFunction="sum" dataDxfId="1538" totalsRowDxfId="1537"/>
    <tableColumn id="5" xr3:uid="{11DA278F-0E62-41D7-9222-89C8F919A6DF}" name="BOX 6" totalsRowFunction="sum" dataDxfId="1536" totalsRowDxfId="1535"/>
    <tableColumn id="8" xr3:uid="{F16F6042-98E6-4DA6-BB45-FE0440F7552F}" name="BOX 7" totalsRowFunction="sum" dataDxfId="1534" totalsRowDxfId="1533"/>
    <tableColumn id="7" xr3:uid="{D2787F28-1D73-4984-A7A6-7C2164CCD11E}" name="BOX 8" totalsRowFunction="sum" dataDxfId="1532" totalsRowDxfId="1531"/>
    <tableColumn id="10" xr3:uid="{B4C1B148-35A2-4CD3-A826-2FFFE92A4BB5}" name="BOX 10" totalsRowFunction="sum" dataDxfId="1530" totalsRowDxfId="1529"/>
    <tableColumn id="16" xr3:uid="{0781C766-8F7A-4326-B600-89E9A18769F3}" name="BOX 11" totalsRowFunction="sum" dataDxfId="1528" totalsRowDxfId="1527"/>
    <tableColumn id="3" xr3:uid="{9E7E6DDB-A362-41C8-B838-961DA25DE987}" name="BOX 12" totalsRowFunction="sum" dataDxfId="1526" totalsRowDxfId="1525"/>
    <tableColumn id="4" xr3:uid="{F87054FD-6B31-4D6D-B222-C9A972DA3223}" name="TOTAL" totalsRowFunction="sum" dataDxfId="1524" totalsRowDxfId="1523">
      <calculatedColumnFormula>SUM(Table11240414244464770[[#This Row],[BOX 1]:[BOX 12]])</calculatedColumnFormula>
    </tableColumn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E7AF8B2D-9AFE-42A2-B083-2412F982B9B6}" name="Table11264118" displayName="Table11264118" ref="A5:N19" totalsRowCount="1" headerRowDxfId="1202" dataDxfId="1200" totalsRowDxfId="1198" headerRowBorderDxfId="1201" tableBorderDxfId="1199" totalsRowBorderDxfId="1197">
  <autoFilter ref="A5:N18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63CC378-E8B6-4145-8998-58BA6A3F262C}" name="CANDIDATE NAME" totalsRowLabel="Total" dataDxfId="1196" totalsRowDxfId="1195"/>
    <tableColumn id="17" xr3:uid="{01A50E4D-D5BE-40D3-AD50-0FD5EE7F33AD}" name="BOX 1" totalsRowFunction="sum" dataDxfId="1194" totalsRowDxfId="1193"/>
    <tableColumn id="13" xr3:uid="{EAE16F92-0225-413E-93F3-174CCD679CD9}" name="BOX 2" totalsRowFunction="sum" dataDxfId="1192" totalsRowDxfId="1191"/>
    <tableColumn id="2" xr3:uid="{017D1535-3B07-4F07-B3A9-84B30E7C9369}" name="BOX 3" totalsRowFunction="sum" dataDxfId="1190" totalsRowDxfId="1189"/>
    <tableColumn id="14" xr3:uid="{A7D89C75-B893-4172-8EE3-0D2D03E80012}" name="BOX 4" totalsRowFunction="sum" dataDxfId="1188" totalsRowDxfId="1187"/>
    <tableColumn id="6" xr3:uid="{B4AAD8B5-2647-4D31-BC5E-E16ED8E23B9D}" name="BOX 5" totalsRowFunction="sum" dataDxfId="1186" totalsRowDxfId="1185"/>
    <tableColumn id="5" xr3:uid="{A62277C9-8701-413B-8013-657CC0FBA48D}" name="BOX 6" totalsRowFunction="sum" dataDxfId="1184" totalsRowDxfId="1183"/>
    <tableColumn id="8" xr3:uid="{8BE62A70-5E6E-46F2-86B1-CB2EFFEEDFE4}" name="BOX 7" totalsRowFunction="sum" dataDxfId="1182" totalsRowDxfId="1181"/>
    <tableColumn id="7" xr3:uid="{E96CC0F8-C588-4C52-AF01-2DF7768C71D1}" name="BOX 8" totalsRowFunction="sum" dataDxfId="1180" totalsRowDxfId="1179"/>
    <tableColumn id="10" xr3:uid="{FFA81E72-AB9F-488E-B161-BB8CC23A4F6C}" name="BOX 10" totalsRowFunction="sum" dataDxfId="1178" totalsRowDxfId="1177"/>
    <tableColumn id="16" xr3:uid="{9555129B-E43A-4C97-9B25-45C0CA0B6937}" name="BOX 11" totalsRowFunction="sum" dataDxfId="1176" totalsRowDxfId="1175"/>
    <tableColumn id="3" xr3:uid="{3028DC00-A380-4C52-B7A4-30D7E0E56C61}" name="BOX 12" totalsRowFunction="sum" dataDxfId="1174" totalsRowDxfId="1173"/>
    <tableColumn id="4" xr3:uid="{4685EBDB-1C50-4108-89F7-A4463B509FC2}" name="TOTAL" totalsRowFunction="sum" dataDxfId="1172" totalsRowDxfId="1171">
      <calculatedColumnFormula>SUM(Table11264118[[#This Row],[BOX 1]:[BOX 12]])</calculatedColumnFormula>
    </tableColumn>
    <tableColumn id="11" xr3:uid="{272A07EF-4939-4787-978E-4E4C3247C4D4}" name="Column1" dataDxfId="277" totalsRowDxfId="276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3742C65F-92EC-4D34-8707-6670D611577E}" name="Table1124065119" displayName="Table1124065119" ref="A23:N29" totalsRowCount="1" headerRowDxfId="1170" dataDxfId="1168" totalsRowDxfId="1166" headerRowBorderDxfId="1169" tableBorderDxfId="1167" totalsRowBorderDxfId="1165">
  <autoFilter ref="A23:N28" xr:uid="{BC229E9E-2707-4AF9-87B6-80D8113DF92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717033B7-ED47-4A0B-91A6-42287D93E393}" name="CANDIDATE NAME" totalsRowLabel="Total" dataDxfId="1164" totalsRowDxfId="1163"/>
    <tableColumn id="17" xr3:uid="{2FAB2D1C-BA47-4C2A-B4CB-4B9BE0E4DB50}" name="BOX 1" totalsRowFunction="sum" dataDxfId="1162" totalsRowDxfId="1161"/>
    <tableColumn id="13" xr3:uid="{42211530-47F5-4AF3-AF6E-004E9AF31458}" name="BOX 2" totalsRowFunction="sum" dataDxfId="1160" totalsRowDxfId="1159"/>
    <tableColumn id="2" xr3:uid="{FA4D4BBF-AB76-45B6-89E6-82B4068CCE93}" name="BOX 3" totalsRowFunction="sum" dataDxfId="1158" totalsRowDxfId="1157"/>
    <tableColumn id="14" xr3:uid="{44B36E74-2AC6-4905-9777-D3E02E80729F}" name="BOX 4" totalsRowFunction="sum" dataDxfId="1156" totalsRowDxfId="1155"/>
    <tableColumn id="6" xr3:uid="{E13D62EE-A8C7-4381-A4FA-EA8F14B55C50}" name="BOX 5" totalsRowFunction="sum" dataDxfId="1154" totalsRowDxfId="1153"/>
    <tableColumn id="5" xr3:uid="{65EC326E-3DBD-4446-935B-7AC71A298695}" name="BOX 6" totalsRowFunction="sum" dataDxfId="1152" totalsRowDxfId="1151"/>
    <tableColumn id="8" xr3:uid="{7270BC56-08C5-4C01-AE30-C1EC6F8F2630}" name="BOX 7" totalsRowFunction="sum" dataDxfId="1150" totalsRowDxfId="1149"/>
    <tableColumn id="7" xr3:uid="{4C663904-9ED2-4BE6-BD79-41736754C3E0}" name="BOX 8" totalsRowFunction="sum" dataDxfId="1148" totalsRowDxfId="1147"/>
    <tableColumn id="10" xr3:uid="{7A7D113A-0875-4BBD-A79B-C581312D4655}" name="BOX 10" totalsRowFunction="sum" dataDxfId="1146" totalsRowDxfId="1145"/>
    <tableColumn id="16" xr3:uid="{BC5A538B-D46C-4C66-B209-BE99E3C8E8EF}" name="BOX 11" totalsRowFunction="sum" dataDxfId="1144" totalsRowDxfId="1143"/>
    <tableColumn id="3" xr3:uid="{ED5C7702-5494-409C-BD46-B2EE21B7C21D}" name="BOX 12" totalsRowFunction="sum" dataDxfId="1142" totalsRowDxfId="1141"/>
    <tableColumn id="4" xr3:uid="{328B18F4-F257-4958-9C80-D47D66DEED5A}" name="TOTAL" totalsRowFunction="sum" dataDxfId="1140" totalsRowDxfId="1139">
      <calculatedColumnFormula>SUM(Table1124065119[[#This Row],[BOX 1]:[BOX 12]])</calculatedColumnFormula>
    </tableColumn>
    <tableColumn id="11" xr3:uid="{8E6B1225-C6F8-4FEF-8494-3CEAB9B92E49}" name="Column1" dataDxfId="275" totalsRowDxfId="27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6B0B325B-FE9A-4EE1-899E-F833123D634E}" name="Table1124065" displayName="Table1124065" ref="A23:M29" totalsRowCount="1" headerRowDxfId="1714" dataDxfId="1712" totalsRowDxfId="1710" headerRowBorderDxfId="1713" tableBorderDxfId="1711" totalsRowBorderDxfId="1709">
  <autoFilter ref="A23:M28" xr:uid="{BC229E9E-2707-4AF9-87B6-80D8113DF92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7F46CA1B-F1B9-4EBA-84EB-BA55A73090ED}" name="CANDIDATE NAME" totalsRowLabel="Total" dataDxfId="1708" totalsRowDxfId="1707"/>
    <tableColumn id="17" xr3:uid="{9FC64042-24F7-4245-86C5-5ABE95BC055E}" name="BOX 1" totalsRowFunction="sum" dataDxfId="1706" totalsRowDxfId="1705"/>
    <tableColumn id="13" xr3:uid="{1BAB4365-768D-4C80-A058-E5026509360B}" name="BOX 2" totalsRowFunction="sum" dataDxfId="1704" totalsRowDxfId="1703"/>
    <tableColumn id="2" xr3:uid="{D3534808-68F1-4610-9344-88AF9B72DA28}" name="BOX 3" totalsRowFunction="sum" dataDxfId="1702" totalsRowDxfId="1701"/>
    <tableColumn id="14" xr3:uid="{A0203E11-3108-4EC8-8074-25D573FF5A36}" name="BOX 4" totalsRowFunction="sum" dataDxfId="1700" totalsRowDxfId="1699"/>
    <tableColumn id="6" xr3:uid="{7E4818E2-0112-4FD1-89F0-83F7264B1F60}" name="BOX 5" totalsRowFunction="sum" dataDxfId="1698" totalsRowDxfId="1697"/>
    <tableColumn id="5" xr3:uid="{FF6A8AE6-79EB-4E50-8E8F-C8A60E8F4CAE}" name="BOX 6" totalsRowFunction="sum" dataDxfId="1696" totalsRowDxfId="1695"/>
    <tableColumn id="8" xr3:uid="{3B854869-B2D5-44FA-946F-9C3B087D16A4}" name="BOX 7" totalsRowFunction="sum" dataDxfId="1694" totalsRowDxfId="1693"/>
    <tableColumn id="7" xr3:uid="{8FD85A91-1591-436B-8EB8-5944FA0451BE}" name="BOX 8" totalsRowFunction="sum" dataDxfId="1692" totalsRowDxfId="1691"/>
    <tableColumn id="10" xr3:uid="{4520F3AD-D7C0-4BF5-A038-86B59244FE1C}" name="BOX 10" totalsRowFunction="sum" dataDxfId="1690" totalsRowDxfId="1689"/>
    <tableColumn id="16" xr3:uid="{B0AA71CA-82FB-43D2-80ED-4ACB4D958B9B}" name="BOX 11" totalsRowFunction="sum" dataDxfId="1688" totalsRowDxfId="1687"/>
    <tableColumn id="3" xr3:uid="{2233A298-D7B6-40D6-9D30-CC52E02CFE99}" name="BOX 12" totalsRowFunction="sum" dataDxfId="1686" totalsRowDxfId="1685"/>
    <tableColumn id="4" xr3:uid="{FC81ACBE-067B-4EEB-969A-626305E3117D}" name="TOTAL" totalsRowFunction="sum" dataDxfId="1684" totalsRowDxfId="1683">
      <calculatedColumnFormula>SUM(Table1124065[[#This Row],[BOX 1]:[BOX 12]])</calculatedColumnFormula>
    </tableColumn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3E63371A-0A15-4B22-9E96-38D55A003B19}" name="Table112404166120" displayName="Table112404166120" ref="A33:N37" totalsRowCount="1" headerRowDxfId="1138" dataDxfId="1136" totalsRowDxfId="1134" headerRowBorderDxfId="1137" tableBorderDxfId="1135" totalsRowBorderDxfId="1133">
  <autoFilter ref="A33:N36" xr:uid="{D8CEBB5E-81C5-4C34-8DB2-FAE71C3F053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E4D8CBD1-54FD-43AA-AD13-9036184D0E33}" name="CANDIDATE NAME" totalsRowLabel="Total" dataDxfId="1132" totalsRowDxfId="1131"/>
    <tableColumn id="17" xr3:uid="{6BA24B1D-A197-4C8C-BCFA-6CA761425106}" name="BOX 1" totalsRowFunction="sum" dataDxfId="1130" totalsRowDxfId="1129"/>
    <tableColumn id="13" xr3:uid="{24524167-67C1-42B1-968F-3C0F3BECD0FE}" name="BOX 2" totalsRowFunction="sum" dataDxfId="1128" totalsRowDxfId="1127"/>
    <tableColumn id="2" xr3:uid="{E305D3CD-33A5-4CD9-9F21-6CDF3E69D80E}" name="BOX 3" totalsRowFunction="sum" dataDxfId="1126" totalsRowDxfId="1125"/>
    <tableColumn id="14" xr3:uid="{A6FEEA9A-2359-4B2B-9B44-9AF2E7EF1CF6}" name="BOX 4" totalsRowFunction="sum" dataDxfId="1124" totalsRowDxfId="1123"/>
    <tableColumn id="6" xr3:uid="{FEA60899-FFB8-4D6F-A285-6D6EB0CE8A4D}" name="BOX 5" totalsRowFunction="sum" dataDxfId="1122" totalsRowDxfId="1121"/>
    <tableColumn id="5" xr3:uid="{4A308237-DF13-4048-8217-9FA37EF23A08}" name="BOX 6" totalsRowFunction="sum" dataDxfId="1120" totalsRowDxfId="1119"/>
    <tableColumn id="8" xr3:uid="{D15735D6-8360-4F6A-A585-97A57BA6A85C}" name="BOX 7" totalsRowFunction="sum" dataDxfId="1118" totalsRowDxfId="1117"/>
    <tableColumn id="7" xr3:uid="{4B5AEEB6-6B4C-484B-98F1-116BF0229A2A}" name="BOX 8" totalsRowFunction="sum" dataDxfId="1116" totalsRowDxfId="1115"/>
    <tableColumn id="10" xr3:uid="{CDF77D48-3B30-41CB-B0E9-C030F7DBBE9E}" name="BOX 10" totalsRowFunction="sum" dataDxfId="1114" totalsRowDxfId="1113"/>
    <tableColumn id="16" xr3:uid="{CB874BEC-D203-4F22-86BE-4A740F3DDBA3}" name="BOX 11" totalsRowFunction="sum" dataDxfId="1112" totalsRowDxfId="1111"/>
    <tableColumn id="3" xr3:uid="{75C9B4D0-3828-469E-9766-D9FE59D86DDD}" name="BOX 12" totalsRowFunction="sum" dataDxfId="1110" totalsRowDxfId="1109"/>
    <tableColumn id="4" xr3:uid="{9041230C-2A84-437C-86DE-E9894A25F04B}" name="TOTAL" totalsRowFunction="sum" dataDxfId="1108" totalsRowDxfId="1107">
      <calculatedColumnFormula>SUM(Table112404166120[[#This Row],[BOX 1]:[BOX 12]])</calculatedColumnFormula>
    </tableColumn>
    <tableColumn id="11" xr3:uid="{4C7E639F-515F-4D1D-8076-DCAE43C7D92E}" name="Column1" dataDxfId="273" totalsRowDxfId="272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94811003-A77C-4F68-99DA-81ACE93CCFA1}" name="Table11240414267121" displayName="Table11240414267121" ref="A46:N51" totalsRowCount="1" headerRowDxfId="1106" dataDxfId="1104" totalsRowDxfId="1102" headerRowBorderDxfId="1105" tableBorderDxfId="1103" totalsRowBorderDxfId="1101">
  <autoFilter ref="A46:N50" xr:uid="{952354E1-65CD-4909-93B4-7A3E5DE6EB4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9E5B56BF-95FB-4F3A-9099-40B1D1DF7D30}" name="CANDIDATE NAME" totalsRowLabel="Total" dataDxfId="1100" totalsRowDxfId="1099"/>
    <tableColumn id="17" xr3:uid="{245A20DD-0058-4DF1-A4A6-FB20271EE3E1}" name="BOX 1" totalsRowFunction="sum" dataDxfId="1098" totalsRowDxfId="1097"/>
    <tableColumn id="13" xr3:uid="{35A88F58-E930-4F07-9D44-6F2278330F62}" name="BOX 2" totalsRowFunction="sum" dataDxfId="1096" totalsRowDxfId="1095"/>
    <tableColumn id="2" xr3:uid="{F79D1266-24E4-4F27-8D62-ACA6FE075475}" name="BOX 3" totalsRowFunction="sum" dataDxfId="1094" totalsRowDxfId="1093"/>
    <tableColumn id="14" xr3:uid="{072E2D51-A4B4-44F1-8BBA-25E1714A330E}" name="BOX 4" totalsRowFunction="sum" dataDxfId="1092" totalsRowDxfId="1091"/>
    <tableColumn id="6" xr3:uid="{1AD09D7F-5918-4DDF-A9F5-42FCC460807E}" name="BOX 5" totalsRowFunction="sum" dataDxfId="1090" totalsRowDxfId="1089"/>
    <tableColumn id="5" xr3:uid="{CC2CF275-5C96-4A06-833D-A4E7EA452B28}" name="BOX 6" totalsRowFunction="sum" dataDxfId="1088" totalsRowDxfId="1087"/>
    <tableColumn id="8" xr3:uid="{17A8376B-3232-4CBF-9A18-0ACCCE7C229A}" name="BOX 7" totalsRowFunction="sum" dataDxfId="1086" totalsRowDxfId="1085"/>
    <tableColumn id="7" xr3:uid="{C9BFCAC3-9491-4B5E-B814-EB0E987FF482}" name="BOX 8" totalsRowFunction="sum" dataDxfId="1084" totalsRowDxfId="1083"/>
    <tableColumn id="10" xr3:uid="{7DC2188A-87D3-4C5B-A539-F594EAF6E768}" name="BOX 10" totalsRowFunction="sum" dataDxfId="1082" totalsRowDxfId="1081"/>
    <tableColumn id="16" xr3:uid="{E5923B32-43DF-4BF5-BA35-58B3D21D3A72}" name="BOX 11" totalsRowFunction="sum" dataDxfId="1080" totalsRowDxfId="1079"/>
    <tableColumn id="3" xr3:uid="{5192065E-7F28-4BE1-8AEF-A8D072B0C626}" name="BOX 12" totalsRowFunction="sum" dataDxfId="1078" totalsRowDxfId="1077"/>
    <tableColumn id="4" xr3:uid="{434AEE22-49F7-48A8-BE20-D1CBF3993336}" name="TOTAL" totalsRowFunction="sum" dataDxfId="1076" totalsRowDxfId="1075">
      <calculatedColumnFormula>SUM(Table11240414267121[[#This Row],[BOX 1]:[BOX 12]])</calculatedColumnFormula>
    </tableColumn>
    <tableColumn id="11" xr3:uid="{B943FEEA-9D78-46C2-8265-8707FA80FA83}" name="Column1" dataDxfId="271" totalsRowDxfId="270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76F1A0E0-465A-441E-AA44-85B73E5662E6}" name="Table1124041424468122" displayName="Table1124041424468122" ref="A57:N61" totalsRowCount="1" headerRowDxfId="1074" dataDxfId="1072" totalsRowDxfId="1070" headerRowBorderDxfId="1073" tableBorderDxfId="1071" totalsRowBorderDxfId="1069">
  <autoFilter ref="A57:N60" xr:uid="{2342BE13-3097-485F-8433-F71E474628D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C98A92A3-D9C1-41F6-8186-007E2D338EDC}" name="CANDIDATE NAME" totalsRowLabel="Total" dataDxfId="1068" totalsRowDxfId="1067"/>
    <tableColumn id="17" xr3:uid="{B799899F-82B3-40D1-93C1-15CBEB4AAE38}" name="BOX 1" totalsRowFunction="sum" dataDxfId="1066" totalsRowDxfId="1065"/>
    <tableColumn id="13" xr3:uid="{98A30D9E-9619-4C87-B8C9-E801A3739E27}" name="BOX 2" totalsRowFunction="sum" dataDxfId="1064" totalsRowDxfId="1063"/>
    <tableColumn id="2" xr3:uid="{EA8BC04A-70F4-4D78-AE5A-D63852AF2803}" name="BOX 3" totalsRowFunction="sum" dataDxfId="1062" totalsRowDxfId="1061"/>
    <tableColumn id="14" xr3:uid="{964589EC-181F-44DC-AF88-D38C71CFB2C6}" name="BOX 4" totalsRowFunction="sum" dataDxfId="1060" totalsRowDxfId="1059"/>
    <tableColumn id="6" xr3:uid="{88525E21-C41B-44B6-9335-65BBADEC0876}" name="BOX 5" totalsRowFunction="sum" dataDxfId="1058" totalsRowDxfId="1057"/>
    <tableColumn id="5" xr3:uid="{EB40C5A0-6FD8-4B05-8DEF-0AA0F783D4A8}" name="BOX 6" totalsRowFunction="sum" dataDxfId="1056" totalsRowDxfId="1055"/>
    <tableColumn id="8" xr3:uid="{92C0F744-D7EF-4B9D-9CDE-C7EEC7503F7E}" name="BOX 7" totalsRowFunction="sum" dataDxfId="1054" totalsRowDxfId="1053"/>
    <tableColumn id="7" xr3:uid="{83A969E3-6A96-45FD-99C7-6EF27A2670AE}" name="BOX 8" totalsRowFunction="sum" dataDxfId="1052" totalsRowDxfId="1051"/>
    <tableColumn id="10" xr3:uid="{1B2F692D-F689-4CA9-8F3A-EA3FB1879B30}" name="BOX 10" totalsRowFunction="sum" dataDxfId="1050" totalsRowDxfId="1049"/>
    <tableColumn id="16" xr3:uid="{E109BFE5-57CA-4C66-BEBF-88BE77F58A74}" name="BOX 11" totalsRowFunction="sum" dataDxfId="1048" totalsRowDxfId="1047"/>
    <tableColumn id="3" xr3:uid="{2EA2180A-E298-4EFD-BF01-AE370B3978C9}" name="BOX 12" totalsRowFunction="sum" dataDxfId="1046" totalsRowDxfId="1045"/>
    <tableColumn id="4" xr3:uid="{7FA89656-279B-4462-B073-1CBB99CE03C6}" name="TOTAL" totalsRowFunction="sum" dataDxfId="1044" totalsRowDxfId="1043">
      <calculatedColumnFormula>SUM(Table1124041424468122[[#This Row],[BOX 1]:[BOX 12]])</calculatedColumnFormula>
    </tableColumn>
    <tableColumn id="11" xr3:uid="{D554833E-E67E-4E49-A17F-7FCFDDBD9017}" name="Column1" dataDxfId="269" totalsRowDxfId="268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734EC0F4-3AB7-4D8B-A4C8-AB2568EB5C5C}" name="Table112404142444669123" displayName="Table112404142444669123" ref="A66:N69" totalsRowCount="1" headerRowDxfId="1042" dataDxfId="1040" totalsRowDxfId="1038" headerRowBorderDxfId="1041" tableBorderDxfId="1039" totalsRowBorderDxfId="1037">
  <autoFilter ref="A66:N68" xr:uid="{6B89F2E4-F514-4D34-8688-718BCB3A3FE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A5C6D733-2311-484C-BDA3-CC566B4A8A2A}" name="CANDIDATE NAME" totalsRowLabel="Total" dataDxfId="1036" totalsRowDxfId="1035"/>
    <tableColumn id="17" xr3:uid="{A80141A9-A968-432E-A73E-21CCEB80667A}" name="BOX 1" totalsRowFunction="sum" dataDxfId="1034" totalsRowDxfId="1033"/>
    <tableColumn id="13" xr3:uid="{B9B11ADC-1CF8-44AD-ABEF-4A91A2900728}" name="BOX 2" totalsRowFunction="sum" dataDxfId="1032" totalsRowDxfId="1031"/>
    <tableColumn id="2" xr3:uid="{A3935FCB-F665-48FE-8B90-0E6349C1DE3E}" name="BOX 3" totalsRowFunction="sum" dataDxfId="1030" totalsRowDxfId="1029"/>
    <tableColumn id="14" xr3:uid="{74F3F4F8-86E9-46EF-8019-412D2718065C}" name="BOX 4" totalsRowFunction="sum" dataDxfId="1028" totalsRowDxfId="1027"/>
    <tableColumn id="6" xr3:uid="{8BE47903-F326-4FA4-A9DB-52C2EA8B9E3B}" name="BOX 5" totalsRowFunction="sum" dataDxfId="1026" totalsRowDxfId="1025"/>
    <tableColumn id="5" xr3:uid="{A1D86F54-5912-40BE-99E6-794F3624CFEB}" name="BOX 6" totalsRowFunction="sum" dataDxfId="1024" totalsRowDxfId="1023"/>
    <tableColumn id="8" xr3:uid="{D3339728-F0FF-4631-B41F-F1B89762EDA8}" name="BOX 7" totalsRowFunction="sum" dataDxfId="1022" totalsRowDxfId="1021"/>
    <tableColumn id="7" xr3:uid="{4E96F538-5F30-424F-8C87-C434CF17D991}" name="BOX 8" totalsRowFunction="sum" dataDxfId="1020" totalsRowDxfId="1019"/>
    <tableColumn id="10" xr3:uid="{0C604C80-BCF6-43FA-84B0-AA7D7EE7779C}" name="BOX 10" totalsRowFunction="sum" dataDxfId="1018" totalsRowDxfId="1017"/>
    <tableColumn id="16" xr3:uid="{4214CA45-17F6-473B-84D7-683D42F86E04}" name="BOX 11" totalsRowFunction="sum" dataDxfId="1016" totalsRowDxfId="1015"/>
    <tableColumn id="3" xr3:uid="{956B3342-B272-4371-8509-2108B4EAC3AE}" name="BOX 12" totalsRowFunction="sum" dataDxfId="1014" totalsRowDxfId="1013"/>
    <tableColumn id="4" xr3:uid="{6EF06DB0-4A35-455E-B2D3-38B338AE6D74}" name="TOTAL" totalsRowFunction="sum" dataDxfId="1012" totalsRowDxfId="1011">
      <calculatedColumnFormula>SUM(Table112404142444669123[[#This Row],[BOX 1]:[BOX 12]])</calculatedColumnFormula>
    </tableColumn>
    <tableColumn id="11" xr3:uid="{D5C4BF3F-6317-41CA-874E-C97FCB21BEB0}" name="Column1" dataDxfId="267" totalsRowDxfId="266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5BDE7368-F307-4992-963E-B984E6D395C9}" name="Table11240414244464770124" displayName="Table11240414244464770124" ref="A74:N78" totalsRowCount="1" headerRowDxfId="1010" dataDxfId="1008" totalsRowDxfId="1006" headerRowBorderDxfId="1009" tableBorderDxfId="1007" totalsRowBorderDxfId="1005">
  <autoFilter ref="A74:N77" xr:uid="{0B2BB887-E1AD-4501-9396-3C989FDAE75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A8062DE7-8F0C-413E-A89E-597845414F7D}" name="CANDIDATE NAME" totalsRowLabel="Total" dataDxfId="1004" totalsRowDxfId="1003"/>
    <tableColumn id="17" xr3:uid="{8C4D128B-3B60-4619-8C7F-FD4679E2319E}" name="BOX 1" totalsRowFunction="sum" dataDxfId="1002" totalsRowDxfId="1001"/>
    <tableColumn id="13" xr3:uid="{A6CCD85D-3F22-417E-B34E-3EBA9643EC73}" name="BOX 2" totalsRowFunction="sum" dataDxfId="1000" totalsRowDxfId="999"/>
    <tableColumn id="2" xr3:uid="{4ED6A109-5A3F-4108-8A1D-59BAC26AFF5A}" name="BOX 3" totalsRowFunction="sum" dataDxfId="998" totalsRowDxfId="997"/>
    <tableColumn id="14" xr3:uid="{2B3BB933-5F97-40C4-B1A2-8170500E0738}" name="BOX 4" totalsRowFunction="sum" dataDxfId="996" totalsRowDxfId="995"/>
    <tableColumn id="6" xr3:uid="{884A39CC-09C3-4A0A-A8E1-B6361B642436}" name="BOX 5" totalsRowFunction="sum" dataDxfId="994" totalsRowDxfId="993"/>
    <tableColumn id="5" xr3:uid="{B520D825-E8D9-44ED-910F-80528CA408DE}" name="BOX 6" totalsRowFunction="sum" dataDxfId="992" totalsRowDxfId="991"/>
    <tableColumn id="8" xr3:uid="{A02AF96D-E9F4-45F2-B47C-4256FEC153BB}" name="BOX 7" totalsRowFunction="sum" dataDxfId="990" totalsRowDxfId="989"/>
    <tableColumn id="7" xr3:uid="{6D4AF091-CCE0-469A-9158-BEF960453BAB}" name="BOX 8" totalsRowFunction="sum" dataDxfId="988" totalsRowDxfId="987"/>
    <tableColumn id="10" xr3:uid="{554562E3-0BEC-4ED0-83E5-C4373ECF62E9}" name="BOX 10" totalsRowFunction="sum" dataDxfId="986" totalsRowDxfId="985"/>
    <tableColumn id="16" xr3:uid="{0A78510C-8E4C-4EC1-915D-DB8D86A104F1}" name="BOX 11" totalsRowFunction="sum" dataDxfId="984" totalsRowDxfId="983"/>
    <tableColumn id="3" xr3:uid="{C1AD519D-9C89-4480-9EB2-59FBA3B87CA0}" name="BOX 12" totalsRowFunction="sum" dataDxfId="982" totalsRowDxfId="981"/>
    <tableColumn id="4" xr3:uid="{3E1E10E4-A9D9-46A6-A24B-F2CB8E76DD87}" name="TOTAL" totalsRowFunction="sum" dataDxfId="980" totalsRowDxfId="979">
      <calculatedColumnFormula>SUM(Table11240414244464770124[[#This Row],[BOX 1]:[BOX 12]])</calculatedColumnFormula>
    </tableColumn>
    <tableColumn id="11" xr3:uid="{9728DF7D-9FE6-4BB7-A84C-19488B06E196}" name="Column1" dataDxfId="265" totalsRowDxfId="264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B7284C77-182F-49CE-89D6-C8E1A4CD2048}" name="Table1124041424446474971125" displayName="Table1124041424446474971125" ref="A83:N87" totalsRowCount="1" headerRowDxfId="978" dataDxfId="976" totalsRowDxfId="974" headerRowBorderDxfId="977" tableBorderDxfId="975" totalsRowBorderDxfId="973">
  <autoFilter ref="A83:N86" xr:uid="{B5DEFE54-02B8-4837-AD5A-DF3F5061830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551FA9B5-404A-4001-9B7F-003B988F492E}" name="CANDIDATE NAME" totalsRowLabel="Total" dataDxfId="972" totalsRowDxfId="971"/>
    <tableColumn id="17" xr3:uid="{871EB4B2-9BA2-4150-98F7-3DE2E201BDC6}" name="BOX 1" totalsRowFunction="sum" dataDxfId="970" totalsRowDxfId="969"/>
    <tableColumn id="13" xr3:uid="{A5EE2261-BC8A-4CE1-BD11-F9271FE6F51F}" name="BOX 2" totalsRowFunction="sum" dataDxfId="968" totalsRowDxfId="967"/>
    <tableColumn id="2" xr3:uid="{B1E40C3C-36F4-43B9-A94F-8136418CF332}" name="BOX 3" totalsRowFunction="sum" dataDxfId="966" totalsRowDxfId="965"/>
    <tableColumn id="14" xr3:uid="{78AAC449-2DE8-4CFF-9E3F-4B879B83C556}" name="BOX 4" totalsRowFunction="sum" dataDxfId="964" totalsRowDxfId="963"/>
    <tableColumn id="6" xr3:uid="{C5C1A534-F49C-491B-A2F8-06DEFEB7A932}" name="BOX 5" totalsRowFunction="sum" dataDxfId="962" totalsRowDxfId="961"/>
    <tableColumn id="5" xr3:uid="{56E6EFBF-4A8D-4FC9-BA18-3A6BDB9259D0}" name="BOX 6" totalsRowFunction="sum" dataDxfId="960" totalsRowDxfId="959"/>
    <tableColumn id="8" xr3:uid="{3C3DF164-99CE-4D05-9D9C-468F10D506E6}" name="BOX 7" totalsRowFunction="sum" dataDxfId="958" totalsRowDxfId="957"/>
    <tableColumn id="7" xr3:uid="{8BE41480-FF8D-4B81-8BF7-B2C4E1039949}" name="BOX 8" totalsRowFunction="sum" dataDxfId="956" totalsRowDxfId="955"/>
    <tableColumn id="10" xr3:uid="{2746F4E3-49ED-4B7F-BC2A-1E7F04EC7847}" name="BOX 10" totalsRowFunction="sum" dataDxfId="954" totalsRowDxfId="953"/>
    <tableColumn id="16" xr3:uid="{BACB01B0-C19E-4DBE-9B3A-1605679CFC95}" name="BOX 11" totalsRowFunction="sum" dataDxfId="952" totalsRowDxfId="951"/>
    <tableColumn id="3" xr3:uid="{EFAB6787-3C90-4E74-AEF7-2A175AD65F28}" name="BOX 12" totalsRowFunction="sum" dataDxfId="950" totalsRowDxfId="949"/>
    <tableColumn id="4" xr3:uid="{6EB012D4-9899-4865-A232-727AE54F852B}" name="TOTAL" totalsRowFunction="sum" dataDxfId="948" totalsRowDxfId="947">
      <calculatedColumnFormula>SUM(Table1124041424446474971125[[#This Row],[BOX 1]:[BOX 12]])</calculatedColumnFormula>
    </tableColumn>
    <tableColumn id="11" xr3:uid="{19957FE4-EF2C-4466-BEC1-93CC03EDBEDA}" name="Column1" dataDxfId="263" totalsRowDxfId="262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9B1E6C88-20D6-4EC5-A420-9D2E9A02BA02}" name="Table112404142444647495072126" displayName="Table112404142444647495072126" ref="A91:N94" totalsRowCount="1" headerRowDxfId="946" dataDxfId="944" totalsRowDxfId="942" headerRowBorderDxfId="945" tableBorderDxfId="943" totalsRowBorderDxfId="941">
  <autoFilter ref="A91:N93" xr:uid="{15479CFC-EA92-4AFE-8EB5-D0E916990CF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6E428DE6-9780-465B-B9EE-9ED680419140}" name="CANDIDATE NAME" totalsRowLabel="Total" dataDxfId="940" totalsRowDxfId="939"/>
    <tableColumn id="17" xr3:uid="{CEAF308E-789A-4A24-BB85-ACE6D42EA229}" name="BOX 1" totalsRowFunction="sum" dataDxfId="938" totalsRowDxfId="937"/>
    <tableColumn id="13" xr3:uid="{991093C0-D4B6-4509-8D84-27E6B0571AD7}" name="BOX 2" totalsRowFunction="sum" dataDxfId="936" totalsRowDxfId="935"/>
    <tableColumn id="2" xr3:uid="{080F778E-7DB4-413E-9091-63EF685F6CD7}" name="BOX 3" totalsRowFunction="sum" dataDxfId="934" totalsRowDxfId="933"/>
    <tableColumn id="14" xr3:uid="{21B8BBAD-53D8-4A18-A8D9-7A1F272FAAF2}" name="BOX 4" totalsRowFunction="sum" dataDxfId="932" totalsRowDxfId="931"/>
    <tableColumn id="6" xr3:uid="{F3538492-1375-4A35-BF85-8E1FA715E00C}" name="BOX 5" totalsRowFunction="sum" dataDxfId="930" totalsRowDxfId="929"/>
    <tableColumn id="5" xr3:uid="{C8115D5C-4257-44EE-A0C2-EFAD6A82A831}" name="BOX 6" totalsRowFunction="sum" dataDxfId="928" totalsRowDxfId="927"/>
    <tableColumn id="8" xr3:uid="{E9285F6C-2F41-4C5F-A1C4-A92B9D0C8B3C}" name="BOX 7" totalsRowFunction="sum" dataDxfId="926" totalsRowDxfId="925"/>
    <tableColumn id="7" xr3:uid="{AF486161-01DC-412C-A812-032E888E5F18}" name="BOX 8" totalsRowFunction="sum" dataDxfId="924" totalsRowDxfId="923"/>
    <tableColumn id="10" xr3:uid="{55171B0D-674A-4667-8971-3E0B36A60993}" name="BOX 10" totalsRowFunction="sum" dataDxfId="922" totalsRowDxfId="921"/>
    <tableColumn id="16" xr3:uid="{5751528C-3E88-40FA-B410-26292A56B00B}" name="BOX 11" totalsRowFunction="sum" dataDxfId="920" totalsRowDxfId="919"/>
    <tableColumn id="3" xr3:uid="{86D6A589-6866-43CD-A705-2602426DF771}" name="BOX 12" totalsRowFunction="sum" dataDxfId="918" totalsRowDxfId="917"/>
    <tableColumn id="4" xr3:uid="{AB7FC7D2-0B3B-490A-9D46-D4473D014017}" name="TOTAL" totalsRowFunction="sum" dataDxfId="916" totalsRowDxfId="915">
      <calculatedColumnFormula>SUM(Table112404142444647495072126[[#This Row],[BOX 1]:[BOX 12]])</calculatedColumnFormula>
    </tableColumn>
    <tableColumn id="11" xr3:uid="{DE8F95D4-42FF-47C2-8E60-7C32342FE519}" name="Column1" dataDxfId="261" totalsRowDxfId="260"/>
  </tableColumns>
  <tableStyleInfo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51E4EAA0-FAE4-46B8-82C3-D43A1A4A87A1}" name="Table1124041424446474950515374127" displayName="Table1124041424446474950515374127" ref="A100:N103" totalsRowCount="1" headerRowDxfId="914" dataDxfId="912" totalsRowDxfId="910" headerRowBorderDxfId="913" tableBorderDxfId="911" totalsRowBorderDxfId="909">
  <autoFilter ref="A100:N102" xr:uid="{C791F05E-45D4-43AA-93FC-B2645B4C9B3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120A8251-394C-4F5D-B25C-B4C97D4E3405}" name="CANDIDATE NAME" totalsRowLabel="Total" dataDxfId="908" totalsRowDxfId="907"/>
    <tableColumn id="17" xr3:uid="{00AF324E-449A-44D8-A707-4FCBAFF09A1D}" name="BOX 1" totalsRowFunction="sum" dataDxfId="906" totalsRowDxfId="905"/>
    <tableColumn id="13" xr3:uid="{614DE999-6CD4-4F09-9145-9BF9378D401B}" name="BOX 2" totalsRowFunction="sum" dataDxfId="904" totalsRowDxfId="903"/>
    <tableColumn id="2" xr3:uid="{9111CDB2-E63A-4939-A41B-EECE9D9463D4}" name="BOX 3" totalsRowFunction="sum" dataDxfId="902" totalsRowDxfId="901"/>
    <tableColumn id="14" xr3:uid="{3B644CEE-DD60-40C0-8AB5-54F56513A9B1}" name="BOX 4" totalsRowFunction="sum" dataDxfId="900" totalsRowDxfId="899"/>
    <tableColumn id="6" xr3:uid="{28EC9D3B-32CA-4245-B890-59896E9BE880}" name="BOX 5" totalsRowFunction="sum" dataDxfId="898" totalsRowDxfId="897"/>
    <tableColumn id="5" xr3:uid="{7BCECC32-4914-448B-9BC6-CE11C133662D}" name="BOX 6" totalsRowFunction="sum" dataDxfId="896" totalsRowDxfId="895"/>
    <tableColumn id="8" xr3:uid="{3EB6EB15-0CC4-40D2-BF47-D032B35BF462}" name="BOX 7" totalsRowFunction="sum" dataDxfId="894" totalsRowDxfId="893"/>
    <tableColumn id="7" xr3:uid="{04A9E40D-D469-4268-8B6C-547F12B4DB18}" name="BOX 8" totalsRowFunction="sum" dataDxfId="892" totalsRowDxfId="891"/>
    <tableColumn id="10" xr3:uid="{E47096B2-E819-4447-ADCE-C4CAB075F482}" name="BOX 10" totalsRowFunction="sum" dataDxfId="890" totalsRowDxfId="889"/>
    <tableColumn id="16" xr3:uid="{60BC67DB-F727-42C2-A0FE-8250AF1F2B27}" name="BOX 11" totalsRowFunction="sum" dataDxfId="888" totalsRowDxfId="887"/>
    <tableColumn id="3" xr3:uid="{92530056-78C1-401A-816E-B8F4EE7A1F87}" name="BOX 12" totalsRowFunction="sum" dataDxfId="886" totalsRowDxfId="885"/>
    <tableColumn id="4" xr3:uid="{63C56E30-B8AE-4684-941E-6988F82CD32D}" name="TOTAL" totalsRowFunction="sum" dataDxfId="884" totalsRowDxfId="883">
      <calculatedColumnFormula>SUM(Table1124041424446474950515374127[[#This Row],[BOX 1]:[BOX 12]])</calculatedColumnFormula>
    </tableColumn>
    <tableColumn id="11" xr3:uid="{FA47FEBD-B25D-40B0-A534-173DCEBA9051}" name="Column1" dataDxfId="259" totalsRowDxfId="258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7" xr:uid="{4AC1E330-BE21-4DDB-BD95-8079DC2C2E1B}" name="Table112404142444647495051535475128" displayName="Table112404142444647495051535475128" ref="A107:N110" totalsRowCount="1" headerRowDxfId="882" dataDxfId="880" totalsRowDxfId="878" headerRowBorderDxfId="881" tableBorderDxfId="879" totalsRowBorderDxfId="877">
  <autoFilter ref="A107:N109" xr:uid="{8A42D2EB-3C85-4132-A1D6-44CA41E3F3E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A2FB4A27-3E1C-4B26-AF2C-E1C3A6FF830C}" name="CANDIDATE NAME" totalsRowLabel="Total" dataDxfId="876" totalsRowDxfId="875"/>
    <tableColumn id="17" xr3:uid="{F39AB3D8-E6B0-4C9D-A928-6DADD2E0A3A6}" name="BOX 1" totalsRowFunction="sum" dataDxfId="874" totalsRowDxfId="873"/>
    <tableColumn id="13" xr3:uid="{64104DF4-2379-42CE-835E-584ADBB728F6}" name="BOX 2" totalsRowFunction="sum" dataDxfId="872" totalsRowDxfId="871"/>
    <tableColumn id="2" xr3:uid="{C388D882-2866-4642-A3C7-858874F65CA1}" name="BOX 3" totalsRowFunction="sum" dataDxfId="870" totalsRowDxfId="869"/>
    <tableColumn id="14" xr3:uid="{6F44AEF9-1F96-4BA0-85E6-A790AA6291E4}" name="BOX 4" totalsRowFunction="sum" dataDxfId="868" totalsRowDxfId="867"/>
    <tableColumn id="6" xr3:uid="{C462B2FD-2651-45D3-801F-E697AF6812A7}" name="BOX 5" totalsRowFunction="sum" dataDxfId="866" totalsRowDxfId="865"/>
    <tableColumn id="5" xr3:uid="{6C12032C-3A10-40CA-B22C-3D3263282F67}" name="BOX 6" totalsRowFunction="sum" dataDxfId="864" totalsRowDxfId="863"/>
    <tableColumn id="8" xr3:uid="{214917BA-0128-4294-8168-B4858061103C}" name="BOX 7" totalsRowFunction="sum" dataDxfId="862" totalsRowDxfId="861"/>
    <tableColumn id="7" xr3:uid="{CB57619D-BDD8-4FBB-876E-C0DFF5788467}" name="BOX 8" totalsRowFunction="sum" dataDxfId="860" totalsRowDxfId="859"/>
    <tableColumn id="10" xr3:uid="{A5877089-FAB5-4CB0-AD12-3D9831429C06}" name="BOX 10" totalsRowFunction="sum" dataDxfId="858" totalsRowDxfId="857"/>
    <tableColumn id="16" xr3:uid="{4A187987-6B22-4913-AE5D-EA8198F52FD8}" name="BOX 11" totalsRowFunction="sum" dataDxfId="856" totalsRowDxfId="855"/>
    <tableColumn id="3" xr3:uid="{6398C75E-8D57-4A6A-B864-592319608852}" name="BOX 12" totalsRowFunction="sum" dataDxfId="854" totalsRowDxfId="853"/>
    <tableColumn id="4" xr3:uid="{844371D1-11E0-432D-95CD-D23E5DD16A05}" name="TOTAL" totalsRowFunction="sum" dataDxfId="852" totalsRowDxfId="851">
      <calculatedColumnFormula>SUM(Table112404142444647495051535475128[[#This Row],[BOX 1]:[BOX 12]])</calculatedColumnFormula>
    </tableColumn>
    <tableColumn id="11" xr3:uid="{10A5B9DD-2D98-41D9-8973-A3B514732D73}" name="Column1" dataDxfId="257" totalsRowDxfId="256"/>
  </tableColumns>
  <tableStyleInfo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8" xr:uid="{795D40CF-8AFD-4AE7-943D-23D253F9A480}" name="Table112404142444647495051535676129" displayName="Table112404142444647495051535676129" ref="A116:N119" totalsRowCount="1" headerRowDxfId="850" dataDxfId="848" totalsRowDxfId="846" headerRowBorderDxfId="849" tableBorderDxfId="847" totalsRowBorderDxfId="845">
  <autoFilter ref="A116:N118" xr:uid="{F230EAC9-C30A-4C39-BA3F-FB2313CA552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25B965A6-9EA7-41D4-9E66-F675E986FAA1}" name="CANDIDATE NAME" totalsRowLabel="Total" dataDxfId="844" totalsRowDxfId="843"/>
    <tableColumn id="17" xr3:uid="{DC557DEC-63CD-43DB-A344-7C768B62A7C3}" name="BOX 1" totalsRowFunction="sum" dataDxfId="842" totalsRowDxfId="841"/>
    <tableColumn id="13" xr3:uid="{CE86ABA8-4A92-4377-850C-F58C7CC7A1DE}" name="BOX 2" totalsRowFunction="sum" dataDxfId="840" totalsRowDxfId="839"/>
    <tableColumn id="2" xr3:uid="{15FD09C5-212C-47E8-B70E-8F8DCE4CFEA9}" name="BOX 3" totalsRowFunction="sum" dataDxfId="838" totalsRowDxfId="837"/>
    <tableColumn id="14" xr3:uid="{6E0E6360-65F9-47F8-B6C7-D3441BB53DDE}" name="BOX 4" totalsRowFunction="sum" dataDxfId="836" totalsRowDxfId="835"/>
    <tableColumn id="6" xr3:uid="{7E909C62-95F9-4233-B0D5-A817CA000742}" name="BOX 5" totalsRowFunction="sum" dataDxfId="834" totalsRowDxfId="833"/>
    <tableColumn id="5" xr3:uid="{FB918EB6-E4CC-4F10-806C-6822DF77296B}" name="BOX 6" totalsRowFunction="sum" dataDxfId="832" totalsRowDxfId="831"/>
    <tableColumn id="8" xr3:uid="{31D47F04-B3F9-4DBB-AA8F-CD70C439886E}" name="BOX 7" totalsRowFunction="sum" dataDxfId="830" totalsRowDxfId="829"/>
    <tableColumn id="7" xr3:uid="{B8F016D6-A2B7-48DD-A680-2534E7D0F704}" name="BOX 8" totalsRowFunction="sum" dataDxfId="828" totalsRowDxfId="827"/>
    <tableColumn id="10" xr3:uid="{69685E10-5481-4D36-BD55-F66BDC1A7D61}" name="BOX 10" totalsRowFunction="sum" dataDxfId="826" totalsRowDxfId="825"/>
    <tableColumn id="16" xr3:uid="{EFF2F69E-B336-4D74-BA37-FF1128200BE7}" name="BOX 11" totalsRowFunction="sum" dataDxfId="824" totalsRowDxfId="823"/>
    <tableColumn id="3" xr3:uid="{3BA7B9DC-0AB8-44B5-B0D3-673D746F267C}" name="BOX 12" totalsRowFunction="sum" dataDxfId="822" totalsRowDxfId="821"/>
    <tableColumn id="4" xr3:uid="{3FA25308-2596-419C-B1EC-19F5EEC91762}" name="TOTAL" totalsRowFunction="sum" dataDxfId="820" totalsRowDxfId="819">
      <calculatedColumnFormula>SUM(Table112404142444647495051535676129[[#This Row],[BOX 1]:[BOX 12]])</calculatedColumnFormula>
    </tableColumn>
    <tableColumn id="11" xr3:uid="{C4FCE6B4-8C7F-4F56-8DCF-0F22FC16B888}" name="Column1" dataDxfId="255" totalsRowDxfId="25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ED587D40-A1DA-45AB-B9F7-95507A8EF411}" name="Table112404166" displayName="Table112404166" ref="A33:M37" totalsRowCount="1" headerRowDxfId="1682" dataDxfId="1680" totalsRowDxfId="1678" headerRowBorderDxfId="1681" tableBorderDxfId="1679" totalsRowBorderDxfId="1677">
  <autoFilter ref="A33:M36" xr:uid="{D8CEBB5E-81C5-4C34-8DB2-FAE71C3F053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C31014E2-B2E6-4A0A-A400-F3A5C38AF508}" name="CANDIDATE NAME" totalsRowLabel="Total" dataDxfId="1676" totalsRowDxfId="1675"/>
    <tableColumn id="17" xr3:uid="{0A2AE798-DB4D-4C82-93E7-98E7B2823568}" name="BOX 1" totalsRowFunction="sum" dataDxfId="1674" totalsRowDxfId="1673"/>
    <tableColumn id="13" xr3:uid="{6D122D74-E56D-422B-8B3C-36423E446172}" name="BOX 2" totalsRowFunction="sum" dataDxfId="1672" totalsRowDxfId="1671"/>
    <tableColumn id="2" xr3:uid="{453C1CC8-5800-4633-8B7F-1828999EC088}" name="BOX 3" totalsRowFunction="sum" dataDxfId="1670" totalsRowDxfId="1669"/>
    <tableColumn id="14" xr3:uid="{1DA6F0CD-8F7E-4665-9384-51EAAB9EF41A}" name="BOX 4" totalsRowFunction="sum" dataDxfId="1668" totalsRowDxfId="1667"/>
    <tableColumn id="6" xr3:uid="{99C79C25-8C36-4671-BCBE-F82934CE21CE}" name="BOX 5" totalsRowFunction="sum" dataDxfId="1666" totalsRowDxfId="1665"/>
    <tableColumn id="5" xr3:uid="{078578AC-CA31-47D3-94B3-21344CD7183A}" name="BOX 6" totalsRowFunction="sum" dataDxfId="1664" totalsRowDxfId="1663"/>
    <tableColumn id="8" xr3:uid="{D6007B44-BF75-42C2-865D-9C18FA64D0E5}" name="BOX 7" totalsRowFunction="sum" dataDxfId="1662" totalsRowDxfId="1661"/>
    <tableColumn id="7" xr3:uid="{1130B84F-CE6C-48F3-B46D-437CC5779E75}" name="BOX 8" totalsRowFunction="sum" dataDxfId="1660" totalsRowDxfId="1659"/>
    <tableColumn id="10" xr3:uid="{DC5E90D2-55BF-4145-8456-61A051992959}" name="BOX 10" totalsRowFunction="sum" dataDxfId="1658" totalsRowDxfId="1657"/>
    <tableColumn id="16" xr3:uid="{8B04671E-350A-47C6-B4F8-900F87993453}" name="BOX 11" totalsRowFunction="sum" dataDxfId="1656" totalsRowDxfId="1655"/>
    <tableColumn id="3" xr3:uid="{46F98026-F86F-477B-B21E-C7383BEB9399}" name="BOX 12" totalsRowFunction="sum" dataDxfId="1654" totalsRowDxfId="1653"/>
    <tableColumn id="4" xr3:uid="{A7BCED0F-1A6E-4861-9BFA-9935593766C1}" name="TOTAL" totalsRowFunction="sum" dataDxfId="1652" totalsRowDxfId="1651">
      <calculatedColumnFormula>SUM(Table112404166[[#This Row],[BOX 1]:[BOX 12]])</calculatedColumnFormula>
    </tableColumn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9" xr:uid="{2098E0AE-A17B-4660-AF93-4B3348390090}" name="Table11240414244464749505153565877130" displayName="Table11240414244464749505153565877130" ref="A124:N128" totalsRowCount="1" headerRowDxfId="818" dataDxfId="816" totalsRowDxfId="814" headerRowBorderDxfId="817" tableBorderDxfId="815" totalsRowBorderDxfId="813">
  <autoFilter ref="A124:N127" xr:uid="{F0A2E59E-F808-4F35-8E51-F1D34859D8D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3C306524-A07F-427F-9DB6-CA7516CA5C80}" name="CANDIDATE NAME" totalsRowLabel="Total" dataDxfId="812" totalsRowDxfId="811"/>
    <tableColumn id="17" xr3:uid="{2A879F94-8C19-4E8D-9E46-3757D57686A2}" name="BOX 1" totalsRowFunction="sum" dataDxfId="810" totalsRowDxfId="809"/>
    <tableColumn id="13" xr3:uid="{59674F41-0A08-4D54-8039-038E17BAF6F3}" name="BOX 2" totalsRowFunction="sum" dataDxfId="808" totalsRowDxfId="807"/>
    <tableColumn id="2" xr3:uid="{39D9FAB0-686B-4D80-85C1-910BD9782C0C}" name="BOX 3" totalsRowFunction="sum" dataDxfId="806" totalsRowDxfId="805"/>
    <tableColumn id="14" xr3:uid="{1EC3EA0B-CCCF-47A1-BC7A-3B8E8BB70709}" name="BOX 4" totalsRowFunction="sum" dataDxfId="804" totalsRowDxfId="803"/>
    <tableColumn id="6" xr3:uid="{2CE721C7-50D1-4213-B612-F2D47282AEDA}" name="BOX 5" totalsRowFunction="sum" dataDxfId="802" totalsRowDxfId="801"/>
    <tableColumn id="5" xr3:uid="{54CF2B07-FDC3-4817-BFCB-A1E448807EF1}" name="BOX 6" totalsRowFunction="sum" dataDxfId="800" totalsRowDxfId="799"/>
    <tableColumn id="8" xr3:uid="{08C5E4FA-D01F-4E10-BA56-A3967E1E7C2E}" name="BOX 7" totalsRowFunction="sum" dataDxfId="798" totalsRowDxfId="797"/>
    <tableColumn id="7" xr3:uid="{1E1F71A6-6F72-4695-A3F9-D1AC40691783}" name="BOX 8" totalsRowFunction="sum" dataDxfId="796" totalsRowDxfId="795"/>
    <tableColumn id="10" xr3:uid="{0DE9CA00-36A3-466C-AF03-899A400BF2E4}" name="BOX 10" totalsRowFunction="sum" dataDxfId="794" totalsRowDxfId="793"/>
    <tableColumn id="16" xr3:uid="{46FB2F88-4179-41D8-8F0D-70F77BE09416}" name="BOX 11" totalsRowFunction="sum" dataDxfId="792" totalsRowDxfId="791"/>
    <tableColumn id="3" xr3:uid="{F6E2434C-7BE5-4CFE-9ADA-BE1EAB35F528}" name="BOX 12" totalsRowFunction="sum" dataDxfId="790" totalsRowDxfId="789"/>
    <tableColumn id="4" xr3:uid="{DEA4184D-DEB1-4387-BEA0-A9D149BC06A9}" name="TOTAL" totalsRowFunction="sum" dataDxfId="788" totalsRowDxfId="787">
      <calculatedColumnFormula>SUM(Table11240414244464749505153565877130[[#This Row],[BOX 1]:[BOX 12]])</calculatedColumnFormula>
    </tableColumn>
    <tableColumn id="11" xr3:uid="{E57358D7-8C77-460E-9C6B-CCFE40CCD81E}" name="Column1" dataDxfId="253" totalsRowDxfId="252"/>
  </tableColumns>
  <tableStyleInfo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A21FDF9B-5FB8-4A90-A9FF-A3A8F0DD7D41}" name="Table1124041424446474950515356585978131" displayName="Table1124041424446474950515356585978131" ref="A133:N136" totalsRowCount="1" headerRowDxfId="786" dataDxfId="784" totalsRowDxfId="782" headerRowBorderDxfId="785" tableBorderDxfId="783" totalsRowBorderDxfId="781">
  <autoFilter ref="A133:N135" xr:uid="{458078A0-16D3-4F52-B5CA-759BF44E8FC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EA2E337A-6942-4A6B-8B11-B90FB0BF35F6}" name="CANDIDATE NAME" totalsRowLabel="Total" dataDxfId="780" totalsRowDxfId="779"/>
    <tableColumn id="17" xr3:uid="{FA9BF9B8-4F28-4ED3-83E7-0B40D35A4309}" name="BOX 1" totalsRowFunction="sum" dataDxfId="778" totalsRowDxfId="777"/>
    <tableColumn id="13" xr3:uid="{4BE32016-D4C8-40E0-B6DB-9EBDF79C2592}" name="BOX 2" totalsRowFunction="sum" dataDxfId="776" totalsRowDxfId="775"/>
    <tableColumn id="2" xr3:uid="{D2B2E2B3-A3FC-4EFE-B4DF-6A53E252CA17}" name="BOX 3" totalsRowFunction="sum" dataDxfId="774" totalsRowDxfId="773"/>
    <tableColumn id="14" xr3:uid="{76BA9F99-E7D4-4720-8F10-53B7134651A9}" name="BOX 4" totalsRowFunction="sum" dataDxfId="772" totalsRowDxfId="771"/>
    <tableColumn id="6" xr3:uid="{0B690E6F-ED31-4CBA-BE52-F807A30AE8E5}" name="BOX 5" totalsRowFunction="sum" dataDxfId="770" totalsRowDxfId="769"/>
    <tableColumn id="5" xr3:uid="{1474EA54-0F89-4A87-948C-BBE13A3B02AC}" name="BOX 6" totalsRowFunction="sum" dataDxfId="768" totalsRowDxfId="767"/>
    <tableColumn id="8" xr3:uid="{1F7A7BCB-8B8D-4037-9E6B-329FA956F184}" name="BOX 7" totalsRowFunction="sum" dataDxfId="766" totalsRowDxfId="765"/>
    <tableColumn id="7" xr3:uid="{B45945AB-E87B-41C0-8390-B638A8B6DF16}" name="BOX 8" totalsRowFunction="sum" dataDxfId="764" totalsRowDxfId="763"/>
    <tableColumn id="10" xr3:uid="{F6AD438B-EA54-48FD-800D-3A7706A18D0C}" name="BOX 10" totalsRowFunction="sum" dataDxfId="762" totalsRowDxfId="761"/>
    <tableColumn id="16" xr3:uid="{753DDF47-D551-4410-92B9-C966EFD6DA64}" name="BOX 11" totalsRowFunction="sum" dataDxfId="760" totalsRowDxfId="759"/>
    <tableColumn id="3" xr3:uid="{AF6EAE88-E9A8-42A8-A059-8F64E563F5FF}" name="BOX 12" totalsRowFunction="sum" dataDxfId="758" totalsRowDxfId="757"/>
    <tableColumn id="4" xr3:uid="{6D80A2C1-599A-4EB3-8D2B-F693AFCFE1AB}" name="TOTAL" totalsRowFunction="sum" dataDxfId="756" totalsRowDxfId="755">
      <calculatedColumnFormula>SUM(Table1124041424446474950515356585978131[[#This Row],[BOX 1]:[BOX 12]])</calculatedColumnFormula>
    </tableColumn>
    <tableColumn id="11" xr3:uid="{C2EDA86C-9ACD-4A19-868E-5E9A4FCBCB9E}" name="Column1" dataDxfId="251" totalsRowDxfId="250"/>
  </tableColumns>
  <tableStyleInfo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1" xr:uid="{FB65BCDE-BA6F-4B46-8FDD-95C1E704CFB3}" name="Table112404142444647495051535658596079132" displayName="Table112404142444647495051535658596079132" ref="A142:N145" totalsRowCount="1" headerRowDxfId="754" dataDxfId="752" totalsRowDxfId="750" headerRowBorderDxfId="753" tableBorderDxfId="751" totalsRowBorderDxfId="749">
  <autoFilter ref="A142:N144" xr:uid="{1A022D4C-886C-4A00-9287-5CC6D82CF65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FB6186-46CA-4429-8977-9D1CC5841EFC}" name="CANDIDATE NAME" totalsRowLabel="Total" dataDxfId="748" totalsRowDxfId="747"/>
    <tableColumn id="17" xr3:uid="{6055730C-726C-4116-A44D-D01B51ADB17E}" name="BOX 1" totalsRowFunction="sum" dataDxfId="746" totalsRowDxfId="745"/>
    <tableColumn id="13" xr3:uid="{A757E589-691B-4219-92E5-549324E5BAAC}" name="BOX 2" totalsRowFunction="sum" dataDxfId="744" totalsRowDxfId="743"/>
    <tableColumn id="2" xr3:uid="{1FC80C85-D141-4CD2-8E6A-28C5DC8ECA12}" name="BOX 3" totalsRowFunction="sum" dataDxfId="742" totalsRowDxfId="741"/>
    <tableColumn id="14" xr3:uid="{A35449A3-0AD3-48A2-9CCC-CE11104A50DC}" name="BOX 4" totalsRowFunction="sum" dataDxfId="740" totalsRowDxfId="739"/>
    <tableColumn id="6" xr3:uid="{AC5C9A65-EB5A-41D7-907F-51B9A26197C5}" name="BOX 5" totalsRowFunction="sum" dataDxfId="738" totalsRowDxfId="737"/>
    <tableColumn id="5" xr3:uid="{1056F3F0-AF68-40BF-B662-662110550A83}" name="BOX 6" totalsRowFunction="sum" dataDxfId="736" totalsRowDxfId="735"/>
    <tableColumn id="8" xr3:uid="{93AF7300-A570-4DD3-9295-02EA0913A7E4}" name="BOX 7" totalsRowFunction="sum" dataDxfId="734" totalsRowDxfId="733"/>
    <tableColumn id="7" xr3:uid="{F2F0FBE4-12DB-481C-9885-94E41DC120B1}" name="BOX 8" totalsRowFunction="sum" dataDxfId="732" totalsRowDxfId="731"/>
    <tableColumn id="10" xr3:uid="{9EED5099-40BA-4C1E-97E8-3C2A811BB5EB}" name="BOX 10" totalsRowFunction="sum" dataDxfId="730" totalsRowDxfId="729"/>
    <tableColumn id="16" xr3:uid="{C00483D3-444C-4161-99F7-85DA748E5EF5}" name="BOX 11" totalsRowFunction="sum" dataDxfId="728" totalsRowDxfId="727"/>
    <tableColumn id="3" xr3:uid="{A36DF08B-B0F5-449A-8E91-C923E5B34711}" name="BOX 12" totalsRowFunction="sum" dataDxfId="726" totalsRowDxfId="725"/>
    <tableColumn id="4" xr3:uid="{81454DE4-C5E7-4EFF-B73D-4B03828E8F13}" name="TOTAL" totalsRowFunction="sum" dataDxfId="724" totalsRowDxfId="723">
      <calculatedColumnFormula>SUM(B143:L143)</calculatedColumnFormula>
    </tableColumn>
    <tableColumn id="11" xr3:uid="{F7FE2A57-C9E4-4C00-9F67-ADE1A20AC755}" name="Column1" dataDxfId="249" totalsRowDxfId="248"/>
  </tableColumns>
  <tableStyleInfo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2" xr:uid="{38D0B45D-0EE2-437A-969C-895D6586343F}" name="Table11240414244464749505153565859606180133" displayName="Table11240414244464749505153565859606180133" ref="A151:N153" totalsRowCount="1" headerRowDxfId="722" dataDxfId="720" totalsRowDxfId="718" headerRowBorderDxfId="721" tableBorderDxfId="719" totalsRowBorderDxfId="717">
  <autoFilter ref="A151:N152" xr:uid="{FCC0D5F6-3ADC-4102-BC34-5DA45DFC12D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10261B67-0DC6-4ABF-A6A2-0A9F2F1E2161}" name="CANDIDATE NAME" totalsRowLabel="Total" dataDxfId="716" totalsRowDxfId="715"/>
    <tableColumn id="17" xr3:uid="{D0A8E436-55CE-401A-9280-78E5524E7D97}" name="BOX 1" totalsRowFunction="sum" dataDxfId="714" totalsRowDxfId="713"/>
    <tableColumn id="13" xr3:uid="{38F564CA-01E3-4A7C-B6A5-20A95F2CC50D}" name="BOX 2" totalsRowFunction="sum" dataDxfId="712" totalsRowDxfId="711"/>
    <tableColumn id="2" xr3:uid="{F9CDC071-BCC3-4928-810C-D7B64D021E7E}" name="BOX 3" totalsRowFunction="sum" dataDxfId="710" totalsRowDxfId="709"/>
    <tableColumn id="14" xr3:uid="{01E53D37-45EB-4516-A2A2-E6FFB9E63B16}" name="BOX 4" totalsRowFunction="sum" dataDxfId="708" totalsRowDxfId="707"/>
    <tableColumn id="6" xr3:uid="{6212CA7F-810B-4F00-B83F-3ECC73A7D96D}" name="BOX 5" totalsRowFunction="sum" dataDxfId="706" totalsRowDxfId="705"/>
    <tableColumn id="5" xr3:uid="{3B798E1F-E300-4F5A-8266-CBCAB2492CA4}" name="BOX 6" totalsRowFunction="sum" dataDxfId="704" totalsRowDxfId="703"/>
    <tableColumn id="8" xr3:uid="{9AB352FF-0664-4057-97AC-E3AE980D2775}" name="BOX 7" totalsRowFunction="sum" dataDxfId="702" totalsRowDxfId="701"/>
    <tableColumn id="7" xr3:uid="{E42C82CA-1882-4239-9095-3B4F9D6F7997}" name="BOX 8" totalsRowFunction="sum" dataDxfId="700" totalsRowDxfId="699"/>
    <tableColumn id="10" xr3:uid="{1FB68D27-8D1C-4138-931C-1C2A571D2790}" name="BOX 10" totalsRowFunction="sum" dataDxfId="698" totalsRowDxfId="697"/>
    <tableColumn id="16" xr3:uid="{4EF42630-5971-4369-BBB9-A1454E188354}" name="BOX 11" totalsRowFunction="sum" dataDxfId="696" totalsRowDxfId="695"/>
    <tableColumn id="3" xr3:uid="{A7441905-168F-47FC-AE05-9CB806AB8178}" name="BOX 12" totalsRowFunction="sum" dataDxfId="694" totalsRowDxfId="693"/>
    <tableColumn id="4" xr3:uid="{5B954151-0925-4621-B9A6-469F490DDE5F}" name="TOTAL" totalsRowFunction="sum" dataDxfId="692" totalsRowDxfId="691">
      <calculatedColumnFormula>SUM(Table11240414244464749505153565859606180133[[#This Row],[BOX 1]:[BOX 12]])</calculatedColumnFormula>
    </tableColumn>
    <tableColumn id="11" xr3:uid="{E6643E77-DA04-4F6A-AAB3-1AFD9E339B0E}" name="Column1" dataDxfId="247" totalsRowDxfId="246"/>
  </tableColumns>
  <tableStyleInfo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3" xr:uid="{E32E7083-B320-431B-B3AE-74E81E95F704}" name="Table1124041424446474950515356585960616281134" displayName="Table1124041424446474950515356585960616281134" ref="A159:N161" totalsRowCount="1" headerRowDxfId="690" dataDxfId="688" totalsRowDxfId="686" headerRowBorderDxfId="689" tableBorderDxfId="687" totalsRowBorderDxfId="685">
  <autoFilter ref="A159:N160" xr:uid="{E0E499CB-4497-45AE-B6E4-B6560CA90BA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44DC2E6E-024B-42AD-96B6-E42318C8ABBB}" name="CANDIDATE NAME" totalsRowLabel="Total" dataDxfId="684" totalsRowDxfId="683"/>
    <tableColumn id="17" xr3:uid="{EEB7C254-69C3-4E22-B86D-C3A408ED78E7}" name="BOX 1" totalsRowFunction="sum" dataDxfId="682" totalsRowDxfId="681"/>
    <tableColumn id="13" xr3:uid="{02CEA15B-E7E3-4CAE-B0BA-F2E687C907C9}" name="BOX 2" totalsRowFunction="sum" dataDxfId="680" totalsRowDxfId="679"/>
    <tableColumn id="2" xr3:uid="{9903BFC1-16D9-4727-9936-4B170BD54AA3}" name="BOX 3" totalsRowFunction="sum" dataDxfId="678" totalsRowDxfId="677"/>
    <tableColumn id="14" xr3:uid="{2DAB58E4-C659-4B6B-A9E6-D562B6EA1392}" name="BOX 4" totalsRowFunction="sum" dataDxfId="676" totalsRowDxfId="675"/>
    <tableColumn id="6" xr3:uid="{C3D7AE9E-A5F7-43A2-84E7-87E8D46834D8}" name="BOX 5" totalsRowFunction="sum" dataDxfId="674" totalsRowDxfId="673"/>
    <tableColumn id="5" xr3:uid="{012978F9-0DBF-447B-AAB1-7F8FED8160B8}" name="BOX 6" totalsRowFunction="sum" dataDxfId="672" totalsRowDxfId="671"/>
    <tableColumn id="8" xr3:uid="{5BEC3EA2-A967-4ACD-A80B-3007395E6743}" name="BOX 7" totalsRowFunction="sum" dataDxfId="670" totalsRowDxfId="669"/>
    <tableColumn id="7" xr3:uid="{C9A5A5F5-5939-4261-80F1-66DDCBF58527}" name="BOX 8" totalsRowFunction="sum" dataDxfId="668" totalsRowDxfId="667"/>
    <tableColumn id="10" xr3:uid="{4B74B8F0-F205-444D-81B2-E47A75DE328E}" name="BOX 10" totalsRowFunction="sum" dataDxfId="666" totalsRowDxfId="665"/>
    <tableColumn id="16" xr3:uid="{54AD5B1F-FD2F-40A5-BCB3-7A36CE3ED673}" name="BOX 11" totalsRowFunction="sum" dataDxfId="664" totalsRowDxfId="663"/>
    <tableColumn id="3" xr3:uid="{4EC2C822-10B2-43E9-AEDF-F85CB95BAA62}" name="BOX 12" totalsRowFunction="sum" dataDxfId="662" totalsRowDxfId="661"/>
    <tableColumn id="4" xr3:uid="{B915DDAA-1D2C-4566-B9C5-88B5B90313BD}" name="TOTAL" totalsRowFunction="sum" dataDxfId="660" totalsRowDxfId="659">
      <calculatedColumnFormula>SUM(Table1124041424446474950515356585960616281134[[#This Row],[BOX 1]:[BOX 12]])</calculatedColumnFormula>
    </tableColumn>
    <tableColumn id="11" xr3:uid="{C5E75724-FA8C-47A7-A52A-1534D4E42E0E}" name="Column1" dataDxfId="245" totalsRowDxfId="244"/>
  </tableColumns>
  <tableStyleInfo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4A9017-EEA1-4690-B6EB-07F699E33499}" name="Table112641182" displayName="Table112641182" ref="A5:N19" totalsRowCount="1" headerRowDxfId="658" dataDxfId="656" totalsRowDxfId="654" headerRowBorderDxfId="657" tableBorderDxfId="655" totalsRowBorderDxfId="653">
  <autoFilter ref="A5:N18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BBD310BF-C65C-40D2-BCF6-46BB630DE1F3}" name="CANDIDATE NAME" totalsRowLabel="Total" dataDxfId="652" totalsRowDxfId="238"/>
    <tableColumn id="17" xr3:uid="{4D12C3BF-12BD-4B1D-AD8C-EB259B3D3DDE}" name="BOX 1" totalsRowFunction="sum" dataDxfId="651" totalsRowDxfId="237"/>
    <tableColumn id="13" xr3:uid="{2B45608B-FA2D-42C0-AF45-482DDD3125A9}" name="BOX 2" totalsRowFunction="sum" dataDxfId="650" totalsRowDxfId="236"/>
    <tableColumn id="2" xr3:uid="{43FBF98D-11CD-416E-ACA7-7DD4064BC8CD}" name="BOX 3" totalsRowFunction="sum" dataDxfId="649" totalsRowDxfId="235"/>
    <tableColumn id="14" xr3:uid="{31E0F4DD-DB09-4C8E-89B9-BAAC36529247}" name="BOX 4" totalsRowFunction="sum" dataDxfId="648" totalsRowDxfId="234"/>
    <tableColumn id="6" xr3:uid="{1FF7DAC0-864C-43F5-B599-4695EB5EF96D}" name="BOX 5" totalsRowFunction="sum" dataDxfId="647" totalsRowDxfId="233"/>
    <tableColumn id="5" xr3:uid="{8365B367-4FD6-4ADA-B611-A6FD6E5995D4}" name="BOX 6" totalsRowFunction="sum" dataDxfId="646" totalsRowDxfId="232"/>
    <tableColumn id="8" xr3:uid="{079385B7-0670-40A3-924D-44DF43231821}" name="BOX 7" totalsRowFunction="sum" dataDxfId="645" totalsRowDxfId="231"/>
    <tableColumn id="7" xr3:uid="{5E83E6B1-10FF-47EB-B530-8A6C7C2CE5F6}" name="BOX 8" totalsRowFunction="sum" dataDxfId="644" totalsRowDxfId="230"/>
    <tableColumn id="10" xr3:uid="{97FE8006-76D1-407E-BB66-16A205766D99}" name="BOX 10" totalsRowFunction="sum" dataDxfId="643" totalsRowDxfId="229"/>
    <tableColumn id="16" xr3:uid="{89E4DD8B-12B5-4C83-9129-2AE2E2D9F851}" name="BOX 11" totalsRowFunction="sum" dataDxfId="642" totalsRowDxfId="228"/>
    <tableColumn id="3" xr3:uid="{5DCD4A09-73AE-44E4-9FAC-0BCEDCA50398}" name="BOX 12" totalsRowFunction="sum" dataDxfId="641" totalsRowDxfId="227"/>
    <tableColumn id="4" xr3:uid="{EDE2CCF7-7EE8-4FB9-B906-BBE78E551E94}" name="TOTAL" totalsRowFunction="sum" dataDxfId="640" totalsRowDxfId="226">
      <calculatedColumnFormula>SUM(Table112641182[[#This Row],[BOX 1]:[BOX 12]])</calculatedColumnFormula>
    </tableColumn>
    <tableColumn id="11" xr3:uid="{FEF86E60-74A9-41F7-BEB8-47F9E5189C81}" name="PROVISIONAL" totalsRowFunction="sum" dataDxfId="639" totalsRowDxfId="173"/>
  </tableColumns>
  <tableStyleInfo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F0EB9C-531C-4F3D-8070-9043568DE288}" name="Table11240651193" displayName="Table11240651193" ref="A23:N29" totalsRowCount="1" headerRowDxfId="638" dataDxfId="636" totalsRowDxfId="634" headerRowBorderDxfId="637" tableBorderDxfId="635" totalsRowBorderDxfId="633">
  <autoFilter ref="A23:N28" xr:uid="{BC229E9E-2707-4AF9-87B6-80D8113DF92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B3B3DC30-34DF-4A59-9EAA-BDB4282E8BB0}" name="CANDIDATE NAME" totalsRowLabel="Total" dataDxfId="632" totalsRowDxfId="225"/>
    <tableColumn id="17" xr3:uid="{EF664876-5A66-451D-975D-C2CB095BA790}" name="BOX 1" totalsRowFunction="sum" dataDxfId="631" totalsRowDxfId="224"/>
    <tableColumn id="13" xr3:uid="{E8D997DC-F615-4955-929B-B0B77FB855E9}" name="BOX 2" totalsRowFunction="sum" dataDxfId="630" totalsRowDxfId="223"/>
    <tableColumn id="2" xr3:uid="{D628E2A5-C9E7-4949-9533-CF5A0337B983}" name="BOX 3" totalsRowFunction="sum" dataDxfId="629" totalsRowDxfId="222"/>
    <tableColumn id="14" xr3:uid="{6CCB6AFB-D5A4-4647-8AD7-E35B87991D4F}" name="BOX 4" totalsRowFunction="sum" dataDxfId="628" totalsRowDxfId="221"/>
    <tableColumn id="6" xr3:uid="{D24F2738-268B-4EC1-8C03-4A381F6B120F}" name="BOX 5" totalsRowFunction="sum" dataDxfId="627" totalsRowDxfId="220"/>
    <tableColumn id="5" xr3:uid="{DF64F221-7AD9-4EAC-82A5-DD0688A6B13F}" name="BOX 6" totalsRowFunction="sum" dataDxfId="626" totalsRowDxfId="219"/>
    <tableColumn id="8" xr3:uid="{454FFA1B-2790-49DF-9C10-C6B278713B8A}" name="BOX 7" totalsRowFunction="sum" dataDxfId="625" totalsRowDxfId="218"/>
    <tableColumn id="7" xr3:uid="{EF139256-4765-4C08-BF70-3D811F509325}" name="BOX 8" totalsRowFunction="sum" dataDxfId="624" totalsRowDxfId="217"/>
    <tableColumn id="10" xr3:uid="{A33F7738-5433-451B-8805-E425F1026B04}" name="BOX 10" totalsRowFunction="sum" dataDxfId="623" totalsRowDxfId="216"/>
    <tableColumn id="16" xr3:uid="{A7F189C7-FBED-4495-9E21-E7AD454C1A23}" name="BOX 11" totalsRowFunction="sum" dataDxfId="622" totalsRowDxfId="215"/>
    <tableColumn id="3" xr3:uid="{C70C34F5-0B88-4982-9152-56791E1A0299}" name="BOX 12" totalsRowFunction="sum" dataDxfId="621" totalsRowDxfId="214"/>
    <tableColumn id="4" xr3:uid="{9B9EB95F-547D-4B12-99C3-179416852121}" name="TOTAL" totalsRowFunction="sum" dataDxfId="620" totalsRowDxfId="213">
      <calculatedColumnFormula>SUM(Table11240651193[[#This Row],[BOX 1]:[BOX 12]])</calculatedColumnFormula>
    </tableColumn>
    <tableColumn id="11" xr3:uid="{A327B424-AB8C-4564-AD0E-22F4FC7D05CA}" name="PROVISIONAL" totalsRowFunction="sum" dataDxfId="619" totalsRowDxfId="172"/>
  </tableColumns>
  <tableStyleInfo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A511B8-FE46-4027-BE49-99E978DF2AA7}" name="Table1124041661204" displayName="Table1124041661204" ref="A33:N37" totalsRowCount="1" headerRowDxfId="618" dataDxfId="616" totalsRowDxfId="614" headerRowBorderDxfId="617" tableBorderDxfId="615" totalsRowBorderDxfId="613">
  <autoFilter ref="A33:N36" xr:uid="{D8CEBB5E-81C5-4C34-8DB2-FAE71C3F053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8B20682A-27FC-49BA-8460-735B3B5C1D15}" name="CANDIDATE NAME" totalsRowLabel="Total" dataDxfId="612" totalsRowDxfId="212"/>
    <tableColumn id="17" xr3:uid="{CD2EF506-FDA2-4587-B309-172304378305}" name="BOX 1" totalsRowFunction="sum" dataDxfId="611" totalsRowDxfId="211"/>
    <tableColumn id="13" xr3:uid="{3431BB1A-9107-4FDA-8685-CC4AF8F734CD}" name="BOX 2" totalsRowFunction="sum" dataDxfId="610" totalsRowDxfId="210"/>
    <tableColumn id="2" xr3:uid="{38F9D460-44CD-4D12-9E6C-F9B53A6BCCE2}" name="BOX 3" totalsRowFunction="sum" dataDxfId="609" totalsRowDxfId="209"/>
    <tableColumn id="14" xr3:uid="{72B5EFCB-FB05-40D2-88E6-F25DC28259C8}" name="BOX 4" totalsRowFunction="sum" dataDxfId="608" totalsRowDxfId="208"/>
    <tableColumn id="6" xr3:uid="{889FBCD0-F35C-4578-AD4E-6A0A931276C3}" name="BOX 5" totalsRowFunction="sum" dataDxfId="607" totalsRowDxfId="207"/>
    <tableColumn id="5" xr3:uid="{4279A4AB-BF86-4CE5-8DFF-532ECD46F30D}" name="BOX 6" totalsRowFunction="sum" dataDxfId="606" totalsRowDxfId="206"/>
    <tableColumn id="8" xr3:uid="{E2D16995-10C1-44D7-BFCD-A91144815D34}" name="BOX 7" totalsRowFunction="sum" dataDxfId="605" totalsRowDxfId="205"/>
    <tableColumn id="7" xr3:uid="{9E913020-026C-419D-830A-C56961F2ABF3}" name="BOX 8" totalsRowFunction="sum" dataDxfId="604" totalsRowDxfId="204"/>
    <tableColumn id="10" xr3:uid="{CDD1134B-5D0E-4F55-9DF7-04ECC5C37482}" name="BOX 10" totalsRowFunction="sum" dataDxfId="603" totalsRowDxfId="203"/>
    <tableColumn id="16" xr3:uid="{AEDC0640-A6E5-44AD-A0D2-F5DFF4C96672}" name="BOX 11" totalsRowFunction="sum" dataDxfId="602" totalsRowDxfId="202"/>
    <tableColumn id="3" xr3:uid="{8B70C2EA-1F2B-441F-AD59-76F367FF5568}" name="BOX 12" totalsRowFunction="sum" dataDxfId="601" totalsRowDxfId="201"/>
    <tableColumn id="4" xr3:uid="{629EBC56-DD16-4BC0-A256-F216D920E125}" name="TOTAL" totalsRowFunction="sum" dataDxfId="600" totalsRowDxfId="200">
      <calculatedColumnFormula>SUM(Table1124041661204[[#This Row],[BOX 1]:[BOX 12]])</calculatedColumnFormula>
    </tableColumn>
    <tableColumn id="11" xr3:uid="{334AA1F0-AB43-4E76-8EF1-5C11B57068DD}" name="PROVISIONAL" totalsRowFunction="sum" dataDxfId="599" totalsRowDxfId="171"/>
  </tableColumns>
  <tableStyleInfo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D8A40CD-A0C3-418C-BFC8-08AF60BE74CC}" name="Table112404142671215" displayName="Table112404142671215" ref="A46:N51" totalsRowCount="1" headerRowDxfId="598" dataDxfId="596" totalsRowDxfId="594" headerRowBorderDxfId="597" tableBorderDxfId="595" totalsRowBorderDxfId="593">
  <autoFilter ref="A46:N50" xr:uid="{952354E1-65CD-4909-93B4-7A3E5DE6EB4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52E5E345-6C4D-4737-A39C-FBBD125E4F87}" name="CANDIDATE NAME" totalsRowLabel="Total" dataDxfId="592" totalsRowDxfId="199"/>
    <tableColumn id="17" xr3:uid="{F02210F3-57E5-47FE-8C18-CCD9CE4B589D}" name="BOX 1" totalsRowFunction="sum" dataDxfId="591" totalsRowDxfId="198"/>
    <tableColumn id="13" xr3:uid="{07684FB3-D6B6-48B8-9F93-DE84079A7882}" name="BOX 2" totalsRowFunction="sum" dataDxfId="590" totalsRowDxfId="197"/>
    <tableColumn id="2" xr3:uid="{C3031D3B-26D8-4FB8-B4F8-6092A934FCFD}" name="BOX 3" totalsRowFunction="sum" dataDxfId="589" totalsRowDxfId="196"/>
    <tableColumn id="14" xr3:uid="{BDDA3931-939F-49F4-A20E-F42C16A6A80A}" name="BOX 4" totalsRowFunction="sum" dataDxfId="588" totalsRowDxfId="195"/>
    <tableColumn id="6" xr3:uid="{5E563C65-D9D8-40FA-817D-75067CD1699D}" name="BOX 5" totalsRowFunction="sum" dataDxfId="587" totalsRowDxfId="194"/>
    <tableColumn id="5" xr3:uid="{D371DCAE-F6DF-479C-861F-6475C2D16BE5}" name="BOX 6" totalsRowFunction="sum" dataDxfId="586" totalsRowDxfId="193"/>
    <tableColumn id="8" xr3:uid="{B7D1D885-E75F-43D4-BB84-FBC2D0720045}" name="BOX 7" totalsRowFunction="sum" dataDxfId="585" totalsRowDxfId="192"/>
    <tableColumn id="7" xr3:uid="{6E038B89-E075-40C3-B7F0-58AA898F504D}" name="BOX 8" totalsRowFunction="sum" dataDxfId="584" totalsRowDxfId="191"/>
    <tableColumn id="10" xr3:uid="{FEA3D534-E462-4CB3-A45B-8A4C11919D78}" name="BOX 10" totalsRowFunction="sum" dataDxfId="583" totalsRowDxfId="190"/>
    <tableColumn id="16" xr3:uid="{FBF720B3-BFEF-4684-98A5-4B746171B224}" name="BOX 11" totalsRowFunction="sum" dataDxfId="582" totalsRowDxfId="189"/>
    <tableColumn id="3" xr3:uid="{3B5DEE21-CF18-4CF8-A4C1-559A342231C5}" name="BOX 12" totalsRowFunction="sum" dataDxfId="581" totalsRowDxfId="188"/>
    <tableColumn id="4" xr3:uid="{05BF5CD3-DD75-4271-A065-E01E2AE96409}" name="TOTAL" totalsRowFunction="sum" dataDxfId="580" totalsRowDxfId="187">
      <calculatedColumnFormula>SUM(Table112404142671215[[#This Row],[BOX 1]:[BOX 12]])</calculatedColumnFormula>
    </tableColumn>
    <tableColumn id="11" xr3:uid="{398C0A01-EB35-4514-B78E-F05C20E809E2}" name="PROVISIONAL" totalsRowFunction="sum" dataDxfId="579" totalsRowDxfId="170"/>
  </tableColumns>
  <tableStyleInfo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525515-D7FC-4892-915A-ED5D38968AC6}" name="Table11240414244681226" displayName="Table11240414244681226" ref="A57:N61" totalsRowCount="1" headerRowDxfId="578" dataDxfId="576" totalsRowDxfId="574" headerRowBorderDxfId="577" tableBorderDxfId="575" totalsRowBorderDxfId="573">
  <autoFilter ref="A57:N60" xr:uid="{2342BE13-3097-485F-8433-F71E474628D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911CCE03-E890-4ACD-8151-13A55487AD66}" name="CANDIDATE NAME" totalsRowLabel="Total" dataDxfId="572" totalsRowDxfId="186"/>
    <tableColumn id="17" xr3:uid="{388F6F13-522E-4821-A8C3-35303F1B9DA0}" name="BOX 1" totalsRowFunction="sum" dataDxfId="571" totalsRowDxfId="185"/>
    <tableColumn id="13" xr3:uid="{08D22175-0502-46CB-9DD6-7DDFE4831A2B}" name="BOX 2" totalsRowFunction="sum" dataDxfId="570" totalsRowDxfId="184"/>
    <tableColumn id="2" xr3:uid="{0414CA02-2B12-46E1-806A-0A61A560EBFA}" name="BOX 3" totalsRowFunction="sum" dataDxfId="569" totalsRowDxfId="183"/>
    <tableColumn id="14" xr3:uid="{CAD2348D-B6C4-4BE3-96FB-E4C06A4A36CD}" name="BOX 4" totalsRowFunction="sum" dataDxfId="568" totalsRowDxfId="182"/>
    <tableColumn id="6" xr3:uid="{CE52980B-2002-4374-8A50-8DFC12273180}" name="BOX 5" totalsRowFunction="sum" dataDxfId="567" totalsRowDxfId="181"/>
    <tableColumn id="5" xr3:uid="{A4EA14C2-7452-4ED5-B055-5ABC848B32EF}" name="BOX 6" totalsRowFunction="sum" dataDxfId="566" totalsRowDxfId="180"/>
    <tableColumn id="8" xr3:uid="{C4F69D0F-9C6C-4092-AE39-D5DFD990391C}" name="BOX 7" totalsRowFunction="sum" dataDxfId="565" totalsRowDxfId="179"/>
    <tableColumn id="7" xr3:uid="{A89CC09D-16C3-493E-84E8-194CDD925FD5}" name="BOX 8" totalsRowFunction="sum" dataDxfId="564" totalsRowDxfId="178"/>
    <tableColumn id="10" xr3:uid="{F8DA8763-E590-4C4E-9A6D-E2FFB3E04F8F}" name="BOX 10" totalsRowFunction="sum" dataDxfId="563" totalsRowDxfId="177"/>
    <tableColumn id="16" xr3:uid="{85B63246-EDE8-4791-B006-9B88C50873EB}" name="BOX 11" totalsRowFunction="sum" dataDxfId="562" totalsRowDxfId="176"/>
    <tableColumn id="3" xr3:uid="{9E935057-D9E1-496F-B828-4AE761646AA0}" name="BOX 12" totalsRowFunction="sum" dataDxfId="561" totalsRowDxfId="175"/>
    <tableColumn id="4" xr3:uid="{274A0752-ACBE-4690-A6FD-3DE67F33AFDC}" name="TOTAL" totalsRowFunction="sum" dataDxfId="560" totalsRowDxfId="174">
      <calculatedColumnFormula>SUM(Table11240414244681226[[#This Row],[BOX 1]:[BOX 12]])</calculatedColumnFormula>
    </tableColumn>
    <tableColumn id="11" xr3:uid="{B5AFF304-AC17-42B7-803C-3C03EDC70D5B}" name="PROVISIONAL" totalsRowFunction="sum" dataDxfId="559" totalsRowDxfId="169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14191EF2-1ED9-40C3-8661-7CB367A114D0}" name="Table11240414267" displayName="Table11240414267" ref="A46:M51" totalsRowCount="1" headerRowDxfId="1650" dataDxfId="1648" totalsRowDxfId="1646" headerRowBorderDxfId="1649" tableBorderDxfId="1647" totalsRowBorderDxfId="1645">
  <autoFilter ref="A46:M50" xr:uid="{952354E1-65CD-4909-93B4-7A3E5DE6EB4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82548953-68FB-4B79-A923-5689DB116C55}" name="CANDIDATE NAME" totalsRowLabel="Total" dataDxfId="1644" totalsRowDxfId="1643"/>
    <tableColumn id="17" xr3:uid="{344888D9-DA7C-47D0-B911-B4E1BCAC2F41}" name="BOX 1" totalsRowFunction="sum" dataDxfId="1642" totalsRowDxfId="1641"/>
    <tableColumn id="13" xr3:uid="{A7A5AD04-8356-481E-8EB9-7307B241D910}" name="BOX 2" totalsRowFunction="sum" dataDxfId="1640" totalsRowDxfId="1639"/>
    <tableColumn id="2" xr3:uid="{B191D653-8B53-4B56-8ABD-39A932B60750}" name="BOX 3" totalsRowFunction="sum" dataDxfId="1638" totalsRowDxfId="1637"/>
    <tableColumn id="14" xr3:uid="{D9539C11-0A63-452F-95FB-6D66D2BF92D0}" name="BOX 4" totalsRowFunction="sum" dataDxfId="1636" totalsRowDxfId="1635"/>
    <tableColumn id="6" xr3:uid="{095628C7-F97E-4158-B86D-7C151F68E73D}" name="BOX 5" totalsRowFunction="sum" dataDxfId="1634" totalsRowDxfId="1633"/>
    <tableColumn id="5" xr3:uid="{7985C80C-87CB-4E1C-8836-8D3087E28337}" name="BOX 6" totalsRowFunction="sum" dataDxfId="1632" totalsRowDxfId="1631"/>
    <tableColumn id="8" xr3:uid="{297384C8-71C9-45E0-81A8-87CD469FAAE0}" name="BOX 7" totalsRowFunction="sum" dataDxfId="1630" totalsRowDxfId="1629"/>
    <tableColumn id="7" xr3:uid="{31112D49-A1C5-4A48-8A2A-479AA8EDBFB7}" name="BOX 8" totalsRowFunction="sum" dataDxfId="1628" totalsRowDxfId="1627"/>
    <tableColumn id="10" xr3:uid="{5985FDBB-16A0-4F45-A530-9F52DDAD6BEF}" name="BOX 10" totalsRowFunction="sum" dataDxfId="1626" totalsRowDxfId="1625"/>
    <tableColumn id="16" xr3:uid="{85CFD567-CC95-4934-AE7C-90904FA87B00}" name="BOX 11" totalsRowFunction="sum" dataDxfId="1624" totalsRowDxfId="1623"/>
    <tableColumn id="3" xr3:uid="{35357C44-A60A-4C50-9246-9A309E3F4BA5}" name="BOX 12" totalsRowFunction="sum" dataDxfId="1622" totalsRowDxfId="1621"/>
    <tableColumn id="4" xr3:uid="{E8AFF861-58C4-4F17-A79A-F9D376227C0F}" name="TOTAL" totalsRowFunction="sum" dataDxfId="1620" totalsRowDxfId="1619">
      <calculatedColumnFormula>SUM(Table11240414267[[#This Row],[BOX 1]:[BOX 12]])</calculatedColumnFormula>
    </tableColumn>
  </tableColumns>
  <tableStyleInfo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B344B3-76B1-457D-B95D-03C30606E1A5}" name="Table1124041424446691237" displayName="Table1124041424446691237" ref="A66:N69" totalsRowCount="1" headerRowDxfId="558" dataDxfId="556" totalsRowDxfId="554" headerRowBorderDxfId="557" tableBorderDxfId="555" totalsRowBorderDxfId="553">
  <autoFilter ref="A66:N68" xr:uid="{6B89F2E4-F514-4D34-8688-718BCB3A3FE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6CFFEC3C-A966-4062-A51E-961B936E107C}" name="CANDIDATE NAME" totalsRowLabel="Total" dataDxfId="552" totalsRowDxfId="168"/>
    <tableColumn id="17" xr3:uid="{D9AE0696-2E1E-4CB9-9D70-24212E273324}" name="BOX 1" totalsRowFunction="sum" dataDxfId="551" totalsRowDxfId="167"/>
    <tableColumn id="13" xr3:uid="{851FE212-F791-4FC2-B448-A7B1F8B1CFC9}" name="BOX 2" totalsRowFunction="sum" dataDxfId="550" totalsRowDxfId="166"/>
    <tableColumn id="2" xr3:uid="{6BE58AF9-9778-49C0-9E94-3B238FDC8BEB}" name="BOX 3" totalsRowFunction="sum" dataDxfId="549" totalsRowDxfId="165"/>
    <tableColumn id="14" xr3:uid="{EC32E48F-56EF-44DE-8D89-6D10B4289927}" name="BOX 4" totalsRowFunction="sum" dataDxfId="548" totalsRowDxfId="164"/>
    <tableColumn id="6" xr3:uid="{BA631910-621E-4D63-BCD8-34F8A4CBA24B}" name="BOX 5" totalsRowFunction="sum" dataDxfId="547" totalsRowDxfId="163"/>
    <tableColumn id="5" xr3:uid="{CC07FF36-5B00-4876-84C5-4DE9F3084BEB}" name="BOX 6" totalsRowFunction="sum" dataDxfId="546" totalsRowDxfId="162"/>
    <tableColumn id="8" xr3:uid="{39E65300-8DEE-4322-A4BD-9E52B895D4D5}" name="BOX 7" totalsRowFunction="sum" dataDxfId="545" totalsRowDxfId="161"/>
    <tableColumn id="7" xr3:uid="{243E24D0-4807-40F6-B97E-19F52D698D37}" name="BOX 8" totalsRowFunction="sum" dataDxfId="544" totalsRowDxfId="160"/>
    <tableColumn id="10" xr3:uid="{654908EB-4424-4BD0-BC31-B62F8C8D5CD4}" name="BOX 10" totalsRowFunction="sum" dataDxfId="543" totalsRowDxfId="159"/>
    <tableColumn id="16" xr3:uid="{9EE9CD3B-81D8-48A9-A62D-20030129DEFD}" name="BOX 11" totalsRowFunction="sum" dataDxfId="542" totalsRowDxfId="158"/>
    <tableColumn id="3" xr3:uid="{9E4744A8-59C4-4379-A426-89AA339828C0}" name="BOX 12" totalsRowFunction="sum" dataDxfId="541" totalsRowDxfId="157"/>
    <tableColumn id="4" xr3:uid="{DDDF3E2A-2B45-4A3A-9B25-135E3C2FFADB}" name="TOTAL" totalsRowFunction="sum" dataDxfId="540" totalsRowDxfId="156">
      <calculatedColumnFormula>SUM(Table1124041424446691237[[#This Row],[BOX 1]:[BOX 12]])</calculatedColumnFormula>
    </tableColumn>
    <tableColumn id="11" xr3:uid="{4974205C-75FF-4D9C-9FBB-8427E9969465}" name="PROVISIONAL" totalsRowFunction="max" dataDxfId="539" totalsRowDxfId="155"/>
  </tableColumns>
  <tableStyleInfo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5A9E29-16FC-47F2-BA0C-38B39021C0D9}" name="Table112404142444647701248" displayName="Table112404142444647701248" ref="A74:N78" totalsRowCount="1" headerRowDxfId="538" dataDxfId="536" totalsRowDxfId="534" headerRowBorderDxfId="537" tableBorderDxfId="535" totalsRowBorderDxfId="533">
  <autoFilter ref="A74:N77" xr:uid="{0B2BB887-E1AD-4501-9396-3C989FDAE75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599EA32B-D7CB-4DC8-B27B-8057731FF81C}" name="CANDIDATE NAME" totalsRowLabel="Total" dataDxfId="532" totalsRowDxfId="154"/>
    <tableColumn id="17" xr3:uid="{BE102F68-7D00-4F20-9354-3CAE5D3AF6D5}" name="BOX 1" totalsRowFunction="sum" dataDxfId="531" totalsRowDxfId="153"/>
    <tableColumn id="13" xr3:uid="{B5ACCBA1-6D8D-49BB-83EF-6E7F131CDF15}" name="BOX 2" totalsRowFunction="sum" dataDxfId="530" totalsRowDxfId="152"/>
    <tableColumn id="2" xr3:uid="{1316D644-DB6A-47EF-92CD-82FC0FB496DB}" name="BOX 3" totalsRowFunction="sum" dataDxfId="529" totalsRowDxfId="151"/>
    <tableColumn id="14" xr3:uid="{BC804D2D-B4A2-4B76-8665-B17CC2763050}" name="BOX 4" totalsRowFunction="sum" dataDxfId="528" totalsRowDxfId="150"/>
    <tableColumn id="6" xr3:uid="{7ECFBE14-663E-4922-8FD4-CE07259109AC}" name="BOX 5" totalsRowFunction="sum" dataDxfId="527" totalsRowDxfId="149"/>
    <tableColumn id="5" xr3:uid="{3C71F7F7-7E5A-4B9C-84D7-75C385FFA62B}" name="BOX 6" totalsRowFunction="sum" dataDxfId="526" totalsRowDxfId="148"/>
    <tableColumn id="8" xr3:uid="{D77912A9-4E10-4F0F-A35E-3FD1C57525BD}" name="BOX 7" totalsRowFunction="sum" dataDxfId="525" totalsRowDxfId="147"/>
    <tableColumn id="7" xr3:uid="{8F211CD3-C479-4E16-9648-80A7AD431115}" name="BOX 8" totalsRowFunction="sum" dataDxfId="524" totalsRowDxfId="146"/>
    <tableColumn id="10" xr3:uid="{403B5818-1D31-4CDA-9B37-822B2D01BF6B}" name="BOX 10" totalsRowFunction="sum" dataDxfId="523" totalsRowDxfId="145"/>
    <tableColumn id="16" xr3:uid="{1711783C-AE81-45F0-A714-268AFE025C51}" name="BOX 11" totalsRowFunction="sum" dataDxfId="522" totalsRowDxfId="144"/>
    <tableColumn id="3" xr3:uid="{A8B230EB-50B6-4DB2-BFFB-85041F872CA9}" name="BOX 12" totalsRowFunction="sum" dataDxfId="521" totalsRowDxfId="143"/>
    <tableColumn id="4" xr3:uid="{2425028C-536F-4392-A0FD-B027A7A8EB46}" name="TOTAL" totalsRowFunction="sum" dataDxfId="520" totalsRowDxfId="142">
      <calculatedColumnFormula>SUM(Table112404142444647701248[[#This Row],[BOX 1]:[BOX 12]])</calculatedColumnFormula>
    </tableColumn>
    <tableColumn id="11" xr3:uid="{47A5CAD6-AC28-4444-8ACC-A5CB3AF2D3DE}" name="PROVISIONAL" totalsRowFunction="sum" dataDxfId="519" totalsRowDxfId="141"/>
  </tableColumns>
  <tableStyleInfo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686EA81-ED0B-48A8-837F-A3FCC73FA91F}" name="Table11240414244464749711259" displayName="Table11240414244464749711259" ref="A83:N87" totalsRowCount="1" headerRowDxfId="518" dataDxfId="516" totalsRowDxfId="514" headerRowBorderDxfId="517" tableBorderDxfId="515" totalsRowBorderDxfId="513">
  <autoFilter ref="A83:N86" xr:uid="{B5DEFE54-02B8-4837-AD5A-DF3F5061830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AB6CAABB-2356-4031-9232-69A9E7100A12}" name="CANDIDATE NAME" totalsRowLabel="Total" dataDxfId="512" totalsRowDxfId="140"/>
    <tableColumn id="17" xr3:uid="{96A2DDFA-67E2-428D-B819-B2D3FD221E51}" name="BOX 1" totalsRowFunction="sum" dataDxfId="511" totalsRowDxfId="139"/>
    <tableColumn id="13" xr3:uid="{AA0A6408-D931-4AC0-ACD5-3CBF8FCB7578}" name="BOX 2" totalsRowFunction="sum" dataDxfId="510" totalsRowDxfId="138"/>
    <tableColumn id="2" xr3:uid="{03866E41-4743-4B25-BAC3-F24045DA8B9C}" name="BOX 3" totalsRowFunction="sum" dataDxfId="509" totalsRowDxfId="137"/>
    <tableColumn id="14" xr3:uid="{2B654370-93ED-4CCE-A3B1-2D537DB26125}" name="BOX 4" totalsRowFunction="sum" dataDxfId="508" totalsRowDxfId="136"/>
    <tableColumn id="6" xr3:uid="{9F08B29C-058B-4712-BE94-D1346B39804B}" name="BOX 5" totalsRowFunction="sum" dataDxfId="507" totalsRowDxfId="135"/>
    <tableColumn id="5" xr3:uid="{63E750A2-2631-4A00-9AC2-F83DDBE8BD4B}" name="BOX 6" totalsRowFunction="sum" dataDxfId="506" totalsRowDxfId="134"/>
    <tableColumn id="8" xr3:uid="{C48F8A92-7149-48F8-A726-DF1C3A20E1BF}" name="BOX 7" totalsRowFunction="sum" dataDxfId="505" totalsRowDxfId="133"/>
    <tableColumn id="7" xr3:uid="{961FF719-7D90-4D22-848D-1E1F8A86FEAC}" name="BOX 8" totalsRowFunction="sum" dataDxfId="504" totalsRowDxfId="132"/>
    <tableColumn id="10" xr3:uid="{1E8CAA81-6F0A-4764-9FEF-430DB04D37E3}" name="BOX 10" totalsRowFunction="sum" dataDxfId="503" totalsRowDxfId="131"/>
    <tableColumn id="16" xr3:uid="{834AE243-54A3-41F4-B855-472BFBB798ED}" name="BOX 11" totalsRowFunction="sum" dataDxfId="502" totalsRowDxfId="130"/>
    <tableColumn id="3" xr3:uid="{BB99EDB4-7A89-424E-BD5E-82FDEC30BBF4}" name="BOX 12" totalsRowFunction="sum" dataDxfId="501" totalsRowDxfId="129"/>
    <tableColumn id="4" xr3:uid="{714BBCA7-33A1-48D6-8B00-BECD78E0DDFC}" name="TOTAL" totalsRowFunction="sum" dataDxfId="500" totalsRowDxfId="128">
      <calculatedColumnFormula>SUM(Table11240414244464749711259[[#This Row],[BOX 1]:[BOX 12]])</calculatedColumnFormula>
    </tableColumn>
    <tableColumn id="11" xr3:uid="{711F9FF6-DB5F-4617-9DF2-2117E270C8AD}" name="PROVISIONAL" totalsRowFunction="sum" dataDxfId="499" totalsRowDxfId="127"/>
  </tableColumns>
  <tableStyleInfo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719B9B-38C8-433C-ACDD-7AD370378D5C}" name="Table11240414244464749507212610" displayName="Table11240414244464749507212610" ref="A91:N94" totalsRowCount="1" headerRowDxfId="498" dataDxfId="496" totalsRowDxfId="494" headerRowBorderDxfId="497" tableBorderDxfId="495" totalsRowBorderDxfId="493">
  <autoFilter ref="A91:N93" xr:uid="{15479CFC-EA92-4AFE-8EB5-D0E916990CF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BB22CD97-E996-48D6-BD59-16459D260844}" name="CANDIDATE NAME" totalsRowLabel="Total" dataDxfId="492" totalsRowDxfId="125"/>
    <tableColumn id="17" xr3:uid="{F76817ED-1A91-4879-A777-6A097958FA62}" name="BOX 1" totalsRowFunction="sum" dataDxfId="491" totalsRowDxfId="124"/>
    <tableColumn id="13" xr3:uid="{D50CD02F-BF33-475D-983F-836BD057FEFE}" name="BOX 2" totalsRowFunction="sum" dataDxfId="490" totalsRowDxfId="123"/>
    <tableColumn id="2" xr3:uid="{DC1D96B9-E876-46C1-92CB-1CD6A99DE3C7}" name="BOX 3" totalsRowFunction="sum" dataDxfId="489" totalsRowDxfId="122"/>
    <tableColumn id="14" xr3:uid="{2ED008A6-5D95-41D6-AA93-A607E3BCC1DC}" name="BOX 4" totalsRowFunction="sum" dataDxfId="488" totalsRowDxfId="121"/>
    <tableColumn id="6" xr3:uid="{FC9BB0D1-A775-4BFD-BB6E-B843A560CA7B}" name="BOX 5" totalsRowFunction="sum" dataDxfId="487" totalsRowDxfId="120"/>
    <tableColumn id="5" xr3:uid="{232746C6-8BB0-4E2F-B967-515844C7639E}" name="BOX 6" totalsRowFunction="sum" dataDxfId="486" totalsRowDxfId="119"/>
    <tableColumn id="8" xr3:uid="{67CD7589-AFDB-4F20-810C-43FF01622FDB}" name="BOX 7" totalsRowFunction="sum" dataDxfId="485" totalsRowDxfId="118"/>
    <tableColumn id="7" xr3:uid="{72B8D204-EDBF-44F8-A86E-169B82822152}" name="BOX 8" totalsRowFunction="sum" dataDxfId="484" totalsRowDxfId="117"/>
    <tableColumn id="10" xr3:uid="{D2111BFE-43EC-4E64-9ABF-9BC450E3AB58}" name="BOX 10" totalsRowFunction="sum" dataDxfId="483" totalsRowDxfId="116"/>
    <tableColumn id="16" xr3:uid="{DE821B16-EBF3-4735-99B5-607DA94C1670}" name="BOX 11" totalsRowFunction="sum" dataDxfId="482" totalsRowDxfId="115"/>
    <tableColumn id="3" xr3:uid="{E786DDB3-6E2E-4CBA-AD9D-20DB4299FFC1}" name="BOX 12" totalsRowFunction="sum" dataDxfId="481" totalsRowDxfId="114"/>
    <tableColumn id="4" xr3:uid="{E7AF461C-665F-43C8-83D2-A27ADC3A2B2C}" name="TOTAL" totalsRowFunction="sum" dataDxfId="480" totalsRowDxfId="113">
      <calculatedColumnFormula>SUM(Table11240414244464749507212610[[#This Row],[BOX 1]:[BOX 12]])</calculatedColumnFormula>
    </tableColumn>
    <tableColumn id="11" xr3:uid="{9AAD38A4-7846-408C-B8F0-E6A981F86281}" name="PROVISIONAL" totalsRowFunction="sum" dataDxfId="126" totalsRowDxfId="112">
      <calculatedColumnFormula>SUM(Table11240414244464749507212610[[#This Row],[BOX 1]:[TOTAL]])</calculatedColumnFormula>
    </tableColumn>
  </tableColumns>
  <tableStyleInfo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2892AF1-EC63-4359-BBCE-BCDA8905EB9C}" name="Table112404142444647495051537412711" displayName="Table112404142444647495051537412711" ref="A100:N103" totalsRowCount="1" headerRowDxfId="479" dataDxfId="477" totalsRowDxfId="475" headerRowBorderDxfId="478" tableBorderDxfId="476" totalsRowBorderDxfId="474">
  <autoFilter ref="A100:N102" xr:uid="{C791F05E-45D4-43AA-93FC-B2645B4C9B3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C72265D2-B759-43D5-B5F2-7ACC6EAA4F85}" name="CANDIDATE NAME" totalsRowLabel="Total" dataDxfId="473" totalsRowDxfId="111"/>
    <tableColumn id="17" xr3:uid="{96E40112-2EAF-4D86-990A-83C75483303F}" name="BOX 1" totalsRowFunction="sum" dataDxfId="472" totalsRowDxfId="110"/>
    <tableColumn id="13" xr3:uid="{C7B09DBE-E4A2-47F2-BC83-67B9741C6A22}" name="BOX 2" totalsRowFunction="sum" dataDxfId="471" totalsRowDxfId="109"/>
    <tableColumn id="2" xr3:uid="{756AFE00-D498-47BD-A879-AED9CD634151}" name="BOX 3" totalsRowFunction="sum" dataDxfId="470" totalsRowDxfId="108"/>
    <tableColumn id="14" xr3:uid="{E7170CB8-D1FD-47D7-9586-0F99D44A6928}" name="BOX 4" totalsRowFunction="sum" dataDxfId="469" totalsRowDxfId="107"/>
    <tableColumn id="6" xr3:uid="{0F7178D2-ACFD-4D4C-AE8B-B83FA6F2D6D7}" name="BOX 5" totalsRowFunction="sum" dataDxfId="468" totalsRowDxfId="106"/>
    <tableColumn id="5" xr3:uid="{E942BBEE-F677-4596-9E06-D421AD40B510}" name="BOX 6" totalsRowFunction="sum" dataDxfId="467" totalsRowDxfId="105"/>
    <tableColumn id="8" xr3:uid="{C43B3E66-0BE4-4196-A24C-D98C6703E3CE}" name="BOX 7" totalsRowFunction="sum" dataDxfId="466" totalsRowDxfId="104"/>
    <tableColumn id="7" xr3:uid="{33104B34-A471-4486-A6C9-C22097DC250F}" name="BOX 8" totalsRowFunction="sum" dataDxfId="465" totalsRowDxfId="103"/>
    <tableColumn id="10" xr3:uid="{2474DA43-D345-470E-84B5-2A932B2E434F}" name="BOX 10" totalsRowFunction="sum" dataDxfId="464" totalsRowDxfId="102"/>
    <tableColumn id="16" xr3:uid="{BCBFE4DA-AF12-426E-893D-E7E15EE37761}" name="BOX 11" totalsRowFunction="sum" dataDxfId="463" totalsRowDxfId="101"/>
    <tableColumn id="3" xr3:uid="{B24A0C73-A234-4373-BED2-8EA23F39B1C8}" name="BOX 12" totalsRowFunction="sum" dataDxfId="462" totalsRowDxfId="100"/>
    <tableColumn id="4" xr3:uid="{8A34E5FB-7FFF-462C-8D0B-2F7A95426AA9}" name="TOTAL" totalsRowFunction="sum" dataDxfId="461" totalsRowDxfId="99">
      <calculatedColumnFormula>SUM(Table112404142444647495051537412711[[#This Row],[BOX 1]:[BOX 12]])</calculatedColumnFormula>
    </tableColumn>
    <tableColumn id="11" xr3:uid="{B0CE1992-C7B8-4A48-9732-2E25AFDAFA17}" name="PROVISIONAL" totalsRowFunction="sum" dataDxfId="460" totalsRowDxfId="98"/>
  </tableColumns>
  <tableStyleInfo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9559762-83D4-427E-8100-9E18B388BD5E}" name="Table11240414244464749505153547512812" displayName="Table11240414244464749505153547512812" ref="A107:N110" totalsRowCount="1" headerRowDxfId="459" dataDxfId="457" totalsRowDxfId="455" headerRowBorderDxfId="458" tableBorderDxfId="456" totalsRowBorderDxfId="454">
  <autoFilter ref="A107:N109" xr:uid="{8A42D2EB-3C85-4132-A1D6-44CA41E3F3E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7D7A79F7-2566-4C1B-B041-BEB355669533}" name="CANDIDATE NAME" totalsRowLabel="Total" dataDxfId="453" totalsRowDxfId="97"/>
    <tableColumn id="17" xr3:uid="{B9A88A8B-64D8-4B1B-94DE-2EC7C53BBA4F}" name="BOX 1" totalsRowFunction="sum" dataDxfId="452" totalsRowDxfId="96"/>
    <tableColumn id="13" xr3:uid="{57E6D3A3-B6BD-4629-AA7D-6283274FF701}" name="BOX 2" totalsRowFunction="sum" dataDxfId="451" totalsRowDxfId="95"/>
    <tableColumn id="2" xr3:uid="{ABC060BC-5607-4032-9B26-A6CEF89E61EB}" name="BOX 3" totalsRowFunction="sum" dataDxfId="450" totalsRowDxfId="94"/>
    <tableColumn id="14" xr3:uid="{104D15AA-CFF8-47D8-BAFD-91CC1000ECE5}" name="BOX 4" totalsRowFunction="sum" dataDxfId="449" totalsRowDxfId="93"/>
    <tableColumn id="6" xr3:uid="{56E2976F-B498-4193-993F-09B1522A380E}" name="BOX 5" totalsRowFunction="sum" dataDxfId="448" totalsRowDxfId="92"/>
    <tableColumn id="5" xr3:uid="{CE9C147A-FE3E-4F8A-8CDC-5483390AFC27}" name="BOX 6" totalsRowFunction="sum" dataDxfId="447" totalsRowDxfId="91"/>
    <tableColumn id="8" xr3:uid="{8F96B1EE-003F-4B57-8854-CB6FA0677B7C}" name="BOX 7" totalsRowFunction="sum" dataDxfId="446" totalsRowDxfId="90"/>
    <tableColumn id="7" xr3:uid="{C5BD756A-9F7D-481D-94D7-84E9DDEFC2F3}" name="BOX 8" totalsRowFunction="sum" dataDxfId="445" totalsRowDxfId="89"/>
    <tableColumn id="10" xr3:uid="{D4749E56-8B85-419D-8C9A-F5699C08F48C}" name="BOX 10" totalsRowFunction="sum" dataDxfId="444" totalsRowDxfId="88"/>
    <tableColumn id="16" xr3:uid="{F76759DA-2790-4499-8045-A71DCA08E6E8}" name="BOX 11" totalsRowFunction="sum" dataDxfId="443" totalsRowDxfId="87"/>
    <tableColumn id="3" xr3:uid="{DC9313EE-B0A9-47C5-9EDD-D4630204FC19}" name="BOX 12" totalsRowFunction="sum" dataDxfId="442" totalsRowDxfId="86"/>
    <tableColumn id="4" xr3:uid="{EDB80068-B624-4DD3-8EAA-473A984D5427}" name="TOTAL" totalsRowFunction="sum" dataDxfId="441" totalsRowDxfId="85">
      <calculatedColumnFormula>SUM(Table11240414244464749505153547512812[[#This Row],[BOX 1]:[BOX 12]])</calculatedColumnFormula>
    </tableColumn>
    <tableColumn id="11" xr3:uid="{CA704C94-F385-4B88-9FCB-A5BC0DC1F2C0}" name="PROVISIONAL" totalsRowFunction="sum" dataDxfId="440" totalsRowDxfId="84"/>
  </tableColumns>
  <tableStyleInfo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540F59F-8018-48EC-93E4-17CAA95D9022}" name="Table11240414244464749505153567612913" displayName="Table11240414244464749505153567612913" ref="A116:N119" totalsRowCount="1" headerRowDxfId="439" dataDxfId="437" totalsRowDxfId="435" headerRowBorderDxfId="438" tableBorderDxfId="436" totalsRowBorderDxfId="434">
  <autoFilter ref="A116:N118" xr:uid="{F230EAC9-C30A-4C39-BA3F-FB2313CA552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CD2C3BFD-CA6D-4F67-96E1-A240CAF9ACE4}" name="CANDIDATE NAME" totalsRowLabel="Total" dataDxfId="433" totalsRowDxfId="83"/>
    <tableColumn id="17" xr3:uid="{983082BE-2A46-49B4-BE3A-709C5FBCD5FA}" name="BOX 1" totalsRowFunction="sum" dataDxfId="432" totalsRowDxfId="82"/>
    <tableColumn id="13" xr3:uid="{D5767782-3008-4F76-9377-984F5CF2E0B0}" name="BOX 2" totalsRowFunction="sum" dataDxfId="431" totalsRowDxfId="81"/>
    <tableColumn id="2" xr3:uid="{84B1ADAA-3DD1-4A58-9FD3-22423B39A2D2}" name="BOX 3" totalsRowFunction="sum" dataDxfId="430" totalsRowDxfId="80"/>
    <tableColumn id="14" xr3:uid="{FA3C6003-0B61-4EF7-AE6D-C6342B2D7EF3}" name="BOX 4" totalsRowFunction="sum" dataDxfId="429" totalsRowDxfId="79"/>
    <tableColumn id="6" xr3:uid="{60B1D996-EB47-4896-969F-8788B9EB1A16}" name="BOX 5" totalsRowFunction="sum" dataDxfId="428" totalsRowDxfId="78"/>
    <tableColumn id="5" xr3:uid="{667BA225-0BEF-4DA1-A0F5-55CA1E42E3DA}" name="BOX 6" totalsRowFunction="sum" dataDxfId="427" totalsRowDxfId="77"/>
    <tableColumn id="8" xr3:uid="{86CE6AA0-5687-4581-968B-F29100CCAE0B}" name="BOX 7" totalsRowFunction="sum" dataDxfId="426" totalsRowDxfId="76"/>
    <tableColumn id="7" xr3:uid="{374E4564-8DCC-40DE-9ADC-0D3A185E6092}" name="BOX 8" totalsRowFunction="sum" dataDxfId="425" totalsRowDxfId="75"/>
    <tableColumn id="10" xr3:uid="{CA1EC299-E2B1-4961-921D-7B5454781CD7}" name="BOX 10" totalsRowFunction="sum" dataDxfId="424" totalsRowDxfId="74"/>
    <tableColumn id="16" xr3:uid="{E9671BFB-0423-476C-B2C6-E572C6EDADB5}" name="BOX 11" totalsRowFunction="sum" dataDxfId="423" totalsRowDxfId="73"/>
    <tableColumn id="3" xr3:uid="{70C984FA-D5D8-4CF1-8E80-1F0318DAB402}" name="BOX 12" totalsRowFunction="sum" dataDxfId="422" totalsRowDxfId="72"/>
    <tableColumn id="4" xr3:uid="{BCC44E9A-63AA-45FD-A84D-2A26773CF7A5}" name="TOTAL" totalsRowFunction="sum" dataDxfId="421" totalsRowDxfId="71">
      <calculatedColumnFormula>SUM(Table11240414244464749505153567612913[[#This Row],[BOX 1]:[BOX 12]])</calculatedColumnFormula>
    </tableColumn>
    <tableColumn id="11" xr3:uid="{6272E77C-5ABF-481F-8922-A8E5A3448B95}" name="PROVISIONAL" totalsRowFunction="sum" dataDxfId="420" totalsRowDxfId="70"/>
  </tableColumns>
  <tableStyleInfo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560A07-330B-41D8-A89B-3F4C06FAA998}" name="Table1124041424446474950515356587713014" displayName="Table1124041424446474950515356587713014" ref="A124:N128" totalsRowCount="1" headerRowDxfId="419" dataDxfId="417" totalsRowDxfId="415" headerRowBorderDxfId="418" tableBorderDxfId="416" totalsRowBorderDxfId="414">
  <autoFilter ref="A124:N127" xr:uid="{F0A2E59E-F808-4F35-8E51-F1D34859D8D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B50340E8-FD97-469D-BA28-454DEFE045A5}" name="CANDIDATE NAME" totalsRowLabel="Total" dataDxfId="413" totalsRowDxfId="69"/>
    <tableColumn id="17" xr3:uid="{25ABF7D8-94F4-4139-AC27-BB457CC4DCA3}" name="BOX 1" totalsRowFunction="sum" dataDxfId="412" totalsRowDxfId="68"/>
    <tableColumn id="13" xr3:uid="{92124F67-8B4B-40C1-BB5E-EEC664777F2B}" name="BOX 2" totalsRowFunction="sum" dataDxfId="411" totalsRowDxfId="67"/>
    <tableColumn id="2" xr3:uid="{BFAE3C89-4C3A-473F-B9C7-741D8D95C789}" name="BOX 3" totalsRowFunction="sum" dataDxfId="410" totalsRowDxfId="66"/>
    <tableColumn id="14" xr3:uid="{64D9EFC4-E9E4-4DCE-9E84-2298A9B5B62E}" name="BOX 4" totalsRowFunction="sum" dataDxfId="409" totalsRowDxfId="65"/>
    <tableColumn id="6" xr3:uid="{84137775-51E4-4D56-A627-AEA7E2763ABD}" name="BOX 5" totalsRowFunction="sum" dataDxfId="408" totalsRowDxfId="64"/>
    <tableColumn id="5" xr3:uid="{8930002C-2183-4B87-8204-9F4D595FD70E}" name="BOX 6" totalsRowFunction="sum" dataDxfId="407" totalsRowDxfId="63"/>
    <tableColumn id="8" xr3:uid="{8A76F6EC-1BA6-4D13-843F-AFC7B913620F}" name="BOX 7" totalsRowFunction="sum" dataDxfId="406" totalsRowDxfId="62"/>
    <tableColumn id="7" xr3:uid="{71CB5269-A5CE-4ACC-BA9A-CC91139D0525}" name="BOX 8" totalsRowFunction="sum" dataDxfId="405" totalsRowDxfId="61"/>
    <tableColumn id="10" xr3:uid="{D9599326-405A-4F22-8B5F-C45DD34ECA8F}" name="BOX 10" totalsRowFunction="sum" dataDxfId="404" totalsRowDxfId="60"/>
    <tableColumn id="16" xr3:uid="{1625F475-4F5B-465D-B9A2-E8BDE78F2CE2}" name="BOX 11" totalsRowFunction="sum" dataDxfId="403" totalsRowDxfId="59"/>
    <tableColumn id="3" xr3:uid="{C494500F-990F-4ED1-881B-CFD2695F798E}" name="BOX 12" totalsRowFunction="sum" dataDxfId="402" totalsRowDxfId="58"/>
    <tableColumn id="4" xr3:uid="{2E9913B3-5382-4F6B-8831-A9CF0CCC9569}" name="TOTAL" totalsRowFunction="sum" dataDxfId="401" totalsRowDxfId="57">
      <calculatedColumnFormula>SUM(Table1124041424446474950515356587713014[[#This Row],[BOX 1]:[BOX 12]])</calculatedColumnFormula>
    </tableColumn>
    <tableColumn id="11" xr3:uid="{1F2E4D8C-68EB-447E-835C-0263E8EE7CF3}" name="PROVISIONAL" totalsRowFunction="sum" dataDxfId="400" totalsRowDxfId="56"/>
  </tableColumns>
  <tableStyleInfo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FCAD19-D874-4E2C-B8F8-2B06DF8E0A80}" name="Table112404142444647495051535658597813115" displayName="Table112404142444647495051535658597813115" ref="A133:N136" totalsRowCount="1" headerRowDxfId="399" dataDxfId="397" totalsRowDxfId="395" headerRowBorderDxfId="398" tableBorderDxfId="396" totalsRowBorderDxfId="394">
  <autoFilter ref="A133:N135" xr:uid="{458078A0-16D3-4F52-B5CA-759BF44E8FC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BFBBB84E-3A55-4230-A54B-73BA084D52EE}" name="CANDIDATE NAME" totalsRowLabel="Total" dataDxfId="393" totalsRowDxfId="55"/>
    <tableColumn id="17" xr3:uid="{CCE029AC-1C78-4C12-81F7-8A3ECF1DA549}" name="BOX 1" totalsRowFunction="sum" dataDxfId="392" totalsRowDxfId="54"/>
    <tableColumn id="13" xr3:uid="{77BFF03F-04F7-4135-A0CE-38E0F7FCED2F}" name="BOX 2" totalsRowFunction="sum" dataDxfId="391" totalsRowDxfId="53"/>
    <tableColumn id="2" xr3:uid="{3A720C5D-98E3-49C6-A9CA-F35D9FBA7779}" name="BOX 3" totalsRowFunction="sum" dataDxfId="390" totalsRowDxfId="52"/>
    <tableColumn id="14" xr3:uid="{43D1D1F7-79A8-4F0E-94DC-2AED8F4DFF64}" name="BOX 4" totalsRowFunction="sum" dataDxfId="389" totalsRowDxfId="51"/>
    <tableColumn id="6" xr3:uid="{14378243-0FDB-49C3-A95C-93CBAA9F5196}" name="BOX 5" totalsRowFunction="sum" dataDxfId="388" totalsRowDxfId="50"/>
    <tableColumn id="5" xr3:uid="{A68E7930-BA71-4192-9184-531AE013FE32}" name="BOX 6" totalsRowFunction="sum" dataDxfId="387" totalsRowDxfId="49"/>
    <tableColumn id="8" xr3:uid="{234A6E81-23E2-4C42-9677-B133F338F600}" name="BOX 7" totalsRowFunction="sum" dataDxfId="386" totalsRowDxfId="48"/>
    <tableColumn id="7" xr3:uid="{98E64FC3-100B-4F8C-B639-33C1721CEDC9}" name="BOX 8" totalsRowFunction="sum" dataDxfId="385" totalsRowDxfId="47"/>
    <tableColumn id="10" xr3:uid="{169640AB-2115-4EBB-9734-A7D4B0026B52}" name="BOX 10" totalsRowLabel="124" dataDxfId="384" totalsRowDxfId="46"/>
    <tableColumn id="16" xr3:uid="{4FC54173-A85B-4167-A268-59B64249B9C0}" name="BOX 11" totalsRowFunction="sum" dataDxfId="383" totalsRowDxfId="45"/>
    <tableColumn id="3" xr3:uid="{957E04EB-736B-4540-955F-54647DBB58C4}" name="BOX 12" totalsRowFunction="sum" dataDxfId="382" totalsRowDxfId="44"/>
    <tableColumn id="4" xr3:uid="{EB7FE84F-807E-46B5-8E3E-321EABD25C07}" name="TOTAL" totalsRowFunction="sum" dataDxfId="381" totalsRowDxfId="43">
      <calculatedColumnFormula>SUM(Table112404142444647495051535658597813115[[#This Row],[BOX 1]:[BOX 12]])</calculatedColumnFormula>
    </tableColumn>
    <tableColumn id="11" xr3:uid="{9C4B3A41-147E-42C8-971F-D4A89F9BA5E1}" name="PROVISIONAL" totalsRowFunction="sum" dataDxfId="380" totalsRowDxfId="42"/>
  </tableColumns>
  <tableStyleInfo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8E16C48-CE98-4EB6-9A88-03E8F6F11AF4}" name="Table11240414244464749505153565859607913216" displayName="Table11240414244464749505153565859607913216" ref="A142:N145" totalsRowCount="1" headerRowDxfId="379" dataDxfId="377" totalsRowDxfId="375" headerRowBorderDxfId="378" tableBorderDxfId="376" totalsRowBorderDxfId="374">
  <autoFilter ref="A142:N144" xr:uid="{1A022D4C-886C-4A00-9287-5CC6D82CF65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9040C688-D3ED-4CF3-A168-2132F5B0BD53}" name="CANDIDATE NAME" totalsRowLabel="Total" dataDxfId="373" totalsRowDxfId="41"/>
    <tableColumn id="17" xr3:uid="{C392E254-6BBB-4840-9DBA-AE13F6A0D6ED}" name="BOX 1" totalsRowFunction="sum" dataDxfId="372" totalsRowDxfId="40"/>
    <tableColumn id="13" xr3:uid="{8E4C5F27-BD9E-494E-B38C-D96CF0F4DF82}" name="BOX 2" totalsRowFunction="sum" dataDxfId="371" totalsRowDxfId="39"/>
    <tableColumn id="2" xr3:uid="{5D853B0D-2224-4892-8C68-149EA4C1A25F}" name="BOX 3" totalsRowFunction="sum" dataDxfId="370" totalsRowDxfId="38"/>
    <tableColumn id="14" xr3:uid="{5EC49946-07E3-43D6-BACB-969D263C3FFE}" name="BOX 4" totalsRowFunction="sum" dataDxfId="369" totalsRowDxfId="37"/>
    <tableColumn id="6" xr3:uid="{AFE06771-0C17-4582-BB73-31F5E34FD5B3}" name="BOX 5" totalsRowFunction="sum" dataDxfId="368" totalsRowDxfId="36"/>
    <tableColumn id="5" xr3:uid="{B467C99D-821B-4E3C-BF0D-ECF8E2F6E221}" name="BOX 6" totalsRowFunction="sum" dataDxfId="367" totalsRowDxfId="35"/>
    <tableColumn id="8" xr3:uid="{B7908176-2C3F-4184-AB38-B8BC343D792A}" name="BOX 7" totalsRowFunction="sum" dataDxfId="366" totalsRowDxfId="34"/>
    <tableColumn id="7" xr3:uid="{1D6A5538-4FA9-459C-ADDC-E7AA986AABE7}" name="BOX 8" totalsRowFunction="sum" dataDxfId="365" totalsRowDxfId="33"/>
    <tableColumn id="10" xr3:uid="{1CF12AF8-B1B2-4E72-8712-0C3B4FA667B6}" name="BOX 10" totalsRowFunction="sum" dataDxfId="364" totalsRowDxfId="32"/>
    <tableColumn id="16" xr3:uid="{2D8287A8-A358-468F-A2E4-AFB7E2A6C9FC}" name="BOX 11" totalsRowFunction="sum" dataDxfId="363" totalsRowDxfId="31"/>
    <tableColumn id="3" xr3:uid="{4277CC09-4314-4FE2-B61D-476E190D2665}" name="BOX 12" totalsRowFunction="sum" dataDxfId="362" totalsRowDxfId="30"/>
    <tableColumn id="4" xr3:uid="{CFCB964E-CD69-49E3-A6AA-D006F94530B8}" name="TOTAL" totalsRowFunction="sum" dataDxfId="361" totalsRowDxfId="29">
      <calculatedColumnFormula>SUM(B143:L143)</calculatedColumnFormula>
    </tableColumn>
    <tableColumn id="11" xr3:uid="{71336CB9-3B9D-4F6F-8859-8233B55AC0F8}" name="PROVISIONAL" totalsRowFunction="sum" dataDxfId="360" totalsRowDxfId="28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74C44842-1AD4-4BCB-8209-279752125FEB}" name="Table1124041424468" displayName="Table1124041424468" ref="A57:M61" totalsRowCount="1" headerRowDxfId="1618" dataDxfId="1616" totalsRowDxfId="1614" headerRowBorderDxfId="1617" tableBorderDxfId="1615" totalsRowBorderDxfId="1613">
  <autoFilter ref="A57:M60" xr:uid="{2342BE13-3097-485F-8433-F71E474628D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60C58481-464A-4EB4-8862-C51A7533BED0}" name="CANDIDATE NAME" totalsRowLabel="Total" dataDxfId="1612" totalsRowDxfId="1611"/>
    <tableColumn id="17" xr3:uid="{5C296FD4-32C9-4DF3-BB17-F315D694CB2A}" name="BOX 1" totalsRowFunction="sum" dataDxfId="1610" totalsRowDxfId="1609"/>
    <tableColumn id="13" xr3:uid="{500AE3E1-A6ED-4D86-89C5-78F3423743AD}" name="BOX 2" totalsRowFunction="sum" dataDxfId="1608" totalsRowDxfId="1607"/>
    <tableColumn id="2" xr3:uid="{C8BAF1C3-5A97-4E6E-9988-B5CA77A62AA2}" name="BOX 3" totalsRowFunction="sum" dataDxfId="1606" totalsRowDxfId="1605"/>
    <tableColumn id="14" xr3:uid="{9B3BF3F3-099C-4EE3-9936-E7260E9859AC}" name="BOX 4" totalsRowFunction="sum" dataDxfId="1604" totalsRowDxfId="1603"/>
    <tableColumn id="6" xr3:uid="{618F911E-5CF2-4193-9F27-1781DFC3EDE0}" name="BOX 5" totalsRowFunction="sum" dataDxfId="1602" totalsRowDxfId="1601"/>
    <tableColumn id="5" xr3:uid="{8C609EC5-D760-4D35-955C-D5E6506AC951}" name="BOX 6" totalsRowFunction="sum" dataDxfId="1600" totalsRowDxfId="1599"/>
    <tableColumn id="8" xr3:uid="{90EE8041-32C6-4EC1-AD18-916E34C15CDB}" name="BOX 7" totalsRowFunction="sum" dataDxfId="1598" totalsRowDxfId="1597"/>
    <tableColumn id="7" xr3:uid="{E9F6E846-CEAF-4E1E-9093-AA744C7EEADD}" name="BOX 8" totalsRowFunction="sum" dataDxfId="1596" totalsRowDxfId="1595"/>
    <tableColumn id="10" xr3:uid="{4D07E4A4-0EF4-44AD-9D4F-15164681208E}" name="BOX 10" totalsRowFunction="sum" dataDxfId="1594" totalsRowDxfId="1593"/>
    <tableColumn id="16" xr3:uid="{67CE4D55-19CF-4B09-B262-42A526059A6F}" name="BOX 11" totalsRowFunction="sum" dataDxfId="1592" totalsRowDxfId="1591"/>
    <tableColumn id="3" xr3:uid="{6D602910-3417-4AFA-81D1-CC7B0DFE17C5}" name="BOX 12" totalsRowFunction="sum" dataDxfId="1590" totalsRowDxfId="1589"/>
    <tableColumn id="4" xr3:uid="{CA412430-67B4-47F0-9E35-7D516EA7C575}" name="TOTAL" totalsRowFunction="sum" dataDxfId="1588" totalsRowDxfId="1587">
      <calculatedColumnFormula>SUM(Table1124041424468[[#This Row],[BOX 1]:[BOX 12]])</calculatedColumnFormula>
    </tableColumn>
  </tableColumns>
  <tableStyleInfo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65E80FA-27D2-495D-8B25-46816D173FC3}" name="Table1124041424446474950515356585960618013317" displayName="Table1124041424446474950515356585960618013317" ref="A151:N153" totalsRowCount="1" headerRowDxfId="359" dataDxfId="357" totalsRowDxfId="355" headerRowBorderDxfId="358" tableBorderDxfId="356" totalsRowBorderDxfId="354">
  <autoFilter ref="A151:N152" xr:uid="{FCC0D5F6-3ADC-4102-BC34-5DA45DFC12D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32C060E8-07B9-47AB-A3B2-3E01AB841E6C}" name="CANDIDATE NAME" totalsRowLabel="Total" dataDxfId="353" totalsRowDxfId="27"/>
    <tableColumn id="17" xr3:uid="{1C209F76-CCC7-44DB-B83F-F972392FB2EB}" name="BOX 1" totalsRowFunction="sum" dataDxfId="352" totalsRowDxfId="26"/>
    <tableColumn id="13" xr3:uid="{C8ABF4CC-7B96-4A7A-AAAB-CB22BE6CA1DB}" name="BOX 2" totalsRowFunction="sum" dataDxfId="351" totalsRowDxfId="25"/>
    <tableColumn id="2" xr3:uid="{4D58158F-D330-403B-87BD-FA808181CEEF}" name="BOX 3" totalsRowLabel="64" dataDxfId="350" totalsRowDxfId="24"/>
    <tableColumn id="14" xr3:uid="{9EB346AB-A5B3-4498-B22E-ADFE752FC9C3}" name="BOX 4" totalsRowFunction="sum" dataDxfId="349" totalsRowDxfId="23"/>
    <tableColumn id="6" xr3:uid="{D30CB98F-6EE5-4EBE-81F0-445C175C7F91}" name="BOX 5" totalsRowFunction="sum" dataDxfId="348" totalsRowDxfId="22"/>
    <tableColumn id="5" xr3:uid="{ACAC5258-91C0-4496-8A4F-F8944B102650}" name="BOX 6" totalsRowFunction="sum" dataDxfId="347" totalsRowDxfId="21"/>
    <tableColumn id="8" xr3:uid="{F5E92971-8FCD-4F33-B1F2-931940026C5D}" name="BOX 7" totalsRowFunction="sum" dataDxfId="346" totalsRowDxfId="20"/>
    <tableColumn id="7" xr3:uid="{06A6F5B0-9B18-45A5-B377-3329F6668E95}" name="BOX 8" totalsRowFunction="sum" dataDxfId="345" totalsRowDxfId="19"/>
    <tableColumn id="10" xr3:uid="{1FCAEBCF-064E-4DCB-BEDA-31D2ABB6B6D2}" name="BOX 10" totalsRowFunction="sum" dataDxfId="344" totalsRowDxfId="18"/>
    <tableColumn id="16" xr3:uid="{78C30E20-7856-4DFF-BA89-CBEA87E695F0}" name="BOX 11" totalsRowFunction="sum" dataDxfId="343" totalsRowDxfId="17"/>
    <tableColumn id="3" xr3:uid="{156997C9-9878-4898-9DFE-A92B1861410F}" name="BOX 12" totalsRowFunction="sum" dataDxfId="342" totalsRowDxfId="16"/>
    <tableColumn id="4" xr3:uid="{CBD49CC3-5EDC-40FF-B822-960083580627}" name="TOTAL" totalsRowFunction="sum" dataDxfId="341" totalsRowDxfId="15">
      <calculatedColumnFormula>SUM(Table1124041424446474950515356585960618013317[[#This Row],[BOX 1]:[BOX 12]])</calculatedColumnFormula>
    </tableColumn>
    <tableColumn id="11" xr3:uid="{4FF32325-1D13-45C6-A0F3-AD858FA67A64}" name="PROVISIONAL" totalsRowFunction="sum" dataDxfId="340" totalsRowDxfId="14"/>
  </tableColumns>
  <tableStyleInfo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CD12B30-05D9-417C-AAD9-9FECA0BEDF6D}" name="Table112404142444647495051535658596061628113418" displayName="Table112404142444647495051535658596061628113418" ref="A159:N161" totalsRowCount="1" headerRowDxfId="339" dataDxfId="337" totalsRowDxfId="335" headerRowBorderDxfId="338" tableBorderDxfId="336" totalsRowBorderDxfId="334">
  <autoFilter ref="A159:N160" xr:uid="{E0E499CB-4497-45AE-B6E4-B6560CA90BA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1E02B51E-9801-4D7F-945D-C42656A4A0CD}" name="CANDIDATE NAME" totalsRowLabel="Total" dataDxfId="333" totalsRowDxfId="13"/>
    <tableColumn id="17" xr3:uid="{6C357829-D50A-4649-B682-4CDA351761F4}" name="BOX 1" totalsRowFunction="sum" dataDxfId="332" totalsRowDxfId="12"/>
    <tableColumn id="13" xr3:uid="{6CCAE031-218A-443F-8698-B22609ADBC2F}" name="BOX 2" totalsRowFunction="sum" dataDxfId="331" totalsRowDxfId="11"/>
    <tableColumn id="2" xr3:uid="{9EAF4E33-3893-44C0-A89E-15083BFEEADB}" name="BOX 3" totalsRowFunction="sum" dataDxfId="330" totalsRowDxfId="10"/>
    <tableColumn id="14" xr3:uid="{0B054FA5-818A-40D4-BAAB-12F02D0F0CF5}" name="BOX 4" totalsRowFunction="sum" dataDxfId="329" totalsRowDxfId="9"/>
    <tableColumn id="6" xr3:uid="{DD982C46-972D-4A72-AAFF-B2583C8DC38F}" name="BOX 5" totalsRowFunction="sum" dataDxfId="328" totalsRowDxfId="8"/>
    <tableColumn id="5" xr3:uid="{BE4E317D-FFE8-489A-9AD6-BFBB86B1846B}" name="BOX 6" totalsRowFunction="sum" dataDxfId="327" totalsRowDxfId="7"/>
    <tableColumn id="8" xr3:uid="{77299F74-C028-4271-80E7-9FCCD106DDD6}" name="BOX 7" totalsRowFunction="sum" dataDxfId="326" totalsRowDxfId="6"/>
    <tableColumn id="7" xr3:uid="{D0D3433A-00C8-4D1F-B034-BBD069B60FF2}" name="BOX 8" totalsRowFunction="sum" dataDxfId="325" totalsRowDxfId="5"/>
    <tableColumn id="10" xr3:uid="{8D74ED6C-4F09-40E4-A1E0-F0375AFFC756}" name="BOX 10" totalsRowFunction="sum" dataDxfId="324" totalsRowDxfId="4"/>
    <tableColumn id="16" xr3:uid="{BD326B90-F683-4B58-A865-C4B7607BFBD0}" name="BOX 11" totalsRowFunction="sum" dataDxfId="323" totalsRowDxfId="3"/>
    <tableColumn id="3" xr3:uid="{8201FD38-75B7-4130-ACDD-F703346C48EA}" name="BOX 12" totalsRowFunction="sum" dataDxfId="322" totalsRowDxfId="2"/>
    <tableColumn id="4" xr3:uid="{58C3E4F2-9CD1-4B00-8C18-42BFF03C6DE8}" name="TOTAL" totalsRowFunction="sum" dataDxfId="321" totalsRowDxfId="1">
      <calculatedColumnFormula>SUM(Table112404142444647495051535658596061628113418[[#This Row],[BOX 1]:[BOX 12]])</calculatedColumnFormula>
    </tableColumn>
    <tableColumn id="11" xr3:uid="{5325DAC6-EE8E-4887-8807-89FE4AED5D61}" name="PROVISIONAL" totalsRowFunction="sum" dataDxfId="320" totalsRowDxfId="0"/>
  </tableColumns>
  <tableStyleInfo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8" xr:uid="{A66C338A-C61A-47EF-9403-C9057BC65D64}" name="Table11240414267169" displayName="Table11240414267169" ref="A2:E7" totalsRowCount="1" headerRowDxfId="319" dataDxfId="317" totalsRowDxfId="315" headerRowBorderDxfId="318" tableBorderDxfId="316" totalsRowBorderDxfId="314">
  <autoFilter ref="A2:E6" xr:uid="{4DB45637-5EAE-4340-A87E-DC909B7CFCC2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23D8A608-DB87-4464-97B6-84B542B425B7}" name="BY MAIL" totalsRowLabel="Total" dataDxfId="313" totalsRowDxfId="243"/>
    <tableColumn id="2" xr3:uid="{403FD5DF-964A-4725-B972-006D18811829}" name="BOX 3 / 51 " totalsRowFunction="sum" dataDxfId="312" totalsRowDxfId="242"/>
    <tableColumn id="6" xr3:uid="{6A85EFA8-6828-4FE6-9CED-1B6E310BEEC8}" name="BOX 5/ 36" totalsRowFunction="sum" dataDxfId="311" totalsRowDxfId="241"/>
    <tableColumn id="7" xr3:uid="{3D06D491-FA40-446B-A90C-6053491C998F}" name="BOX 8/ 25 " totalsRowFunction="sum" dataDxfId="310" totalsRowDxfId="240"/>
    <tableColumn id="4" xr3:uid="{A5CDCD38-1A13-46BF-BCF1-016F0672CF6D}" name="TOTAL" totalsRowFunction="sum" dataDxfId="309" totalsRowDxfId="239">
      <calculatedColumnFormula>SUM(Table11240414267169[[#This Row],[BOX 3 / 51 ]:[BOX 8/ 25 ]])</calculatedColumnFormula>
    </tableColumn>
  </tableColumns>
  <tableStyleInfo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AF8A1DA5-78CB-4045-A92C-8312044A75F5}" name="Table11240414267121522" displayName="Table11240414267121522" ref="A23:F28" totalsRowCount="1" headerRowDxfId="308" dataDxfId="306" totalsRowDxfId="304" headerRowBorderDxfId="307" tableBorderDxfId="305" totalsRowBorderDxfId="303">
  <autoFilter ref="A23:F27" xr:uid="{EDFF21A3-AA49-44B2-ABBF-71304C5B40E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ED9B4A9A-0358-4909-A7AE-741CDCCE2E44}" name="ELECTION DAY" totalsRowLabel="Total" dataDxfId="302" totalsRowDxfId="301"/>
    <tableColumn id="2" xr3:uid="{F459547D-126C-4F0B-8A4F-D16E6AACB188}" name="BOX 3/ 85" totalsRowFunction="sum" dataDxfId="300" totalsRowDxfId="299"/>
    <tableColumn id="6" xr3:uid="{B226CE39-78B0-4437-9293-25D8FAFDB99E}" name="BOX 5 / 193" totalsRowFunction="sum" dataDxfId="298" totalsRowDxfId="297"/>
    <tableColumn id="7" xr3:uid="{48F3DCAB-0F69-4A13-BE2B-4D8185E609CB}" name="BOX 8/ 70" totalsRowFunction="sum" dataDxfId="296" totalsRowDxfId="295"/>
    <tableColumn id="4" xr3:uid="{1892D7F8-151A-445C-9107-7BB1F82EE2B9}" name="TOTAL" totalsRowFunction="sum" dataDxfId="294" totalsRowDxfId="293">
      <calculatedColumnFormula>SUM(Table11240414267121522[[#This Row],[BOX 3/ 85]:[BOX 8/ 70]])</calculatedColumnFormula>
    </tableColumn>
    <tableColumn id="11" xr3:uid="{41D65391-3DE2-4095-883B-C34D1F5C97ED}" name="PROVISIONAL" dataDxfId="292" totalsRowDxfId="291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B07A6996-48DB-4406-A324-47E5DE0AD58E}" name="Table112404142444669" displayName="Table112404142444669" ref="A66:M69" totalsRowCount="1" headerRowDxfId="1586" dataDxfId="1584" totalsRowDxfId="1582" headerRowBorderDxfId="1585" tableBorderDxfId="1583" totalsRowBorderDxfId="1581">
  <autoFilter ref="A66:M68" xr:uid="{6B89F2E4-F514-4D34-8688-718BCB3A3FE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BCB917D5-22E1-4CC7-9745-7BB1DE5234EA}" name="CANDIDATE NAME" totalsRowLabel="Total" dataDxfId="1580" totalsRowDxfId="1579"/>
    <tableColumn id="17" xr3:uid="{7D857C9C-DD60-4182-8A4B-641DBAA3DCC8}" name="BOX 1" totalsRowFunction="sum" dataDxfId="1578" totalsRowDxfId="1577"/>
    <tableColumn id="13" xr3:uid="{5A95511C-E235-41B0-BC15-89722A1579D5}" name="BOX 2" totalsRowFunction="sum" dataDxfId="1576" totalsRowDxfId="1575"/>
    <tableColumn id="2" xr3:uid="{6CDFCF9F-3F75-4685-99C4-DB90C8FC10BD}" name="BOX 3" totalsRowFunction="sum" dataDxfId="1574" totalsRowDxfId="1573"/>
    <tableColumn id="14" xr3:uid="{0183F3FE-BE77-4EEA-9F9B-6E8E75BBBFB9}" name="BOX 4" totalsRowFunction="sum" dataDxfId="1572" totalsRowDxfId="1571"/>
    <tableColumn id="6" xr3:uid="{DB3D00A3-E06B-4DAA-86A5-65D9BE6CC9C3}" name="BOX 5" totalsRowFunction="sum" dataDxfId="1570" totalsRowDxfId="1569"/>
    <tableColumn id="5" xr3:uid="{663F4713-B96E-4C71-86D8-0EEB11AF6789}" name="BOX 6" totalsRowFunction="sum" dataDxfId="1568" totalsRowDxfId="1567"/>
    <tableColumn id="8" xr3:uid="{EDD3E035-F011-4C0A-BA0E-5BA2B14BD27F}" name="BOX 7" totalsRowFunction="sum" dataDxfId="1566" totalsRowDxfId="1565"/>
    <tableColumn id="7" xr3:uid="{CDCFC320-E9E1-4F74-85BC-631218694E57}" name="BOX 8" totalsRowFunction="sum" dataDxfId="1564" totalsRowDxfId="1563"/>
    <tableColumn id="10" xr3:uid="{0590B93D-1996-4C54-8820-BE4677F7AACC}" name="BOX 10" totalsRowFunction="sum" dataDxfId="1562" totalsRowDxfId="1561"/>
    <tableColumn id="16" xr3:uid="{D0DFA161-2647-4E8C-930F-1D0F428F6E9C}" name="BOX 11" totalsRowFunction="sum" dataDxfId="1560" totalsRowDxfId="1559"/>
    <tableColumn id="3" xr3:uid="{230A559F-2091-4CD8-90FE-65D3A40FB25C}" name="BOX 12" totalsRowFunction="sum" dataDxfId="1558" totalsRowDxfId="1557"/>
    <tableColumn id="4" xr3:uid="{5F025F85-D7CD-40F5-98D8-5584D7ED7048}" name="TOTAL" totalsRowFunction="sum" dataDxfId="1556" totalsRowDxfId="1555">
      <calculatedColumnFormula>SUM(Table112404142444669[[#This Row],[BOX 1]:[BOX 12]])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4BAFE51E-7149-4241-9A59-7C36E3BE4A0D}" name="Table1124041424446474971" displayName="Table1124041424446474971" ref="A83:M87" totalsRowCount="1" headerRowDxfId="1522" dataDxfId="1520" totalsRowDxfId="1518" headerRowBorderDxfId="1521" tableBorderDxfId="1519" totalsRowBorderDxfId="1517">
  <autoFilter ref="A83:M86" xr:uid="{B5DEFE54-02B8-4837-AD5A-DF3F5061830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27C24460-9B05-4A0D-9F88-B41A9BDD9DA0}" name="CANDIDATE NAME" totalsRowLabel="Total" dataDxfId="1516" totalsRowDxfId="1515"/>
    <tableColumn id="17" xr3:uid="{482ACF5D-71A7-462A-B22C-EBDDFE0007F5}" name="BOX 1" totalsRowFunction="sum" dataDxfId="1514" totalsRowDxfId="1513"/>
    <tableColumn id="13" xr3:uid="{186F2468-863E-4835-9CC3-19AD3E029C75}" name="BOX 2" totalsRowFunction="sum" dataDxfId="1512" totalsRowDxfId="1511"/>
    <tableColumn id="2" xr3:uid="{A67153DF-36C3-474A-A090-592254E47AF5}" name="BOX 3" totalsRowFunction="sum" dataDxfId="1510" totalsRowDxfId="1509"/>
    <tableColumn id="14" xr3:uid="{18622CF2-3930-4F4A-8C19-CD9A0F2FD5F7}" name="BOX 4" totalsRowFunction="sum" dataDxfId="1508" totalsRowDxfId="1507"/>
    <tableColumn id="6" xr3:uid="{C8FE138A-6F50-4233-A058-442C59BE12E1}" name="BOX 5" totalsRowFunction="sum" dataDxfId="1506" totalsRowDxfId="1505"/>
    <tableColumn id="5" xr3:uid="{48ECD83C-2EA2-42DF-95C2-6DFC1AB68C57}" name="BOX 6" totalsRowFunction="sum" dataDxfId="1504" totalsRowDxfId="1503"/>
    <tableColumn id="8" xr3:uid="{C3425DBB-5442-47D8-BBE9-F349DEB3085E}" name="BOX 7" totalsRowFunction="sum" dataDxfId="1502" totalsRowDxfId="1501"/>
    <tableColumn id="7" xr3:uid="{9952AF7B-C402-40A6-9FF7-B119FFF29825}" name="BOX 8" totalsRowFunction="sum" dataDxfId="1500" totalsRowDxfId="1499"/>
    <tableColumn id="10" xr3:uid="{EEEA0997-D6CF-4CB9-8F26-F96490B4814A}" name="BOX 10" totalsRowFunction="sum" dataDxfId="1498" totalsRowDxfId="1497"/>
    <tableColumn id="16" xr3:uid="{E5302171-317D-4E89-BB6C-C1D0F37F0AA3}" name="BOX 11" totalsRowFunction="sum" dataDxfId="1496" totalsRowDxfId="1495"/>
    <tableColumn id="3" xr3:uid="{520DFF92-5187-4970-92DB-0A15D409649E}" name="BOX 12" totalsRowFunction="sum" dataDxfId="1494" totalsRowDxfId="1493"/>
    <tableColumn id="4" xr3:uid="{FF545E1D-38A4-4257-B23A-E9ABF7951FFF}" name="TOTAL" totalsRowFunction="sum" dataDxfId="1492" totalsRowDxfId="1491">
      <calculatedColumnFormula>SUM(Table1124041424446474971[[#This Row],[BOX 1]:[BOX 12]])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7D0C799D-0D8C-4AEA-A070-8B66DD4AE4FE}" name="Table112404142444647495072" displayName="Table112404142444647495072" ref="A91:M94" totalsRowCount="1" headerRowDxfId="1490" dataDxfId="1488" totalsRowDxfId="1486" headerRowBorderDxfId="1489" tableBorderDxfId="1487" totalsRowBorderDxfId="1485">
  <autoFilter ref="A91:M93" xr:uid="{15479CFC-EA92-4AFE-8EB5-D0E916990CF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3F83AD51-DB8F-4563-A2E8-5C87E9DC9176}" name="CANDIDATE NAME" totalsRowLabel="Total" dataDxfId="1484" totalsRowDxfId="1483"/>
    <tableColumn id="17" xr3:uid="{C5B5FFFF-FDC7-4A43-BD18-5C7833E346F4}" name="BOX 1" totalsRowFunction="sum" dataDxfId="1482" totalsRowDxfId="1481"/>
    <tableColumn id="13" xr3:uid="{16575C7A-97C0-4B67-A36B-B5EBEE29EB14}" name="BOX 2" totalsRowFunction="sum" dataDxfId="1480" totalsRowDxfId="1479"/>
    <tableColumn id="2" xr3:uid="{36F4AED7-053A-425A-BC33-9A1A61017995}" name="BOX 3" totalsRowFunction="sum" dataDxfId="1478" totalsRowDxfId="1477"/>
    <tableColumn id="14" xr3:uid="{4D3D590E-4B94-4B78-AD55-A2C117AEF220}" name="BOX 4" totalsRowFunction="sum" dataDxfId="1476" totalsRowDxfId="1475"/>
    <tableColumn id="6" xr3:uid="{0C055338-DFD4-4EA0-80E3-9BF1CB7A654E}" name="BOX 5" totalsRowFunction="sum" dataDxfId="1474" totalsRowDxfId="1473"/>
    <tableColumn id="5" xr3:uid="{8676B6A3-65DA-480E-A09B-CB90BD10DF30}" name="BOX 6" totalsRowFunction="sum" dataDxfId="1472" totalsRowDxfId="1471"/>
    <tableColumn id="8" xr3:uid="{AAB9EFFF-80CA-4ED0-94C8-A3B1E3C5CE0A}" name="BOX 7" totalsRowFunction="sum" dataDxfId="1470" totalsRowDxfId="1469"/>
    <tableColumn id="7" xr3:uid="{F464D673-4485-4421-B39B-0361C6675A28}" name="BOX 8" totalsRowFunction="sum" dataDxfId="1468" totalsRowDxfId="1467"/>
    <tableColumn id="10" xr3:uid="{F395377C-1A12-4985-B96A-F90DAAC674BF}" name="BOX 10" totalsRowFunction="sum" dataDxfId="1466" totalsRowDxfId="1465"/>
    <tableColumn id="16" xr3:uid="{58EB23EB-1E29-4949-8CC4-299F8881C108}" name="BOX 11" totalsRowLabel="59" dataDxfId="1464" totalsRowDxfId="1463"/>
    <tableColumn id="3" xr3:uid="{C3E09120-BC89-4C09-A190-FFA3C0228843}" name="BOX 12" totalsRowFunction="sum" dataDxfId="1462" totalsRowDxfId="1461"/>
    <tableColumn id="4" xr3:uid="{88786C83-F8C1-439D-83BF-15A83CE1BF6B}" name="TOTAL" totalsRowFunction="sum" dataDxfId="1460" totalsRowDxfId="1459">
      <calculatedColumnFormula>SUM(Table112404142444647495072[[#This Row],[BOX 1]:[BOX 12]])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7067BA04-AE85-497F-8B54-7E2E7B128051}" name="Table1124041424446474950515374" displayName="Table1124041424446474950515374" ref="A98:M101" totalsRowCount="1" headerRowDxfId="1458" dataDxfId="1456" totalsRowDxfId="1454" headerRowBorderDxfId="1457" tableBorderDxfId="1455" totalsRowBorderDxfId="1453">
  <autoFilter ref="A98:M100" xr:uid="{C791F05E-45D4-43AA-93FC-B2645B4C9B3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DEB0BA66-6910-4DA9-BAAA-D7BFCC33BC54}" name="CANDIDATE NAME" totalsRowLabel="Total" dataDxfId="1452" totalsRowDxfId="1451"/>
    <tableColumn id="17" xr3:uid="{950E2243-F28C-40E6-8859-AB692516F82E}" name="BOX 1" totalsRowFunction="sum" dataDxfId="1450" totalsRowDxfId="1449"/>
    <tableColumn id="13" xr3:uid="{6D200EB0-657E-4B72-99FA-22C2B054F02D}" name="BOX 2" totalsRowFunction="sum" dataDxfId="1448" totalsRowDxfId="1447"/>
    <tableColumn id="2" xr3:uid="{0E3B2991-4DCD-4E7F-8F23-691DF061E649}" name="BOX 3" totalsRowFunction="sum" dataDxfId="1446" totalsRowDxfId="1445"/>
    <tableColumn id="14" xr3:uid="{012EBC0C-6C0A-41B7-906D-0F861034EA05}" name="BOX 4" totalsRowFunction="sum" dataDxfId="1444" totalsRowDxfId="1443"/>
    <tableColumn id="6" xr3:uid="{0FCF233D-DEC5-46F5-8489-5C90733EE51E}" name="BOX 5" totalsRowFunction="sum" dataDxfId="1442" totalsRowDxfId="1441"/>
    <tableColumn id="5" xr3:uid="{1090F00E-81F5-4BE1-A546-E30E33DF9436}" name="BOX 6" totalsRowFunction="sum" dataDxfId="1440" totalsRowDxfId="1439"/>
    <tableColumn id="8" xr3:uid="{0D2A845B-6514-4EC3-BB46-CCF2C1641AE3}" name="BOX 7" totalsRowFunction="sum" dataDxfId="1438" totalsRowDxfId="1437"/>
    <tableColumn id="7" xr3:uid="{5BD571B4-1C34-4742-859E-809F2BA37305}" name="BOX 8" totalsRowFunction="sum" dataDxfId="1436" totalsRowDxfId="1435"/>
    <tableColumn id="10" xr3:uid="{2513E212-0725-43F3-A305-D5EFFF238580}" name="BOX 10" totalsRowFunction="sum" dataDxfId="1434" totalsRowDxfId="1433"/>
    <tableColumn id="16" xr3:uid="{5DB538CB-7C96-4F32-9F88-F4F43D644FE3}" name="BOX 11" totalsRowFunction="sum" dataDxfId="1432" totalsRowDxfId="1431"/>
    <tableColumn id="3" xr3:uid="{7DC97CF3-567D-4A9B-9989-E52E539A8292}" name="BOX 12" totalsRowFunction="sum" dataDxfId="1430" totalsRowDxfId="1429"/>
    <tableColumn id="4" xr3:uid="{C0596013-1D4A-43D9-85CE-C6C19944963B}" name="TOTAL" totalsRowFunction="sum" dataDxfId="1428" totalsRowDxfId="1427">
      <calculatedColumnFormula>SUM(Table1124041424446474950515374[[#This Row],[BOX 1]:[BOX 12]])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4.xml"/><Relationship Id="rId13" Type="http://schemas.openxmlformats.org/officeDocument/2006/relationships/table" Target="../tables/table29.xml"/><Relationship Id="rId18" Type="http://schemas.openxmlformats.org/officeDocument/2006/relationships/table" Target="../tables/table34.xml"/><Relationship Id="rId3" Type="http://schemas.openxmlformats.org/officeDocument/2006/relationships/table" Target="../tables/table19.xml"/><Relationship Id="rId7" Type="http://schemas.openxmlformats.org/officeDocument/2006/relationships/table" Target="../tables/table23.xml"/><Relationship Id="rId12" Type="http://schemas.openxmlformats.org/officeDocument/2006/relationships/table" Target="../tables/table28.xml"/><Relationship Id="rId17" Type="http://schemas.openxmlformats.org/officeDocument/2006/relationships/table" Target="../tables/table33.xml"/><Relationship Id="rId2" Type="http://schemas.openxmlformats.org/officeDocument/2006/relationships/table" Target="../tables/table18.xml"/><Relationship Id="rId16" Type="http://schemas.openxmlformats.org/officeDocument/2006/relationships/table" Target="../tables/table3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22.xml"/><Relationship Id="rId11" Type="http://schemas.openxmlformats.org/officeDocument/2006/relationships/table" Target="../tables/table27.xml"/><Relationship Id="rId5" Type="http://schemas.openxmlformats.org/officeDocument/2006/relationships/table" Target="../tables/table21.xml"/><Relationship Id="rId15" Type="http://schemas.openxmlformats.org/officeDocument/2006/relationships/table" Target="../tables/table31.xml"/><Relationship Id="rId10" Type="http://schemas.openxmlformats.org/officeDocument/2006/relationships/table" Target="../tables/table26.xml"/><Relationship Id="rId4" Type="http://schemas.openxmlformats.org/officeDocument/2006/relationships/table" Target="../tables/table20.xml"/><Relationship Id="rId9" Type="http://schemas.openxmlformats.org/officeDocument/2006/relationships/table" Target="../tables/table25.xml"/><Relationship Id="rId14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1.xml"/><Relationship Id="rId13" Type="http://schemas.openxmlformats.org/officeDocument/2006/relationships/table" Target="../tables/table46.xml"/><Relationship Id="rId18" Type="http://schemas.openxmlformats.org/officeDocument/2006/relationships/table" Target="../tables/table51.xml"/><Relationship Id="rId3" Type="http://schemas.openxmlformats.org/officeDocument/2006/relationships/table" Target="../tables/table36.xml"/><Relationship Id="rId7" Type="http://schemas.openxmlformats.org/officeDocument/2006/relationships/table" Target="../tables/table40.xml"/><Relationship Id="rId12" Type="http://schemas.openxmlformats.org/officeDocument/2006/relationships/table" Target="../tables/table45.xml"/><Relationship Id="rId17" Type="http://schemas.openxmlformats.org/officeDocument/2006/relationships/table" Target="../tables/table50.xml"/><Relationship Id="rId2" Type="http://schemas.openxmlformats.org/officeDocument/2006/relationships/table" Target="../tables/table35.xml"/><Relationship Id="rId16" Type="http://schemas.openxmlformats.org/officeDocument/2006/relationships/table" Target="../tables/table49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39.xml"/><Relationship Id="rId11" Type="http://schemas.openxmlformats.org/officeDocument/2006/relationships/table" Target="../tables/table44.xml"/><Relationship Id="rId5" Type="http://schemas.openxmlformats.org/officeDocument/2006/relationships/table" Target="../tables/table38.xml"/><Relationship Id="rId15" Type="http://schemas.openxmlformats.org/officeDocument/2006/relationships/table" Target="../tables/table48.xml"/><Relationship Id="rId10" Type="http://schemas.openxmlformats.org/officeDocument/2006/relationships/table" Target="../tables/table43.xml"/><Relationship Id="rId4" Type="http://schemas.openxmlformats.org/officeDocument/2006/relationships/table" Target="../tables/table37.xml"/><Relationship Id="rId9" Type="http://schemas.openxmlformats.org/officeDocument/2006/relationships/table" Target="../tables/table42.xml"/><Relationship Id="rId14" Type="http://schemas.openxmlformats.org/officeDocument/2006/relationships/table" Target="../tables/table4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3.xml"/><Relationship Id="rId2" Type="http://schemas.openxmlformats.org/officeDocument/2006/relationships/table" Target="../tables/table5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AF6BA-66C1-4E3B-9357-78CAA2215DD1}">
  <sheetPr>
    <pageSetUpPr fitToPage="1"/>
  </sheetPr>
  <dimension ref="A1:N225"/>
  <sheetViews>
    <sheetView view="pageLayout" topLeftCell="A112" zoomScaleNormal="100" workbookViewId="0">
      <selection activeCell="L90" sqref="L90"/>
    </sheetView>
  </sheetViews>
  <sheetFormatPr defaultRowHeight="15" x14ac:dyDescent="0.25"/>
  <cols>
    <col min="1" max="1" width="32.85546875" style="23" bestFit="1" customWidth="1"/>
    <col min="2" max="2" width="10.85546875" style="23" customWidth="1"/>
    <col min="3" max="3" width="9.7109375" style="23" customWidth="1"/>
    <col min="4" max="6" width="11.7109375" style="23" bestFit="1" customWidth="1"/>
    <col min="7" max="7" width="11" style="23" customWidth="1"/>
    <col min="8" max="8" width="11.5703125" style="1" customWidth="1"/>
    <col min="9" max="9" width="11.7109375" style="1" bestFit="1" customWidth="1"/>
    <col min="10" max="10" width="13" style="1" bestFit="1" customWidth="1"/>
    <col min="11" max="11" width="9.140625" style="2"/>
    <col min="12" max="12" width="11" style="1" customWidth="1"/>
    <col min="13" max="13" width="9.140625" style="1"/>
    <col min="14" max="14" width="10.5703125" style="38" bestFit="1" customWidth="1"/>
    <col min="15" max="16384" width="9.140625" style="1"/>
  </cols>
  <sheetData>
    <row r="1" spans="1:14" ht="15.75" customHeight="1" x14ac:dyDescent="0.25">
      <c r="A1" s="42" t="s">
        <v>118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4" ht="64.5" customHeight="1" x14ac:dyDescent="0.25">
      <c r="A2" s="43" t="s">
        <v>126</v>
      </c>
      <c r="B2" s="43"/>
      <c r="C2" s="43"/>
      <c r="D2" s="43"/>
      <c r="E2" s="43"/>
      <c r="F2" s="44" t="s">
        <v>125</v>
      </c>
      <c r="G2" s="45"/>
      <c r="H2" s="46" t="s">
        <v>0</v>
      </c>
      <c r="I2" s="47"/>
    </row>
    <row r="3" spans="1:14" ht="45" x14ac:dyDescent="0.25">
      <c r="A3" s="3" t="s">
        <v>44</v>
      </c>
      <c r="B3" s="4" t="s">
        <v>4</v>
      </c>
      <c r="C3" s="4" t="s">
        <v>47</v>
      </c>
      <c r="D3" s="4" t="s">
        <v>48</v>
      </c>
      <c r="E3" s="4" t="s">
        <v>51</v>
      </c>
      <c r="F3" s="4" t="s">
        <v>1</v>
      </c>
      <c r="G3" s="4" t="s">
        <v>2</v>
      </c>
      <c r="H3" s="4" t="s">
        <v>5</v>
      </c>
      <c r="I3" s="4" t="s">
        <v>4</v>
      </c>
      <c r="J3" s="4" t="s">
        <v>3</v>
      </c>
      <c r="K3" s="4" t="s">
        <v>47</v>
      </c>
      <c r="L3" s="4" t="s">
        <v>48</v>
      </c>
      <c r="M3" s="5"/>
      <c r="N3" s="53"/>
    </row>
    <row r="4" spans="1:14" x14ac:dyDescent="0.25">
      <c r="A4" s="39" t="s">
        <v>119</v>
      </c>
      <c r="B4" s="5">
        <v>35</v>
      </c>
      <c r="C4" s="5">
        <v>54</v>
      </c>
      <c r="D4" s="5">
        <v>51</v>
      </c>
      <c r="E4" s="5">
        <v>2</v>
      </c>
      <c r="F4" s="5">
        <v>36</v>
      </c>
      <c r="G4" s="5">
        <v>7</v>
      </c>
      <c r="H4" s="5">
        <v>50</v>
      </c>
      <c r="I4" s="5">
        <v>25</v>
      </c>
      <c r="J4" s="5">
        <v>42</v>
      </c>
      <c r="K4" s="5">
        <v>66</v>
      </c>
      <c r="L4" s="5">
        <v>45</v>
      </c>
      <c r="M4" s="5">
        <f>SUM(B4:L4)</f>
        <v>413</v>
      </c>
      <c r="N4" s="53"/>
    </row>
    <row r="5" spans="1:14" s="5" customFormat="1" ht="15.75" x14ac:dyDescent="0.2">
      <c r="A5" s="6" t="s">
        <v>6</v>
      </c>
      <c r="B5" s="8" t="s">
        <v>65</v>
      </c>
      <c r="C5" s="24" t="s">
        <v>45</v>
      </c>
      <c r="D5" s="7" t="s">
        <v>49</v>
      </c>
      <c r="E5" s="8" t="s">
        <v>7</v>
      </c>
      <c r="F5" s="8" t="s">
        <v>8</v>
      </c>
      <c r="G5" s="8" t="s">
        <v>9</v>
      </c>
      <c r="H5" s="8" t="s">
        <v>11</v>
      </c>
      <c r="I5" s="8" t="s">
        <v>66</v>
      </c>
      <c r="J5" s="8" t="s">
        <v>10</v>
      </c>
      <c r="K5" s="7" t="s">
        <v>46</v>
      </c>
      <c r="L5" s="7" t="s">
        <v>50</v>
      </c>
      <c r="M5" s="9" t="s">
        <v>12</v>
      </c>
      <c r="N5" s="53"/>
    </row>
    <row r="6" spans="1:14" ht="24.95" customHeight="1" x14ac:dyDescent="0.3">
      <c r="A6" s="25" t="s">
        <v>58</v>
      </c>
      <c r="B6" s="13">
        <v>7</v>
      </c>
      <c r="C6" s="12">
        <v>19</v>
      </c>
      <c r="D6" s="12">
        <v>10</v>
      </c>
      <c r="E6" s="13">
        <v>0</v>
      </c>
      <c r="F6" s="13">
        <v>15</v>
      </c>
      <c r="G6" s="13">
        <v>1</v>
      </c>
      <c r="H6" s="13">
        <v>24</v>
      </c>
      <c r="I6" s="13">
        <v>13</v>
      </c>
      <c r="J6" s="13">
        <v>15</v>
      </c>
      <c r="K6" s="12">
        <v>16</v>
      </c>
      <c r="L6" s="12">
        <v>14</v>
      </c>
      <c r="M6" s="49">
        <f>SUM(Table11264[[#This Row],[BOX 1]:[BOX 12]])</f>
        <v>134</v>
      </c>
    </row>
    <row r="7" spans="1:14" ht="18.75" x14ac:dyDescent="0.3">
      <c r="A7" s="25" t="s">
        <v>52</v>
      </c>
      <c r="B7" s="13">
        <v>27</v>
      </c>
      <c r="C7" s="12">
        <v>32</v>
      </c>
      <c r="D7" s="12">
        <v>39</v>
      </c>
      <c r="E7" s="13">
        <v>2</v>
      </c>
      <c r="F7" s="13">
        <v>20</v>
      </c>
      <c r="G7" s="13">
        <v>6</v>
      </c>
      <c r="H7" s="13">
        <v>25</v>
      </c>
      <c r="I7" s="13">
        <v>12</v>
      </c>
      <c r="J7" s="13">
        <v>24</v>
      </c>
      <c r="K7" s="12">
        <v>50</v>
      </c>
      <c r="L7" s="12">
        <v>29</v>
      </c>
      <c r="M7" s="49">
        <f>SUM(Table11264[[#This Row],[BOX 1]:[BOX 12]])</f>
        <v>266</v>
      </c>
    </row>
    <row r="8" spans="1:14" ht="18.75" x14ac:dyDescent="0.3">
      <c r="A8" s="25" t="s">
        <v>53</v>
      </c>
      <c r="B8" s="13">
        <v>0</v>
      </c>
      <c r="C8" s="12">
        <v>0</v>
      </c>
      <c r="D8" s="12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1</v>
      </c>
      <c r="K8" s="12">
        <v>0</v>
      </c>
      <c r="L8" s="12">
        <v>1</v>
      </c>
      <c r="M8" s="49">
        <f>SUM(Table11264[[#This Row],[BOX 1]:[BOX 12]])</f>
        <v>2</v>
      </c>
    </row>
    <row r="9" spans="1:14" ht="18.75" x14ac:dyDescent="0.3">
      <c r="A9" s="25" t="s">
        <v>54</v>
      </c>
      <c r="B9" s="13">
        <v>0</v>
      </c>
      <c r="C9" s="12">
        <v>0</v>
      </c>
      <c r="D9" s="12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2">
        <v>0</v>
      </c>
      <c r="L9" s="12">
        <v>0</v>
      </c>
      <c r="M9" s="49">
        <f>SUM(Table11264[[#This Row],[BOX 1]:[BOX 12]])</f>
        <v>0</v>
      </c>
    </row>
    <row r="10" spans="1:14" ht="18.75" x14ac:dyDescent="0.3">
      <c r="A10" s="25" t="s">
        <v>55</v>
      </c>
      <c r="B10" s="13">
        <v>0</v>
      </c>
      <c r="C10" s="12">
        <v>0</v>
      </c>
      <c r="D10" s="12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2">
        <v>0</v>
      </c>
      <c r="L10" s="12">
        <v>0</v>
      </c>
      <c r="M10" s="49">
        <f>SUM(Table11264[[#This Row],[BOX 1]:[BOX 12]])</f>
        <v>0</v>
      </c>
    </row>
    <row r="11" spans="1:14" ht="18.75" x14ac:dyDescent="0.3">
      <c r="A11" s="25" t="s">
        <v>56</v>
      </c>
      <c r="B11" s="13">
        <v>0</v>
      </c>
      <c r="C11" s="12">
        <v>0</v>
      </c>
      <c r="D11" s="12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2">
        <v>0</v>
      </c>
      <c r="L11" s="12">
        <v>0</v>
      </c>
      <c r="M11" s="49">
        <f>SUM(Table11264[[#This Row],[BOX 1]:[BOX 12]])</f>
        <v>0</v>
      </c>
    </row>
    <row r="12" spans="1:14" ht="18.75" x14ac:dyDescent="0.3">
      <c r="A12" s="25" t="s">
        <v>57</v>
      </c>
      <c r="B12" s="13">
        <v>0</v>
      </c>
      <c r="C12" s="12">
        <v>0</v>
      </c>
      <c r="D12" s="12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2">
        <v>0</v>
      </c>
      <c r="L12" s="12">
        <v>0</v>
      </c>
      <c r="M12" s="49">
        <f>SUM(Table11264[[#This Row],[BOX 1]:[BOX 12]])</f>
        <v>0</v>
      </c>
    </row>
    <row r="13" spans="1:14" ht="18.75" x14ac:dyDescent="0.25">
      <c r="A13" s="25" t="s">
        <v>59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49">
        <f>SUM(Table11264[[#This Row],[BOX 1]:[BOX 12]])</f>
        <v>0</v>
      </c>
    </row>
    <row r="14" spans="1:14" s="15" customFormat="1" ht="18.75" x14ac:dyDescent="0.25">
      <c r="A14" s="25" t="s">
        <v>60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49">
        <f>SUM(Table11264[[#This Row],[BOX 1]:[BOX 12]])</f>
        <v>0</v>
      </c>
      <c r="N14" s="54"/>
    </row>
    <row r="15" spans="1:14" ht="18.75" x14ac:dyDescent="0.25">
      <c r="A15" s="25" t="s">
        <v>61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49">
        <f>SUM(Table11264[[#This Row],[BOX 1]:[BOX 12]])</f>
        <v>0</v>
      </c>
    </row>
    <row r="16" spans="1:14" ht="18.75" x14ac:dyDescent="0.3">
      <c r="A16" s="25" t="s">
        <v>62</v>
      </c>
      <c r="B16" s="13">
        <v>0</v>
      </c>
      <c r="C16" s="12">
        <v>0</v>
      </c>
      <c r="D16" s="12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2">
        <v>0</v>
      </c>
      <c r="L16" s="12">
        <v>0</v>
      </c>
      <c r="M16" s="49">
        <f>SUM(Table11264[[#This Row],[BOX 1]:[BOX 12]])</f>
        <v>0</v>
      </c>
    </row>
    <row r="17" spans="1:14" ht="18.75" x14ac:dyDescent="0.3">
      <c r="A17" s="25" t="s">
        <v>63</v>
      </c>
      <c r="B17" s="13">
        <v>0</v>
      </c>
      <c r="C17" s="12">
        <v>0</v>
      </c>
      <c r="D17" s="12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2">
        <v>0</v>
      </c>
      <c r="L17" s="12">
        <v>0</v>
      </c>
      <c r="M17" s="49">
        <f>SUM(Table11264[[#This Row],[BOX 1]:[BOX 12]])</f>
        <v>0</v>
      </c>
    </row>
    <row r="18" spans="1:14" ht="19.5" thickBot="1" x14ac:dyDescent="0.35">
      <c r="A18" s="25" t="s">
        <v>64</v>
      </c>
      <c r="B18" s="13">
        <v>0</v>
      </c>
      <c r="C18" s="12">
        <v>0</v>
      </c>
      <c r="D18" s="12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2">
        <v>0</v>
      </c>
      <c r="L18" s="12">
        <v>0</v>
      </c>
      <c r="M18" s="49">
        <f>SUM(Table11264[[#This Row],[BOX 1]:[BOX 12]])</f>
        <v>0</v>
      </c>
    </row>
    <row r="19" spans="1:14" s="5" customFormat="1" ht="19.5" thickBot="1" x14ac:dyDescent="0.25">
      <c r="A19" s="17" t="s">
        <v>14</v>
      </c>
      <c r="B19" s="20">
        <f>SUBTOTAL(109,Table11264[BOX 1])</f>
        <v>34</v>
      </c>
      <c r="C19" s="21">
        <f>SUBTOTAL(109,Table11264[BOX 2])</f>
        <v>51</v>
      </c>
      <c r="D19" s="21">
        <f>SUBTOTAL(109,Table11264[BOX 3])</f>
        <v>49</v>
      </c>
      <c r="E19" s="21">
        <f>SUBTOTAL(109,Table11264[BOX 4])</f>
        <v>2</v>
      </c>
      <c r="F19" s="21">
        <f>SUBTOTAL(109,Table11264[BOX 5])</f>
        <v>35</v>
      </c>
      <c r="G19" s="21">
        <f>SUBTOTAL(109,Table11264[BOX 6])</f>
        <v>7</v>
      </c>
      <c r="H19" s="21">
        <f>SUBTOTAL(109,Table11264[BOX 7])</f>
        <v>49</v>
      </c>
      <c r="I19" s="21">
        <f>SUBTOTAL(109,Table11264[BOX 8])</f>
        <v>25</v>
      </c>
      <c r="J19" s="21">
        <f>SUBTOTAL(109,Table11264[BOX 10])</f>
        <v>40</v>
      </c>
      <c r="K19" s="21">
        <f>SUBTOTAL(109,Table11264[BOX 11])</f>
        <v>66</v>
      </c>
      <c r="L19" s="21">
        <f>SUBTOTAL(109,Table11264[BOX 12])</f>
        <v>44</v>
      </c>
      <c r="M19" s="50">
        <f>SUBTOTAL(109,Table11264[TOTAL])</f>
        <v>402</v>
      </c>
      <c r="N19" s="53"/>
    </row>
    <row r="20" spans="1:14" s="16" customFormat="1" ht="15.75" x14ac:dyDescent="0.25">
      <c r="A20" s="18" t="s">
        <v>15</v>
      </c>
      <c r="B20" s="29">
        <v>0</v>
      </c>
      <c r="C20" s="22">
        <v>1</v>
      </c>
      <c r="D20" s="22">
        <v>1</v>
      </c>
      <c r="E20" s="22">
        <v>0</v>
      </c>
      <c r="F20" s="22">
        <v>0</v>
      </c>
      <c r="G20" s="22">
        <v>0</v>
      </c>
      <c r="H20" s="30">
        <v>0</v>
      </c>
      <c r="I20" s="30">
        <v>0</v>
      </c>
      <c r="J20" s="22">
        <v>0</v>
      </c>
      <c r="K20" s="22">
        <v>0</v>
      </c>
      <c r="L20" s="22">
        <v>0</v>
      </c>
      <c r="M20" s="51"/>
      <c r="N20" s="38"/>
    </row>
    <row r="21" spans="1:14" ht="15.75" x14ac:dyDescent="0.25">
      <c r="A21" s="19" t="s">
        <v>16</v>
      </c>
      <c r="B21" s="14">
        <v>1</v>
      </c>
      <c r="C21" s="14">
        <v>2</v>
      </c>
      <c r="D21" s="14">
        <v>1</v>
      </c>
      <c r="E21" s="14">
        <v>0</v>
      </c>
      <c r="F21" s="14">
        <v>1</v>
      </c>
      <c r="G21" s="28">
        <v>0</v>
      </c>
      <c r="H21" s="28">
        <v>1</v>
      </c>
      <c r="I21" s="14">
        <v>0</v>
      </c>
      <c r="J21" s="14">
        <v>2</v>
      </c>
      <c r="K21" s="14">
        <v>0</v>
      </c>
      <c r="L21" s="14">
        <v>1</v>
      </c>
      <c r="M21" s="52"/>
    </row>
    <row r="22" spans="1:14" s="5" customFormat="1" ht="45" x14ac:dyDescent="0.2">
      <c r="A22" s="3" t="s">
        <v>17</v>
      </c>
      <c r="B22" s="4" t="s">
        <v>4</v>
      </c>
      <c r="C22" s="4" t="s">
        <v>47</v>
      </c>
      <c r="D22" s="4" t="s">
        <v>48</v>
      </c>
      <c r="E22" s="4" t="s">
        <v>51</v>
      </c>
      <c r="F22" s="4" t="s">
        <v>1</v>
      </c>
      <c r="G22" s="4" t="s">
        <v>2</v>
      </c>
      <c r="H22" s="4" t="s">
        <v>5</v>
      </c>
      <c r="I22" s="4" t="s">
        <v>4</v>
      </c>
      <c r="J22" s="4" t="s">
        <v>3</v>
      </c>
      <c r="K22" s="4" t="s">
        <v>47</v>
      </c>
      <c r="L22" s="4" t="s">
        <v>48</v>
      </c>
      <c r="N22" s="53"/>
    </row>
    <row r="23" spans="1:14" ht="15.75" x14ac:dyDescent="0.25">
      <c r="A23" s="6" t="s">
        <v>6</v>
      </c>
      <c r="B23" s="8" t="s">
        <v>65</v>
      </c>
      <c r="C23" s="24" t="s">
        <v>45</v>
      </c>
      <c r="D23" s="7" t="s">
        <v>49</v>
      </c>
      <c r="E23" s="8" t="s">
        <v>7</v>
      </c>
      <c r="F23" s="8" t="s">
        <v>8</v>
      </c>
      <c r="G23" s="8" t="s">
        <v>9</v>
      </c>
      <c r="H23" s="8" t="s">
        <v>11</v>
      </c>
      <c r="I23" s="8" t="s">
        <v>66</v>
      </c>
      <c r="J23" s="8" t="s">
        <v>10</v>
      </c>
      <c r="K23" s="7" t="s">
        <v>46</v>
      </c>
      <c r="L23" s="7" t="s">
        <v>50</v>
      </c>
      <c r="M23" s="9" t="s">
        <v>12</v>
      </c>
    </row>
    <row r="24" spans="1:14" ht="18.75" x14ac:dyDescent="0.3">
      <c r="A24" s="11" t="s">
        <v>67</v>
      </c>
      <c r="B24" s="13">
        <v>8</v>
      </c>
      <c r="C24" s="12">
        <v>14</v>
      </c>
      <c r="D24" s="12">
        <v>11</v>
      </c>
      <c r="E24" s="13">
        <v>0</v>
      </c>
      <c r="F24" s="13">
        <v>13</v>
      </c>
      <c r="G24" s="13">
        <v>1</v>
      </c>
      <c r="H24" s="13">
        <v>27</v>
      </c>
      <c r="I24" s="13">
        <v>11</v>
      </c>
      <c r="J24" s="13">
        <v>13</v>
      </c>
      <c r="K24" s="12">
        <v>10</v>
      </c>
      <c r="L24" s="12">
        <v>14</v>
      </c>
      <c r="M24" s="49">
        <f>SUM(Table1124065[[#This Row],[BOX 1]:[BOX 12]])</f>
        <v>122</v>
      </c>
    </row>
    <row r="25" spans="1:14" ht="16.5" customHeight="1" x14ac:dyDescent="0.3">
      <c r="A25" s="11" t="s">
        <v>18</v>
      </c>
      <c r="B25" s="13">
        <v>26</v>
      </c>
      <c r="C25" s="12">
        <v>33</v>
      </c>
      <c r="D25" s="12">
        <v>34</v>
      </c>
      <c r="E25" s="13">
        <v>2</v>
      </c>
      <c r="F25" s="13">
        <v>16</v>
      </c>
      <c r="G25" s="13">
        <v>6</v>
      </c>
      <c r="H25" s="13">
        <v>20</v>
      </c>
      <c r="I25" s="13">
        <v>12</v>
      </c>
      <c r="J25" s="13">
        <v>23</v>
      </c>
      <c r="K25" s="12">
        <v>51</v>
      </c>
      <c r="L25" s="12">
        <v>29</v>
      </c>
      <c r="M25" s="49">
        <f>SUM(Table1124065[[#This Row],[BOX 1]:[BOX 12]])</f>
        <v>252</v>
      </c>
    </row>
    <row r="26" spans="1:14" ht="16.5" customHeight="1" x14ac:dyDescent="0.3">
      <c r="A26" s="11" t="s">
        <v>68</v>
      </c>
      <c r="B26" s="13">
        <v>0</v>
      </c>
      <c r="C26" s="12">
        <v>1</v>
      </c>
      <c r="D26" s="12">
        <v>1</v>
      </c>
      <c r="E26" s="13">
        <v>0</v>
      </c>
      <c r="F26" s="13">
        <v>1</v>
      </c>
      <c r="G26" s="13">
        <v>0</v>
      </c>
      <c r="H26" s="13">
        <v>0</v>
      </c>
      <c r="I26" s="13">
        <v>0</v>
      </c>
      <c r="J26" s="13">
        <v>0</v>
      </c>
      <c r="K26" s="12">
        <v>0</v>
      </c>
      <c r="L26" s="12">
        <v>0</v>
      </c>
      <c r="M26" s="49">
        <f>SUM(Table1124065[[#This Row],[BOX 1]:[BOX 12]])</f>
        <v>3</v>
      </c>
    </row>
    <row r="27" spans="1:14" ht="18.75" x14ac:dyDescent="0.3">
      <c r="A27" s="11" t="s">
        <v>69</v>
      </c>
      <c r="B27" s="13">
        <v>0</v>
      </c>
      <c r="C27" s="12">
        <v>0</v>
      </c>
      <c r="D27" s="12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2">
        <v>1</v>
      </c>
      <c r="L27" s="12">
        <v>0</v>
      </c>
      <c r="M27" s="49">
        <f>SUM(Table1124065[[#This Row],[BOX 1]:[BOX 12]])</f>
        <v>1</v>
      </c>
    </row>
    <row r="28" spans="1:14" ht="19.5" thickBot="1" x14ac:dyDescent="0.35">
      <c r="A28" s="11" t="s">
        <v>70</v>
      </c>
      <c r="B28" s="13">
        <v>0</v>
      </c>
      <c r="C28" s="12">
        <v>0</v>
      </c>
      <c r="D28" s="12">
        <v>0</v>
      </c>
      <c r="E28" s="13">
        <v>0</v>
      </c>
      <c r="F28" s="13">
        <v>1</v>
      </c>
      <c r="G28" s="13">
        <v>0</v>
      </c>
      <c r="H28" s="13">
        <v>0</v>
      </c>
      <c r="I28" s="13">
        <v>0</v>
      </c>
      <c r="J28" s="13">
        <v>0</v>
      </c>
      <c r="K28" s="12">
        <v>0</v>
      </c>
      <c r="L28" s="12">
        <v>0</v>
      </c>
      <c r="M28" s="49">
        <f>SUM(Table1124065[[#This Row],[BOX 1]:[BOX 12]])</f>
        <v>1</v>
      </c>
    </row>
    <row r="29" spans="1:14" ht="19.5" thickBot="1" x14ac:dyDescent="0.3">
      <c r="A29" s="17" t="s">
        <v>14</v>
      </c>
      <c r="B29" s="20">
        <f>SUBTOTAL(109,Table1124065[BOX 1])</f>
        <v>34</v>
      </c>
      <c r="C29" s="21">
        <f>SUBTOTAL(109,Table1124065[BOX 2])</f>
        <v>48</v>
      </c>
      <c r="D29" s="21">
        <f>SUBTOTAL(109,Table1124065[BOX 3])</f>
        <v>46</v>
      </c>
      <c r="E29" s="21">
        <f>SUBTOTAL(109,Table1124065[BOX 4])</f>
        <v>2</v>
      </c>
      <c r="F29" s="21">
        <f>SUBTOTAL(109,Table1124065[BOX 5])</f>
        <v>31</v>
      </c>
      <c r="G29" s="21">
        <f>SUBTOTAL(109,Table1124065[BOX 6])</f>
        <v>7</v>
      </c>
      <c r="H29" s="21">
        <f>SUBTOTAL(109,Table1124065[BOX 7])</f>
        <v>47</v>
      </c>
      <c r="I29" s="21">
        <f>SUBTOTAL(109,Table1124065[BOX 8])</f>
        <v>23</v>
      </c>
      <c r="J29" s="21">
        <f>SUBTOTAL(109,Table1124065[BOX 10])</f>
        <v>36</v>
      </c>
      <c r="K29" s="21">
        <f>SUBTOTAL(109,Table1124065[BOX 11])</f>
        <v>62</v>
      </c>
      <c r="L29" s="21">
        <f>SUBTOTAL(109,Table1124065[BOX 12])</f>
        <v>43</v>
      </c>
      <c r="M29" s="50">
        <f>SUBTOTAL(109,Table1124065[TOTAL])</f>
        <v>379</v>
      </c>
    </row>
    <row r="30" spans="1:14" ht="15.75" x14ac:dyDescent="0.25">
      <c r="A30" s="18" t="s">
        <v>15</v>
      </c>
      <c r="B30" s="29">
        <v>0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30">
        <v>0</v>
      </c>
      <c r="I30" s="30">
        <v>0</v>
      </c>
      <c r="J30" s="22">
        <v>0</v>
      </c>
      <c r="K30" s="22">
        <v>0</v>
      </c>
      <c r="L30" s="22">
        <v>0</v>
      </c>
      <c r="M30" s="51"/>
    </row>
    <row r="31" spans="1:14" ht="15.75" x14ac:dyDescent="0.25">
      <c r="A31" s="19" t="s">
        <v>16</v>
      </c>
      <c r="B31" s="14">
        <v>1</v>
      </c>
      <c r="C31" s="14">
        <v>6</v>
      </c>
      <c r="D31" s="14">
        <v>5</v>
      </c>
      <c r="E31" s="14">
        <v>0</v>
      </c>
      <c r="F31" s="14">
        <v>5</v>
      </c>
      <c r="G31" s="28">
        <v>0</v>
      </c>
      <c r="H31" s="28">
        <v>3</v>
      </c>
      <c r="I31" s="14">
        <v>2</v>
      </c>
      <c r="J31" s="14">
        <v>6</v>
      </c>
      <c r="K31" s="14">
        <v>4</v>
      </c>
      <c r="L31" s="14">
        <v>2</v>
      </c>
      <c r="M31" s="52"/>
    </row>
    <row r="32" spans="1:14" ht="45.75" customHeight="1" x14ac:dyDescent="0.25">
      <c r="A32" s="32" t="s">
        <v>19</v>
      </c>
      <c r="B32" s="4" t="s">
        <v>4</v>
      </c>
      <c r="C32" s="4" t="s">
        <v>47</v>
      </c>
      <c r="D32" s="4" t="s">
        <v>48</v>
      </c>
      <c r="E32" s="4" t="s">
        <v>51</v>
      </c>
      <c r="F32" s="4" t="s">
        <v>1</v>
      </c>
      <c r="G32" s="4" t="s">
        <v>2</v>
      </c>
      <c r="H32" s="4" t="s">
        <v>5</v>
      </c>
      <c r="I32" s="4" t="s">
        <v>4</v>
      </c>
      <c r="J32" s="4" t="s">
        <v>3</v>
      </c>
      <c r="K32" s="4" t="s">
        <v>47</v>
      </c>
      <c r="L32" s="4" t="s">
        <v>48</v>
      </c>
      <c r="M32" s="5"/>
      <c r="N32" s="53"/>
    </row>
    <row r="33" spans="1:14" ht="15.75" x14ac:dyDescent="0.25">
      <c r="A33" s="6" t="s">
        <v>6</v>
      </c>
      <c r="B33" s="8" t="s">
        <v>65</v>
      </c>
      <c r="C33" s="24" t="s">
        <v>45</v>
      </c>
      <c r="D33" s="7" t="s">
        <v>49</v>
      </c>
      <c r="E33" s="8" t="s">
        <v>7</v>
      </c>
      <c r="F33" s="8" t="s">
        <v>8</v>
      </c>
      <c r="G33" s="8" t="s">
        <v>9</v>
      </c>
      <c r="H33" s="8" t="s">
        <v>11</v>
      </c>
      <c r="I33" s="8" t="s">
        <v>66</v>
      </c>
      <c r="J33" s="8" t="s">
        <v>10</v>
      </c>
      <c r="K33" s="7" t="s">
        <v>46</v>
      </c>
      <c r="L33" s="7" t="s">
        <v>50</v>
      </c>
      <c r="M33" s="9" t="s">
        <v>12</v>
      </c>
    </row>
    <row r="34" spans="1:14" ht="18.75" x14ac:dyDescent="0.3">
      <c r="A34" s="26" t="s">
        <v>71</v>
      </c>
      <c r="B34" s="13">
        <v>5</v>
      </c>
      <c r="C34" s="12">
        <v>16</v>
      </c>
      <c r="D34" s="12">
        <v>8</v>
      </c>
      <c r="E34" s="13">
        <v>0</v>
      </c>
      <c r="F34" s="13">
        <v>11</v>
      </c>
      <c r="G34" s="13">
        <v>1</v>
      </c>
      <c r="H34" s="13">
        <v>24</v>
      </c>
      <c r="I34" s="13">
        <v>8</v>
      </c>
      <c r="J34" s="13">
        <v>12</v>
      </c>
      <c r="K34" s="12">
        <v>11</v>
      </c>
      <c r="L34" s="12">
        <v>12</v>
      </c>
      <c r="M34" s="49">
        <f>SUM(Table112404166[[#This Row],[BOX 1]:[BOX 12]])</f>
        <v>108</v>
      </c>
    </row>
    <row r="35" spans="1:14" ht="18.75" x14ac:dyDescent="0.3">
      <c r="A35" s="26" t="s">
        <v>20</v>
      </c>
      <c r="B35" s="13">
        <v>26</v>
      </c>
      <c r="C35" s="12">
        <v>32</v>
      </c>
      <c r="D35" s="12">
        <v>30</v>
      </c>
      <c r="E35" s="13">
        <v>1</v>
      </c>
      <c r="F35" s="13">
        <v>20</v>
      </c>
      <c r="G35" s="13">
        <v>5</v>
      </c>
      <c r="H35" s="13">
        <v>23</v>
      </c>
      <c r="I35" s="13">
        <v>14</v>
      </c>
      <c r="J35" s="13">
        <v>23</v>
      </c>
      <c r="K35" s="12">
        <v>50</v>
      </c>
      <c r="L35" s="12">
        <v>30</v>
      </c>
      <c r="M35" s="49">
        <f>SUM(Table112404166[[#This Row],[BOX 1]:[BOX 12]])</f>
        <v>254</v>
      </c>
    </row>
    <row r="36" spans="1:14" ht="19.5" thickBot="1" x14ac:dyDescent="0.35">
      <c r="A36" s="26" t="s">
        <v>72</v>
      </c>
      <c r="B36" s="13">
        <v>1</v>
      </c>
      <c r="C36" s="12">
        <v>0</v>
      </c>
      <c r="D36" s="12">
        <v>2</v>
      </c>
      <c r="E36" s="13">
        <v>0</v>
      </c>
      <c r="F36" s="13">
        <v>2</v>
      </c>
      <c r="G36" s="13">
        <v>0</v>
      </c>
      <c r="H36" s="13">
        <v>2</v>
      </c>
      <c r="I36" s="13">
        <v>0</v>
      </c>
      <c r="J36" s="13">
        <v>0</v>
      </c>
      <c r="K36" s="12">
        <v>2</v>
      </c>
      <c r="L36" s="12">
        <v>0</v>
      </c>
      <c r="M36" s="49">
        <f>SUM(Table112404166[[#This Row],[BOX 1]:[BOX 12]])</f>
        <v>9</v>
      </c>
    </row>
    <row r="37" spans="1:14" ht="19.5" thickBot="1" x14ac:dyDescent="0.3">
      <c r="A37" s="17" t="s">
        <v>14</v>
      </c>
      <c r="B37" s="20">
        <f>SUBTOTAL(109,Table112404166[BOX 1])</f>
        <v>32</v>
      </c>
      <c r="C37" s="21">
        <f>SUBTOTAL(109,Table112404166[BOX 2])</f>
        <v>48</v>
      </c>
      <c r="D37" s="21">
        <f>SUBTOTAL(109,Table112404166[BOX 3])</f>
        <v>40</v>
      </c>
      <c r="E37" s="21">
        <f>SUBTOTAL(109,Table112404166[BOX 4])</f>
        <v>1</v>
      </c>
      <c r="F37" s="21">
        <f>SUBTOTAL(109,Table112404166[BOX 5])</f>
        <v>33</v>
      </c>
      <c r="G37" s="21">
        <f>SUBTOTAL(109,Table112404166[BOX 6])</f>
        <v>6</v>
      </c>
      <c r="H37" s="21">
        <f>SUBTOTAL(109,Table112404166[BOX 7])</f>
        <v>49</v>
      </c>
      <c r="I37" s="21">
        <f>SUBTOTAL(109,Table112404166[BOX 8])</f>
        <v>22</v>
      </c>
      <c r="J37" s="21">
        <f>SUBTOTAL(109,Table112404166[BOX 10])</f>
        <v>35</v>
      </c>
      <c r="K37" s="21">
        <f>SUBTOTAL(109,Table112404166[BOX 11])</f>
        <v>63</v>
      </c>
      <c r="L37" s="21">
        <f>SUBTOTAL(109,Table112404166[BOX 12])</f>
        <v>42</v>
      </c>
      <c r="M37" s="50">
        <f>SUBTOTAL(109,Table112404166[TOTAL])</f>
        <v>371</v>
      </c>
    </row>
    <row r="38" spans="1:14" ht="15.75" x14ac:dyDescent="0.25">
      <c r="A38" s="18" t="s">
        <v>15</v>
      </c>
      <c r="B38" s="29">
        <v>0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30">
        <v>0</v>
      </c>
      <c r="I38" s="30">
        <v>0</v>
      </c>
      <c r="J38" s="22">
        <v>0</v>
      </c>
      <c r="K38" s="22">
        <v>0</v>
      </c>
      <c r="L38" s="22">
        <v>0</v>
      </c>
      <c r="M38" s="51"/>
    </row>
    <row r="39" spans="1:14" ht="15.75" x14ac:dyDescent="0.25">
      <c r="A39" s="19" t="s">
        <v>16</v>
      </c>
      <c r="B39" s="14">
        <v>3</v>
      </c>
      <c r="C39" s="14">
        <v>6</v>
      </c>
      <c r="D39" s="14">
        <v>11</v>
      </c>
      <c r="E39" s="14">
        <v>1</v>
      </c>
      <c r="F39" s="14">
        <v>3</v>
      </c>
      <c r="G39" s="28">
        <v>1</v>
      </c>
      <c r="H39" s="28">
        <v>1</v>
      </c>
      <c r="I39" s="14">
        <v>3</v>
      </c>
      <c r="J39" s="14">
        <v>7</v>
      </c>
      <c r="K39" s="14">
        <v>3</v>
      </c>
      <c r="L39" s="14">
        <v>3</v>
      </c>
      <c r="M39" s="52"/>
    </row>
    <row r="41" spans="1:14" x14ac:dyDescent="0.25">
      <c r="A41" s="1"/>
      <c r="B41" s="1"/>
      <c r="C41" s="1"/>
      <c r="D41" s="1"/>
      <c r="E41" s="1"/>
      <c r="F41" s="1"/>
      <c r="G41" s="1"/>
      <c r="K41" s="1"/>
    </row>
    <row r="42" spans="1:14" x14ac:dyDescent="0.25">
      <c r="A42" s="1"/>
      <c r="B42" s="1"/>
      <c r="C42" s="1"/>
      <c r="D42" s="1"/>
      <c r="E42" s="1"/>
      <c r="F42" s="1"/>
      <c r="G42" s="1"/>
      <c r="K42" s="1"/>
    </row>
    <row r="43" spans="1:14" x14ac:dyDescent="0.25">
      <c r="A43" s="1"/>
      <c r="B43" s="1"/>
      <c r="C43" s="1"/>
      <c r="D43" s="1"/>
      <c r="E43" s="1"/>
      <c r="F43" s="1"/>
      <c r="G43" s="1"/>
      <c r="K43" s="1"/>
    </row>
    <row r="44" spans="1:14" x14ac:dyDescent="0.25">
      <c r="A44" s="1"/>
      <c r="B44" s="1"/>
      <c r="C44" s="1"/>
      <c r="D44" s="1"/>
      <c r="E44" s="1"/>
      <c r="F44" s="1"/>
      <c r="G44" s="1"/>
      <c r="K44" s="1"/>
    </row>
    <row r="45" spans="1:14" ht="45" x14ac:dyDescent="0.25">
      <c r="A45" s="32" t="s">
        <v>21</v>
      </c>
      <c r="B45" s="4" t="s">
        <v>4</v>
      </c>
      <c r="C45" s="4" t="s">
        <v>47</v>
      </c>
      <c r="D45" s="4" t="s">
        <v>48</v>
      </c>
      <c r="E45" s="4" t="s">
        <v>51</v>
      </c>
      <c r="F45" s="4" t="s">
        <v>1</v>
      </c>
      <c r="G45" s="4" t="s">
        <v>2</v>
      </c>
      <c r="H45" s="4" t="s">
        <v>5</v>
      </c>
      <c r="I45" s="4" t="s">
        <v>4</v>
      </c>
      <c r="J45" s="4" t="s">
        <v>3</v>
      </c>
      <c r="K45" s="4" t="s">
        <v>47</v>
      </c>
      <c r="L45" s="4" t="s">
        <v>48</v>
      </c>
      <c r="M45" s="5"/>
      <c r="N45" s="53"/>
    </row>
    <row r="46" spans="1:14" ht="15.75" x14ac:dyDescent="0.25">
      <c r="A46" s="6" t="s">
        <v>6</v>
      </c>
      <c r="B46" s="8" t="s">
        <v>65</v>
      </c>
      <c r="C46" s="24" t="s">
        <v>45</v>
      </c>
      <c r="D46" s="7" t="s">
        <v>49</v>
      </c>
      <c r="E46" s="8" t="s">
        <v>7</v>
      </c>
      <c r="F46" s="8" t="s">
        <v>8</v>
      </c>
      <c r="G46" s="8" t="s">
        <v>9</v>
      </c>
      <c r="H46" s="8" t="s">
        <v>11</v>
      </c>
      <c r="I46" s="8" t="s">
        <v>66</v>
      </c>
      <c r="J46" s="8" t="s">
        <v>10</v>
      </c>
      <c r="K46" s="7" t="s">
        <v>46</v>
      </c>
      <c r="L46" s="7" t="s">
        <v>50</v>
      </c>
      <c r="M46" s="9" t="s">
        <v>12</v>
      </c>
    </row>
    <row r="47" spans="1:14" ht="18.75" x14ac:dyDescent="0.3">
      <c r="A47" s="26" t="s">
        <v>73</v>
      </c>
      <c r="B47" s="13">
        <v>7</v>
      </c>
      <c r="C47" s="12">
        <v>12</v>
      </c>
      <c r="D47" s="12">
        <v>9</v>
      </c>
      <c r="E47" s="13">
        <v>0</v>
      </c>
      <c r="F47" s="13">
        <v>12</v>
      </c>
      <c r="G47" s="13">
        <v>1</v>
      </c>
      <c r="H47" s="13">
        <v>23</v>
      </c>
      <c r="I47" s="13">
        <v>11</v>
      </c>
      <c r="J47" s="13">
        <v>12</v>
      </c>
      <c r="K47" s="12">
        <v>10</v>
      </c>
      <c r="L47" s="12">
        <v>14</v>
      </c>
      <c r="M47" s="49">
        <f>SUM(Table11240414267[[#This Row],[BOX 1]:[BOX 12]])</f>
        <v>111</v>
      </c>
    </row>
    <row r="48" spans="1:14" ht="18.75" x14ac:dyDescent="0.3">
      <c r="A48" s="26" t="s">
        <v>22</v>
      </c>
      <c r="B48" s="13">
        <v>25</v>
      </c>
      <c r="C48" s="12">
        <v>33</v>
      </c>
      <c r="D48" s="12">
        <v>34</v>
      </c>
      <c r="E48" s="13">
        <v>2</v>
      </c>
      <c r="F48" s="13">
        <v>17</v>
      </c>
      <c r="G48" s="13">
        <v>6</v>
      </c>
      <c r="H48" s="13">
        <v>21</v>
      </c>
      <c r="I48" s="13">
        <v>11</v>
      </c>
      <c r="J48" s="13">
        <v>25</v>
      </c>
      <c r="K48" s="12">
        <v>50</v>
      </c>
      <c r="L48" s="12">
        <v>28</v>
      </c>
      <c r="M48" s="49">
        <f>SUM(Table11240414267[[#This Row],[BOX 1]:[BOX 12]])</f>
        <v>252</v>
      </c>
    </row>
    <row r="49" spans="1:14" ht="18.75" x14ac:dyDescent="0.3">
      <c r="A49" s="26" t="s">
        <v>74</v>
      </c>
      <c r="B49" s="13">
        <v>0</v>
      </c>
      <c r="C49" s="12">
        <v>1</v>
      </c>
      <c r="D49" s="12">
        <v>2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2">
        <v>0</v>
      </c>
      <c r="L49" s="12">
        <v>0</v>
      </c>
      <c r="M49" s="49">
        <f>SUM(Table11240414267[[#This Row],[BOX 1]:[BOX 12]])</f>
        <v>3</v>
      </c>
    </row>
    <row r="50" spans="1:14" ht="19.5" thickBot="1" x14ac:dyDescent="0.35">
      <c r="A50" s="26" t="s">
        <v>75</v>
      </c>
      <c r="B50" s="13">
        <v>1</v>
      </c>
      <c r="C50" s="12">
        <v>0</v>
      </c>
      <c r="D50" s="12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2">
        <v>0</v>
      </c>
      <c r="L50" s="12">
        <v>0</v>
      </c>
      <c r="M50" s="49">
        <f>SUM(Table11240414267[[#This Row],[BOX 1]:[BOX 12]])</f>
        <v>1</v>
      </c>
    </row>
    <row r="51" spans="1:14" ht="19.5" thickBot="1" x14ac:dyDescent="0.3">
      <c r="A51" s="17" t="s">
        <v>14</v>
      </c>
      <c r="B51" s="20">
        <f>SUBTOTAL(109,Table11240414267[BOX 1])</f>
        <v>33</v>
      </c>
      <c r="C51" s="21">
        <f>SUBTOTAL(109,Table11240414267[BOX 2])</f>
        <v>46</v>
      </c>
      <c r="D51" s="21">
        <f>SUBTOTAL(109,Table11240414267[BOX 3])</f>
        <v>45</v>
      </c>
      <c r="E51" s="21">
        <f>SUBTOTAL(109,Table11240414267[BOX 4])</f>
        <v>2</v>
      </c>
      <c r="F51" s="21">
        <f>SUBTOTAL(109,Table11240414267[BOX 5])</f>
        <v>29</v>
      </c>
      <c r="G51" s="21">
        <f>SUBTOTAL(109,Table11240414267[BOX 6])</f>
        <v>7</v>
      </c>
      <c r="H51" s="21">
        <f>SUBTOTAL(109,Table11240414267[BOX 7])</f>
        <v>44</v>
      </c>
      <c r="I51" s="21">
        <f>SUBTOTAL(109,Table11240414267[BOX 8])</f>
        <v>22</v>
      </c>
      <c r="J51" s="21">
        <f>SUBTOTAL(109,Table11240414267[BOX 10])</f>
        <v>37</v>
      </c>
      <c r="K51" s="21">
        <f>SUBTOTAL(109,Table11240414267[BOX 11])</f>
        <v>60</v>
      </c>
      <c r="L51" s="21">
        <f>SUBTOTAL(109,Table11240414267[BOX 12])</f>
        <v>42</v>
      </c>
      <c r="M51" s="50">
        <f>SUBTOTAL(109,Table11240414267[TOTAL])</f>
        <v>367</v>
      </c>
    </row>
    <row r="52" spans="1:14" ht="15.75" x14ac:dyDescent="0.25">
      <c r="A52" s="18" t="s">
        <v>15</v>
      </c>
      <c r="B52" s="29">
        <v>0</v>
      </c>
      <c r="C52" s="22">
        <v>0</v>
      </c>
      <c r="D52" s="22">
        <v>0</v>
      </c>
      <c r="E52" s="22">
        <v>0</v>
      </c>
      <c r="F52" s="22">
        <v>1</v>
      </c>
      <c r="G52" s="22">
        <v>0</v>
      </c>
      <c r="H52" s="30">
        <v>0</v>
      </c>
      <c r="I52" s="30">
        <v>0</v>
      </c>
      <c r="J52" s="22">
        <v>0</v>
      </c>
      <c r="K52" s="22">
        <v>1</v>
      </c>
      <c r="L52" s="22">
        <v>0</v>
      </c>
      <c r="M52" s="51"/>
    </row>
    <row r="53" spans="1:14" ht="15.75" x14ac:dyDescent="0.25">
      <c r="A53" s="19" t="s">
        <v>16</v>
      </c>
      <c r="B53" s="14">
        <v>2</v>
      </c>
      <c r="C53" s="14">
        <v>8</v>
      </c>
      <c r="D53" s="14">
        <v>6</v>
      </c>
      <c r="E53" s="14">
        <v>0</v>
      </c>
      <c r="F53" s="14">
        <v>6</v>
      </c>
      <c r="G53" s="28">
        <v>0</v>
      </c>
      <c r="H53" s="28">
        <v>6</v>
      </c>
      <c r="I53" s="14">
        <v>3</v>
      </c>
      <c r="J53" s="14">
        <v>5</v>
      </c>
      <c r="K53" s="14">
        <v>5</v>
      </c>
      <c r="L53" s="14">
        <v>3</v>
      </c>
      <c r="M53" s="52"/>
    </row>
    <row r="54" spans="1:14" x14ac:dyDescent="0.25">
      <c r="A54" s="1"/>
      <c r="B54" s="1"/>
      <c r="C54" s="1"/>
      <c r="D54" s="1"/>
      <c r="E54" s="1"/>
      <c r="F54" s="1"/>
      <c r="G54" s="1"/>
      <c r="K54" s="1"/>
    </row>
    <row r="55" spans="1:14" x14ac:dyDescent="0.25">
      <c r="A55" s="1"/>
      <c r="B55" s="1"/>
      <c r="C55" s="1"/>
      <c r="D55" s="1"/>
      <c r="E55" s="1"/>
      <c r="F55" s="1"/>
      <c r="G55" s="1"/>
      <c r="K55" s="1"/>
    </row>
    <row r="56" spans="1:14" ht="45" x14ac:dyDescent="0.25">
      <c r="A56" s="32" t="s">
        <v>77</v>
      </c>
      <c r="B56" s="4" t="s">
        <v>4</v>
      </c>
      <c r="C56" s="4" t="s">
        <v>47</v>
      </c>
      <c r="D56" s="4" t="s">
        <v>48</v>
      </c>
      <c r="E56" s="4" t="s">
        <v>51</v>
      </c>
      <c r="F56" s="4" t="s">
        <v>1</v>
      </c>
      <c r="G56" s="4" t="s">
        <v>2</v>
      </c>
      <c r="H56" s="4" t="s">
        <v>5</v>
      </c>
      <c r="I56" s="4" t="s">
        <v>4</v>
      </c>
      <c r="J56" s="4" t="s">
        <v>3</v>
      </c>
      <c r="K56" s="4" t="s">
        <v>47</v>
      </c>
      <c r="L56" s="4" t="s">
        <v>48</v>
      </c>
      <c r="M56" s="5"/>
      <c r="N56" s="53"/>
    </row>
    <row r="57" spans="1:14" ht="15.75" x14ac:dyDescent="0.25">
      <c r="A57" s="6" t="s">
        <v>6</v>
      </c>
      <c r="B57" s="8" t="s">
        <v>65</v>
      </c>
      <c r="C57" s="24" t="s">
        <v>45</v>
      </c>
      <c r="D57" s="7" t="s">
        <v>49</v>
      </c>
      <c r="E57" s="8" t="s">
        <v>7</v>
      </c>
      <c r="F57" s="8" t="s">
        <v>8</v>
      </c>
      <c r="G57" s="8" t="s">
        <v>9</v>
      </c>
      <c r="H57" s="8" t="s">
        <v>11</v>
      </c>
      <c r="I57" s="8" t="s">
        <v>66</v>
      </c>
      <c r="J57" s="8" t="s">
        <v>10</v>
      </c>
      <c r="K57" s="7" t="s">
        <v>46</v>
      </c>
      <c r="L57" s="7" t="s">
        <v>50</v>
      </c>
      <c r="M57" s="9" t="s">
        <v>12</v>
      </c>
    </row>
    <row r="58" spans="1:14" ht="18.75" x14ac:dyDescent="0.3">
      <c r="A58" s="26" t="s">
        <v>76</v>
      </c>
      <c r="B58" s="13">
        <v>7</v>
      </c>
      <c r="C58" s="12">
        <v>14</v>
      </c>
      <c r="D58" s="12">
        <v>9</v>
      </c>
      <c r="E58" s="13">
        <v>0</v>
      </c>
      <c r="F58" s="13">
        <v>9</v>
      </c>
      <c r="G58" s="13">
        <v>1</v>
      </c>
      <c r="H58" s="13">
        <v>23</v>
      </c>
      <c r="I58" s="13">
        <v>10</v>
      </c>
      <c r="J58" s="13">
        <v>11</v>
      </c>
      <c r="K58" s="12">
        <v>11</v>
      </c>
      <c r="L58" s="12">
        <v>12</v>
      </c>
      <c r="M58" s="49">
        <f>SUM(Table1124041424468[[#This Row],[BOX 1]:[BOX 12]])</f>
        <v>107</v>
      </c>
    </row>
    <row r="59" spans="1:14" ht="18.75" x14ac:dyDescent="0.3">
      <c r="A59" s="26" t="s">
        <v>23</v>
      </c>
      <c r="B59" s="13">
        <v>25</v>
      </c>
      <c r="C59" s="12">
        <v>29</v>
      </c>
      <c r="D59" s="12">
        <v>34</v>
      </c>
      <c r="E59" s="13">
        <v>2</v>
      </c>
      <c r="F59" s="13">
        <v>18</v>
      </c>
      <c r="G59" s="13">
        <v>6</v>
      </c>
      <c r="H59" s="13">
        <v>21</v>
      </c>
      <c r="I59" s="13">
        <v>12</v>
      </c>
      <c r="J59" s="13">
        <v>24</v>
      </c>
      <c r="K59" s="12">
        <v>50</v>
      </c>
      <c r="L59" s="12">
        <v>30</v>
      </c>
      <c r="M59" s="49">
        <f>SUM(Table1124041424468[[#This Row],[BOX 1]:[BOX 12]])</f>
        <v>251</v>
      </c>
    </row>
    <row r="60" spans="1:14" ht="19.5" thickBot="1" x14ac:dyDescent="0.35">
      <c r="A60" s="26" t="s">
        <v>78</v>
      </c>
      <c r="B60" s="13">
        <v>1</v>
      </c>
      <c r="C60" s="12">
        <v>1</v>
      </c>
      <c r="D60" s="12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2">
        <v>0</v>
      </c>
      <c r="L60" s="12">
        <v>0</v>
      </c>
      <c r="M60" s="49">
        <f>SUM(Table1124041424468[[#This Row],[BOX 1]:[BOX 12]])</f>
        <v>2</v>
      </c>
    </row>
    <row r="61" spans="1:14" ht="19.5" thickBot="1" x14ac:dyDescent="0.3">
      <c r="A61" s="17" t="s">
        <v>14</v>
      </c>
      <c r="B61" s="20">
        <f>SUBTOTAL(109,Table1124041424468[BOX 1])</f>
        <v>33</v>
      </c>
      <c r="C61" s="21">
        <f>SUBTOTAL(109,Table1124041424468[BOX 2])</f>
        <v>44</v>
      </c>
      <c r="D61" s="21">
        <f>SUBTOTAL(109,Table1124041424468[BOX 3])</f>
        <v>43</v>
      </c>
      <c r="E61" s="21">
        <f>SUBTOTAL(109,Table1124041424468[BOX 4])</f>
        <v>2</v>
      </c>
      <c r="F61" s="21">
        <f>SUBTOTAL(109,Table1124041424468[BOX 5])</f>
        <v>27</v>
      </c>
      <c r="G61" s="21">
        <f>SUBTOTAL(109,Table1124041424468[BOX 6])</f>
        <v>7</v>
      </c>
      <c r="H61" s="21">
        <f>SUBTOTAL(109,Table1124041424468[BOX 7])</f>
        <v>44</v>
      </c>
      <c r="I61" s="21">
        <f>SUBTOTAL(109,Table1124041424468[BOX 8])</f>
        <v>22</v>
      </c>
      <c r="J61" s="21">
        <f>SUBTOTAL(109,Table1124041424468[BOX 10])</f>
        <v>35</v>
      </c>
      <c r="K61" s="21">
        <f>SUBTOTAL(109,Table1124041424468[BOX 11])</f>
        <v>61</v>
      </c>
      <c r="L61" s="21">
        <f>SUBTOTAL(109,Table1124041424468[BOX 12])</f>
        <v>42</v>
      </c>
      <c r="M61" s="50">
        <f>SUBTOTAL(109,Table1124041424468[TOTAL])</f>
        <v>360</v>
      </c>
    </row>
    <row r="62" spans="1:14" ht="15.75" x14ac:dyDescent="0.25">
      <c r="A62" s="18" t="s">
        <v>15</v>
      </c>
      <c r="B62" s="29">
        <v>0</v>
      </c>
      <c r="C62" s="22">
        <v>1</v>
      </c>
      <c r="D62" s="22">
        <v>0</v>
      </c>
      <c r="E62" s="22">
        <v>0</v>
      </c>
      <c r="F62" s="22">
        <v>0</v>
      </c>
      <c r="G62" s="22">
        <v>0</v>
      </c>
      <c r="H62" s="30">
        <v>0</v>
      </c>
      <c r="I62" s="30">
        <v>0</v>
      </c>
      <c r="J62" s="22">
        <v>1</v>
      </c>
      <c r="K62" s="22">
        <v>0</v>
      </c>
      <c r="L62" s="22">
        <v>0</v>
      </c>
      <c r="M62" s="51"/>
    </row>
    <row r="63" spans="1:14" ht="15.75" x14ac:dyDescent="0.25">
      <c r="A63" s="19" t="s">
        <v>16</v>
      </c>
      <c r="B63" s="14">
        <v>2</v>
      </c>
      <c r="C63" s="14">
        <v>9</v>
      </c>
      <c r="D63" s="14">
        <v>8</v>
      </c>
      <c r="E63" s="14">
        <v>0</v>
      </c>
      <c r="F63" s="14">
        <v>9</v>
      </c>
      <c r="G63" s="28">
        <v>0</v>
      </c>
      <c r="H63" s="28">
        <v>6</v>
      </c>
      <c r="I63" s="14">
        <v>3</v>
      </c>
      <c r="J63" s="14">
        <v>6</v>
      </c>
      <c r="K63" s="14">
        <v>5</v>
      </c>
      <c r="L63" s="14">
        <v>3</v>
      </c>
      <c r="M63" s="52"/>
    </row>
    <row r="64" spans="1:14" x14ac:dyDescent="0.25">
      <c r="A64" s="1"/>
      <c r="B64" s="1"/>
      <c r="C64" s="1"/>
      <c r="D64" s="1"/>
      <c r="E64" s="1"/>
      <c r="F64" s="1"/>
      <c r="G64" s="1"/>
    </row>
    <row r="65" spans="1:14" ht="45" x14ac:dyDescent="0.25">
      <c r="A65" s="32" t="s">
        <v>79</v>
      </c>
      <c r="B65" s="4" t="s">
        <v>4</v>
      </c>
      <c r="C65" s="4" t="s">
        <v>47</v>
      </c>
      <c r="D65" s="4" t="s">
        <v>48</v>
      </c>
      <c r="E65" s="4" t="s">
        <v>51</v>
      </c>
      <c r="F65" s="4" t="s">
        <v>1</v>
      </c>
      <c r="G65" s="4" t="s">
        <v>2</v>
      </c>
      <c r="H65" s="4" t="s">
        <v>5</v>
      </c>
      <c r="I65" s="4" t="s">
        <v>4</v>
      </c>
      <c r="J65" s="4" t="s">
        <v>3</v>
      </c>
      <c r="K65" s="4" t="s">
        <v>47</v>
      </c>
      <c r="L65" s="4" t="s">
        <v>48</v>
      </c>
      <c r="M65" s="5"/>
      <c r="N65" s="53"/>
    </row>
    <row r="66" spans="1:14" ht="15.75" x14ac:dyDescent="0.25">
      <c r="A66" s="6" t="s">
        <v>6</v>
      </c>
      <c r="B66" s="8" t="s">
        <v>65</v>
      </c>
      <c r="C66" s="24" t="s">
        <v>45</v>
      </c>
      <c r="D66" s="7" t="s">
        <v>49</v>
      </c>
      <c r="E66" s="8" t="s">
        <v>7</v>
      </c>
      <c r="F66" s="8" t="s">
        <v>8</v>
      </c>
      <c r="G66" s="8" t="s">
        <v>9</v>
      </c>
      <c r="H66" s="8" t="s">
        <v>11</v>
      </c>
      <c r="I66" s="8" t="s">
        <v>66</v>
      </c>
      <c r="J66" s="8" t="s">
        <v>10</v>
      </c>
      <c r="K66" s="7" t="s">
        <v>46</v>
      </c>
      <c r="L66" s="7" t="s">
        <v>50</v>
      </c>
      <c r="M66" s="9" t="s">
        <v>12</v>
      </c>
    </row>
    <row r="67" spans="1:14" ht="18.75" x14ac:dyDescent="0.3">
      <c r="A67" s="26" t="s">
        <v>80</v>
      </c>
      <c r="B67" s="13">
        <v>6</v>
      </c>
      <c r="C67" s="12">
        <v>12</v>
      </c>
      <c r="D67" s="12">
        <v>9</v>
      </c>
      <c r="E67" s="13">
        <v>0</v>
      </c>
      <c r="F67" s="13">
        <v>9</v>
      </c>
      <c r="G67" s="13">
        <v>1</v>
      </c>
      <c r="H67" s="13">
        <v>23</v>
      </c>
      <c r="I67" s="13">
        <v>11</v>
      </c>
      <c r="J67" s="13">
        <v>11</v>
      </c>
      <c r="K67" s="12">
        <v>10</v>
      </c>
      <c r="L67" s="12">
        <v>13</v>
      </c>
      <c r="M67" s="49">
        <f>SUM(Table112404142444669[[#This Row],[BOX 1]:[BOX 12]])</f>
        <v>105</v>
      </c>
    </row>
    <row r="68" spans="1:14" ht="19.5" thickBot="1" x14ac:dyDescent="0.35">
      <c r="A68" s="26" t="s">
        <v>24</v>
      </c>
      <c r="B68" s="13">
        <v>26</v>
      </c>
      <c r="C68" s="12">
        <v>31</v>
      </c>
      <c r="D68" s="12">
        <v>34</v>
      </c>
      <c r="E68" s="13">
        <v>2</v>
      </c>
      <c r="F68" s="13">
        <v>18</v>
      </c>
      <c r="G68" s="13">
        <v>6</v>
      </c>
      <c r="H68" s="13">
        <v>18</v>
      </c>
      <c r="I68" s="13">
        <v>11</v>
      </c>
      <c r="J68" s="13">
        <v>22</v>
      </c>
      <c r="K68" s="12">
        <v>48</v>
      </c>
      <c r="L68" s="12">
        <v>28</v>
      </c>
      <c r="M68" s="49">
        <f>SUM(Table112404142444669[[#This Row],[BOX 1]:[BOX 12]])</f>
        <v>244</v>
      </c>
    </row>
    <row r="69" spans="1:14" ht="19.5" thickBot="1" x14ac:dyDescent="0.3">
      <c r="A69" s="17" t="s">
        <v>14</v>
      </c>
      <c r="B69" s="20">
        <f>SUBTOTAL(109,Table112404142444669[BOX 1])</f>
        <v>32</v>
      </c>
      <c r="C69" s="21">
        <f>SUBTOTAL(109,Table112404142444669[BOX 2])</f>
        <v>43</v>
      </c>
      <c r="D69" s="21">
        <f>SUBTOTAL(109,Table112404142444669[BOX 3])</f>
        <v>43</v>
      </c>
      <c r="E69" s="21">
        <f>SUBTOTAL(109,Table112404142444669[BOX 4])</f>
        <v>2</v>
      </c>
      <c r="F69" s="21">
        <f>SUBTOTAL(109,Table112404142444669[BOX 5])</f>
        <v>27</v>
      </c>
      <c r="G69" s="21">
        <f>SUBTOTAL(109,Table112404142444669[BOX 6])</f>
        <v>7</v>
      </c>
      <c r="H69" s="21">
        <f>SUBTOTAL(109,Table112404142444669[BOX 7])</f>
        <v>41</v>
      </c>
      <c r="I69" s="21">
        <f>SUBTOTAL(109,Table112404142444669[BOX 8])</f>
        <v>22</v>
      </c>
      <c r="J69" s="21">
        <f>SUBTOTAL(109,Table112404142444669[BOX 10])</f>
        <v>33</v>
      </c>
      <c r="K69" s="21">
        <f>SUBTOTAL(109,Table112404142444669[BOX 11])</f>
        <v>58</v>
      </c>
      <c r="L69" s="21">
        <f>SUBTOTAL(109,Table112404142444669[BOX 12])</f>
        <v>41</v>
      </c>
      <c r="M69" s="50">
        <f>SUBTOTAL(109,Table112404142444669[TOTAL])</f>
        <v>349</v>
      </c>
    </row>
    <row r="70" spans="1:14" ht="15.75" x14ac:dyDescent="0.25">
      <c r="A70" s="18" t="s">
        <v>15</v>
      </c>
      <c r="B70" s="29">
        <v>0</v>
      </c>
      <c r="C70" s="22">
        <v>1</v>
      </c>
      <c r="D70" s="22">
        <v>0</v>
      </c>
      <c r="E70" s="22">
        <v>0</v>
      </c>
      <c r="F70" s="22">
        <v>0</v>
      </c>
      <c r="G70" s="22">
        <v>0</v>
      </c>
      <c r="H70" s="30">
        <v>0</v>
      </c>
      <c r="I70" s="30">
        <v>0</v>
      </c>
      <c r="J70" s="22">
        <v>0</v>
      </c>
      <c r="K70" s="22">
        <v>0</v>
      </c>
      <c r="L70" s="22">
        <v>0</v>
      </c>
      <c r="M70" s="51"/>
    </row>
    <row r="71" spans="1:14" ht="15.75" x14ac:dyDescent="0.25">
      <c r="A71" s="19" t="s">
        <v>16</v>
      </c>
      <c r="B71" s="14">
        <v>3</v>
      </c>
      <c r="C71" s="14">
        <v>10</v>
      </c>
      <c r="D71" s="14">
        <v>8</v>
      </c>
      <c r="E71" s="14">
        <v>0</v>
      </c>
      <c r="F71" s="14">
        <v>9</v>
      </c>
      <c r="G71" s="28">
        <v>0</v>
      </c>
      <c r="H71" s="28">
        <v>9</v>
      </c>
      <c r="I71" s="14">
        <v>3</v>
      </c>
      <c r="J71" s="14">
        <v>9</v>
      </c>
      <c r="K71" s="14">
        <v>8</v>
      </c>
      <c r="L71" s="14">
        <v>4</v>
      </c>
      <c r="M71" s="52"/>
    </row>
    <row r="72" spans="1:14" x14ac:dyDescent="0.25">
      <c r="A72" s="1"/>
      <c r="B72" s="1"/>
      <c r="C72" s="1"/>
      <c r="D72" s="1"/>
      <c r="E72" s="1"/>
      <c r="F72" s="1"/>
      <c r="G72" s="1"/>
    </row>
    <row r="73" spans="1:14" ht="45" x14ac:dyDescent="0.25">
      <c r="A73" s="32" t="s">
        <v>25</v>
      </c>
      <c r="B73" s="4" t="s">
        <v>4</v>
      </c>
      <c r="C73" s="4" t="s">
        <v>47</v>
      </c>
      <c r="D73" s="4" t="s">
        <v>48</v>
      </c>
      <c r="E73" s="4" t="s">
        <v>51</v>
      </c>
      <c r="F73" s="4" t="s">
        <v>1</v>
      </c>
      <c r="G73" s="4" t="s">
        <v>2</v>
      </c>
      <c r="H73" s="4" t="s">
        <v>5</v>
      </c>
      <c r="I73" s="4" t="s">
        <v>4</v>
      </c>
      <c r="J73" s="4" t="s">
        <v>3</v>
      </c>
      <c r="K73" s="4" t="s">
        <v>47</v>
      </c>
      <c r="L73" s="4" t="s">
        <v>48</v>
      </c>
      <c r="M73" s="5"/>
      <c r="N73" s="53"/>
    </row>
    <row r="74" spans="1:14" ht="15.75" x14ac:dyDescent="0.25">
      <c r="A74" s="6" t="s">
        <v>6</v>
      </c>
      <c r="B74" s="8" t="s">
        <v>65</v>
      </c>
      <c r="C74" s="24" t="s">
        <v>45</v>
      </c>
      <c r="D74" s="7" t="s">
        <v>49</v>
      </c>
      <c r="E74" s="8" t="s">
        <v>7</v>
      </c>
      <c r="F74" s="8" t="s">
        <v>8</v>
      </c>
      <c r="G74" s="8" t="s">
        <v>9</v>
      </c>
      <c r="H74" s="8" t="s">
        <v>11</v>
      </c>
      <c r="I74" s="8" t="s">
        <v>66</v>
      </c>
      <c r="J74" s="8" t="s">
        <v>10</v>
      </c>
      <c r="K74" s="7" t="s">
        <v>46</v>
      </c>
      <c r="L74" s="7" t="s">
        <v>50</v>
      </c>
      <c r="M74" s="9" t="s">
        <v>12</v>
      </c>
    </row>
    <row r="75" spans="1:14" ht="18.75" x14ac:dyDescent="0.3">
      <c r="A75" s="26" t="s">
        <v>81</v>
      </c>
      <c r="B75" s="13">
        <v>6</v>
      </c>
      <c r="C75" s="12">
        <v>14</v>
      </c>
      <c r="D75" s="12">
        <v>9</v>
      </c>
      <c r="E75" s="13">
        <v>0</v>
      </c>
      <c r="F75" s="13">
        <v>10</v>
      </c>
      <c r="G75" s="13">
        <v>1</v>
      </c>
      <c r="H75" s="13">
        <v>23</v>
      </c>
      <c r="I75" s="13">
        <v>11</v>
      </c>
      <c r="J75" s="13">
        <v>12</v>
      </c>
      <c r="K75" s="12">
        <v>10</v>
      </c>
      <c r="L75" s="12">
        <v>12</v>
      </c>
      <c r="M75" s="49">
        <f>SUM(Table11240414244464770[[#This Row],[BOX 1]:[BOX 12]])</f>
        <v>108</v>
      </c>
    </row>
    <row r="76" spans="1:14" ht="18.75" x14ac:dyDescent="0.3">
      <c r="A76" s="26" t="s">
        <v>82</v>
      </c>
      <c r="B76" s="13">
        <v>26</v>
      </c>
      <c r="C76" s="12">
        <v>30</v>
      </c>
      <c r="D76" s="12">
        <v>34</v>
      </c>
      <c r="E76" s="13">
        <v>2</v>
      </c>
      <c r="F76" s="13">
        <v>14</v>
      </c>
      <c r="G76" s="13">
        <v>6</v>
      </c>
      <c r="H76" s="13">
        <v>20</v>
      </c>
      <c r="I76" s="13">
        <v>11</v>
      </c>
      <c r="J76" s="13">
        <v>24</v>
      </c>
      <c r="K76" s="12">
        <v>50</v>
      </c>
      <c r="L76" s="12">
        <v>29</v>
      </c>
      <c r="M76" s="49">
        <f>SUM(Table11240414244464770[[#This Row],[BOX 1]:[BOX 12]])</f>
        <v>246</v>
      </c>
    </row>
    <row r="77" spans="1:14" ht="21" customHeight="1" thickBot="1" x14ac:dyDescent="0.35">
      <c r="A77" s="26" t="s">
        <v>83</v>
      </c>
      <c r="B77" s="13">
        <v>0</v>
      </c>
      <c r="C77" s="12">
        <v>2</v>
      </c>
      <c r="D77" s="12">
        <v>0</v>
      </c>
      <c r="E77" s="13">
        <v>0</v>
      </c>
      <c r="F77" s="13">
        <v>2</v>
      </c>
      <c r="G77" s="13">
        <v>0</v>
      </c>
      <c r="H77" s="13">
        <v>0</v>
      </c>
      <c r="I77" s="13">
        <v>0</v>
      </c>
      <c r="J77" s="13">
        <v>1</v>
      </c>
      <c r="K77" s="12">
        <v>0</v>
      </c>
      <c r="L77" s="12">
        <v>0</v>
      </c>
      <c r="M77" s="49">
        <f>SUM(Table11240414244464770[[#This Row],[BOX 1]:[BOX 12]])</f>
        <v>5</v>
      </c>
    </row>
    <row r="78" spans="1:14" ht="19.5" thickBot="1" x14ac:dyDescent="0.3">
      <c r="A78" s="17" t="s">
        <v>14</v>
      </c>
      <c r="B78" s="20">
        <f>SUBTOTAL(109,Table11240414244464770[BOX 1])</f>
        <v>32</v>
      </c>
      <c r="C78" s="21">
        <f>SUBTOTAL(109,Table11240414244464770[BOX 2])</f>
        <v>46</v>
      </c>
      <c r="D78" s="21">
        <f>SUBTOTAL(109,Table11240414244464770[BOX 3])</f>
        <v>43</v>
      </c>
      <c r="E78" s="21">
        <f>SUBTOTAL(109,Table11240414244464770[BOX 4])</f>
        <v>2</v>
      </c>
      <c r="F78" s="21">
        <f>SUBTOTAL(109,Table11240414244464770[BOX 5])</f>
        <v>26</v>
      </c>
      <c r="G78" s="21">
        <f>SUBTOTAL(109,Table11240414244464770[BOX 6])</f>
        <v>7</v>
      </c>
      <c r="H78" s="21">
        <f>SUBTOTAL(109,Table11240414244464770[BOX 7])</f>
        <v>43</v>
      </c>
      <c r="I78" s="21">
        <f>SUBTOTAL(109,Table11240414244464770[BOX 8])</f>
        <v>22</v>
      </c>
      <c r="J78" s="21">
        <f>SUBTOTAL(109,Table11240414244464770[BOX 10])</f>
        <v>37</v>
      </c>
      <c r="K78" s="21">
        <f>SUBTOTAL(109,Table11240414244464770[BOX 11])</f>
        <v>60</v>
      </c>
      <c r="L78" s="21">
        <f>SUBTOTAL(109,Table11240414244464770[BOX 12])</f>
        <v>41</v>
      </c>
      <c r="M78" s="50">
        <f>SUBTOTAL(109,Table11240414244464770[TOTAL])</f>
        <v>359</v>
      </c>
    </row>
    <row r="79" spans="1:14" ht="15.75" x14ac:dyDescent="0.25">
      <c r="A79" s="18" t="s">
        <v>15</v>
      </c>
      <c r="B79" s="29">
        <v>0</v>
      </c>
      <c r="C79" s="22">
        <v>0</v>
      </c>
      <c r="D79" s="22">
        <v>0</v>
      </c>
      <c r="E79" s="22">
        <v>0</v>
      </c>
      <c r="F79" s="22">
        <v>0</v>
      </c>
      <c r="G79" s="22">
        <v>0</v>
      </c>
      <c r="H79" s="30">
        <v>0</v>
      </c>
      <c r="I79" s="30">
        <v>0</v>
      </c>
      <c r="J79" s="22">
        <v>0</v>
      </c>
      <c r="K79" s="22">
        <v>0</v>
      </c>
      <c r="L79" s="22">
        <v>0</v>
      </c>
      <c r="M79" s="51"/>
    </row>
    <row r="80" spans="1:14" ht="15.75" x14ac:dyDescent="0.25">
      <c r="A80" s="19" t="s">
        <v>16</v>
      </c>
      <c r="B80" s="14">
        <v>3</v>
      </c>
      <c r="C80" s="14">
        <v>8</v>
      </c>
      <c r="D80" s="14">
        <v>8</v>
      </c>
      <c r="E80" s="14">
        <v>0</v>
      </c>
      <c r="F80" s="14">
        <v>10</v>
      </c>
      <c r="G80" s="28">
        <v>0</v>
      </c>
      <c r="H80" s="28">
        <v>7</v>
      </c>
      <c r="I80" s="14">
        <v>3</v>
      </c>
      <c r="J80" s="14">
        <v>5</v>
      </c>
      <c r="K80" s="14">
        <v>6</v>
      </c>
      <c r="L80" s="14">
        <v>4</v>
      </c>
      <c r="M80" s="52"/>
    </row>
    <row r="81" spans="1:14" x14ac:dyDescent="0.25">
      <c r="A81" s="1"/>
      <c r="B81" s="1"/>
      <c r="C81" s="1"/>
      <c r="D81" s="1"/>
      <c r="E81" s="1"/>
      <c r="F81" s="1"/>
      <c r="G81" s="1"/>
    </row>
    <row r="82" spans="1:14" ht="45" x14ac:dyDescent="0.25">
      <c r="A82" s="32" t="s">
        <v>26</v>
      </c>
      <c r="B82" s="4" t="s">
        <v>4</v>
      </c>
      <c r="C82" s="4" t="s">
        <v>47</v>
      </c>
      <c r="D82" s="4" t="s">
        <v>48</v>
      </c>
      <c r="E82" s="4" t="s">
        <v>51</v>
      </c>
      <c r="F82" s="4" t="s">
        <v>1</v>
      </c>
      <c r="G82" s="4" t="s">
        <v>2</v>
      </c>
      <c r="H82" s="4" t="s">
        <v>5</v>
      </c>
      <c r="I82" s="4" t="s">
        <v>4</v>
      </c>
      <c r="J82" s="4" t="s">
        <v>3</v>
      </c>
      <c r="K82" s="4" t="s">
        <v>47</v>
      </c>
      <c r="L82" s="4" t="s">
        <v>48</v>
      </c>
      <c r="M82" s="5"/>
      <c r="N82" s="53"/>
    </row>
    <row r="83" spans="1:14" ht="2.25" hidden="1" customHeight="1" x14ac:dyDescent="0.25">
      <c r="A83" s="6" t="s">
        <v>6</v>
      </c>
      <c r="B83" s="8" t="s">
        <v>65</v>
      </c>
      <c r="C83" s="24" t="s">
        <v>45</v>
      </c>
      <c r="D83" s="7" t="s">
        <v>49</v>
      </c>
      <c r="E83" s="8" t="s">
        <v>7</v>
      </c>
      <c r="F83" s="8" t="s">
        <v>8</v>
      </c>
      <c r="G83" s="8" t="s">
        <v>9</v>
      </c>
      <c r="H83" s="8" t="s">
        <v>11</v>
      </c>
      <c r="I83" s="8" t="s">
        <v>66</v>
      </c>
      <c r="J83" s="8" t="s">
        <v>10</v>
      </c>
      <c r="K83" s="7" t="s">
        <v>46</v>
      </c>
      <c r="L83" s="7" t="s">
        <v>50</v>
      </c>
      <c r="M83" s="9" t="s">
        <v>12</v>
      </c>
    </row>
    <row r="84" spans="1:14" ht="19.5" customHeight="1" x14ac:dyDescent="0.3">
      <c r="A84" s="26" t="s">
        <v>84</v>
      </c>
      <c r="B84" s="13">
        <v>2</v>
      </c>
      <c r="C84" s="12">
        <v>9</v>
      </c>
      <c r="D84" s="12">
        <v>9</v>
      </c>
      <c r="E84" s="13">
        <v>0</v>
      </c>
      <c r="F84" s="13">
        <v>9</v>
      </c>
      <c r="G84" s="13">
        <v>0</v>
      </c>
      <c r="H84" s="13">
        <v>19</v>
      </c>
      <c r="I84" s="13">
        <v>8</v>
      </c>
      <c r="J84" s="13">
        <v>11</v>
      </c>
      <c r="K84" s="12">
        <v>11</v>
      </c>
      <c r="L84" s="12">
        <v>10</v>
      </c>
      <c r="M84" s="49">
        <f>SUM(Table1124041424446474971[[#This Row],[BOX 1]:[BOX 12]])</f>
        <v>88</v>
      </c>
    </row>
    <row r="85" spans="1:14" ht="21" customHeight="1" x14ac:dyDescent="0.3">
      <c r="A85" s="26" t="s">
        <v>27</v>
      </c>
      <c r="B85" s="13">
        <v>13</v>
      </c>
      <c r="C85" s="12">
        <v>31</v>
      </c>
      <c r="D85" s="12">
        <v>22</v>
      </c>
      <c r="E85" s="13">
        <v>1</v>
      </c>
      <c r="F85" s="13">
        <v>15</v>
      </c>
      <c r="G85" s="13">
        <v>5</v>
      </c>
      <c r="H85" s="13">
        <v>21</v>
      </c>
      <c r="I85" s="13">
        <v>9</v>
      </c>
      <c r="J85" s="13">
        <v>20</v>
      </c>
      <c r="K85" s="12">
        <v>45</v>
      </c>
      <c r="L85" s="12">
        <v>26</v>
      </c>
      <c r="M85" s="49">
        <f>SUM(Table1124041424446474971[[#This Row],[BOX 1]:[BOX 12]])</f>
        <v>208</v>
      </c>
    </row>
    <row r="86" spans="1:14" ht="23.25" customHeight="1" thickBot="1" x14ac:dyDescent="0.35">
      <c r="A86" s="26" t="s">
        <v>85</v>
      </c>
      <c r="B86" s="13">
        <v>0</v>
      </c>
      <c r="C86" s="12">
        <v>0</v>
      </c>
      <c r="D86" s="12">
        <v>0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2">
        <v>0</v>
      </c>
      <c r="L86" s="12">
        <v>0</v>
      </c>
      <c r="M86" s="49">
        <f>SUM(Table1124041424446474971[[#This Row],[BOX 1]:[BOX 12]])</f>
        <v>0</v>
      </c>
    </row>
    <row r="87" spans="1:14" ht="19.5" thickBot="1" x14ac:dyDescent="0.3">
      <c r="A87" s="17" t="s">
        <v>14</v>
      </c>
      <c r="B87" s="20">
        <f>SUBTOTAL(109,Table1124041424446474971[BOX 1])</f>
        <v>15</v>
      </c>
      <c r="C87" s="21">
        <f>SUBTOTAL(109,Table1124041424446474971[BOX 2])</f>
        <v>40</v>
      </c>
      <c r="D87" s="21">
        <f>SUBTOTAL(109,Table1124041424446474971[BOX 3])</f>
        <v>31</v>
      </c>
      <c r="E87" s="21">
        <f>SUBTOTAL(109,Table1124041424446474971[BOX 4])</f>
        <v>1</v>
      </c>
      <c r="F87" s="21">
        <f>SUBTOTAL(109,Table1124041424446474971[BOX 5])</f>
        <v>24</v>
      </c>
      <c r="G87" s="21">
        <f>SUBTOTAL(109,Table1124041424446474971[BOX 6])</f>
        <v>5</v>
      </c>
      <c r="H87" s="21">
        <f>SUBTOTAL(109,Table1124041424446474971[BOX 7])</f>
        <v>40</v>
      </c>
      <c r="I87" s="21">
        <f>SUBTOTAL(109,Table1124041424446474971[BOX 8])</f>
        <v>17</v>
      </c>
      <c r="J87" s="21">
        <f>SUBTOTAL(109,Table1124041424446474971[BOX 10])</f>
        <v>31</v>
      </c>
      <c r="K87" s="21">
        <f>SUBTOTAL(109,Table1124041424446474971[BOX 11])</f>
        <v>56</v>
      </c>
      <c r="L87" s="21">
        <f>SUBTOTAL(109,Table1124041424446474971[BOX 12])</f>
        <v>36</v>
      </c>
      <c r="M87" s="50">
        <f>SUBTOTAL(109,Table1124041424446474971[TOTAL])</f>
        <v>296</v>
      </c>
    </row>
    <row r="88" spans="1:14" ht="15.75" x14ac:dyDescent="0.25">
      <c r="A88" s="18" t="s">
        <v>15</v>
      </c>
      <c r="B88" s="29">
        <v>0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  <c r="H88" s="30">
        <v>0</v>
      </c>
      <c r="I88" s="30">
        <v>0</v>
      </c>
      <c r="J88" s="22">
        <v>0</v>
      </c>
      <c r="K88" s="22">
        <v>0</v>
      </c>
      <c r="L88" s="22">
        <v>0</v>
      </c>
      <c r="M88" s="51"/>
    </row>
    <row r="89" spans="1:14" ht="15.75" x14ac:dyDescent="0.25">
      <c r="A89" s="19" t="s">
        <v>16</v>
      </c>
      <c r="B89" s="14">
        <v>20</v>
      </c>
      <c r="C89" s="14">
        <v>14</v>
      </c>
      <c r="D89" s="14">
        <v>20</v>
      </c>
      <c r="E89" s="14">
        <v>1</v>
      </c>
      <c r="F89" s="14">
        <v>12</v>
      </c>
      <c r="G89" s="28">
        <v>2</v>
      </c>
      <c r="H89" s="28">
        <v>10</v>
      </c>
      <c r="I89" s="14">
        <v>8</v>
      </c>
      <c r="J89" s="14">
        <v>11</v>
      </c>
      <c r="K89" s="14">
        <v>10</v>
      </c>
      <c r="L89" s="14">
        <v>9</v>
      </c>
      <c r="M89" s="52"/>
    </row>
    <row r="90" spans="1:14" ht="47.25" x14ac:dyDescent="0.25">
      <c r="A90" s="32" t="s">
        <v>86</v>
      </c>
      <c r="B90" s="4" t="s">
        <v>4</v>
      </c>
      <c r="C90" s="4" t="s">
        <v>47</v>
      </c>
      <c r="D90" s="4" t="s">
        <v>48</v>
      </c>
      <c r="E90" s="4" t="s">
        <v>51</v>
      </c>
      <c r="F90" s="4" t="s">
        <v>1</v>
      </c>
      <c r="G90" s="4" t="s">
        <v>2</v>
      </c>
      <c r="H90" s="4" t="s">
        <v>5</v>
      </c>
      <c r="I90" s="4" t="s">
        <v>4</v>
      </c>
      <c r="J90" s="4" t="s">
        <v>3</v>
      </c>
      <c r="K90" s="4" t="s">
        <v>47</v>
      </c>
      <c r="L90" s="4" t="s">
        <v>48</v>
      </c>
      <c r="M90" s="5"/>
      <c r="N90" s="53"/>
    </row>
    <row r="91" spans="1:14" ht="20.25" customHeight="1" x14ac:dyDescent="0.25">
      <c r="A91" s="6" t="s">
        <v>6</v>
      </c>
      <c r="B91" s="8" t="s">
        <v>65</v>
      </c>
      <c r="C91" s="24" t="s">
        <v>45</v>
      </c>
      <c r="D91" s="7" t="s">
        <v>49</v>
      </c>
      <c r="E91" s="8" t="s">
        <v>7</v>
      </c>
      <c r="F91" s="8" t="s">
        <v>8</v>
      </c>
      <c r="G91" s="8" t="s">
        <v>9</v>
      </c>
      <c r="H91" s="8" t="s">
        <v>11</v>
      </c>
      <c r="I91" s="8" t="s">
        <v>66</v>
      </c>
      <c r="J91" s="8" t="s">
        <v>10</v>
      </c>
      <c r="K91" s="7" t="s">
        <v>46</v>
      </c>
      <c r="L91" s="7" t="s">
        <v>50</v>
      </c>
      <c r="M91" s="9" t="s">
        <v>12</v>
      </c>
    </row>
    <row r="92" spans="1:14" ht="18.75" x14ac:dyDescent="0.3">
      <c r="A92" s="26" t="s">
        <v>87</v>
      </c>
      <c r="B92" s="13">
        <v>6</v>
      </c>
      <c r="C92" s="12">
        <v>14</v>
      </c>
      <c r="D92" s="12">
        <v>11</v>
      </c>
      <c r="E92" s="13">
        <v>0</v>
      </c>
      <c r="F92" s="13">
        <v>9</v>
      </c>
      <c r="G92" s="13">
        <v>1</v>
      </c>
      <c r="H92" s="13">
        <v>24</v>
      </c>
      <c r="I92" s="13">
        <v>9</v>
      </c>
      <c r="J92" s="13">
        <v>12</v>
      </c>
      <c r="K92" s="12">
        <v>10</v>
      </c>
      <c r="L92" s="12">
        <v>13</v>
      </c>
      <c r="M92" s="49">
        <f>SUM(Table112404142444647495072[[#This Row],[BOX 1]:[BOX 12]])</f>
        <v>109</v>
      </c>
    </row>
    <row r="93" spans="1:14" ht="26.25" customHeight="1" thickBot="1" x14ac:dyDescent="0.35">
      <c r="A93" s="26" t="s">
        <v>28</v>
      </c>
      <c r="B93" s="13">
        <v>25</v>
      </c>
      <c r="C93" s="12">
        <v>31</v>
      </c>
      <c r="D93" s="12">
        <v>33</v>
      </c>
      <c r="E93" s="13">
        <v>2</v>
      </c>
      <c r="F93" s="13">
        <v>21</v>
      </c>
      <c r="G93" s="13">
        <v>6</v>
      </c>
      <c r="H93" s="13">
        <v>20</v>
      </c>
      <c r="I93" s="13">
        <v>13</v>
      </c>
      <c r="J93" s="13">
        <v>20</v>
      </c>
      <c r="K93" s="12">
        <v>49</v>
      </c>
      <c r="L93" s="12">
        <v>29</v>
      </c>
      <c r="M93" s="49">
        <f>SUM(Table112404142444647495072[[#This Row],[BOX 1]:[BOX 12]])</f>
        <v>249</v>
      </c>
    </row>
    <row r="94" spans="1:14" ht="19.5" thickBot="1" x14ac:dyDescent="0.3">
      <c r="A94" s="17" t="s">
        <v>14</v>
      </c>
      <c r="B94" s="20">
        <f>SUBTOTAL(109,Table112404142444647495072[BOX 1])</f>
        <v>31</v>
      </c>
      <c r="C94" s="21">
        <f>SUBTOTAL(109,Table112404142444647495072[BOX 2])</f>
        <v>45</v>
      </c>
      <c r="D94" s="21">
        <f>SUBTOTAL(109,Table112404142444647495072[BOX 3])</f>
        <v>44</v>
      </c>
      <c r="E94" s="21">
        <f>SUBTOTAL(109,Table112404142444647495072[BOX 4])</f>
        <v>2</v>
      </c>
      <c r="F94" s="21">
        <f>SUBTOTAL(109,Table112404142444647495072[BOX 5])</f>
        <v>30</v>
      </c>
      <c r="G94" s="21">
        <f>SUBTOTAL(109,Table112404142444647495072[BOX 6])</f>
        <v>7</v>
      </c>
      <c r="H94" s="21">
        <f>SUBTOTAL(109,Table112404142444647495072[BOX 7])</f>
        <v>44</v>
      </c>
      <c r="I94" s="21">
        <f>SUBTOTAL(109,Table112404142444647495072[BOX 8])</f>
        <v>22</v>
      </c>
      <c r="J94" s="21">
        <f>SUBTOTAL(109,Table112404142444647495072[BOX 10])</f>
        <v>32</v>
      </c>
      <c r="K94" s="21" t="s">
        <v>120</v>
      </c>
      <c r="L94" s="21">
        <f>SUBTOTAL(109,Table112404142444647495072[BOX 12])</f>
        <v>42</v>
      </c>
      <c r="M94" s="50">
        <f>SUBTOTAL(109,Table112404142444647495072[TOTAL])</f>
        <v>358</v>
      </c>
    </row>
    <row r="95" spans="1:14" ht="15.75" x14ac:dyDescent="0.25">
      <c r="A95" s="18" t="s">
        <v>15</v>
      </c>
      <c r="B95" s="29">
        <v>0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30">
        <v>0</v>
      </c>
      <c r="I95" s="30">
        <v>0</v>
      </c>
      <c r="J95" s="22">
        <v>0</v>
      </c>
      <c r="K95" s="22">
        <v>0</v>
      </c>
      <c r="L95" s="22">
        <v>0</v>
      </c>
      <c r="M95" s="51"/>
    </row>
    <row r="96" spans="1:14" ht="15.75" x14ac:dyDescent="0.25">
      <c r="A96" s="19" t="s">
        <v>16</v>
      </c>
      <c r="B96" s="14">
        <v>4</v>
      </c>
      <c r="C96" s="14">
        <v>9</v>
      </c>
      <c r="D96" s="14">
        <v>7</v>
      </c>
      <c r="E96" s="14">
        <v>0</v>
      </c>
      <c r="F96" s="14">
        <v>6</v>
      </c>
      <c r="G96" s="28">
        <v>0</v>
      </c>
      <c r="H96" s="28">
        <v>6</v>
      </c>
      <c r="I96" s="14">
        <v>3</v>
      </c>
      <c r="J96" s="14">
        <v>10</v>
      </c>
      <c r="K96" s="14">
        <v>7</v>
      </c>
      <c r="L96" s="14">
        <v>3</v>
      </c>
      <c r="M96" s="52"/>
    </row>
    <row r="97" spans="1:14" ht="47.25" x14ac:dyDescent="0.25">
      <c r="A97" s="32" t="s">
        <v>88</v>
      </c>
      <c r="B97" s="4" t="s">
        <v>4</v>
      </c>
      <c r="C97" s="4" t="s">
        <v>47</v>
      </c>
      <c r="D97" s="4" t="s">
        <v>48</v>
      </c>
      <c r="E97" s="4" t="s">
        <v>51</v>
      </c>
      <c r="F97" s="4" t="s">
        <v>1</v>
      </c>
      <c r="G97" s="4" t="s">
        <v>2</v>
      </c>
      <c r="H97" s="4" t="s">
        <v>5</v>
      </c>
      <c r="I97" s="4" t="s">
        <v>4</v>
      </c>
      <c r="J97" s="4" t="s">
        <v>3</v>
      </c>
      <c r="K97" s="4" t="s">
        <v>47</v>
      </c>
      <c r="L97" s="4" t="s">
        <v>48</v>
      </c>
      <c r="M97" s="5"/>
      <c r="N97" s="53"/>
    </row>
    <row r="98" spans="1:14" ht="15.75" x14ac:dyDescent="0.25">
      <c r="A98" s="6" t="s">
        <v>6</v>
      </c>
      <c r="B98" s="8" t="s">
        <v>65</v>
      </c>
      <c r="C98" s="24" t="s">
        <v>45</v>
      </c>
      <c r="D98" s="7" t="s">
        <v>49</v>
      </c>
      <c r="E98" s="8" t="s">
        <v>7</v>
      </c>
      <c r="F98" s="8" t="s">
        <v>8</v>
      </c>
      <c r="G98" s="8" t="s">
        <v>9</v>
      </c>
      <c r="H98" s="8" t="s">
        <v>11</v>
      </c>
      <c r="I98" s="8" t="s">
        <v>66</v>
      </c>
      <c r="J98" s="8" t="s">
        <v>10</v>
      </c>
      <c r="K98" s="7" t="s">
        <v>46</v>
      </c>
      <c r="L98" s="7" t="s">
        <v>50</v>
      </c>
      <c r="M98" s="9" t="s">
        <v>12</v>
      </c>
    </row>
    <row r="99" spans="1:14" ht="18.75" x14ac:dyDescent="0.3">
      <c r="A99" s="26" t="s">
        <v>89</v>
      </c>
      <c r="B99" s="13">
        <v>6</v>
      </c>
      <c r="C99" s="12">
        <v>13</v>
      </c>
      <c r="D99" s="12">
        <v>11</v>
      </c>
      <c r="E99" s="13">
        <v>0</v>
      </c>
      <c r="F99" s="13">
        <v>9</v>
      </c>
      <c r="G99" s="13">
        <v>1</v>
      </c>
      <c r="H99" s="13">
        <v>20</v>
      </c>
      <c r="I99" s="13">
        <v>9</v>
      </c>
      <c r="J99" s="13">
        <v>12</v>
      </c>
      <c r="K99" s="12">
        <v>9</v>
      </c>
      <c r="L99" s="12">
        <v>13</v>
      </c>
      <c r="M99" s="49">
        <f>SUM(Table1124041424446474950515374[[#This Row],[BOX 1]:[BOX 12]])</f>
        <v>103</v>
      </c>
    </row>
    <row r="100" spans="1:14" ht="19.5" thickBot="1" x14ac:dyDescent="0.35">
      <c r="A100" s="26" t="s">
        <v>29</v>
      </c>
      <c r="B100" s="13">
        <v>26</v>
      </c>
      <c r="C100" s="12">
        <v>32</v>
      </c>
      <c r="D100" s="12">
        <v>31</v>
      </c>
      <c r="E100" s="13">
        <v>2</v>
      </c>
      <c r="F100" s="13">
        <v>19</v>
      </c>
      <c r="G100" s="13">
        <v>6</v>
      </c>
      <c r="H100" s="13">
        <v>22</v>
      </c>
      <c r="I100" s="13">
        <v>13</v>
      </c>
      <c r="J100" s="13">
        <v>23</v>
      </c>
      <c r="K100" s="12">
        <v>50</v>
      </c>
      <c r="L100" s="12">
        <v>29</v>
      </c>
      <c r="M100" s="49">
        <f>SUM(Table1124041424446474950515374[[#This Row],[BOX 1]:[BOX 12]])</f>
        <v>253</v>
      </c>
    </row>
    <row r="101" spans="1:14" ht="19.5" thickBot="1" x14ac:dyDescent="0.3">
      <c r="A101" s="17" t="s">
        <v>14</v>
      </c>
      <c r="B101" s="20">
        <f>SUBTOTAL(109,Table1124041424446474950515374[BOX 1])</f>
        <v>32</v>
      </c>
      <c r="C101" s="21">
        <f>SUBTOTAL(109,Table1124041424446474950515374[BOX 2])</f>
        <v>45</v>
      </c>
      <c r="D101" s="21">
        <f>SUBTOTAL(109,Table1124041424446474950515374[BOX 3])</f>
        <v>42</v>
      </c>
      <c r="E101" s="21">
        <f>SUBTOTAL(109,Table1124041424446474950515374[BOX 4])</f>
        <v>2</v>
      </c>
      <c r="F101" s="21">
        <f>SUBTOTAL(109,Table1124041424446474950515374[BOX 5])</f>
        <v>28</v>
      </c>
      <c r="G101" s="21">
        <f>SUBTOTAL(109,Table1124041424446474950515374[BOX 6])</f>
        <v>7</v>
      </c>
      <c r="H101" s="21">
        <f>SUBTOTAL(109,Table1124041424446474950515374[BOX 7])</f>
        <v>42</v>
      </c>
      <c r="I101" s="21">
        <f>SUBTOTAL(109,Table1124041424446474950515374[BOX 8])</f>
        <v>22</v>
      </c>
      <c r="J101" s="21">
        <f>SUBTOTAL(109,Table1124041424446474950515374[BOX 10])</f>
        <v>35</v>
      </c>
      <c r="K101" s="21">
        <f>SUBTOTAL(109,Table1124041424446474950515374[BOX 11])</f>
        <v>59</v>
      </c>
      <c r="L101" s="21">
        <f>SUBTOTAL(109,Table1124041424446474950515374[BOX 12])</f>
        <v>42</v>
      </c>
      <c r="M101" s="50">
        <f>SUBTOTAL(109,Table1124041424446474950515374[TOTAL])</f>
        <v>356</v>
      </c>
    </row>
    <row r="102" spans="1:14" ht="15.75" x14ac:dyDescent="0.25">
      <c r="A102" s="18" t="s">
        <v>15</v>
      </c>
      <c r="B102" s="29">
        <v>0</v>
      </c>
      <c r="C102" s="22">
        <v>1</v>
      </c>
      <c r="D102" s="22">
        <v>1</v>
      </c>
      <c r="E102" s="22">
        <v>0</v>
      </c>
      <c r="F102" s="22">
        <v>0</v>
      </c>
      <c r="G102" s="22">
        <v>0</v>
      </c>
      <c r="H102" s="30">
        <v>0</v>
      </c>
      <c r="I102" s="30">
        <v>0</v>
      </c>
      <c r="J102" s="22">
        <v>0</v>
      </c>
      <c r="K102" s="22">
        <v>0</v>
      </c>
      <c r="L102" s="22">
        <v>0</v>
      </c>
      <c r="M102" s="51"/>
    </row>
    <row r="103" spans="1:14" x14ac:dyDescent="0.25">
      <c r="A103" s="33" t="s">
        <v>16</v>
      </c>
      <c r="B103" s="27">
        <v>3</v>
      </c>
      <c r="C103" s="28">
        <v>8</v>
      </c>
      <c r="D103" s="28">
        <v>8</v>
      </c>
      <c r="E103" s="28">
        <v>0</v>
      </c>
      <c r="F103" s="28">
        <v>8</v>
      </c>
      <c r="G103" s="28">
        <v>0</v>
      </c>
      <c r="H103" s="28">
        <v>8</v>
      </c>
      <c r="I103" s="28">
        <v>3</v>
      </c>
      <c r="J103" s="28">
        <v>7</v>
      </c>
      <c r="K103" s="28">
        <v>7</v>
      </c>
      <c r="L103" s="28">
        <v>3</v>
      </c>
      <c r="M103" s="52"/>
    </row>
    <row r="104" spans="1:14" ht="47.25" x14ac:dyDescent="0.25">
      <c r="A104" s="32" t="s">
        <v>30</v>
      </c>
      <c r="B104" s="4" t="s">
        <v>4</v>
      </c>
      <c r="C104" s="4" t="s">
        <v>47</v>
      </c>
      <c r="D104" s="4" t="s">
        <v>48</v>
      </c>
      <c r="E104" s="4" t="s">
        <v>51</v>
      </c>
      <c r="F104" s="4" t="s">
        <v>1</v>
      </c>
      <c r="G104" s="4" t="s">
        <v>2</v>
      </c>
      <c r="H104" s="4" t="s">
        <v>5</v>
      </c>
      <c r="I104" s="4" t="s">
        <v>4</v>
      </c>
      <c r="J104" s="4" t="s">
        <v>3</v>
      </c>
      <c r="K104" s="4" t="s">
        <v>47</v>
      </c>
      <c r="L104" s="4" t="s">
        <v>48</v>
      </c>
      <c r="M104" s="5"/>
      <c r="N104" s="53"/>
    </row>
    <row r="105" spans="1:14" ht="15.75" x14ac:dyDescent="0.25">
      <c r="A105" s="6" t="s">
        <v>6</v>
      </c>
      <c r="B105" s="8" t="s">
        <v>65</v>
      </c>
      <c r="C105" s="24" t="s">
        <v>45</v>
      </c>
      <c r="D105" s="7" t="s">
        <v>49</v>
      </c>
      <c r="E105" s="8" t="s">
        <v>7</v>
      </c>
      <c r="F105" s="8" t="s">
        <v>8</v>
      </c>
      <c r="G105" s="8" t="s">
        <v>9</v>
      </c>
      <c r="H105" s="8" t="s">
        <v>11</v>
      </c>
      <c r="I105" s="8" t="s">
        <v>66</v>
      </c>
      <c r="J105" s="8" t="s">
        <v>10</v>
      </c>
      <c r="K105" s="7" t="s">
        <v>46</v>
      </c>
      <c r="L105" s="7" t="s">
        <v>50</v>
      </c>
      <c r="M105" s="9" t="s">
        <v>12</v>
      </c>
    </row>
    <row r="106" spans="1:14" ht="18.75" x14ac:dyDescent="0.3">
      <c r="A106" s="26" t="s">
        <v>90</v>
      </c>
      <c r="B106" s="13">
        <v>6</v>
      </c>
      <c r="C106" s="12">
        <v>14</v>
      </c>
      <c r="D106" s="12">
        <v>11</v>
      </c>
      <c r="E106" s="13">
        <v>0</v>
      </c>
      <c r="F106" s="13">
        <v>12</v>
      </c>
      <c r="G106" s="13">
        <v>1</v>
      </c>
      <c r="H106" s="13">
        <v>24</v>
      </c>
      <c r="I106" s="13">
        <v>9</v>
      </c>
      <c r="J106" s="13">
        <v>12</v>
      </c>
      <c r="K106" s="12">
        <v>12</v>
      </c>
      <c r="L106" s="12">
        <v>13</v>
      </c>
      <c r="M106" s="49">
        <f>SUM(Table112404142444647495051535475[[#This Row],[BOX 1]:[BOX 12]])</f>
        <v>114</v>
      </c>
    </row>
    <row r="107" spans="1:14" ht="19.5" thickBot="1" x14ac:dyDescent="0.35">
      <c r="A107" s="26" t="s">
        <v>31</v>
      </c>
      <c r="B107" s="13">
        <v>25</v>
      </c>
      <c r="C107" s="12">
        <v>31</v>
      </c>
      <c r="D107" s="12">
        <v>32</v>
      </c>
      <c r="E107" s="13">
        <v>2</v>
      </c>
      <c r="F107" s="13">
        <v>15</v>
      </c>
      <c r="G107" s="13">
        <v>5</v>
      </c>
      <c r="H107" s="13">
        <v>20</v>
      </c>
      <c r="I107" s="13">
        <v>11</v>
      </c>
      <c r="J107" s="13">
        <v>21</v>
      </c>
      <c r="K107" s="12">
        <v>47</v>
      </c>
      <c r="L107" s="12">
        <v>29</v>
      </c>
      <c r="M107" s="49">
        <f>SUM(Table112404142444647495051535475[[#This Row],[BOX 1]:[BOX 12]])</f>
        <v>238</v>
      </c>
    </row>
    <row r="108" spans="1:14" ht="19.5" thickBot="1" x14ac:dyDescent="0.3">
      <c r="A108" s="17" t="s">
        <v>14</v>
      </c>
      <c r="B108" s="20">
        <f>SUBTOTAL(109,Table112404142444647495051535475[BOX 1])</f>
        <v>31</v>
      </c>
      <c r="C108" s="21">
        <f>SUBTOTAL(109,Table112404142444647495051535475[BOX 2])</f>
        <v>45</v>
      </c>
      <c r="D108" s="21">
        <f>SUBTOTAL(109,Table112404142444647495051535475[BOX 3])</f>
        <v>43</v>
      </c>
      <c r="E108" s="21">
        <f>SUBTOTAL(109,Table112404142444647495051535475[BOX 4])</f>
        <v>2</v>
      </c>
      <c r="F108" s="21">
        <f>SUBTOTAL(109,Table112404142444647495051535475[BOX 5])</f>
        <v>27</v>
      </c>
      <c r="G108" s="21">
        <f>SUBTOTAL(109,Table112404142444647495051535475[BOX 6])</f>
        <v>6</v>
      </c>
      <c r="H108" s="21">
        <f>SUBTOTAL(109,Table112404142444647495051535475[BOX 7])</f>
        <v>44</v>
      </c>
      <c r="I108" s="21">
        <f>SUBTOTAL(109,Table112404142444647495051535475[BOX 8])</f>
        <v>20</v>
      </c>
      <c r="J108" s="21">
        <f>SUBTOTAL(109,Table112404142444647495051535475[BOX 10])</f>
        <v>33</v>
      </c>
      <c r="K108" s="21">
        <f>SUBTOTAL(109,Table112404142444647495051535475[BOX 11])</f>
        <v>59</v>
      </c>
      <c r="L108" s="21">
        <f>SUBTOTAL(109,Table112404142444647495051535475[BOX 12])</f>
        <v>42</v>
      </c>
      <c r="M108" s="50">
        <f>SUBTOTAL(109,Table112404142444647495051535475[TOTAL])</f>
        <v>352</v>
      </c>
    </row>
    <row r="109" spans="1:14" ht="15.75" x14ac:dyDescent="0.25">
      <c r="A109" s="18" t="s">
        <v>15</v>
      </c>
      <c r="B109" s="29">
        <v>0</v>
      </c>
      <c r="C109" s="22">
        <v>0</v>
      </c>
      <c r="D109" s="22">
        <v>0</v>
      </c>
      <c r="E109" s="22">
        <v>0</v>
      </c>
      <c r="F109" s="22">
        <v>0</v>
      </c>
      <c r="G109" s="22">
        <v>0</v>
      </c>
      <c r="H109" s="30">
        <v>0</v>
      </c>
      <c r="I109" s="30">
        <v>0</v>
      </c>
      <c r="J109" s="22">
        <v>0</v>
      </c>
      <c r="K109" s="22">
        <v>1</v>
      </c>
      <c r="L109" s="22">
        <v>0</v>
      </c>
      <c r="M109" s="51"/>
    </row>
    <row r="110" spans="1:14" x14ac:dyDescent="0.25">
      <c r="A110" s="33" t="s">
        <v>16</v>
      </c>
      <c r="B110" s="27">
        <v>4</v>
      </c>
      <c r="C110" s="28">
        <v>9</v>
      </c>
      <c r="D110" s="28">
        <v>8</v>
      </c>
      <c r="E110" s="28">
        <v>0</v>
      </c>
      <c r="F110" s="28">
        <v>9</v>
      </c>
      <c r="G110" s="28">
        <v>1</v>
      </c>
      <c r="H110" s="28">
        <v>6</v>
      </c>
      <c r="I110" s="28">
        <v>5</v>
      </c>
      <c r="J110" s="28">
        <v>9</v>
      </c>
      <c r="K110" s="28">
        <v>6</v>
      </c>
      <c r="L110" s="28">
        <v>3</v>
      </c>
      <c r="M110" s="52"/>
    </row>
    <row r="113" spans="1:14" ht="45" x14ac:dyDescent="0.25">
      <c r="A113" s="32" t="s">
        <v>91</v>
      </c>
      <c r="B113" s="4" t="s">
        <v>4</v>
      </c>
      <c r="C113" s="4" t="s">
        <v>47</v>
      </c>
      <c r="D113" s="4" t="s">
        <v>48</v>
      </c>
      <c r="E113" s="4" t="s">
        <v>51</v>
      </c>
      <c r="F113" s="4" t="s">
        <v>1</v>
      </c>
      <c r="G113" s="4" t="s">
        <v>2</v>
      </c>
      <c r="H113" s="4" t="s">
        <v>5</v>
      </c>
      <c r="I113" s="4" t="s">
        <v>4</v>
      </c>
      <c r="J113" s="4" t="s">
        <v>3</v>
      </c>
      <c r="K113" s="4" t="s">
        <v>47</v>
      </c>
      <c r="L113" s="4" t="s">
        <v>48</v>
      </c>
      <c r="M113" s="5"/>
      <c r="N113" s="53"/>
    </row>
    <row r="114" spans="1:14" ht="15.75" x14ac:dyDescent="0.25">
      <c r="A114" s="6" t="s">
        <v>6</v>
      </c>
      <c r="B114" s="8" t="s">
        <v>65</v>
      </c>
      <c r="C114" s="24" t="s">
        <v>45</v>
      </c>
      <c r="D114" s="7" t="s">
        <v>49</v>
      </c>
      <c r="E114" s="8" t="s">
        <v>7</v>
      </c>
      <c r="F114" s="8" t="s">
        <v>8</v>
      </c>
      <c r="G114" s="8" t="s">
        <v>9</v>
      </c>
      <c r="H114" s="8" t="s">
        <v>11</v>
      </c>
      <c r="I114" s="8" t="s">
        <v>66</v>
      </c>
      <c r="J114" s="8" t="s">
        <v>10</v>
      </c>
      <c r="K114" s="7" t="s">
        <v>46</v>
      </c>
      <c r="L114" s="7" t="s">
        <v>50</v>
      </c>
      <c r="M114" s="9" t="s">
        <v>12</v>
      </c>
    </row>
    <row r="115" spans="1:14" ht="18.75" x14ac:dyDescent="0.3">
      <c r="A115" s="26" t="s">
        <v>92</v>
      </c>
      <c r="B115" s="13">
        <v>6</v>
      </c>
      <c r="C115" s="12">
        <v>14</v>
      </c>
      <c r="D115" s="12">
        <v>9</v>
      </c>
      <c r="E115" s="13">
        <v>0</v>
      </c>
      <c r="F115" s="13">
        <v>9</v>
      </c>
      <c r="G115" s="13">
        <v>1</v>
      </c>
      <c r="H115" s="13">
        <v>22</v>
      </c>
      <c r="I115" s="13">
        <v>9</v>
      </c>
      <c r="J115" s="13">
        <v>12</v>
      </c>
      <c r="K115" s="12">
        <v>9</v>
      </c>
      <c r="L115" s="12">
        <v>13</v>
      </c>
      <c r="M115" s="49">
        <f>SUM(Table112404142444647495051535676[[#This Row],[BOX 1]:[BOX 12]])</f>
        <v>104</v>
      </c>
    </row>
    <row r="116" spans="1:14" ht="19.5" thickBot="1" x14ac:dyDescent="0.35">
      <c r="A116" s="26" t="s">
        <v>32</v>
      </c>
      <c r="B116" s="13">
        <v>27</v>
      </c>
      <c r="C116" s="12">
        <v>32</v>
      </c>
      <c r="D116" s="12">
        <v>35</v>
      </c>
      <c r="E116" s="13">
        <v>2</v>
      </c>
      <c r="F116" s="13">
        <v>22</v>
      </c>
      <c r="G116" s="13">
        <v>6</v>
      </c>
      <c r="H116" s="13">
        <v>21</v>
      </c>
      <c r="I116" s="13">
        <v>13</v>
      </c>
      <c r="J116" s="13">
        <v>25</v>
      </c>
      <c r="K116" s="12">
        <v>52</v>
      </c>
      <c r="L116" s="12">
        <v>29</v>
      </c>
      <c r="M116" s="49">
        <f>SUM(Table112404142444647495051535676[[#This Row],[BOX 1]:[BOX 12]])</f>
        <v>264</v>
      </c>
    </row>
    <row r="117" spans="1:14" ht="19.5" thickBot="1" x14ac:dyDescent="0.3">
      <c r="A117" s="17" t="s">
        <v>14</v>
      </c>
      <c r="B117" s="20">
        <f>SUBTOTAL(109,Table112404142444647495051535676[BOX 1])</f>
        <v>33</v>
      </c>
      <c r="C117" s="21">
        <f>SUBTOTAL(109,Table112404142444647495051535676[BOX 2])</f>
        <v>46</v>
      </c>
      <c r="D117" s="21">
        <f>SUBTOTAL(109,Table112404142444647495051535676[BOX 3])</f>
        <v>44</v>
      </c>
      <c r="E117" s="21">
        <f>SUBTOTAL(109,Table112404142444647495051535676[BOX 4])</f>
        <v>2</v>
      </c>
      <c r="F117" s="21">
        <f>SUBTOTAL(109,Table112404142444647495051535676[BOX 5])</f>
        <v>31</v>
      </c>
      <c r="G117" s="21">
        <f>SUBTOTAL(109,Table112404142444647495051535676[BOX 6])</f>
        <v>7</v>
      </c>
      <c r="H117" s="21">
        <f>SUBTOTAL(109,Table112404142444647495051535676[BOX 7])</f>
        <v>43</v>
      </c>
      <c r="I117" s="21">
        <f>SUBTOTAL(109,Table112404142444647495051535676[BOX 8])</f>
        <v>22</v>
      </c>
      <c r="J117" s="21">
        <f>SUBTOTAL(109,Table112404142444647495051535676[BOX 10])</f>
        <v>37</v>
      </c>
      <c r="K117" s="21">
        <f>SUBTOTAL(109,Table112404142444647495051535676[BOX 11])</f>
        <v>61</v>
      </c>
      <c r="L117" s="21">
        <f>SUBTOTAL(109,Table112404142444647495051535676[BOX 12])</f>
        <v>42</v>
      </c>
      <c r="M117" s="50">
        <f>SUBTOTAL(109,Table112404142444647495051535676[TOTAL])</f>
        <v>368</v>
      </c>
    </row>
    <row r="118" spans="1:14" ht="15.75" x14ac:dyDescent="0.25">
      <c r="A118" s="18" t="s">
        <v>15</v>
      </c>
      <c r="B118" s="29">
        <v>0</v>
      </c>
      <c r="C118" s="22">
        <v>0</v>
      </c>
      <c r="D118" s="22">
        <v>0</v>
      </c>
      <c r="E118" s="22">
        <v>0</v>
      </c>
      <c r="F118" s="22">
        <v>0</v>
      </c>
      <c r="G118" s="22">
        <v>0</v>
      </c>
      <c r="H118" s="30">
        <v>0</v>
      </c>
      <c r="I118" s="30">
        <v>0</v>
      </c>
      <c r="J118" s="22">
        <v>0</v>
      </c>
      <c r="K118" s="22">
        <v>0</v>
      </c>
      <c r="L118" s="22">
        <v>0</v>
      </c>
      <c r="M118" s="51"/>
    </row>
    <row r="119" spans="1:14" x14ac:dyDescent="0.25">
      <c r="A119" s="33" t="s">
        <v>16</v>
      </c>
      <c r="B119" s="28">
        <v>2</v>
      </c>
      <c r="C119" s="28">
        <v>8</v>
      </c>
      <c r="D119" s="28">
        <v>7</v>
      </c>
      <c r="E119" s="28">
        <v>0</v>
      </c>
      <c r="F119" s="28">
        <v>5</v>
      </c>
      <c r="G119" s="28">
        <v>0</v>
      </c>
      <c r="H119" s="28">
        <v>7</v>
      </c>
      <c r="I119" s="28">
        <v>3</v>
      </c>
      <c r="J119" s="28">
        <v>5</v>
      </c>
      <c r="K119" s="28">
        <v>5</v>
      </c>
      <c r="L119" s="28">
        <v>3</v>
      </c>
      <c r="M119" s="52"/>
    </row>
    <row r="121" spans="1:14" ht="45" x14ac:dyDescent="0.25">
      <c r="A121" s="32" t="s">
        <v>93</v>
      </c>
      <c r="B121" s="4" t="s">
        <v>4</v>
      </c>
      <c r="C121" s="4" t="s">
        <v>47</v>
      </c>
      <c r="D121" s="4" t="s">
        <v>48</v>
      </c>
      <c r="E121" s="4" t="s">
        <v>51</v>
      </c>
      <c r="F121" s="4" t="s">
        <v>1</v>
      </c>
      <c r="G121" s="4" t="s">
        <v>2</v>
      </c>
      <c r="H121" s="4" t="s">
        <v>5</v>
      </c>
      <c r="I121" s="4" t="s">
        <v>4</v>
      </c>
      <c r="J121" s="4" t="s">
        <v>3</v>
      </c>
      <c r="K121" s="4" t="s">
        <v>47</v>
      </c>
      <c r="L121" s="4" t="s">
        <v>48</v>
      </c>
      <c r="M121" s="5"/>
      <c r="N121" s="53"/>
    </row>
    <row r="122" spans="1:14" ht="15.75" x14ac:dyDescent="0.25">
      <c r="A122" s="6" t="s">
        <v>6</v>
      </c>
      <c r="B122" s="8" t="s">
        <v>65</v>
      </c>
      <c r="C122" s="24" t="s">
        <v>45</v>
      </c>
      <c r="D122" s="7" t="s">
        <v>49</v>
      </c>
      <c r="E122" s="8" t="s">
        <v>7</v>
      </c>
      <c r="F122" s="8" t="s">
        <v>8</v>
      </c>
      <c r="G122" s="8" t="s">
        <v>9</v>
      </c>
      <c r="H122" s="8" t="s">
        <v>11</v>
      </c>
      <c r="I122" s="8" t="s">
        <v>66</v>
      </c>
      <c r="J122" s="8" t="s">
        <v>10</v>
      </c>
      <c r="K122" s="7" t="s">
        <v>46</v>
      </c>
      <c r="L122" s="7" t="s">
        <v>50</v>
      </c>
      <c r="M122" s="9" t="s">
        <v>12</v>
      </c>
    </row>
    <row r="123" spans="1:14" ht="18.75" x14ac:dyDescent="0.3">
      <c r="A123" s="26" t="s">
        <v>94</v>
      </c>
      <c r="B123" s="13">
        <v>7</v>
      </c>
      <c r="C123" s="12">
        <v>15</v>
      </c>
      <c r="D123" s="12">
        <v>15</v>
      </c>
      <c r="E123" s="13">
        <v>0</v>
      </c>
      <c r="F123" s="13">
        <v>13</v>
      </c>
      <c r="G123" s="13">
        <v>1</v>
      </c>
      <c r="H123" s="13">
        <v>25</v>
      </c>
      <c r="I123" s="13">
        <v>11</v>
      </c>
      <c r="J123" s="13">
        <v>13</v>
      </c>
      <c r="K123" s="12">
        <v>10</v>
      </c>
      <c r="L123" s="12">
        <v>14</v>
      </c>
      <c r="M123" s="49">
        <f>SUM(Table11240414244464749505153565877[[#This Row],[BOX 1]:[BOX 12]])</f>
        <v>124</v>
      </c>
    </row>
    <row r="124" spans="1:14" ht="18.75" x14ac:dyDescent="0.3">
      <c r="A124" s="26" t="s">
        <v>33</v>
      </c>
      <c r="B124" s="13">
        <v>25</v>
      </c>
      <c r="C124" s="12">
        <v>32</v>
      </c>
      <c r="D124" s="12">
        <v>28</v>
      </c>
      <c r="E124" s="13">
        <v>2</v>
      </c>
      <c r="F124" s="13">
        <v>18</v>
      </c>
      <c r="G124" s="13">
        <v>6</v>
      </c>
      <c r="H124" s="13">
        <v>16</v>
      </c>
      <c r="I124" s="13">
        <v>12</v>
      </c>
      <c r="J124" s="13">
        <v>25</v>
      </c>
      <c r="K124" s="12">
        <v>48</v>
      </c>
      <c r="L124" s="12">
        <v>29</v>
      </c>
      <c r="M124" s="49">
        <f>SUM(Table11240414244464749505153565877[[#This Row],[BOX 1]:[BOX 12]])</f>
        <v>241</v>
      </c>
    </row>
    <row r="125" spans="1:14" ht="19.5" thickBot="1" x14ac:dyDescent="0.35">
      <c r="A125" s="26" t="s">
        <v>95</v>
      </c>
      <c r="B125" s="13">
        <v>1</v>
      </c>
      <c r="C125" s="12">
        <v>0</v>
      </c>
      <c r="D125" s="12">
        <v>0</v>
      </c>
      <c r="E125" s="13">
        <v>0</v>
      </c>
      <c r="F125" s="13">
        <v>0</v>
      </c>
      <c r="G125" s="13">
        <v>0</v>
      </c>
      <c r="H125" s="13">
        <v>1</v>
      </c>
      <c r="I125" s="13">
        <v>0</v>
      </c>
      <c r="J125" s="13">
        <v>0</v>
      </c>
      <c r="K125" s="12">
        <v>3</v>
      </c>
      <c r="L125" s="12">
        <v>0</v>
      </c>
      <c r="M125" s="49">
        <f>SUM(Table11240414244464749505153565877[[#This Row],[BOX 1]:[BOX 12]])</f>
        <v>5</v>
      </c>
    </row>
    <row r="126" spans="1:14" ht="19.5" thickBot="1" x14ac:dyDescent="0.3">
      <c r="A126" s="17" t="s">
        <v>14</v>
      </c>
      <c r="B126" s="20">
        <f>SUBTOTAL(109,Table11240414244464749505153565877[BOX 1])</f>
        <v>33</v>
      </c>
      <c r="C126" s="21">
        <f>SUBTOTAL(109,Table11240414244464749505153565877[BOX 2])</f>
        <v>47</v>
      </c>
      <c r="D126" s="21">
        <f>SUBTOTAL(109,Table11240414244464749505153565877[BOX 3])</f>
        <v>43</v>
      </c>
      <c r="E126" s="21">
        <f>SUBTOTAL(109,Table11240414244464749505153565877[BOX 4])</f>
        <v>2</v>
      </c>
      <c r="F126" s="21">
        <f>SUBTOTAL(109,Table11240414244464749505153565877[BOX 5])</f>
        <v>31</v>
      </c>
      <c r="G126" s="21">
        <f>SUBTOTAL(109,Table11240414244464749505153565877[BOX 6])</f>
        <v>7</v>
      </c>
      <c r="H126" s="21">
        <f>SUBTOTAL(109,Table11240414244464749505153565877[BOX 7])</f>
        <v>42</v>
      </c>
      <c r="I126" s="21">
        <f>SUBTOTAL(109,Table11240414244464749505153565877[BOX 8])</f>
        <v>23</v>
      </c>
      <c r="J126" s="21">
        <f>SUBTOTAL(109,Table11240414244464749505153565877[BOX 10])</f>
        <v>38</v>
      </c>
      <c r="K126" s="21">
        <f>SUBTOTAL(109,Table11240414244464749505153565877[BOX 11])</f>
        <v>61</v>
      </c>
      <c r="L126" s="21">
        <f>SUBTOTAL(109,Table11240414244464749505153565877[BOX 12])</f>
        <v>43</v>
      </c>
      <c r="M126" s="50">
        <f>SUBTOTAL(109,Table11240414244464749505153565877[TOTAL])</f>
        <v>370</v>
      </c>
    </row>
    <row r="127" spans="1:14" ht="15.75" x14ac:dyDescent="0.25">
      <c r="A127" s="18" t="s">
        <v>15</v>
      </c>
      <c r="B127" s="29">
        <v>0</v>
      </c>
      <c r="C127" s="22">
        <v>0</v>
      </c>
      <c r="D127" s="22">
        <v>0</v>
      </c>
      <c r="E127" s="22">
        <v>0</v>
      </c>
      <c r="F127" s="22">
        <v>0</v>
      </c>
      <c r="G127" s="22">
        <v>0</v>
      </c>
      <c r="H127" s="30">
        <v>0</v>
      </c>
      <c r="I127" s="30">
        <v>0</v>
      </c>
      <c r="J127" s="22">
        <v>0</v>
      </c>
      <c r="K127" s="22">
        <v>0</v>
      </c>
      <c r="L127" s="22">
        <v>0</v>
      </c>
      <c r="M127" s="51"/>
    </row>
    <row r="128" spans="1:14" x14ac:dyDescent="0.25">
      <c r="A128" s="33" t="s">
        <v>16</v>
      </c>
      <c r="B128" s="28">
        <v>2</v>
      </c>
      <c r="C128" s="28">
        <v>7</v>
      </c>
      <c r="D128" s="28">
        <v>8</v>
      </c>
      <c r="E128" s="28">
        <v>0</v>
      </c>
      <c r="F128" s="28">
        <v>5</v>
      </c>
      <c r="G128" s="28">
        <v>0</v>
      </c>
      <c r="H128" s="28">
        <v>8</v>
      </c>
      <c r="I128" s="28">
        <v>2</v>
      </c>
      <c r="J128" s="28">
        <v>4</v>
      </c>
      <c r="K128" s="28">
        <v>5</v>
      </c>
      <c r="L128" s="28">
        <v>2</v>
      </c>
      <c r="M128" s="52"/>
    </row>
    <row r="129" spans="1:14" ht="45" x14ac:dyDescent="0.25">
      <c r="A129" s="32" t="s">
        <v>96</v>
      </c>
      <c r="B129" s="4" t="s">
        <v>4</v>
      </c>
      <c r="C129" s="4" t="s">
        <v>47</v>
      </c>
      <c r="D129" s="4" t="s">
        <v>48</v>
      </c>
      <c r="E129" s="4" t="s">
        <v>51</v>
      </c>
      <c r="F129" s="4" t="s">
        <v>1</v>
      </c>
      <c r="G129" s="4" t="s">
        <v>2</v>
      </c>
      <c r="H129" s="4" t="s">
        <v>5</v>
      </c>
      <c r="I129" s="4" t="s">
        <v>4</v>
      </c>
      <c r="J129" s="4" t="s">
        <v>3</v>
      </c>
      <c r="K129" s="4" t="s">
        <v>47</v>
      </c>
      <c r="L129" s="4" t="s">
        <v>48</v>
      </c>
      <c r="M129" s="5"/>
      <c r="N129" s="53"/>
    </row>
    <row r="130" spans="1:14" ht="15.75" x14ac:dyDescent="0.25">
      <c r="A130" s="6" t="s">
        <v>6</v>
      </c>
      <c r="B130" s="8" t="s">
        <v>65</v>
      </c>
      <c r="C130" s="24" t="s">
        <v>45</v>
      </c>
      <c r="D130" s="7" t="s">
        <v>49</v>
      </c>
      <c r="E130" s="8" t="s">
        <v>7</v>
      </c>
      <c r="F130" s="8" t="s">
        <v>8</v>
      </c>
      <c r="G130" s="8" t="s">
        <v>9</v>
      </c>
      <c r="H130" s="8" t="s">
        <v>11</v>
      </c>
      <c r="I130" s="8" t="s">
        <v>66</v>
      </c>
      <c r="J130" s="8" t="s">
        <v>10</v>
      </c>
      <c r="K130" s="7" t="s">
        <v>46</v>
      </c>
      <c r="L130" s="7" t="s">
        <v>50</v>
      </c>
      <c r="M130" s="9" t="s">
        <v>12</v>
      </c>
    </row>
    <row r="131" spans="1:14" ht="18.75" x14ac:dyDescent="0.3">
      <c r="A131" s="26" t="s">
        <v>97</v>
      </c>
      <c r="B131" s="13">
        <v>6</v>
      </c>
      <c r="C131" s="12">
        <v>14</v>
      </c>
      <c r="D131" s="12">
        <v>12</v>
      </c>
      <c r="E131" s="13">
        <v>0</v>
      </c>
      <c r="F131" s="13">
        <v>8</v>
      </c>
      <c r="G131" s="13">
        <v>0</v>
      </c>
      <c r="H131" s="13">
        <v>23</v>
      </c>
      <c r="I131" s="13">
        <v>10</v>
      </c>
      <c r="J131" s="13">
        <v>11</v>
      </c>
      <c r="K131" s="12">
        <v>10</v>
      </c>
      <c r="L131" s="12">
        <v>13</v>
      </c>
      <c r="M131" s="49">
        <f>SUM(Table1124041424446474950515356585978[[#This Row],[BOX 1]:[BOX 12]])</f>
        <v>107</v>
      </c>
    </row>
    <row r="132" spans="1:14" ht="19.5" thickBot="1" x14ac:dyDescent="0.35">
      <c r="A132" s="26" t="s">
        <v>34</v>
      </c>
      <c r="B132" s="13">
        <v>17</v>
      </c>
      <c r="C132" s="12">
        <v>26</v>
      </c>
      <c r="D132" s="12">
        <v>24</v>
      </c>
      <c r="E132" s="13">
        <v>1</v>
      </c>
      <c r="F132" s="13">
        <v>18</v>
      </c>
      <c r="G132" s="13">
        <v>4</v>
      </c>
      <c r="H132" s="13">
        <v>18</v>
      </c>
      <c r="I132" s="13">
        <v>10</v>
      </c>
      <c r="J132" s="13">
        <v>20</v>
      </c>
      <c r="K132" s="12">
        <v>46</v>
      </c>
      <c r="L132" s="12">
        <v>26</v>
      </c>
      <c r="M132" s="49">
        <f>SUM(Table1124041424446474950515356585978[[#This Row],[BOX 1]:[BOX 12]])</f>
        <v>210</v>
      </c>
    </row>
    <row r="133" spans="1:14" ht="19.5" thickBot="1" x14ac:dyDescent="0.3">
      <c r="A133" s="17" t="s">
        <v>14</v>
      </c>
      <c r="B133" s="20">
        <f>SUBTOTAL(109,Table1124041424446474950515356585978[BOX 1])</f>
        <v>23</v>
      </c>
      <c r="C133" s="21">
        <f>SUBTOTAL(109,Table1124041424446474950515356585978[BOX 2])</f>
        <v>40</v>
      </c>
      <c r="D133" s="21">
        <f>SUBTOTAL(109,Table1124041424446474950515356585978[BOX 3])</f>
        <v>36</v>
      </c>
      <c r="E133" s="21">
        <f>SUBTOTAL(109,Table1124041424446474950515356585978[BOX 4])</f>
        <v>1</v>
      </c>
      <c r="F133" s="21">
        <f>SUBTOTAL(109,Table1124041424446474950515356585978[BOX 5])</f>
        <v>26</v>
      </c>
      <c r="G133" s="21">
        <f>SUBTOTAL(109,Table1124041424446474950515356585978[BOX 6])</f>
        <v>4</v>
      </c>
      <c r="H133" s="21">
        <f>SUBTOTAL(109,Table1124041424446474950515356585978[BOX 7])</f>
        <v>41</v>
      </c>
      <c r="I133" s="21">
        <f>SUBTOTAL(109,Table1124041424446474950515356585978[BOX 8])</f>
        <v>20</v>
      </c>
      <c r="J133" s="21">
        <f>SUBTOTAL(109,Table1124041424446474950515356585978[BOX 10])</f>
        <v>31</v>
      </c>
      <c r="K133" s="21">
        <f>SUBTOTAL(109,Table1124041424446474950515356585978[BOX 11])</f>
        <v>56</v>
      </c>
      <c r="L133" s="21">
        <f>SUBTOTAL(109,Table1124041424446474950515356585978[BOX 12])</f>
        <v>39</v>
      </c>
      <c r="M133" s="50">
        <f>SUBTOTAL(109,Table1124041424446474950515356585978[TOTAL])</f>
        <v>317</v>
      </c>
    </row>
    <row r="134" spans="1:14" ht="15.75" x14ac:dyDescent="0.25">
      <c r="A134" s="18" t="s">
        <v>15</v>
      </c>
      <c r="B134" s="29">
        <v>0</v>
      </c>
      <c r="C134" s="22">
        <v>0</v>
      </c>
      <c r="D134" s="22">
        <v>0</v>
      </c>
      <c r="E134" s="22">
        <v>0</v>
      </c>
      <c r="F134" s="22">
        <v>0</v>
      </c>
      <c r="G134" s="22">
        <v>0</v>
      </c>
      <c r="H134" s="30">
        <v>0</v>
      </c>
      <c r="I134" s="30">
        <v>0</v>
      </c>
      <c r="J134" s="22">
        <v>0</v>
      </c>
      <c r="K134" s="22">
        <v>0</v>
      </c>
      <c r="L134" s="22">
        <v>0</v>
      </c>
      <c r="M134" s="51"/>
    </row>
    <row r="135" spans="1:14" x14ac:dyDescent="0.25">
      <c r="A135" s="33" t="s">
        <v>16</v>
      </c>
      <c r="B135" s="28">
        <v>12</v>
      </c>
      <c r="C135" s="28">
        <v>14</v>
      </c>
      <c r="D135" s="28">
        <v>15</v>
      </c>
      <c r="E135" s="28">
        <v>1</v>
      </c>
      <c r="F135" s="28">
        <v>10</v>
      </c>
      <c r="G135" s="28">
        <v>3</v>
      </c>
      <c r="H135" s="28">
        <v>9</v>
      </c>
      <c r="I135" s="28">
        <v>5</v>
      </c>
      <c r="J135" s="28">
        <v>11</v>
      </c>
      <c r="K135" s="28">
        <v>10</v>
      </c>
      <c r="L135" s="28">
        <v>6</v>
      </c>
      <c r="M135" s="52"/>
    </row>
    <row r="138" spans="1:14" ht="45" x14ac:dyDescent="0.25">
      <c r="A138" s="32" t="s">
        <v>98</v>
      </c>
      <c r="B138" s="4" t="s">
        <v>4</v>
      </c>
      <c r="C138" s="4" t="s">
        <v>47</v>
      </c>
      <c r="D138" s="4" t="s">
        <v>48</v>
      </c>
      <c r="E138" s="4" t="s">
        <v>51</v>
      </c>
      <c r="F138" s="4" t="s">
        <v>1</v>
      </c>
      <c r="G138" s="4" t="s">
        <v>2</v>
      </c>
      <c r="H138" s="4" t="s">
        <v>5</v>
      </c>
      <c r="I138" s="4" t="s">
        <v>4</v>
      </c>
      <c r="J138" s="4" t="s">
        <v>3</v>
      </c>
      <c r="K138" s="4" t="s">
        <v>47</v>
      </c>
      <c r="L138" s="4" t="s">
        <v>48</v>
      </c>
      <c r="M138" s="5"/>
      <c r="N138" s="53"/>
    </row>
    <row r="139" spans="1:14" ht="15.75" x14ac:dyDescent="0.25">
      <c r="A139" s="6" t="s">
        <v>6</v>
      </c>
      <c r="B139" s="8" t="s">
        <v>65</v>
      </c>
      <c r="C139" s="24" t="s">
        <v>45</v>
      </c>
      <c r="D139" s="7" t="s">
        <v>49</v>
      </c>
      <c r="E139" s="8" t="s">
        <v>7</v>
      </c>
      <c r="F139" s="8" t="s">
        <v>8</v>
      </c>
      <c r="G139" s="8" t="s">
        <v>9</v>
      </c>
      <c r="H139" s="8" t="s">
        <v>11</v>
      </c>
      <c r="I139" s="8" t="s">
        <v>66</v>
      </c>
      <c r="J139" s="8" t="s">
        <v>10</v>
      </c>
      <c r="K139" s="7" t="s">
        <v>46</v>
      </c>
      <c r="L139" s="7" t="s">
        <v>50</v>
      </c>
      <c r="M139" s="9" t="s">
        <v>12</v>
      </c>
    </row>
    <row r="140" spans="1:14" ht="18.75" x14ac:dyDescent="0.3">
      <c r="A140" s="26" t="s">
        <v>99</v>
      </c>
      <c r="B140" s="13">
        <v>5</v>
      </c>
      <c r="C140" s="12">
        <v>13</v>
      </c>
      <c r="D140" s="12">
        <v>8</v>
      </c>
      <c r="E140" s="13">
        <v>0</v>
      </c>
      <c r="F140" s="13">
        <v>11</v>
      </c>
      <c r="G140" s="13">
        <v>1</v>
      </c>
      <c r="H140" s="13">
        <v>20</v>
      </c>
      <c r="I140" s="13">
        <v>10</v>
      </c>
      <c r="J140" s="13">
        <v>11</v>
      </c>
      <c r="K140" s="12">
        <v>8</v>
      </c>
      <c r="L140" s="12">
        <v>12</v>
      </c>
      <c r="M140" s="49">
        <f t="shared" ref="M140:M141" si="0">SUM(B140:L140)</f>
        <v>99</v>
      </c>
    </row>
    <row r="141" spans="1:14" ht="19.5" thickBot="1" x14ac:dyDescent="0.35">
      <c r="A141" s="26" t="s">
        <v>35</v>
      </c>
      <c r="B141" s="13">
        <v>26</v>
      </c>
      <c r="C141" s="12">
        <v>30</v>
      </c>
      <c r="D141" s="12">
        <v>27</v>
      </c>
      <c r="E141" s="13">
        <v>2</v>
      </c>
      <c r="F141" s="13">
        <v>18</v>
      </c>
      <c r="G141" s="13">
        <v>6</v>
      </c>
      <c r="H141" s="13">
        <v>19</v>
      </c>
      <c r="I141" s="13">
        <v>11</v>
      </c>
      <c r="J141" s="13">
        <v>23</v>
      </c>
      <c r="K141" s="12">
        <v>52</v>
      </c>
      <c r="L141" s="12">
        <v>29</v>
      </c>
      <c r="M141" s="49">
        <f t="shared" si="0"/>
        <v>243</v>
      </c>
    </row>
    <row r="142" spans="1:14" ht="19.5" thickBot="1" x14ac:dyDescent="0.3">
      <c r="A142" s="17" t="s">
        <v>14</v>
      </c>
      <c r="B142" s="20">
        <f>SUBTOTAL(109,Table112404142444647495051535658596079[BOX 1])</f>
        <v>31</v>
      </c>
      <c r="C142" s="21">
        <f>SUBTOTAL(109,Table112404142444647495051535658596079[BOX 2])</f>
        <v>43</v>
      </c>
      <c r="D142" s="21">
        <f>SUBTOTAL(109,Table112404142444647495051535658596079[BOX 3])</f>
        <v>35</v>
      </c>
      <c r="E142" s="21">
        <f>SUBTOTAL(109,Table112404142444647495051535658596079[BOX 4])</f>
        <v>2</v>
      </c>
      <c r="F142" s="21">
        <f>SUBTOTAL(109,Table112404142444647495051535658596079[BOX 5])</f>
        <v>29</v>
      </c>
      <c r="G142" s="21">
        <f>SUBTOTAL(109,Table112404142444647495051535658596079[BOX 6])</f>
        <v>7</v>
      </c>
      <c r="H142" s="21">
        <f>SUBTOTAL(109,Table112404142444647495051535658596079[BOX 7])</f>
        <v>39</v>
      </c>
      <c r="I142" s="21">
        <f>SUBTOTAL(109,Table112404142444647495051535658596079[BOX 8])</f>
        <v>21</v>
      </c>
      <c r="J142" s="21">
        <f>SUBTOTAL(109,Table112404142444647495051535658596079[BOX 10])</f>
        <v>34</v>
      </c>
      <c r="K142" s="21">
        <f>SUBTOTAL(109,Table112404142444647495051535658596079[BOX 11])</f>
        <v>60</v>
      </c>
      <c r="L142" s="21">
        <f>SUBTOTAL(109,Table112404142444647495051535658596079[BOX 12])</f>
        <v>41</v>
      </c>
      <c r="M142" s="50">
        <f>SUBTOTAL(109,Table112404142444647495051535658596079[TOTAL])</f>
        <v>342</v>
      </c>
    </row>
    <row r="143" spans="1:14" ht="15.75" x14ac:dyDescent="0.25">
      <c r="A143" s="18" t="s">
        <v>15</v>
      </c>
      <c r="B143" s="29">
        <v>0</v>
      </c>
      <c r="C143" s="22">
        <v>0</v>
      </c>
      <c r="D143" s="22">
        <v>0</v>
      </c>
      <c r="E143" s="22">
        <v>0</v>
      </c>
      <c r="F143" s="22">
        <v>0</v>
      </c>
      <c r="G143" s="22">
        <v>0</v>
      </c>
      <c r="H143" s="30">
        <v>0</v>
      </c>
      <c r="I143" s="30">
        <v>0</v>
      </c>
      <c r="J143" s="22">
        <v>0</v>
      </c>
      <c r="K143" s="22">
        <v>0</v>
      </c>
      <c r="L143" s="22">
        <v>0</v>
      </c>
      <c r="M143" s="51"/>
    </row>
    <row r="144" spans="1:14" x14ac:dyDescent="0.25">
      <c r="A144" s="33" t="s">
        <v>16</v>
      </c>
      <c r="B144" s="28">
        <v>4</v>
      </c>
      <c r="C144" s="28">
        <v>11</v>
      </c>
      <c r="D144" s="28">
        <v>16</v>
      </c>
      <c r="E144" s="28">
        <v>0</v>
      </c>
      <c r="F144" s="28">
        <v>7</v>
      </c>
      <c r="G144" s="28">
        <v>0</v>
      </c>
      <c r="H144" s="28">
        <v>11</v>
      </c>
      <c r="I144" s="28">
        <v>4</v>
      </c>
      <c r="J144" s="28">
        <v>8</v>
      </c>
      <c r="K144" s="28">
        <v>6</v>
      </c>
      <c r="L144" s="28">
        <v>4</v>
      </c>
      <c r="M144" s="52"/>
    </row>
    <row r="147" spans="1:14" ht="45" x14ac:dyDescent="0.25">
      <c r="A147" s="32" t="s">
        <v>100</v>
      </c>
      <c r="B147" s="4" t="s">
        <v>4</v>
      </c>
      <c r="C147" s="4" t="s">
        <v>47</v>
      </c>
      <c r="D147" s="4" t="s">
        <v>48</v>
      </c>
      <c r="E147" s="4" t="s">
        <v>51</v>
      </c>
      <c r="F147" s="4" t="s">
        <v>1</v>
      </c>
      <c r="G147" s="4" t="s">
        <v>2</v>
      </c>
      <c r="H147" s="4" t="s">
        <v>5</v>
      </c>
      <c r="I147" s="4" t="s">
        <v>4</v>
      </c>
      <c r="J147" s="4" t="s">
        <v>3</v>
      </c>
      <c r="K147" s="4" t="s">
        <v>47</v>
      </c>
      <c r="L147" s="4" t="s">
        <v>48</v>
      </c>
      <c r="M147" s="5"/>
      <c r="N147" s="53"/>
    </row>
    <row r="148" spans="1:14" ht="15.75" x14ac:dyDescent="0.25">
      <c r="A148" s="6" t="s">
        <v>6</v>
      </c>
      <c r="B148" s="8" t="s">
        <v>65</v>
      </c>
      <c r="C148" s="24" t="s">
        <v>45</v>
      </c>
      <c r="D148" s="7" t="s">
        <v>49</v>
      </c>
      <c r="E148" s="8" t="s">
        <v>7</v>
      </c>
      <c r="F148" s="8" t="s">
        <v>8</v>
      </c>
      <c r="G148" s="8" t="s">
        <v>9</v>
      </c>
      <c r="H148" s="8" t="s">
        <v>11</v>
      </c>
      <c r="I148" s="8" t="s">
        <v>66</v>
      </c>
      <c r="J148" s="8" t="s">
        <v>10</v>
      </c>
      <c r="K148" s="7" t="s">
        <v>46</v>
      </c>
      <c r="L148" s="7" t="s">
        <v>50</v>
      </c>
      <c r="M148" s="9" t="s">
        <v>12</v>
      </c>
    </row>
    <row r="149" spans="1:14" ht="19.5" thickBot="1" x14ac:dyDescent="0.35">
      <c r="A149" s="26" t="s">
        <v>101</v>
      </c>
      <c r="B149" s="13">
        <v>14</v>
      </c>
      <c r="C149" s="12">
        <v>18</v>
      </c>
      <c r="D149" s="12">
        <v>20</v>
      </c>
      <c r="E149" s="13">
        <v>0</v>
      </c>
      <c r="F149" s="13">
        <v>18</v>
      </c>
      <c r="G149" s="13">
        <v>1</v>
      </c>
      <c r="H149" s="13">
        <v>26</v>
      </c>
      <c r="I149" s="13">
        <v>15</v>
      </c>
      <c r="J149" s="13">
        <v>19</v>
      </c>
      <c r="K149" s="12">
        <v>21</v>
      </c>
      <c r="L149" s="12">
        <v>17</v>
      </c>
      <c r="M149" s="49">
        <f>SUM(Table11240414244464749505153565859606180[[#This Row],[BOX 1]:[BOX 12]])</f>
        <v>169</v>
      </c>
    </row>
    <row r="150" spans="1:14" ht="19.5" thickBot="1" x14ac:dyDescent="0.3">
      <c r="A150" s="17" t="s">
        <v>14</v>
      </c>
      <c r="B150" s="20">
        <f>SUBTOTAL(109,Table11240414244464749505153565859606180[BOX 1])</f>
        <v>14</v>
      </c>
      <c r="C150" s="21">
        <f>SUBTOTAL(109,Table11240414244464749505153565859606180[BOX 2])</f>
        <v>18</v>
      </c>
      <c r="D150" s="21">
        <f>SUBTOTAL(109,Table11240414244464749505153565859606180[BOX 3])</f>
        <v>20</v>
      </c>
      <c r="E150" s="21">
        <f>SUBTOTAL(109,Table11240414244464749505153565859606180[BOX 4])</f>
        <v>0</v>
      </c>
      <c r="F150" s="21">
        <f>SUBTOTAL(109,Table11240414244464749505153565859606180[BOX 5])</f>
        <v>18</v>
      </c>
      <c r="G150" s="21">
        <f>SUBTOTAL(109,Table11240414244464749505153565859606180[BOX 6])</f>
        <v>1</v>
      </c>
      <c r="H150" s="21">
        <f>SUBTOTAL(109,Table11240414244464749505153565859606180[BOX 7])</f>
        <v>26</v>
      </c>
      <c r="I150" s="21">
        <f>SUBTOTAL(109,Table11240414244464749505153565859606180[BOX 8])</f>
        <v>15</v>
      </c>
      <c r="J150" s="21">
        <f>SUBTOTAL(109,Table11240414244464749505153565859606180[BOX 10])</f>
        <v>19</v>
      </c>
      <c r="K150" s="21">
        <f>SUBTOTAL(109,Table11240414244464749505153565859606180[BOX 11])</f>
        <v>21</v>
      </c>
      <c r="L150" s="21">
        <f>SUBTOTAL(109,Table11240414244464749505153565859606180[BOX 12])</f>
        <v>17</v>
      </c>
      <c r="M150" s="50">
        <f>SUBTOTAL(109,Table11240414244464749505153565859606180[TOTAL])</f>
        <v>169</v>
      </c>
    </row>
    <row r="151" spans="1:14" ht="15.75" x14ac:dyDescent="0.25">
      <c r="A151" s="18" t="s">
        <v>15</v>
      </c>
      <c r="B151" s="29">
        <v>0</v>
      </c>
      <c r="C151" s="22">
        <v>0</v>
      </c>
      <c r="D151" s="22">
        <v>0</v>
      </c>
      <c r="E151" s="22">
        <v>0</v>
      </c>
      <c r="F151" s="22">
        <v>0</v>
      </c>
      <c r="G151" s="22">
        <v>0</v>
      </c>
      <c r="H151" s="30">
        <v>0</v>
      </c>
      <c r="I151" s="30">
        <v>0</v>
      </c>
      <c r="J151" s="22">
        <v>0</v>
      </c>
      <c r="K151" s="22">
        <v>0</v>
      </c>
      <c r="L151" s="22">
        <v>0</v>
      </c>
      <c r="M151" s="51"/>
    </row>
    <row r="152" spans="1:14" x14ac:dyDescent="0.25">
      <c r="A152" s="33" t="s">
        <v>16</v>
      </c>
      <c r="B152" s="28">
        <v>21</v>
      </c>
      <c r="C152" s="28">
        <v>36</v>
      </c>
      <c r="D152" s="28">
        <v>31</v>
      </c>
      <c r="E152" s="28">
        <v>2</v>
      </c>
      <c r="F152" s="28">
        <v>18</v>
      </c>
      <c r="G152" s="28">
        <v>6</v>
      </c>
      <c r="H152" s="28">
        <v>24</v>
      </c>
      <c r="I152" s="28">
        <v>10</v>
      </c>
      <c r="J152" s="28">
        <v>23</v>
      </c>
      <c r="K152" s="28">
        <v>45</v>
      </c>
      <c r="L152" s="28">
        <v>28</v>
      </c>
      <c r="M152" s="52"/>
    </row>
    <row r="153" spans="1:14" x14ac:dyDescent="0.25">
      <c r="A153" s="37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</row>
    <row r="155" spans="1:14" ht="45" x14ac:dyDescent="0.25">
      <c r="A155" s="32" t="s">
        <v>102</v>
      </c>
      <c r="B155" s="4" t="s">
        <v>4</v>
      </c>
      <c r="C155" s="4" t="s">
        <v>47</v>
      </c>
      <c r="D155" s="4" t="s">
        <v>48</v>
      </c>
      <c r="E155" s="4" t="s">
        <v>51</v>
      </c>
      <c r="F155" s="4" t="s">
        <v>1</v>
      </c>
      <c r="G155" s="4" t="s">
        <v>2</v>
      </c>
      <c r="H155" s="4" t="s">
        <v>5</v>
      </c>
      <c r="I155" s="4" t="s">
        <v>4</v>
      </c>
      <c r="J155" s="4" t="s">
        <v>3</v>
      </c>
      <c r="K155" s="4" t="s">
        <v>47</v>
      </c>
      <c r="L155" s="4" t="s">
        <v>48</v>
      </c>
      <c r="M155" s="5"/>
      <c r="N155" s="53"/>
    </row>
    <row r="156" spans="1:14" ht="15.75" x14ac:dyDescent="0.25">
      <c r="A156" s="6" t="s">
        <v>6</v>
      </c>
      <c r="B156" s="8" t="s">
        <v>65</v>
      </c>
      <c r="C156" s="24" t="s">
        <v>45</v>
      </c>
      <c r="D156" s="7" t="s">
        <v>49</v>
      </c>
      <c r="E156" s="8" t="s">
        <v>7</v>
      </c>
      <c r="F156" s="8" t="s">
        <v>8</v>
      </c>
      <c r="G156" s="8" t="s">
        <v>9</v>
      </c>
      <c r="H156" s="8" t="s">
        <v>11</v>
      </c>
      <c r="I156" s="8" t="s">
        <v>66</v>
      </c>
      <c r="J156" s="8" t="s">
        <v>10</v>
      </c>
      <c r="K156" s="7" t="s">
        <v>46</v>
      </c>
      <c r="L156" s="7" t="s">
        <v>50</v>
      </c>
      <c r="M156" s="9" t="s">
        <v>12</v>
      </c>
    </row>
    <row r="157" spans="1:14" ht="19.5" thickBot="1" x14ac:dyDescent="0.35">
      <c r="A157" s="26" t="s">
        <v>36</v>
      </c>
      <c r="B157" s="13">
        <v>28</v>
      </c>
      <c r="C157" s="12">
        <v>34</v>
      </c>
      <c r="D157" s="12">
        <v>32</v>
      </c>
      <c r="E157" s="13">
        <v>1</v>
      </c>
      <c r="F157" s="13">
        <v>24</v>
      </c>
      <c r="G157" s="13">
        <v>6</v>
      </c>
      <c r="H157" s="13">
        <v>31</v>
      </c>
      <c r="I157" s="13">
        <v>16</v>
      </c>
      <c r="J157" s="13">
        <v>33</v>
      </c>
      <c r="K157" s="12">
        <v>49</v>
      </c>
      <c r="L157" s="12">
        <v>30</v>
      </c>
      <c r="M157" s="49">
        <f>SUM(Table1124041424446474950515356585960616281[[#This Row],[BOX 1]:[BOX 12]])</f>
        <v>284</v>
      </c>
    </row>
    <row r="158" spans="1:14" ht="19.5" thickBot="1" x14ac:dyDescent="0.3">
      <c r="A158" s="17" t="s">
        <v>14</v>
      </c>
      <c r="B158" s="20">
        <f>SUBTOTAL(109,Table1124041424446474950515356585960616281[BOX 1])</f>
        <v>28</v>
      </c>
      <c r="C158" s="21">
        <f>SUBTOTAL(109,Table1124041424446474950515356585960616281[BOX 2])</f>
        <v>34</v>
      </c>
      <c r="D158" s="21">
        <f>SUBTOTAL(109,Table1124041424446474950515356585960616281[BOX 3])</f>
        <v>32</v>
      </c>
      <c r="E158" s="21">
        <f>SUBTOTAL(109,Table1124041424446474950515356585960616281[BOX 4])</f>
        <v>1</v>
      </c>
      <c r="F158" s="21">
        <f>SUBTOTAL(109,Table1124041424446474950515356585960616281[BOX 5])</f>
        <v>24</v>
      </c>
      <c r="G158" s="21">
        <f>SUBTOTAL(109,Table1124041424446474950515356585960616281[BOX 6])</f>
        <v>6</v>
      </c>
      <c r="H158" s="21">
        <f>SUBTOTAL(109,Table1124041424446474950515356585960616281[BOX 7])</f>
        <v>31</v>
      </c>
      <c r="I158" s="21">
        <f>SUBTOTAL(109,Table1124041424446474950515356585960616281[BOX 8])</f>
        <v>16</v>
      </c>
      <c r="J158" s="21">
        <f>SUBTOTAL(109,Table1124041424446474950515356585960616281[BOX 10])</f>
        <v>33</v>
      </c>
      <c r="K158" s="21">
        <f>SUBTOTAL(109,Table1124041424446474950515356585960616281[BOX 11])</f>
        <v>49</v>
      </c>
      <c r="L158" s="21">
        <f>SUBTOTAL(109,Table1124041424446474950515356585960616281[BOX 12])</f>
        <v>30</v>
      </c>
      <c r="M158" s="50">
        <f>SUBTOTAL(109,Table1124041424446474950515356585960616281[TOTAL])</f>
        <v>284</v>
      </c>
    </row>
    <row r="159" spans="1:14" ht="15.75" x14ac:dyDescent="0.25">
      <c r="A159" s="18" t="s">
        <v>15</v>
      </c>
      <c r="B159" s="29">
        <v>0</v>
      </c>
      <c r="C159" s="22">
        <v>0</v>
      </c>
      <c r="D159" s="22">
        <v>0</v>
      </c>
      <c r="E159" s="22">
        <v>0</v>
      </c>
      <c r="F159" s="22">
        <v>0</v>
      </c>
      <c r="G159" s="22">
        <v>0</v>
      </c>
      <c r="H159" s="30">
        <v>0</v>
      </c>
      <c r="I159" s="30">
        <v>0</v>
      </c>
      <c r="J159" s="22">
        <v>0</v>
      </c>
      <c r="K159" s="22">
        <v>0</v>
      </c>
      <c r="L159" s="22">
        <v>0</v>
      </c>
      <c r="M159" s="51"/>
    </row>
    <row r="160" spans="1:14" x14ac:dyDescent="0.25">
      <c r="A160" s="33" t="s">
        <v>16</v>
      </c>
      <c r="B160" s="28">
        <v>7</v>
      </c>
      <c r="C160" s="28">
        <v>20</v>
      </c>
      <c r="D160" s="28">
        <v>19</v>
      </c>
      <c r="E160" s="28">
        <v>1</v>
      </c>
      <c r="F160" s="28">
        <v>12</v>
      </c>
      <c r="G160" s="28">
        <v>1</v>
      </c>
      <c r="H160" s="28">
        <v>19</v>
      </c>
      <c r="I160" s="28">
        <v>9</v>
      </c>
      <c r="J160" s="28">
        <v>9</v>
      </c>
      <c r="K160" s="28">
        <v>17</v>
      </c>
      <c r="L160" s="28">
        <v>15</v>
      </c>
      <c r="M160" s="52"/>
    </row>
    <row r="163" spans="1:4" ht="31.5" x14ac:dyDescent="0.25">
      <c r="A163" s="32" t="s">
        <v>103</v>
      </c>
      <c r="B163" s="48" t="s">
        <v>6</v>
      </c>
      <c r="C163" s="48"/>
      <c r="D163" s="48"/>
    </row>
    <row r="164" spans="1:4" x14ac:dyDescent="0.25">
      <c r="A164" s="23" t="s">
        <v>37</v>
      </c>
      <c r="B164" s="40" t="s">
        <v>38</v>
      </c>
      <c r="C164" s="40"/>
      <c r="D164" s="40"/>
    </row>
    <row r="165" spans="1:4" x14ac:dyDescent="0.25">
      <c r="A165" s="23" t="s">
        <v>39</v>
      </c>
      <c r="B165" s="40" t="s">
        <v>40</v>
      </c>
      <c r="C165" s="40"/>
      <c r="D165" s="40"/>
    </row>
    <row r="166" spans="1:4" x14ac:dyDescent="0.25">
      <c r="A166" s="35" t="s">
        <v>41</v>
      </c>
      <c r="B166" s="41" t="s">
        <v>104</v>
      </c>
      <c r="C166" s="41"/>
      <c r="D166" s="41"/>
    </row>
    <row r="167" spans="1:4" x14ac:dyDescent="0.25">
      <c r="A167" s="23" t="s">
        <v>105</v>
      </c>
      <c r="B167" s="40" t="s">
        <v>106</v>
      </c>
      <c r="C167" s="40"/>
      <c r="D167" s="40"/>
    </row>
    <row r="168" spans="1:4" x14ac:dyDescent="0.25">
      <c r="A168" s="23" t="s">
        <v>107</v>
      </c>
      <c r="B168" s="40" t="s">
        <v>108</v>
      </c>
      <c r="C168" s="40"/>
      <c r="D168" s="40"/>
    </row>
    <row r="169" spans="1:4" x14ac:dyDescent="0.25">
      <c r="A169" s="23" t="s">
        <v>109</v>
      </c>
      <c r="B169" s="40" t="s">
        <v>110</v>
      </c>
      <c r="C169" s="40"/>
      <c r="D169" s="40"/>
    </row>
    <row r="170" spans="1:4" x14ac:dyDescent="0.25">
      <c r="A170" s="23" t="s">
        <v>111</v>
      </c>
      <c r="B170" s="40" t="s">
        <v>42</v>
      </c>
      <c r="C170" s="40"/>
      <c r="D170" s="40"/>
    </row>
    <row r="171" spans="1:4" x14ac:dyDescent="0.25">
      <c r="A171" s="23" t="s">
        <v>112</v>
      </c>
      <c r="B171" s="40" t="s">
        <v>115</v>
      </c>
      <c r="C171" s="40"/>
      <c r="D171" s="40"/>
    </row>
    <row r="172" spans="1:4" x14ac:dyDescent="0.25">
      <c r="A172" s="23" t="s">
        <v>113</v>
      </c>
      <c r="B172" s="40" t="s">
        <v>116</v>
      </c>
      <c r="C172" s="40"/>
      <c r="D172" s="40"/>
    </row>
    <row r="173" spans="1:4" ht="15.75" customHeight="1" x14ac:dyDescent="0.25">
      <c r="A173" s="23" t="s">
        <v>114</v>
      </c>
      <c r="B173" s="40" t="s">
        <v>43</v>
      </c>
      <c r="C173" s="40"/>
      <c r="D173" s="36"/>
    </row>
    <row r="217" spans="8:14" s="23" customFormat="1" x14ac:dyDescent="0.25">
      <c r="H217" s="1"/>
      <c r="I217" s="1"/>
      <c r="J217" s="1"/>
      <c r="K217" s="2"/>
      <c r="L217" s="1"/>
      <c r="M217" s="1"/>
      <c r="N217" s="38"/>
    </row>
    <row r="218" spans="8:14" s="23" customFormat="1" ht="15" customHeight="1" x14ac:dyDescent="0.25">
      <c r="H218" s="1"/>
      <c r="I218" s="1"/>
      <c r="J218" s="1"/>
      <c r="K218" s="2"/>
      <c r="L218" s="1"/>
      <c r="M218" s="1"/>
      <c r="N218" s="38"/>
    </row>
    <row r="219" spans="8:14" s="23" customFormat="1" x14ac:dyDescent="0.25">
      <c r="H219" s="1"/>
      <c r="I219" s="1"/>
      <c r="J219" s="1"/>
      <c r="K219" s="2"/>
      <c r="L219" s="1"/>
      <c r="M219" s="1"/>
      <c r="N219" s="38"/>
    </row>
    <row r="220" spans="8:14" s="23" customFormat="1" x14ac:dyDescent="0.25">
      <c r="H220" s="1"/>
      <c r="I220" s="1"/>
      <c r="J220" s="1"/>
      <c r="K220" s="2"/>
      <c r="L220" s="1"/>
      <c r="M220" s="1"/>
      <c r="N220" s="38"/>
    </row>
    <row r="221" spans="8:14" s="23" customFormat="1" x14ac:dyDescent="0.25">
      <c r="H221" s="1"/>
      <c r="I221" s="1"/>
      <c r="J221" s="1"/>
      <c r="K221" s="2"/>
      <c r="L221" s="1"/>
      <c r="M221" s="1"/>
      <c r="N221" s="38"/>
    </row>
    <row r="222" spans="8:14" s="23" customFormat="1" x14ac:dyDescent="0.25">
      <c r="H222" s="1"/>
      <c r="I222" s="1"/>
      <c r="J222" s="1"/>
      <c r="K222" s="2"/>
      <c r="L222" s="1"/>
      <c r="M222" s="1"/>
      <c r="N222" s="38"/>
    </row>
    <row r="223" spans="8:14" s="23" customFormat="1" x14ac:dyDescent="0.25">
      <c r="H223" s="1"/>
      <c r="I223" s="1"/>
      <c r="J223" s="1"/>
      <c r="K223" s="2"/>
      <c r="L223" s="1"/>
      <c r="M223" s="1"/>
      <c r="N223" s="38"/>
    </row>
    <row r="224" spans="8:14" s="23" customFormat="1" x14ac:dyDescent="0.25">
      <c r="H224" s="1"/>
      <c r="I224" s="1"/>
      <c r="J224" s="1"/>
      <c r="K224" s="2"/>
      <c r="L224" s="1"/>
      <c r="M224" s="1"/>
      <c r="N224" s="38"/>
    </row>
    <row r="225" spans="8:14" s="23" customFormat="1" x14ac:dyDescent="0.25">
      <c r="H225" s="1"/>
      <c r="I225" s="1"/>
      <c r="J225" s="1"/>
      <c r="K225" s="2"/>
      <c r="L225" s="1"/>
      <c r="M225" s="1"/>
      <c r="N225" s="38"/>
    </row>
  </sheetData>
  <mergeCells count="15">
    <mergeCell ref="A1:K1"/>
    <mergeCell ref="A2:E2"/>
    <mergeCell ref="F2:G2"/>
    <mergeCell ref="H2:I2"/>
    <mergeCell ref="B163:D163"/>
    <mergeCell ref="B170:D170"/>
    <mergeCell ref="B171:D171"/>
    <mergeCell ref="B172:D172"/>
    <mergeCell ref="B173:C173"/>
    <mergeCell ref="B164:D164"/>
    <mergeCell ref="B165:D165"/>
    <mergeCell ref="B166:D166"/>
    <mergeCell ref="B167:D167"/>
    <mergeCell ref="B168:D168"/>
    <mergeCell ref="B169:D169"/>
  </mergeCells>
  <printOptions horizontalCentered="1" verticalCentered="1" gridLines="1"/>
  <pageMargins left="0.25" right="0.25" top="0.75" bottom="0.75" header="0.3" footer="0.3"/>
  <pageSetup scale="81" fitToHeight="0" orientation="landscape" r:id="rId1"/>
  <headerFooter>
    <oddHeader>&amp;L&amp;"Times New Roman,Bold"&amp;14&amp;K000000NOVEMBER 3, 2020 
REEVES COUNTY TEXAS&amp;C&amp;"Times New Roman,Bold"&amp;14&amp;K000000GENERAL ELECTION&amp;R&amp;"Times New Roman,Bold"&amp;14&amp;K000000BY MAIL (AV)- BY PRICINCT TOTALS</oddHeader>
  </headerFooter>
  <tableParts count="1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87A5F-7BC8-48FC-B42D-274A4C261512}">
  <sheetPr>
    <pageSetUpPr fitToPage="1"/>
  </sheetPr>
  <dimension ref="A1:N224"/>
  <sheetViews>
    <sheetView view="pageLayout" topLeftCell="A65" zoomScaleNormal="100" workbookViewId="0">
      <selection activeCell="M122" sqref="M122"/>
    </sheetView>
  </sheetViews>
  <sheetFormatPr defaultRowHeight="15" x14ac:dyDescent="0.25"/>
  <cols>
    <col min="1" max="1" width="32.85546875" style="23" bestFit="1" customWidth="1"/>
    <col min="2" max="2" width="10.85546875" style="23" customWidth="1"/>
    <col min="3" max="3" width="9.7109375" style="23" customWidth="1"/>
    <col min="4" max="6" width="11.7109375" style="23" bestFit="1" customWidth="1"/>
    <col min="7" max="7" width="11" style="23" customWidth="1"/>
    <col min="8" max="8" width="11.5703125" style="1" customWidth="1"/>
    <col min="9" max="9" width="11.7109375" style="1" bestFit="1" customWidth="1"/>
    <col min="10" max="10" width="13" style="1" bestFit="1" customWidth="1"/>
    <col min="11" max="11" width="9.140625" style="2"/>
    <col min="12" max="12" width="11" style="1" customWidth="1"/>
    <col min="13" max="13" width="9.140625" style="1"/>
    <col min="14" max="14" width="3.28515625" style="38" hidden="1" customWidth="1"/>
    <col min="15" max="16384" width="9.140625" style="1"/>
  </cols>
  <sheetData>
    <row r="1" spans="1:14" ht="15.75" customHeight="1" x14ac:dyDescent="0.25">
      <c r="A1" s="42" t="s">
        <v>117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4" ht="64.5" customHeight="1" x14ac:dyDescent="0.25">
      <c r="A2" s="43" t="s">
        <v>126</v>
      </c>
      <c r="B2" s="43"/>
      <c r="C2" s="43"/>
      <c r="D2" s="43"/>
      <c r="E2" s="43"/>
      <c r="F2" s="44" t="s">
        <v>125</v>
      </c>
      <c r="G2" s="45"/>
      <c r="H2" s="46" t="s">
        <v>0</v>
      </c>
      <c r="I2" s="47"/>
    </row>
    <row r="3" spans="1:14" ht="45" x14ac:dyDescent="0.25">
      <c r="A3" s="3" t="s">
        <v>44</v>
      </c>
      <c r="B3" s="4" t="s">
        <v>4</v>
      </c>
      <c r="C3" s="4" t="s">
        <v>47</v>
      </c>
      <c r="D3" s="4" t="s">
        <v>48</v>
      </c>
      <c r="E3" s="4" t="s">
        <v>51</v>
      </c>
      <c r="F3" s="4" t="s">
        <v>1</v>
      </c>
      <c r="G3" s="4" t="s">
        <v>2</v>
      </c>
      <c r="H3" s="4" t="s">
        <v>5</v>
      </c>
      <c r="I3" s="4" t="s">
        <v>4</v>
      </c>
      <c r="J3" s="4" t="s">
        <v>3</v>
      </c>
      <c r="K3" s="4" t="s">
        <v>47</v>
      </c>
      <c r="L3" s="4" t="s">
        <v>48</v>
      </c>
      <c r="M3" s="5"/>
      <c r="N3" s="53"/>
    </row>
    <row r="4" spans="1:14" x14ac:dyDescent="0.25">
      <c r="A4" s="39" t="s">
        <v>119</v>
      </c>
      <c r="B4" s="5">
        <v>118</v>
      </c>
      <c r="C4" s="5">
        <v>321</v>
      </c>
      <c r="D4" s="5">
        <v>415</v>
      </c>
      <c r="E4" s="5">
        <v>10</v>
      </c>
      <c r="F4" s="5">
        <v>46</v>
      </c>
      <c r="G4" s="5">
        <v>17</v>
      </c>
      <c r="H4" s="5">
        <v>342</v>
      </c>
      <c r="I4" s="5">
        <v>146</v>
      </c>
      <c r="J4" s="5">
        <v>316</v>
      </c>
      <c r="K4" s="5">
        <v>242</v>
      </c>
      <c r="L4" s="5">
        <v>413</v>
      </c>
      <c r="M4" s="5">
        <f>SUM(B4:L4)</f>
        <v>2386</v>
      </c>
      <c r="N4" s="53"/>
    </row>
    <row r="5" spans="1:14" s="5" customFormat="1" ht="15.75" x14ac:dyDescent="0.2">
      <c r="A5" s="6" t="s">
        <v>6</v>
      </c>
      <c r="B5" s="8" t="s">
        <v>65</v>
      </c>
      <c r="C5" s="24" t="s">
        <v>45</v>
      </c>
      <c r="D5" s="7" t="s">
        <v>49</v>
      </c>
      <c r="E5" s="8" t="s">
        <v>7</v>
      </c>
      <c r="F5" s="8" t="s">
        <v>8</v>
      </c>
      <c r="G5" s="8" t="s">
        <v>9</v>
      </c>
      <c r="H5" s="8" t="s">
        <v>11</v>
      </c>
      <c r="I5" s="8" t="s">
        <v>66</v>
      </c>
      <c r="J5" s="8" t="s">
        <v>10</v>
      </c>
      <c r="K5" s="7" t="s">
        <v>46</v>
      </c>
      <c r="L5" s="7" t="s">
        <v>50</v>
      </c>
      <c r="M5" s="9" t="s">
        <v>12</v>
      </c>
      <c r="N5" s="55" t="s">
        <v>128</v>
      </c>
    </row>
    <row r="6" spans="1:14" ht="18.75" x14ac:dyDescent="0.3">
      <c r="A6" s="25" t="s">
        <v>58</v>
      </c>
      <c r="B6" s="13">
        <v>72</v>
      </c>
      <c r="C6" s="12">
        <v>171</v>
      </c>
      <c r="D6" s="12">
        <v>263</v>
      </c>
      <c r="E6" s="13">
        <v>8</v>
      </c>
      <c r="F6" s="13">
        <v>35</v>
      </c>
      <c r="G6" s="13">
        <v>12</v>
      </c>
      <c r="H6" s="13">
        <v>215</v>
      </c>
      <c r="I6" s="13">
        <v>89</v>
      </c>
      <c r="J6" s="13">
        <v>190</v>
      </c>
      <c r="K6" s="12">
        <v>117</v>
      </c>
      <c r="L6" s="12">
        <v>277</v>
      </c>
      <c r="M6" s="49">
        <f>SUM(Table11264118[[#This Row],[BOX 1]:[BOX 12]])</f>
        <v>1449</v>
      </c>
      <c r="N6" s="56"/>
    </row>
    <row r="7" spans="1:14" ht="18.75" x14ac:dyDescent="0.3">
      <c r="A7" s="25" t="s">
        <v>52</v>
      </c>
      <c r="B7" s="13">
        <v>43</v>
      </c>
      <c r="C7" s="12">
        <v>134</v>
      </c>
      <c r="D7" s="12">
        <v>142</v>
      </c>
      <c r="E7" s="13">
        <v>2</v>
      </c>
      <c r="F7" s="13">
        <v>10</v>
      </c>
      <c r="G7" s="13">
        <v>5</v>
      </c>
      <c r="H7" s="13">
        <v>116</v>
      </c>
      <c r="I7" s="13">
        <v>52</v>
      </c>
      <c r="J7" s="13">
        <v>117</v>
      </c>
      <c r="K7" s="12">
        <v>114</v>
      </c>
      <c r="L7" s="12">
        <v>129</v>
      </c>
      <c r="M7" s="49">
        <f>SUM(Table11264118[[#This Row],[BOX 1]:[BOX 12]])</f>
        <v>864</v>
      </c>
      <c r="N7" s="57"/>
    </row>
    <row r="8" spans="1:14" ht="18.75" x14ac:dyDescent="0.3">
      <c r="A8" s="25" t="s">
        <v>53</v>
      </c>
      <c r="B8" s="13">
        <v>1</v>
      </c>
      <c r="C8" s="12">
        <v>3</v>
      </c>
      <c r="D8" s="12">
        <v>3</v>
      </c>
      <c r="E8" s="13">
        <v>0</v>
      </c>
      <c r="F8" s="13">
        <v>1</v>
      </c>
      <c r="G8" s="13">
        <v>0</v>
      </c>
      <c r="H8" s="13">
        <v>4</v>
      </c>
      <c r="I8" s="13">
        <v>1</v>
      </c>
      <c r="J8" s="13">
        <v>3</v>
      </c>
      <c r="K8" s="12">
        <v>0</v>
      </c>
      <c r="L8" s="12">
        <v>0</v>
      </c>
      <c r="M8" s="49">
        <f>SUM(Table11264118[[#This Row],[BOX 1]:[BOX 12]])</f>
        <v>16</v>
      </c>
      <c r="N8" s="57"/>
    </row>
    <row r="9" spans="1:14" ht="18.75" x14ac:dyDescent="0.3">
      <c r="A9" s="25" t="s">
        <v>54</v>
      </c>
      <c r="B9" s="13">
        <v>0</v>
      </c>
      <c r="C9" s="12">
        <v>2</v>
      </c>
      <c r="D9" s="12">
        <v>2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2</v>
      </c>
      <c r="K9" s="12">
        <v>0</v>
      </c>
      <c r="L9" s="12">
        <v>0</v>
      </c>
      <c r="M9" s="49">
        <f>SUM(Table11264118[[#This Row],[BOX 1]:[BOX 12]])</f>
        <v>6</v>
      </c>
      <c r="N9" s="57"/>
    </row>
    <row r="10" spans="1:14" ht="18.75" x14ac:dyDescent="0.3">
      <c r="A10" s="25" t="s">
        <v>55</v>
      </c>
      <c r="B10" s="13">
        <v>1</v>
      </c>
      <c r="C10" s="12">
        <v>0</v>
      </c>
      <c r="D10" s="12">
        <v>0</v>
      </c>
      <c r="E10" s="13">
        <v>0</v>
      </c>
      <c r="F10" s="13">
        <v>0</v>
      </c>
      <c r="G10" s="13">
        <v>0</v>
      </c>
      <c r="H10" s="13">
        <v>0</v>
      </c>
      <c r="I10" s="13">
        <v>1</v>
      </c>
      <c r="J10" s="13">
        <v>0</v>
      </c>
      <c r="K10" s="12">
        <v>0</v>
      </c>
      <c r="L10" s="12">
        <v>0</v>
      </c>
      <c r="M10" s="49">
        <f>SUM(Table11264118[[#This Row],[BOX 1]:[BOX 12]])</f>
        <v>2</v>
      </c>
      <c r="N10" s="57"/>
    </row>
    <row r="11" spans="1:14" ht="18.75" x14ac:dyDescent="0.3">
      <c r="A11" s="25" t="s">
        <v>56</v>
      </c>
      <c r="B11" s="13">
        <v>0</v>
      </c>
      <c r="C11" s="12">
        <v>0</v>
      </c>
      <c r="D11" s="12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2">
        <v>0</v>
      </c>
      <c r="L11" s="12">
        <v>0</v>
      </c>
      <c r="M11" s="49">
        <f>SUM(Table11264118[[#This Row],[BOX 1]:[BOX 12]])</f>
        <v>0</v>
      </c>
      <c r="N11" s="57"/>
    </row>
    <row r="12" spans="1:14" ht="18.75" x14ac:dyDescent="0.3">
      <c r="A12" s="25" t="s">
        <v>57</v>
      </c>
      <c r="B12" s="13">
        <v>0</v>
      </c>
      <c r="C12" s="12">
        <v>0</v>
      </c>
      <c r="D12" s="12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2">
        <v>0</v>
      </c>
      <c r="L12" s="12">
        <v>0</v>
      </c>
      <c r="M12" s="49">
        <f>SUM(Table11264118[[#This Row],[BOX 1]:[BOX 12]])</f>
        <v>0</v>
      </c>
      <c r="N12" s="57"/>
    </row>
    <row r="13" spans="1:14" ht="18.75" x14ac:dyDescent="0.25">
      <c r="A13" s="25" t="s">
        <v>59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49">
        <f>SUM(Table11264118[[#This Row],[BOX 1]:[BOX 12]])</f>
        <v>0</v>
      </c>
      <c r="N13" s="57"/>
    </row>
    <row r="14" spans="1:14" s="15" customFormat="1" ht="18.75" x14ac:dyDescent="0.25">
      <c r="A14" s="25" t="s">
        <v>60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49">
        <f>SUM(Table11264118[[#This Row],[BOX 1]:[BOX 12]])</f>
        <v>0</v>
      </c>
      <c r="N14" s="57"/>
    </row>
    <row r="15" spans="1:14" ht="18.75" x14ac:dyDescent="0.25">
      <c r="A15" s="25" t="s">
        <v>61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49">
        <f>SUM(Table11264118[[#This Row],[BOX 1]:[BOX 12]])</f>
        <v>0</v>
      </c>
      <c r="N15" s="57"/>
    </row>
    <row r="16" spans="1:14" ht="18.75" x14ac:dyDescent="0.3">
      <c r="A16" s="25" t="s">
        <v>62</v>
      </c>
      <c r="B16" s="13">
        <v>0</v>
      </c>
      <c r="C16" s="12">
        <v>0</v>
      </c>
      <c r="D16" s="12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2">
        <v>0</v>
      </c>
      <c r="L16" s="12">
        <v>0</v>
      </c>
      <c r="M16" s="49">
        <f>SUM(Table11264118[[#This Row],[BOX 1]:[BOX 12]])</f>
        <v>0</v>
      </c>
      <c r="N16" s="57"/>
    </row>
    <row r="17" spans="1:14" ht="18.75" x14ac:dyDescent="0.3">
      <c r="A17" s="25" t="s">
        <v>63</v>
      </c>
      <c r="B17" s="13">
        <v>0</v>
      </c>
      <c r="C17" s="12">
        <v>0</v>
      </c>
      <c r="D17" s="12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2">
        <v>0</v>
      </c>
      <c r="L17" s="12">
        <v>0</v>
      </c>
      <c r="M17" s="49">
        <f>SUM(Table11264118[[#This Row],[BOX 1]:[BOX 12]])</f>
        <v>0</v>
      </c>
      <c r="N17" s="57"/>
    </row>
    <row r="18" spans="1:14" ht="19.5" thickBot="1" x14ac:dyDescent="0.35">
      <c r="A18" s="25" t="s">
        <v>64</v>
      </c>
      <c r="B18" s="13">
        <v>0</v>
      </c>
      <c r="C18" s="12">
        <v>0</v>
      </c>
      <c r="D18" s="12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2">
        <v>0</v>
      </c>
      <c r="L18" s="12">
        <v>0</v>
      </c>
      <c r="M18" s="49">
        <f>SUM(Table11264118[[#This Row],[BOX 1]:[BOX 12]])</f>
        <v>0</v>
      </c>
      <c r="N18" s="57"/>
    </row>
    <row r="19" spans="1:14" s="5" customFormat="1" ht="19.5" thickBot="1" x14ac:dyDescent="0.25">
      <c r="A19" s="17" t="s">
        <v>14</v>
      </c>
      <c r="B19" s="20">
        <f>SUBTOTAL(109,Table11264118[BOX 1])</f>
        <v>117</v>
      </c>
      <c r="C19" s="21">
        <f>SUBTOTAL(109,Table11264118[BOX 2])</f>
        <v>310</v>
      </c>
      <c r="D19" s="21">
        <f>SUBTOTAL(109,Table11264118[BOX 3])</f>
        <v>410</v>
      </c>
      <c r="E19" s="21">
        <f>SUBTOTAL(109,Table11264118[BOX 4])</f>
        <v>10</v>
      </c>
      <c r="F19" s="21">
        <f>SUBTOTAL(109,Table11264118[BOX 5])</f>
        <v>46</v>
      </c>
      <c r="G19" s="21">
        <f>SUBTOTAL(109,Table11264118[BOX 6])</f>
        <v>17</v>
      </c>
      <c r="H19" s="21">
        <f>SUBTOTAL(109,Table11264118[BOX 7])</f>
        <v>335</v>
      </c>
      <c r="I19" s="21">
        <f>SUBTOTAL(109,Table11264118[BOX 8])</f>
        <v>143</v>
      </c>
      <c r="J19" s="21">
        <f>SUBTOTAL(109,Table11264118[BOX 10])</f>
        <v>312</v>
      </c>
      <c r="K19" s="21">
        <f>SUBTOTAL(109,Table11264118[BOX 11])</f>
        <v>231</v>
      </c>
      <c r="L19" s="21">
        <f>SUBTOTAL(109,Table11264118[BOX 12])</f>
        <v>406</v>
      </c>
      <c r="M19" s="50">
        <f>SUBTOTAL(109,Table11264118[TOTAL])</f>
        <v>2337</v>
      </c>
      <c r="N19" s="58"/>
    </row>
    <row r="20" spans="1:14" s="16" customFormat="1" ht="15.75" x14ac:dyDescent="0.25">
      <c r="A20" s="18" t="s">
        <v>15</v>
      </c>
      <c r="B20" s="29">
        <v>1</v>
      </c>
      <c r="C20" s="22">
        <v>1</v>
      </c>
      <c r="D20" s="22">
        <v>0</v>
      </c>
      <c r="E20" s="22">
        <v>0</v>
      </c>
      <c r="F20" s="22">
        <v>0</v>
      </c>
      <c r="G20" s="22">
        <v>0</v>
      </c>
      <c r="H20" s="30">
        <v>0</v>
      </c>
      <c r="I20" s="30">
        <v>1</v>
      </c>
      <c r="J20" s="22">
        <v>0</v>
      </c>
      <c r="K20" s="22">
        <v>2</v>
      </c>
      <c r="L20" s="22">
        <v>2</v>
      </c>
      <c r="M20" s="51"/>
      <c r="N20" s="38"/>
    </row>
    <row r="21" spans="1:14" ht="15.75" x14ac:dyDescent="0.25">
      <c r="A21" s="19" t="s">
        <v>16</v>
      </c>
      <c r="B21" s="14">
        <v>0</v>
      </c>
      <c r="C21" s="14">
        <v>10</v>
      </c>
      <c r="D21" s="14">
        <v>5</v>
      </c>
      <c r="E21" s="14">
        <v>0</v>
      </c>
      <c r="F21" s="14">
        <v>0</v>
      </c>
      <c r="G21" s="28">
        <v>0</v>
      </c>
      <c r="H21" s="28">
        <v>7</v>
      </c>
      <c r="I21" s="14">
        <v>2</v>
      </c>
      <c r="J21" s="14">
        <v>4</v>
      </c>
      <c r="K21" s="14">
        <v>9</v>
      </c>
      <c r="L21" s="14">
        <v>5</v>
      </c>
      <c r="M21" s="52"/>
    </row>
    <row r="22" spans="1:14" s="5" customFormat="1" ht="45" x14ac:dyDescent="0.2">
      <c r="A22" s="3" t="s">
        <v>17</v>
      </c>
      <c r="B22" s="4" t="s">
        <v>4</v>
      </c>
      <c r="C22" s="4" t="s">
        <v>47</v>
      </c>
      <c r="D22" s="4" t="s">
        <v>48</v>
      </c>
      <c r="E22" s="4" t="s">
        <v>51</v>
      </c>
      <c r="F22" s="4" t="s">
        <v>1</v>
      </c>
      <c r="G22" s="4" t="s">
        <v>2</v>
      </c>
      <c r="H22" s="4" t="s">
        <v>5</v>
      </c>
      <c r="I22" s="4" t="s">
        <v>4</v>
      </c>
      <c r="J22" s="4" t="s">
        <v>3</v>
      </c>
      <c r="K22" s="4" t="s">
        <v>47</v>
      </c>
      <c r="L22" s="4" t="s">
        <v>48</v>
      </c>
      <c r="N22" s="53"/>
    </row>
    <row r="23" spans="1:14" ht="15.75" x14ac:dyDescent="0.25">
      <c r="A23" s="6" t="s">
        <v>6</v>
      </c>
      <c r="B23" s="8" t="s">
        <v>65</v>
      </c>
      <c r="C23" s="24" t="s">
        <v>45</v>
      </c>
      <c r="D23" s="7" t="s">
        <v>49</v>
      </c>
      <c r="E23" s="8" t="s">
        <v>7</v>
      </c>
      <c r="F23" s="8" t="s">
        <v>8</v>
      </c>
      <c r="G23" s="8" t="s">
        <v>9</v>
      </c>
      <c r="H23" s="8" t="s">
        <v>11</v>
      </c>
      <c r="I23" s="8" t="s">
        <v>66</v>
      </c>
      <c r="J23" s="8" t="s">
        <v>10</v>
      </c>
      <c r="K23" s="7" t="s">
        <v>46</v>
      </c>
      <c r="L23" s="7" t="s">
        <v>50</v>
      </c>
      <c r="M23" s="9" t="s">
        <v>12</v>
      </c>
      <c r="N23" s="55" t="s">
        <v>128</v>
      </c>
    </row>
    <row r="24" spans="1:14" ht="18.75" x14ac:dyDescent="0.3">
      <c r="A24" s="11" t="s">
        <v>67</v>
      </c>
      <c r="B24" s="13">
        <v>63</v>
      </c>
      <c r="C24" s="12">
        <v>148</v>
      </c>
      <c r="D24" s="12">
        <v>234</v>
      </c>
      <c r="E24" s="13">
        <v>6</v>
      </c>
      <c r="F24" s="13">
        <v>33</v>
      </c>
      <c r="G24" s="13">
        <v>11</v>
      </c>
      <c r="H24" s="13">
        <v>198</v>
      </c>
      <c r="I24" s="13">
        <v>73</v>
      </c>
      <c r="J24" s="13">
        <v>167</v>
      </c>
      <c r="K24" s="12">
        <v>102</v>
      </c>
      <c r="L24" s="12">
        <v>254</v>
      </c>
      <c r="M24" s="49">
        <f>SUM(Table1124065119[[#This Row],[BOX 1]:[BOX 12]])</f>
        <v>1289</v>
      </c>
      <c r="N24" s="56"/>
    </row>
    <row r="25" spans="1:14" ht="16.5" customHeight="1" x14ac:dyDescent="0.3">
      <c r="A25" s="11" t="s">
        <v>18</v>
      </c>
      <c r="B25" s="13">
        <v>39</v>
      </c>
      <c r="C25" s="12">
        <v>114</v>
      </c>
      <c r="D25" s="12">
        <v>134</v>
      </c>
      <c r="E25" s="13">
        <v>2</v>
      </c>
      <c r="F25" s="13">
        <v>10</v>
      </c>
      <c r="G25" s="13">
        <v>6</v>
      </c>
      <c r="H25" s="13">
        <v>111</v>
      </c>
      <c r="I25" s="13">
        <v>53</v>
      </c>
      <c r="J25" s="13">
        <v>120</v>
      </c>
      <c r="K25" s="12">
        <v>114</v>
      </c>
      <c r="L25" s="12">
        <v>117</v>
      </c>
      <c r="M25" s="49">
        <f>SUM(Table1124065119[[#This Row],[BOX 1]:[BOX 12]])</f>
        <v>820</v>
      </c>
      <c r="N25" s="57"/>
    </row>
    <row r="26" spans="1:14" ht="16.5" customHeight="1" x14ac:dyDescent="0.3">
      <c r="A26" s="11" t="s">
        <v>68</v>
      </c>
      <c r="B26" s="13">
        <v>4</v>
      </c>
      <c r="C26" s="12">
        <v>11</v>
      </c>
      <c r="D26" s="12">
        <v>3</v>
      </c>
      <c r="E26" s="13">
        <v>0</v>
      </c>
      <c r="F26" s="13">
        <v>0</v>
      </c>
      <c r="G26" s="13">
        <v>0</v>
      </c>
      <c r="H26" s="13">
        <v>6</v>
      </c>
      <c r="I26" s="13">
        <v>3</v>
      </c>
      <c r="J26" s="13">
        <v>7</v>
      </c>
      <c r="K26" s="12">
        <v>3</v>
      </c>
      <c r="L26" s="12">
        <v>2</v>
      </c>
      <c r="M26" s="49">
        <f>SUM(Table1124065119[[#This Row],[BOX 1]:[BOX 12]])</f>
        <v>39</v>
      </c>
      <c r="N26" s="57"/>
    </row>
    <row r="27" spans="1:14" ht="18.75" x14ac:dyDescent="0.3">
      <c r="A27" s="11" t="s">
        <v>69</v>
      </c>
      <c r="B27" s="13">
        <v>2</v>
      </c>
      <c r="C27" s="12">
        <v>5</v>
      </c>
      <c r="D27" s="12">
        <v>2</v>
      </c>
      <c r="E27" s="13">
        <v>0</v>
      </c>
      <c r="F27" s="13">
        <v>0</v>
      </c>
      <c r="G27" s="13">
        <v>0</v>
      </c>
      <c r="H27" s="13">
        <v>2</v>
      </c>
      <c r="I27" s="13">
        <v>3</v>
      </c>
      <c r="J27" s="13">
        <v>4</v>
      </c>
      <c r="K27" s="12">
        <v>1</v>
      </c>
      <c r="L27" s="12">
        <v>4</v>
      </c>
      <c r="M27" s="49">
        <f>SUM(Table1124065119[[#This Row],[BOX 1]:[BOX 12]])</f>
        <v>23</v>
      </c>
      <c r="N27" s="57"/>
    </row>
    <row r="28" spans="1:14" ht="19.5" thickBot="1" x14ac:dyDescent="0.35">
      <c r="A28" s="11" t="s">
        <v>70</v>
      </c>
      <c r="B28" s="13">
        <v>0</v>
      </c>
      <c r="C28" s="12">
        <v>0</v>
      </c>
      <c r="D28" s="12">
        <v>1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2">
        <v>0</v>
      </c>
      <c r="L28" s="12">
        <v>0</v>
      </c>
      <c r="M28" s="49">
        <f>SUM(Table1124065119[[#This Row],[BOX 1]:[BOX 12]])</f>
        <v>1</v>
      </c>
      <c r="N28" s="57"/>
    </row>
    <row r="29" spans="1:14" ht="19.5" thickBot="1" x14ac:dyDescent="0.3">
      <c r="A29" s="17" t="s">
        <v>14</v>
      </c>
      <c r="B29" s="20">
        <f>SUBTOTAL(109,Table1124065119[BOX 1])</f>
        <v>108</v>
      </c>
      <c r="C29" s="21">
        <f>SUBTOTAL(109,Table1124065119[BOX 2])</f>
        <v>278</v>
      </c>
      <c r="D29" s="21">
        <f>SUBTOTAL(109,Table1124065119[BOX 3])</f>
        <v>374</v>
      </c>
      <c r="E29" s="21">
        <f>SUBTOTAL(109,Table1124065119[BOX 4])</f>
        <v>8</v>
      </c>
      <c r="F29" s="21">
        <f>SUBTOTAL(109,Table1124065119[BOX 5])</f>
        <v>43</v>
      </c>
      <c r="G29" s="21">
        <f>SUBTOTAL(109,Table1124065119[BOX 6])</f>
        <v>17</v>
      </c>
      <c r="H29" s="21">
        <f>SUBTOTAL(109,Table1124065119[BOX 7])</f>
        <v>317</v>
      </c>
      <c r="I29" s="21">
        <f>SUBTOTAL(109,Table1124065119[BOX 8])</f>
        <v>132</v>
      </c>
      <c r="J29" s="21">
        <f>SUBTOTAL(109,Table1124065119[BOX 10])</f>
        <v>298</v>
      </c>
      <c r="K29" s="21">
        <f>SUBTOTAL(109,Table1124065119[BOX 11])</f>
        <v>220</v>
      </c>
      <c r="L29" s="21">
        <f>SUBTOTAL(109,Table1124065119[BOX 12])</f>
        <v>377</v>
      </c>
      <c r="M29" s="50">
        <f>SUBTOTAL(109,Table1124065119[TOTAL])</f>
        <v>2172</v>
      </c>
      <c r="N29" s="58"/>
    </row>
    <row r="30" spans="1:14" ht="15.75" x14ac:dyDescent="0.25">
      <c r="A30" s="18" t="s">
        <v>15</v>
      </c>
      <c r="B30" s="29">
        <v>0</v>
      </c>
      <c r="C30" s="22">
        <v>2</v>
      </c>
      <c r="D30" s="22">
        <v>0</v>
      </c>
      <c r="E30" s="22">
        <v>0</v>
      </c>
      <c r="F30" s="22">
        <v>0</v>
      </c>
      <c r="G30" s="22">
        <v>0</v>
      </c>
      <c r="H30" s="30">
        <v>0</v>
      </c>
      <c r="I30" s="30">
        <v>2</v>
      </c>
      <c r="J30" s="22">
        <v>0</v>
      </c>
      <c r="K30" s="22">
        <v>1</v>
      </c>
      <c r="L30" s="22">
        <v>0</v>
      </c>
      <c r="M30" s="51"/>
    </row>
    <row r="31" spans="1:14" ht="15.75" x14ac:dyDescent="0.25">
      <c r="A31" s="19" t="s">
        <v>16</v>
      </c>
      <c r="B31" s="14">
        <v>10</v>
      </c>
      <c r="C31" s="14">
        <v>41</v>
      </c>
      <c r="D31" s="14">
        <v>41</v>
      </c>
      <c r="E31" s="14">
        <v>2</v>
      </c>
      <c r="F31" s="14">
        <v>3</v>
      </c>
      <c r="G31" s="28">
        <v>0</v>
      </c>
      <c r="H31" s="28">
        <v>25</v>
      </c>
      <c r="I31" s="14">
        <v>12</v>
      </c>
      <c r="J31" s="14">
        <v>18</v>
      </c>
      <c r="K31" s="14">
        <v>21</v>
      </c>
      <c r="L31" s="14">
        <v>36</v>
      </c>
      <c r="M31" s="52"/>
    </row>
    <row r="32" spans="1:14" ht="45.75" customHeight="1" x14ac:dyDescent="0.25">
      <c r="A32" s="32" t="s">
        <v>19</v>
      </c>
      <c r="B32" s="4" t="s">
        <v>4</v>
      </c>
      <c r="C32" s="4" t="s">
        <v>47</v>
      </c>
      <c r="D32" s="4" t="s">
        <v>48</v>
      </c>
      <c r="E32" s="4" t="s">
        <v>51</v>
      </c>
      <c r="F32" s="4" t="s">
        <v>1</v>
      </c>
      <c r="G32" s="4" t="s">
        <v>2</v>
      </c>
      <c r="H32" s="4" t="s">
        <v>5</v>
      </c>
      <c r="I32" s="4" t="s">
        <v>4</v>
      </c>
      <c r="J32" s="4" t="s">
        <v>3</v>
      </c>
      <c r="K32" s="4" t="s">
        <v>47</v>
      </c>
      <c r="L32" s="4" t="s">
        <v>48</v>
      </c>
      <c r="M32" s="5"/>
      <c r="N32" s="53"/>
    </row>
    <row r="33" spans="1:14" ht="15.75" x14ac:dyDescent="0.25">
      <c r="A33" s="6" t="s">
        <v>6</v>
      </c>
      <c r="B33" s="8" t="s">
        <v>65</v>
      </c>
      <c r="C33" s="24" t="s">
        <v>45</v>
      </c>
      <c r="D33" s="7" t="s">
        <v>49</v>
      </c>
      <c r="E33" s="8" t="s">
        <v>7</v>
      </c>
      <c r="F33" s="8" t="s">
        <v>8</v>
      </c>
      <c r="G33" s="8" t="s">
        <v>9</v>
      </c>
      <c r="H33" s="8" t="s">
        <v>11</v>
      </c>
      <c r="I33" s="8" t="s">
        <v>66</v>
      </c>
      <c r="J33" s="8" t="s">
        <v>10</v>
      </c>
      <c r="K33" s="7" t="s">
        <v>46</v>
      </c>
      <c r="L33" s="7" t="s">
        <v>50</v>
      </c>
      <c r="M33" s="9" t="s">
        <v>12</v>
      </c>
      <c r="N33" s="55" t="s">
        <v>128</v>
      </c>
    </row>
    <row r="34" spans="1:14" ht="18.75" x14ac:dyDescent="0.3">
      <c r="A34" s="26" t="s">
        <v>71</v>
      </c>
      <c r="B34" s="13">
        <v>49</v>
      </c>
      <c r="C34" s="12">
        <v>145</v>
      </c>
      <c r="D34" s="12">
        <v>218</v>
      </c>
      <c r="E34" s="13">
        <v>5</v>
      </c>
      <c r="F34" s="13">
        <v>30</v>
      </c>
      <c r="G34" s="13">
        <v>11</v>
      </c>
      <c r="H34" s="13">
        <v>182</v>
      </c>
      <c r="I34" s="13">
        <v>64</v>
      </c>
      <c r="J34" s="13">
        <v>148</v>
      </c>
      <c r="K34" s="12">
        <v>89</v>
      </c>
      <c r="L34" s="12">
        <v>240</v>
      </c>
      <c r="M34" s="49">
        <f>SUM(Table112404166120[[#This Row],[BOX 1]:[BOX 12]])</f>
        <v>1181</v>
      </c>
      <c r="N34" s="56"/>
    </row>
    <row r="35" spans="1:14" ht="18.75" x14ac:dyDescent="0.3">
      <c r="A35" s="26" t="s">
        <v>20</v>
      </c>
      <c r="B35" s="13">
        <v>45</v>
      </c>
      <c r="C35" s="12">
        <v>140</v>
      </c>
      <c r="D35" s="12">
        <v>152</v>
      </c>
      <c r="E35" s="13">
        <v>2</v>
      </c>
      <c r="F35" s="13">
        <v>14</v>
      </c>
      <c r="G35" s="13">
        <v>5</v>
      </c>
      <c r="H35" s="13">
        <v>124</v>
      </c>
      <c r="I35" s="13">
        <v>60</v>
      </c>
      <c r="J35" s="13">
        <v>138</v>
      </c>
      <c r="K35" s="12">
        <v>126</v>
      </c>
      <c r="L35" s="12">
        <v>131</v>
      </c>
      <c r="M35" s="49">
        <f>SUM(Table112404166120[[#This Row],[BOX 1]:[BOX 12]])</f>
        <v>937</v>
      </c>
      <c r="N35" s="57"/>
    </row>
    <row r="36" spans="1:14" ht="19.5" thickBot="1" x14ac:dyDescent="0.35">
      <c r="A36" s="26" t="s">
        <v>72</v>
      </c>
      <c r="B36" s="13">
        <v>7</v>
      </c>
      <c r="C36" s="12">
        <v>14</v>
      </c>
      <c r="D36" s="12">
        <v>12</v>
      </c>
      <c r="E36" s="13">
        <v>0</v>
      </c>
      <c r="F36" s="13">
        <v>1</v>
      </c>
      <c r="G36" s="13">
        <v>0</v>
      </c>
      <c r="H36" s="13">
        <v>11</v>
      </c>
      <c r="I36" s="13">
        <v>5</v>
      </c>
      <c r="J36" s="13">
        <v>12</v>
      </c>
      <c r="K36" s="12">
        <v>6</v>
      </c>
      <c r="L36" s="12">
        <v>10</v>
      </c>
      <c r="M36" s="49">
        <f>SUM(Table112404166120[[#This Row],[BOX 1]:[BOX 12]])</f>
        <v>78</v>
      </c>
      <c r="N36" s="57"/>
    </row>
    <row r="37" spans="1:14" ht="19.5" thickBot="1" x14ac:dyDescent="0.3">
      <c r="A37" s="17" t="s">
        <v>14</v>
      </c>
      <c r="B37" s="20">
        <f>SUBTOTAL(109,Table112404166120[BOX 1])</f>
        <v>101</v>
      </c>
      <c r="C37" s="21">
        <f>SUBTOTAL(109,Table112404166120[BOX 2])</f>
        <v>299</v>
      </c>
      <c r="D37" s="21">
        <f>SUBTOTAL(109,Table112404166120[BOX 3])</f>
        <v>382</v>
      </c>
      <c r="E37" s="21">
        <f>SUBTOTAL(109,Table112404166120[BOX 4])</f>
        <v>7</v>
      </c>
      <c r="F37" s="21">
        <f>SUBTOTAL(109,Table112404166120[BOX 5])</f>
        <v>45</v>
      </c>
      <c r="G37" s="21">
        <f>SUBTOTAL(109,Table112404166120[BOX 6])</f>
        <v>16</v>
      </c>
      <c r="H37" s="21">
        <f>SUBTOTAL(109,Table112404166120[BOX 7])</f>
        <v>317</v>
      </c>
      <c r="I37" s="21">
        <f>SUBTOTAL(109,Table112404166120[BOX 8])</f>
        <v>129</v>
      </c>
      <c r="J37" s="21">
        <f>SUBTOTAL(109,Table112404166120[BOX 10])</f>
        <v>298</v>
      </c>
      <c r="K37" s="21">
        <f>SUBTOTAL(109,Table112404166120[BOX 11])</f>
        <v>221</v>
      </c>
      <c r="L37" s="21">
        <f>SUBTOTAL(109,Table112404166120[BOX 12])</f>
        <v>381</v>
      </c>
      <c r="M37" s="50">
        <f>SUBTOTAL(109,Table112404166120[TOTAL])</f>
        <v>2196</v>
      </c>
      <c r="N37" s="58"/>
    </row>
    <row r="38" spans="1:14" ht="15.75" x14ac:dyDescent="0.25">
      <c r="A38" s="18" t="s">
        <v>15</v>
      </c>
      <c r="B38" s="29">
        <v>0</v>
      </c>
      <c r="C38" s="22">
        <v>0</v>
      </c>
      <c r="D38" s="22">
        <v>1</v>
      </c>
      <c r="E38" s="22">
        <v>0</v>
      </c>
      <c r="F38" s="22">
        <v>0</v>
      </c>
      <c r="G38" s="22">
        <v>0</v>
      </c>
      <c r="H38" s="30">
        <v>0</v>
      </c>
      <c r="I38" s="30">
        <v>0</v>
      </c>
      <c r="J38" s="22">
        <v>0</v>
      </c>
      <c r="K38" s="22">
        <v>0</v>
      </c>
      <c r="L38" s="22">
        <v>0</v>
      </c>
      <c r="M38" s="51"/>
    </row>
    <row r="39" spans="1:14" ht="15.75" x14ac:dyDescent="0.25">
      <c r="A39" s="19" t="s">
        <v>16</v>
      </c>
      <c r="B39" s="14">
        <v>17</v>
      </c>
      <c r="C39" s="14">
        <v>22</v>
      </c>
      <c r="D39" s="14">
        <v>32</v>
      </c>
      <c r="E39" s="14">
        <v>3</v>
      </c>
      <c r="F39" s="14">
        <v>1</v>
      </c>
      <c r="G39" s="28">
        <v>1</v>
      </c>
      <c r="H39" s="28">
        <v>25</v>
      </c>
      <c r="I39" s="14">
        <v>17</v>
      </c>
      <c r="J39" s="14">
        <v>18</v>
      </c>
      <c r="K39" s="14">
        <v>21</v>
      </c>
      <c r="L39" s="14">
        <v>32</v>
      </c>
      <c r="M39" s="52"/>
    </row>
    <row r="41" spans="1:14" x14ac:dyDescent="0.25">
      <c r="A41" s="1"/>
      <c r="B41" s="1"/>
      <c r="C41" s="1"/>
      <c r="D41" s="1"/>
      <c r="E41" s="1"/>
      <c r="F41" s="1"/>
      <c r="G41" s="1"/>
      <c r="K41" s="1"/>
    </row>
    <row r="42" spans="1:14" x14ac:dyDescent="0.25">
      <c r="A42" s="1"/>
      <c r="B42" s="1"/>
      <c r="C42" s="1"/>
      <c r="D42" s="1"/>
      <c r="E42" s="1"/>
      <c r="F42" s="1"/>
      <c r="G42" s="1"/>
      <c r="K42" s="1"/>
    </row>
    <row r="43" spans="1:14" x14ac:dyDescent="0.25">
      <c r="A43" s="1"/>
      <c r="B43" s="1"/>
      <c r="C43" s="1"/>
      <c r="D43" s="1"/>
      <c r="E43" s="1"/>
      <c r="F43" s="1"/>
      <c r="G43" s="1"/>
      <c r="K43" s="1"/>
    </row>
    <row r="44" spans="1:14" x14ac:dyDescent="0.25">
      <c r="A44" s="1"/>
      <c r="B44" s="1"/>
      <c r="C44" s="1"/>
      <c r="D44" s="1"/>
      <c r="E44" s="1"/>
      <c r="F44" s="1"/>
      <c r="G44" s="1"/>
      <c r="K44" s="1"/>
    </row>
    <row r="45" spans="1:14" ht="45" x14ac:dyDescent="0.25">
      <c r="A45" s="32" t="s">
        <v>21</v>
      </c>
      <c r="B45" s="4" t="s">
        <v>4</v>
      </c>
      <c r="C45" s="4" t="s">
        <v>47</v>
      </c>
      <c r="D45" s="4" t="s">
        <v>48</v>
      </c>
      <c r="E45" s="4" t="s">
        <v>51</v>
      </c>
      <c r="F45" s="4" t="s">
        <v>1</v>
      </c>
      <c r="G45" s="4" t="s">
        <v>2</v>
      </c>
      <c r="H45" s="4" t="s">
        <v>5</v>
      </c>
      <c r="I45" s="4" t="s">
        <v>4</v>
      </c>
      <c r="J45" s="4" t="s">
        <v>3</v>
      </c>
      <c r="K45" s="4" t="s">
        <v>47</v>
      </c>
      <c r="L45" s="4" t="s">
        <v>48</v>
      </c>
      <c r="M45" s="5"/>
      <c r="N45" s="53"/>
    </row>
    <row r="46" spans="1:14" ht="15.75" x14ac:dyDescent="0.25">
      <c r="A46" s="6" t="s">
        <v>6</v>
      </c>
      <c r="B46" s="8" t="s">
        <v>65</v>
      </c>
      <c r="C46" s="24" t="s">
        <v>45</v>
      </c>
      <c r="D46" s="7" t="s">
        <v>49</v>
      </c>
      <c r="E46" s="8" t="s">
        <v>7</v>
      </c>
      <c r="F46" s="8" t="s">
        <v>8</v>
      </c>
      <c r="G46" s="8" t="s">
        <v>9</v>
      </c>
      <c r="H46" s="8" t="s">
        <v>11</v>
      </c>
      <c r="I46" s="8" t="s">
        <v>66</v>
      </c>
      <c r="J46" s="8" t="s">
        <v>10</v>
      </c>
      <c r="K46" s="7" t="s">
        <v>46</v>
      </c>
      <c r="L46" s="7" t="s">
        <v>50</v>
      </c>
      <c r="M46" s="9" t="s">
        <v>12</v>
      </c>
      <c r="N46" s="55" t="s">
        <v>128</v>
      </c>
    </row>
    <row r="47" spans="1:14" ht="18.75" x14ac:dyDescent="0.3">
      <c r="A47" s="26" t="s">
        <v>73</v>
      </c>
      <c r="B47" s="13">
        <v>59</v>
      </c>
      <c r="C47" s="12">
        <v>133</v>
      </c>
      <c r="D47" s="12">
        <v>214</v>
      </c>
      <c r="E47" s="13">
        <v>6</v>
      </c>
      <c r="F47" s="13">
        <v>31</v>
      </c>
      <c r="G47" s="13">
        <v>9</v>
      </c>
      <c r="H47" s="13">
        <v>185</v>
      </c>
      <c r="I47" s="13">
        <v>71</v>
      </c>
      <c r="J47" s="13">
        <v>157</v>
      </c>
      <c r="K47" s="12">
        <v>89</v>
      </c>
      <c r="L47" s="12">
        <v>239</v>
      </c>
      <c r="M47" s="49">
        <f>SUM(Table11240414267121[[#This Row],[BOX 1]:[BOX 12]])</f>
        <v>1193</v>
      </c>
      <c r="N47" s="56"/>
    </row>
    <row r="48" spans="1:14" ht="18.75" x14ac:dyDescent="0.3">
      <c r="A48" s="26" t="s">
        <v>22</v>
      </c>
      <c r="B48" s="13">
        <v>43</v>
      </c>
      <c r="C48" s="12">
        <v>131</v>
      </c>
      <c r="D48" s="12">
        <v>139</v>
      </c>
      <c r="E48" s="13">
        <v>2</v>
      </c>
      <c r="F48" s="13">
        <v>11</v>
      </c>
      <c r="G48" s="13">
        <v>7</v>
      </c>
      <c r="H48" s="13">
        <v>105</v>
      </c>
      <c r="I48" s="13">
        <v>51</v>
      </c>
      <c r="J48" s="13">
        <v>126</v>
      </c>
      <c r="K48" s="12">
        <v>124</v>
      </c>
      <c r="L48" s="12">
        <v>121</v>
      </c>
      <c r="M48" s="49">
        <f>SUM(Table11240414267121[[#This Row],[BOX 1]:[BOX 12]])</f>
        <v>860</v>
      </c>
      <c r="N48" s="57"/>
    </row>
    <row r="49" spans="1:14" ht="18.75" x14ac:dyDescent="0.3">
      <c r="A49" s="26" t="s">
        <v>74</v>
      </c>
      <c r="B49" s="13">
        <v>4</v>
      </c>
      <c r="C49" s="12">
        <v>10</v>
      </c>
      <c r="D49" s="12">
        <v>10</v>
      </c>
      <c r="E49" s="13">
        <v>0</v>
      </c>
      <c r="F49" s="13">
        <v>0</v>
      </c>
      <c r="G49" s="13">
        <v>0</v>
      </c>
      <c r="H49" s="13">
        <v>9</v>
      </c>
      <c r="I49" s="13">
        <v>3</v>
      </c>
      <c r="J49" s="13">
        <v>6</v>
      </c>
      <c r="K49" s="12">
        <v>3</v>
      </c>
      <c r="L49" s="12">
        <v>4</v>
      </c>
      <c r="M49" s="49">
        <f>SUM(Table11240414267121[[#This Row],[BOX 1]:[BOX 12]])</f>
        <v>49</v>
      </c>
      <c r="N49" s="57"/>
    </row>
    <row r="50" spans="1:14" ht="19.5" thickBot="1" x14ac:dyDescent="0.35">
      <c r="A50" s="26" t="s">
        <v>75</v>
      </c>
      <c r="B50" s="13">
        <v>1</v>
      </c>
      <c r="C50" s="12">
        <v>1</v>
      </c>
      <c r="D50" s="12">
        <v>3</v>
      </c>
      <c r="E50" s="13">
        <v>0</v>
      </c>
      <c r="F50" s="13">
        <v>1</v>
      </c>
      <c r="G50" s="13">
        <v>0</v>
      </c>
      <c r="H50" s="13">
        <v>2</v>
      </c>
      <c r="I50" s="13">
        <v>1</v>
      </c>
      <c r="J50" s="13">
        <v>2</v>
      </c>
      <c r="K50" s="12">
        <v>1</v>
      </c>
      <c r="L50" s="12">
        <v>9</v>
      </c>
      <c r="M50" s="49">
        <f>SUM(Table11240414267121[[#This Row],[BOX 1]:[BOX 12]])</f>
        <v>21</v>
      </c>
      <c r="N50" s="57"/>
    </row>
    <row r="51" spans="1:14" ht="19.5" thickBot="1" x14ac:dyDescent="0.3">
      <c r="A51" s="17" t="s">
        <v>14</v>
      </c>
      <c r="B51" s="20">
        <f>SUBTOTAL(109,Table11240414267121[BOX 1])</f>
        <v>107</v>
      </c>
      <c r="C51" s="21">
        <f>SUBTOTAL(109,Table11240414267121[BOX 2])</f>
        <v>275</v>
      </c>
      <c r="D51" s="21">
        <f>SUBTOTAL(109,Table11240414267121[BOX 3])</f>
        <v>366</v>
      </c>
      <c r="E51" s="21">
        <f>SUBTOTAL(109,Table11240414267121[BOX 4])</f>
        <v>8</v>
      </c>
      <c r="F51" s="21">
        <f>SUBTOTAL(109,Table11240414267121[BOX 5])</f>
        <v>43</v>
      </c>
      <c r="G51" s="21">
        <f>SUBTOTAL(109,Table11240414267121[BOX 6])</f>
        <v>16</v>
      </c>
      <c r="H51" s="21">
        <f>SUBTOTAL(109,Table11240414267121[BOX 7])</f>
        <v>301</v>
      </c>
      <c r="I51" s="21">
        <f>SUBTOTAL(109,Table11240414267121[BOX 8])</f>
        <v>126</v>
      </c>
      <c r="J51" s="21">
        <f>SUBTOTAL(109,Table11240414267121[BOX 10])</f>
        <v>291</v>
      </c>
      <c r="K51" s="21">
        <f>SUBTOTAL(109,Table11240414267121[BOX 11])</f>
        <v>217</v>
      </c>
      <c r="L51" s="21">
        <f>SUBTOTAL(109,Table11240414267121[BOX 12])</f>
        <v>373</v>
      </c>
      <c r="M51" s="50">
        <f>SUBTOTAL(109,Table11240414267121[TOTAL])</f>
        <v>2123</v>
      </c>
      <c r="N51" s="58"/>
    </row>
    <row r="52" spans="1:14" ht="15.75" x14ac:dyDescent="0.25">
      <c r="A52" s="18" t="s">
        <v>15</v>
      </c>
      <c r="B52" s="29">
        <v>0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30">
        <v>0</v>
      </c>
      <c r="I52" s="30">
        <v>1</v>
      </c>
      <c r="J52" s="22">
        <v>0</v>
      </c>
      <c r="K52" s="22">
        <v>0</v>
      </c>
      <c r="L52" s="22">
        <v>0</v>
      </c>
      <c r="M52" s="51"/>
    </row>
    <row r="53" spans="1:14" ht="15.75" x14ac:dyDescent="0.25">
      <c r="A53" s="19" t="s">
        <v>16</v>
      </c>
      <c r="B53" s="14">
        <v>11</v>
      </c>
      <c r="C53" s="14">
        <v>46</v>
      </c>
      <c r="D53" s="14">
        <v>49</v>
      </c>
      <c r="E53" s="14">
        <v>2</v>
      </c>
      <c r="F53" s="14">
        <v>3</v>
      </c>
      <c r="G53" s="28">
        <v>1</v>
      </c>
      <c r="H53" s="28">
        <v>41</v>
      </c>
      <c r="I53" s="14">
        <v>19</v>
      </c>
      <c r="J53" s="14">
        <v>25</v>
      </c>
      <c r="K53" s="14">
        <v>25</v>
      </c>
      <c r="L53" s="14">
        <v>40</v>
      </c>
      <c r="M53" s="52"/>
    </row>
    <row r="54" spans="1:14" x14ac:dyDescent="0.25">
      <c r="A54" s="1"/>
      <c r="B54" s="1"/>
      <c r="C54" s="1"/>
      <c r="D54" s="1"/>
      <c r="E54" s="1"/>
      <c r="F54" s="1"/>
      <c r="G54" s="1"/>
      <c r="K54" s="1"/>
    </row>
    <row r="55" spans="1:14" x14ac:dyDescent="0.25">
      <c r="A55" s="1"/>
      <c r="B55" s="1"/>
      <c r="C55" s="1"/>
      <c r="D55" s="1"/>
      <c r="E55" s="1"/>
      <c r="F55" s="1"/>
      <c r="G55" s="1"/>
      <c r="K55" s="1"/>
    </row>
    <row r="56" spans="1:14" ht="45" x14ac:dyDescent="0.25">
      <c r="A56" s="32" t="s">
        <v>77</v>
      </c>
      <c r="B56" s="4" t="s">
        <v>4</v>
      </c>
      <c r="C56" s="4" t="s">
        <v>47</v>
      </c>
      <c r="D56" s="4" t="s">
        <v>48</v>
      </c>
      <c r="E56" s="4" t="s">
        <v>51</v>
      </c>
      <c r="F56" s="4" t="s">
        <v>1</v>
      </c>
      <c r="G56" s="4" t="s">
        <v>2</v>
      </c>
      <c r="H56" s="4" t="s">
        <v>5</v>
      </c>
      <c r="I56" s="4" t="s">
        <v>4</v>
      </c>
      <c r="J56" s="4" t="s">
        <v>3</v>
      </c>
      <c r="K56" s="4" t="s">
        <v>47</v>
      </c>
      <c r="L56" s="4" t="s">
        <v>48</v>
      </c>
      <c r="M56" s="5"/>
      <c r="N56" s="53"/>
    </row>
    <row r="57" spans="1:14" ht="15.75" x14ac:dyDescent="0.25">
      <c r="A57" s="6" t="s">
        <v>6</v>
      </c>
      <c r="B57" s="8" t="s">
        <v>65</v>
      </c>
      <c r="C57" s="24" t="s">
        <v>45</v>
      </c>
      <c r="D57" s="7" t="s">
        <v>49</v>
      </c>
      <c r="E57" s="8" t="s">
        <v>7</v>
      </c>
      <c r="F57" s="8" t="s">
        <v>8</v>
      </c>
      <c r="G57" s="8" t="s">
        <v>9</v>
      </c>
      <c r="H57" s="8" t="s">
        <v>11</v>
      </c>
      <c r="I57" s="8" t="s">
        <v>66</v>
      </c>
      <c r="J57" s="8" t="s">
        <v>10</v>
      </c>
      <c r="K57" s="7" t="s">
        <v>46</v>
      </c>
      <c r="L57" s="7" t="s">
        <v>50</v>
      </c>
      <c r="M57" s="9" t="s">
        <v>12</v>
      </c>
      <c r="N57" s="55" t="s">
        <v>128</v>
      </c>
    </row>
    <row r="58" spans="1:14" ht="18.75" x14ac:dyDescent="0.3">
      <c r="A58" s="26" t="s">
        <v>76</v>
      </c>
      <c r="B58" s="13">
        <v>57</v>
      </c>
      <c r="C58" s="12">
        <v>130</v>
      </c>
      <c r="D58" s="12">
        <v>212</v>
      </c>
      <c r="E58" s="13">
        <v>6</v>
      </c>
      <c r="F58" s="13">
        <v>30</v>
      </c>
      <c r="G58" s="13">
        <v>11</v>
      </c>
      <c r="H58" s="13">
        <v>182</v>
      </c>
      <c r="I58" s="13">
        <v>64</v>
      </c>
      <c r="J58" s="13">
        <v>151</v>
      </c>
      <c r="K58" s="12">
        <v>88</v>
      </c>
      <c r="L58" s="12">
        <v>230</v>
      </c>
      <c r="M58" s="49">
        <f>SUM(Table1124041424468122[[#This Row],[BOX 1]:[BOX 12]])</f>
        <v>1161</v>
      </c>
      <c r="N58" s="56"/>
    </row>
    <row r="59" spans="1:14" ht="18.75" x14ac:dyDescent="0.3">
      <c r="A59" s="26" t="s">
        <v>23</v>
      </c>
      <c r="B59" s="13">
        <v>45</v>
      </c>
      <c r="C59" s="12">
        <v>128</v>
      </c>
      <c r="D59" s="12">
        <v>134</v>
      </c>
      <c r="E59" s="13">
        <v>2</v>
      </c>
      <c r="F59" s="13">
        <v>10</v>
      </c>
      <c r="G59" s="13">
        <v>5</v>
      </c>
      <c r="H59" s="13">
        <v>108</v>
      </c>
      <c r="I59" s="13">
        <v>55</v>
      </c>
      <c r="J59" s="13">
        <v>130</v>
      </c>
      <c r="K59" s="12">
        <v>120</v>
      </c>
      <c r="L59" s="12">
        <v>133</v>
      </c>
      <c r="M59" s="49">
        <f>SUM(Table1124041424468122[[#This Row],[BOX 1]:[BOX 12]])</f>
        <v>870</v>
      </c>
      <c r="N59" s="57"/>
    </row>
    <row r="60" spans="1:14" ht="19.5" thickBot="1" x14ac:dyDescent="0.35">
      <c r="A60" s="26" t="s">
        <v>78</v>
      </c>
      <c r="B60" s="13">
        <v>5</v>
      </c>
      <c r="C60" s="12">
        <v>9</v>
      </c>
      <c r="D60" s="12">
        <v>8</v>
      </c>
      <c r="E60" s="13">
        <v>0</v>
      </c>
      <c r="F60" s="13">
        <v>1</v>
      </c>
      <c r="G60" s="13">
        <v>0</v>
      </c>
      <c r="H60" s="13">
        <v>9</v>
      </c>
      <c r="I60" s="13">
        <v>5</v>
      </c>
      <c r="J60" s="13">
        <v>5</v>
      </c>
      <c r="K60" s="12">
        <v>7</v>
      </c>
      <c r="L60" s="12">
        <v>8</v>
      </c>
      <c r="M60" s="49">
        <f>SUM(Table1124041424468122[[#This Row],[BOX 1]:[BOX 12]])</f>
        <v>57</v>
      </c>
      <c r="N60" s="57"/>
    </row>
    <row r="61" spans="1:14" ht="19.5" thickBot="1" x14ac:dyDescent="0.3">
      <c r="A61" s="17" t="s">
        <v>14</v>
      </c>
      <c r="B61" s="20">
        <f>SUBTOTAL(109,Table1124041424468122[BOX 1])</f>
        <v>107</v>
      </c>
      <c r="C61" s="21">
        <f>SUBTOTAL(109,Table1124041424468122[BOX 2])</f>
        <v>267</v>
      </c>
      <c r="D61" s="21">
        <f>SUBTOTAL(109,Table1124041424468122[BOX 3])</f>
        <v>354</v>
      </c>
      <c r="E61" s="21">
        <f>SUBTOTAL(109,Table1124041424468122[BOX 4])</f>
        <v>8</v>
      </c>
      <c r="F61" s="21">
        <f>SUBTOTAL(109,Table1124041424468122[BOX 5])</f>
        <v>41</v>
      </c>
      <c r="G61" s="21">
        <f>SUBTOTAL(109,Table1124041424468122[BOX 6])</f>
        <v>16</v>
      </c>
      <c r="H61" s="21">
        <f>SUBTOTAL(109,Table1124041424468122[BOX 7])</f>
        <v>299</v>
      </c>
      <c r="I61" s="21">
        <f>SUBTOTAL(109,Table1124041424468122[BOX 8])</f>
        <v>124</v>
      </c>
      <c r="J61" s="21">
        <f>SUBTOTAL(109,Table1124041424468122[BOX 10])</f>
        <v>286</v>
      </c>
      <c r="K61" s="21">
        <f>SUBTOTAL(109,Table1124041424468122[BOX 11])</f>
        <v>215</v>
      </c>
      <c r="L61" s="21">
        <f>SUBTOTAL(109,Table1124041424468122[BOX 12])</f>
        <v>371</v>
      </c>
      <c r="M61" s="50">
        <f>SUBTOTAL(109,Table1124041424468122[TOTAL])</f>
        <v>2088</v>
      </c>
      <c r="N61" s="58"/>
    </row>
    <row r="62" spans="1:14" ht="15.75" x14ac:dyDescent="0.25">
      <c r="A62" s="18" t="s">
        <v>15</v>
      </c>
      <c r="B62" s="29">
        <v>0</v>
      </c>
      <c r="C62" s="22">
        <v>0</v>
      </c>
      <c r="D62" s="22">
        <v>0</v>
      </c>
      <c r="E62" s="22">
        <v>0</v>
      </c>
      <c r="F62" s="22">
        <v>0</v>
      </c>
      <c r="G62" s="22">
        <v>0</v>
      </c>
      <c r="H62" s="30">
        <v>0</v>
      </c>
      <c r="I62" s="30">
        <v>0</v>
      </c>
      <c r="J62" s="22">
        <v>0</v>
      </c>
      <c r="K62" s="22">
        <v>0</v>
      </c>
      <c r="L62" s="22">
        <v>0</v>
      </c>
      <c r="M62" s="51"/>
    </row>
    <row r="63" spans="1:14" ht="15.75" x14ac:dyDescent="0.25">
      <c r="A63" s="19" t="s">
        <v>16</v>
      </c>
      <c r="B63" s="14">
        <v>11</v>
      </c>
      <c r="C63" s="14">
        <v>54</v>
      </c>
      <c r="D63" s="14">
        <v>61</v>
      </c>
      <c r="E63" s="14">
        <v>2</v>
      </c>
      <c r="F63" s="14">
        <v>5</v>
      </c>
      <c r="G63" s="28">
        <v>1</v>
      </c>
      <c r="H63" s="28">
        <v>43</v>
      </c>
      <c r="I63" s="14">
        <v>22</v>
      </c>
      <c r="J63" s="14">
        <v>30</v>
      </c>
      <c r="K63" s="14">
        <v>27</v>
      </c>
      <c r="L63" s="14">
        <v>42</v>
      </c>
      <c r="M63" s="52"/>
    </row>
    <row r="64" spans="1:14" x14ac:dyDescent="0.25">
      <c r="A64" s="1"/>
      <c r="B64" s="1"/>
      <c r="C64" s="1"/>
      <c r="D64" s="1"/>
      <c r="E64" s="1"/>
      <c r="F64" s="1"/>
      <c r="G64" s="1"/>
    </row>
    <row r="65" spans="1:14" ht="45" x14ac:dyDescent="0.25">
      <c r="A65" s="32" t="s">
        <v>79</v>
      </c>
      <c r="B65" s="4" t="s">
        <v>4</v>
      </c>
      <c r="C65" s="4" t="s">
        <v>47</v>
      </c>
      <c r="D65" s="4" t="s">
        <v>48</v>
      </c>
      <c r="E65" s="4" t="s">
        <v>51</v>
      </c>
      <c r="F65" s="4" t="s">
        <v>1</v>
      </c>
      <c r="G65" s="4" t="s">
        <v>2</v>
      </c>
      <c r="H65" s="4" t="s">
        <v>5</v>
      </c>
      <c r="I65" s="4" t="s">
        <v>4</v>
      </c>
      <c r="J65" s="4" t="s">
        <v>3</v>
      </c>
      <c r="K65" s="4" t="s">
        <v>47</v>
      </c>
      <c r="L65" s="4" t="s">
        <v>48</v>
      </c>
      <c r="M65" s="5"/>
      <c r="N65" s="53"/>
    </row>
    <row r="66" spans="1:14" ht="15.75" x14ac:dyDescent="0.25">
      <c r="A66" s="6" t="s">
        <v>6</v>
      </c>
      <c r="B66" s="8" t="s">
        <v>65</v>
      </c>
      <c r="C66" s="24" t="s">
        <v>45</v>
      </c>
      <c r="D66" s="7" t="s">
        <v>49</v>
      </c>
      <c r="E66" s="8" t="s">
        <v>7</v>
      </c>
      <c r="F66" s="8" t="s">
        <v>8</v>
      </c>
      <c r="G66" s="8" t="s">
        <v>9</v>
      </c>
      <c r="H66" s="8" t="s">
        <v>11</v>
      </c>
      <c r="I66" s="8" t="s">
        <v>66</v>
      </c>
      <c r="J66" s="8" t="s">
        <v>10</v>
      </c>
      <c r="K66" s="7" t="s">
        <v>46</v>
      </c>
      <c r="L66" s="7" t="s">
        <v>50</v>
      </c>
      <c r="M66" s="9" t="s">
        <v>12</v>
      </c>
      <c r="N66" s="55" t="s">
        <v>128</v>
      </c>
    </row>
    <row r="67" spans="1:14" ht="18.75" x14ac:dyDescent="0.3">
      <c r="A67" s="26" t="s">
        <v>80</v>
      </c>
      <c r="B67" s="13">
        <v>65</v>
      </c>
      <c r="C67" s="12">
        <v>138</v>
      </c>
      <c r="D67" s="12">
        <v>221</v>
      </c>
      <c r="E67" s="13">
        <v>6</v>
      </c>
      <c r="F67" s="13">
        <v>32</v>
      </c>
      <c r="G67" s="13">
        <v>9</v>
      </c>
      <c r="H67" s="13">
        <v>190</v>
      </c>
      <c r="I67" s="13">
        <v>71</v>
      </c>
      <c r="J67" s="13">
        <v>163</v>
      </c>
      <c r="K67" s="12">
        <v>97</v>
      </c>
      <c r="L67" s="12">
        <v>250</v>
      </c>
      <c r="M67" s="49">
        <f>SUM(Table112404142444669123[[#This Row],[BOX 1]:[BOX 12]])</f>
        <v>1242</v>
      </c>
      <c r="N67" s="56"/>
    </row>
    <row r="68" spans="1:14" ht="19.5" thickBot="1" x14ac:dyDescent="0.35">
      <c r="A68" s="26" t="s">
        <v>24</v>
      </c>
      <c r="B68" s="13">
        <v>42</v>
      </c>
      <c r="C68" s="12">
        <v>127</v>
      </c>
      <c r="D68" s="12">
        <v>134</v>
      </c>
      <c r="E68" s="13">
        <v>1</v>
      </c>
      <c r="F68" s="13">
        <v>9</v>
      </c>
      <c r="G68" s="13">
        <v>6</v>
      </c>
      <c r="H68" s="13">
        <v>108</v>
      </c>
      <c r="I68" s="13">
        <v>51</v>
      </c>
      <c r="J68" s="13">
        <v>123</v>
      </c>
      <c r="K68" s="12">
        <v>115</v>
      </c>
      <c r="L68" s="12">
        <v>116</v>
      </c>
      <c r="M68" s="49">
        <f>SUM(Table112404142444669123[[#This Row],[BOX 1]:[BOX 12]])</f>
        <v>832</v>
      </c>
      <c r="N68" s="57"/>
    </row>
    <row r="69" spans="1:14" ht="19.5" thickBot="1" x14ac:dyDescent="0.3">
      <c r="A69" s="17" t="s">
        <v>14</v>
      </c>
      <c r="B69" s="20">
        <f>SUBTOTAL(109,Table112404142444669123[BOX 1])</f>
        <v>107</v>
      </c>
      <c r="C69" s="21">
        <f>SUBTOTAL(109,Table112404142444669123[BOX 2])</f>
        <v>265</v>
      </c>
      <c r="D69" s="21">
        <f>SUBTOTAL(109,Table112404142444669123[BOX 3])</f>
        <v>355</v>
      </c>
      <c r="E69" s="21">
        <f>SUBTOTAL(109,Table112404142444669123[BOX 4])</f>
        <v>7</v>
      </c>
      <c r="F69" s="21">
        <f>SUBTOTAL(109,Table112404142444669123[BOX 5])</f>
        <v>41</v>
      </c>
      <c r="G69" s="21">
        <f>SUBTOTAL(109,Table112404142444669123[BOX 6])</f>
        <v>15</v>
      </c>
      <c r="H69" s="21">
        <f>SUBTOTAL(109,Table112404142444669123[BOX 7])</f>
        <v>298</v>
      </c>
      <c r="I69" s="21">
        <f>SUBTOTAL(109,Table112404142444669123[BOX 8])</f>
        <v>122</v>
      </c>
      <c r="J69" s="21">
        <f>SUBTOTAL(109,Table112404142444669123[BOX 10])</f>
        <v>286</v>
      </c>
      <c r="K69" s="21">
        <f>SUBTOTAL(109,Table112404142444669123[BOX 11])</f>
        <v>212</v>
      </c>
      <c r="L69" s="21">
        <f>SUBTOTAL(109,Table112404142444669123[BOX 12])</f>
        <v>366</v>
      </c>
      <c r="M69" s="50">
        <f>SUBTOTAL(109,Table112404142444669123[TOTAL])</f>
        <v>2074</v>
      </c>
      <c r="N69" s="58"/>
    </row>
    <row r="70" spans="1:14" ht="15.75" x14ac:dyDescent="0.25">
      <c r="A70" s="18" t="s">
        <v>15</v>
      </c>
      <c r="B70" s="29">
        <v>0</v>
      </c>
      <c r="C70" s="22">
        <v>0</v>
      </c>
      <c r="D70" s="22">
        <v>0</v>
      </c>
      <c r="E70" s="22">
        <v>0</v>
      </c>
      <c r="F70" s="22">
        <v>0</v>
      </c>
      <c r="G70" s="22">
        <v>0</v>
      </c>
      <c r="H70" s="30">
        <v>0</v>
      </c>
      <c r="I70" s="30">
        <v>0</v>
      </c>
      <c r="J70" s="22">
        <v>0</v>
      </c>
      <c r="K70" s="22">
        <v>0</v>
      </c>
      <c r="L70" s="22">
        <v>1</v>
      </c>
      <c r="M70" s="51"/>
    </row>
    <row r="71" spans="1:14" ht="15.75" x14ac:dyDescent="0.25">
      <c r="A71" s="19" t="s">
        <v>16</v>
      </c>
      <c r="B71" s="14">
        <v>11</v>
      </c>
      <c r="C71" s="14">
        <v>56</v>
      </c>
      <c r="D71" s="14">
        <v>60</v>
      </c>
      <c r="E71" s="14">
        <v>3</v>
      </c>
      <c r="F71" s="14">
        <v>5</v>
      </c>
      <c r="G71" s="28">
        <v>2</v>
      </c>
      <c r="H71" s="28">
        <v>44</v>
      </c>
      <c r="I71" s="14">
        <v>24</v>
      </c>
      <c r="J71" s="14">
        <v>30</v>
      </c>
      <c r="K71" s="14">
        <v>30</v>
      </c>
      <c r="L71" s="14">
        <v>46</v>
      </c>
      <c r="M71" s="52"/>
    </row>
    <row r="72" spans="1:14" x14ac:dyDescent="0.25">
      <c r="A72" s="1"/>
      <c r="B72" s="1"/>
      <c r="C72" s="1"/>
      <c r="D72" s="1"/>
      <c r="E72" s="1"/>
      <c r="F72" s="1"/>
      <c r="G72" s="1"/>
    </row>
    <row r="73" spans="1:14" ht="45" x14ac:dyDescent="0.25">
      <c r="A73" s="32" t="s">
        <v>25</v>
      </c>
      <c r="B73" s="4" t="s">
        <v>4</v>
      </c>
      <c r="C73" s="4" t="s">
        <v>47</v>
      </c>
      <c r="D73" s="4" t="s">
        <v>48</v>
      </c>
      <c r="E73" s="4" t="s">
        <v>51</v>
      </c>
      <c r="F73" s="4" t="s">
        <v>1</v>
      </c>
      <c r="G73" s="4" t="s">
        <v>2</v>
      </c>
      <c r="H73" s="4" t="s">
        <v>5</v>
      </c>
      <c r="I73" s="4" t="s">
        <v>4</v>
      </c>
      <c r="J73" s="4" t="s">
        <v>3</v>
      </c>
      <c r="K73" s="4" t="s">
        <v>47</v>
      </c>
      <c r="L73" s="4" t="s">
        <v>48</v>
      </c>
      <c r="M73" s="5"/>
      <c r="N73" s="53"/>
    </row>
    <row r="74" spans="1:14" ht="15.75" x14ac:dyDescent="0.25">
      <c r="A74" s="6" t="s">
        <v>6</v>
      </c>
      <c r="B74" s="8" t="s">
        <v>65</v>
      </c>
      <c r="C74" s="24" t="s">
        <v>45</v>
      </c>
      <c r="D74" s="7" t="s">
        <v>49</v>
      </c>
      <c r="E74" s="8" t="s">
        <v>7</v>
      </c>
      <c r="F74" s="8" t="s">
        <v>8</v>
      </c>
      <c r="G74" s="8" t="s">
        <v>9</v>
      </c>
      <c r="H74" s="8" t="s">
        <v>11</v>
      </c>
      <c r="I74" s="8" t="s">
        <v>66</v>
      </c>
      <c r="J74" s="8" t="s">
        <v>10</v>
      </c>
      <c r="K74" s="7" t="s">
        <v>46</v>
      </c>
      <c r="L74" s="7" t="s">
        <v>50</v>
      </c>
      <c r="M74" s="9" t="s">
        <v>12</v>
      </c>
      <c r="N74" s="55" t="s">
        <v>128</v>
      </c>
    </row>
    <row r="75" spans="1:14" ht="18.75" x14ac:dyDescent="0.3">
      <c r="A75" s="26" t="s">
        <v>81</v>
      </c>
      <c r="B75" s="13">
        <v>57</v>
      </c>
      <c r="C75" s="12">
        <v>137</v>
      </c>
      <c r="D75" s="12">
        <v>214</v>
      </c>
      <c r="E75" s="13">
        <v>5</v>
      </c>
      <c r="F75" s="13">
        <v>31</v>
      </c>
      <c r="G75" s="13">
        <v>9</v>
      </c>
      <c r="H75" s="13">
        <v>188</v>
      </c>
      <c r="I75" s="13">
        <v>69</v>
      </c>
      <c r="J75" s="13">
        <v>160</v>
      </c>
      <c r="K75" s="12">
        <v>93</v>
      </c>
      <c r="L75" s="12">
        <v>233</v>
      </c>
      <c r="M75" s="49">
        <f>SUM(Table11240414244464770124[[#This Row],[BOX 1]:[BOX 12]])</f>
        <v>1196</v>
      </c>
      <c r="N75" s="56"/>
    </row>
    <row r="76" spans="1:14" ht="21" customHeight="1" x14ac:dyDescent="0.3">
      <c r="A76" s="26" t="s">
        <v>82</v>
      </c>
      <c r="B76" s="13">
        <v>44</v>
      </c>
      <c r="C76" s="12">
        <v>122</v>
      </c>
      <c r="D76" s="12">
        <v>139</v>
      </c>
      <c r="E76" s="13">
        <v>1</v>
      </c>
      <c r="F76" s="13">
        <v>9</v>
      </c>
      <c r="G76" s="13">
        <v>6</v>
      </c>
      <c r="H76" s="13">
        <v>106</v>
      </c>
      <c r="I76" s="13">
        <v>48</v>
      </c>
      <c r="J76" s="13">
        <v>120</v>
      </c>
      <c r="K76" s="12">
        <v>118</v>
      </c>
      <c r="L76" s="12">
        <v>125</v>
      </c>
      <c r="M76" s="49">
        <f>SUM(Table11240414244464770124[[#This Row],[BOX 1]:[BOX 12]])</f>
        <v>838</v>
      </c>
      <c r="N76" s="57"/>
    </row>
    <row r="77" spans="1:14" ht="19.5" thickBot="1" x14ac:dyDescent="0.35">
      <c r="A77" s="26" t="s">
        <v>83</v>
      </c>
      <c r="B77" s="13">
        <v>6</v>
      </c>
      <c r="C77" s="12">
        <v>7</v>
      </c>
      <c r="D77" s="12">
        <v>5</v>
      </c>
      <c r="E77" s="13">
        <v>0</v>
      </c>
      <c r="F77" s="13">
        <v>0</v>
      </c>
      <c r="G77" s="13">
        <v>0</v>
      </c>
      <c r="H77" s="13">
        <v>7</v>
      </c>
      <c r="I77" s="13">
        <v>4</v>
      </c>
      <c r="J77" s="13">
        <v>1</v>
      </c>
      <c r="K77" s="12">
        <v>4</v>
      </c>
      <c r="L77" s="12">
        <v>8</v>
      </c>
      <c r="M77" s="49">
        <f>SUM(Table11240414244464770124[[#This Row],[BOX 1]:[BOX 12]])</f>
        <v>42</v>
      </c>
      <c r="N77" s="57"/>
    </row>
    <row r="78" spans="1:14" ht="19.5" thickBot="1" x14ac:dyDescent="0.3">
      <c r="A78" s="17" t="s">
        <v>14</v>
      </c>
      <c r="B78" s="20">
        <f>SUBTOTAL(109,Table11240414244464770124[BOX 1])</f>
        <v>107</v>
      </c>
      <c r="C78" s="21">
        <f>SUBTOTAL(109,Table11240414244464770124[BOX 2])</f>
        <v>266</v>
      </c>
      <c r="D78" s="21">
        <f>SUBTOTAL(109,Table11240414244464770124[BOX 3])</f>
        <v>358</v>
      </c>
      <c r="E78" s="21">
        <f>SUBTOTAL(109,Table11240414244464770124[BOX 4])</f>
        <v>6</v>
      </c>
      <c r="F78" s="21">
        <f>SUBTOTAL(109,Table11240414244464770124[BOX 5])</f>
        <v>40</v>
      </c>
      <c r="G78" s="21">
        <f>SUBTOTAL(109,Table11240414244464770124[BOX 6])</f>
        <v>15</v>
      </c>
      <c r="H78" s="21">
        <f>SUBTOTAL(109,Table11240414244464770124[BOX 7])</f>
        <v>301</v>
      </c>
      <c r="I78" s="21">
        <f>SUBTOTAL(109,Table11240414244464770124[BOX 8])</f>
        <v>121</v>
      </c>
      <c r="J78" s="21">
        <f>SUBTOTAL(109,Table11240414244464770124[BOX 10])</f>
        <v>281</v>
      </c>
      <c r="K78" s="21">
        <f>SUBTOTAL(109,Table11240414244464770124[BOX 11])</f>
        <v>215</v>
      </c>
      <c r="L78" s="21">
        <f>SUBTOTAL(109,Table11240414244464770124[BOX 12])</f>
        <v>366</v>
      </c>
      <c r="M78" s="50">
        <f>SUBTOTAL(109,Table11240414244464770124[TOTAL])</f>
        <v>2076</v>
      </c>
      <c r="N78" s="58"/>
    </row>
    <row r="79" spans="1:14" ht="15.75" x14ac:dyDescent="0.25">
      <c r="A79" s="18" t="s">
        <v>15</v>
      </c>
      <c r="B79" s="29">
        <v>0</v>
      </c>
      <c r="C79" s="22">
        <v>0</v>
      </c>
      <c r="D79" s="22">
        <v>0</v>
      </c>
      <c r="E79" s="22">
        <v>0</v>
      </c>
      <c r="F79" s="22">
        <v>0</v>
      </c>
      <c r="G79" s="22">
        <v>0</v>
      </c>
      <c r="H79" s="30">
        <v>0</v>
      </c>
      <c r="I79" s="30">
        <v>0</v>
      </c>
      <c r="J79" s="22">
        <v>0</v>
      </c>
      <c r="K79" s="22">
        <v>0</v>
      </c>
      <c r="L79" s="22">
        <v>0</v>
      </c>
      <c r="M79" s="51"/>
    </row>
    <row r="80" spans="1:14" ht="15.75" x14ac:dyDescent="0.25">
      <c r="A80" s="19" t="s">
        <v>16</v>
      </c>
      <c r="B80" s="14">
        <v>11</v>
      </c>
      <c r="C80" s="14">
        <v>55</v>
      </c>
      <c r="D80" s="14">
        <v>57</v>
      </c>
      <c r="E80" s="14">
        <v>4</v>
      </c>
      <c r="F80" s="14">
        <v>6</v>
      </c>
      <c r="G80" s="28">
        <v>2</v>
      </c>
      <c r="H80" s="28">
        <v>41</v>
      </c>
      <c r="I80" s="14">
        <v>25</v>
      </c>
      <c r="J80" s="14">
        <v>35</v>
      </c>
      <c r="K80" s="14">
        <v>27</v>
      </c>
      <c r="L80" s="14">
        <v>47</v>
      </c>
      <c r="M80" s="52"/>
    </row>
    <row r="81" spans="1:14" x14ac:dyDescent="0.25">
      <c r="A81" s="1"/>
      <c r="B81" s="1"/>
      <c r="C81" s="1"/>
      <c r="D81" s="1"/>
      <c r="E81" s="1"/>
      <c r="F81" s="1"/>
      <c r="G81" s="1"/>
    </row>
    <row r="82" spans="1:14" ht="2.25" hidden="1" customHeight="1" x14ac:dyDescent="0.25">
      <c r="A82" s="32" t="s">
        <v>26</v>
      </c>
      <c r="B82" s="4" t="s">
        <v>4</v>
      </c>
      <c r="C82" s="4" t="s">
        <v>47</v>
      </c>
      <c r="D82" s="4" t="s">
        <v>48</v>
      </c>
      <c r="E82" s="4" t="s">
        <v>51</v>
      </c>
      <c r="F82" s="4" t="s">
        <v>1</v>
      </c>
      <c r="G82" s="4" t="s">
        <v>2</v>
      </c>
      <c r="H82" s="4" t="s">
        <v>5</v>
      </c>
      <c r="I82" s="4" t="s">
        <v>4</v>
      </c>
      <c r="J82" s="4" t="s">
        <v>3</v>
      </c>
      <c r="K82" s="4" t="s">
        <v>47</v>
      </c>
      <c r="L82" s="4" t="s">
        <v>48</v>
      </c>
      <c r="M82" s="5"/>
      <c r="N82" s="53"/>
    </row>
    <row r="83" spans="1:14" ht="19.5" customHeight="1" x14ac:dyDescent="0.25">
      <c r="A83" s="6" t="s">
        <v>6</v>
      </c>
      <c r="B83" s="8" t="s">
        <v>65</v>
      </c>
      <c r="C83" s="24" t="s">
        <v>45</v>
      </c>
      <c r="D83" s="7" t="s">
        <v>49</v>
      </c>
      <c r="E83" s="8" t="s">
        <v>7</v>
      </c>
      <c r="F83" s="8" t="s">
        <v>8</v>
      </c>
      <c r="G83" s="8" t="s">
        <v>9</v>
      </c>
      <c r="H83" s="8" t="s">
        <v>11</v>
      </c>
      <c r="I83" s="8" t="s">
        <v>66</v>
      </c>
      <c r="J83" s="8" t="s">
        <v>10</v>
      </c>
      <c r="K83" s="7" t="s">
        <v>46</v>
      </c>
      <c r="L83" s="7" t="s">
        <v>50</v>
      </c>
      <c r="M83" s="9" t="s">
        <v>12</v>
      </c>
      <c r="N83" s="55" t="s">
        <v>128</v>
      </c>
    </row>
    <row r="84" spans="1:14" ht="21" customHeight="1" x14ac:dyDescent="0.3">
      <c r="A84" s="26" t="s">
        <v>84</v>
      </c>
      <c r="B84" s="13">
        <v>57</v>
      </c>
      <c r="C84" s="12">
        <v>130</v>
      </c>
      <c r="D84" s="12">
        <v>218</v>
      </c>
      <c r="E84" s="13">
        <v>6</v>
      </c>
      <c r="F84" s="13">
        <v>30</v>
      </c>
      <c r="G84" s="13">
        <v>9</v>
      </c>
      <c r="H84" s="13">
        <v>181</v>
      </c>
      <c r="I84" s="13">
        <v>65</v>
      </c>
      <c r="J84" s="13">
        <v>153</v>
      </c>
      <c r="K84" s="12">
        <v>91</v>
      </c>
      <c r="L84" s="12">
        <v>234</v>
      </c>
      <c r="M84" s="49">
        <f>SUM(Table1124041424446474971125[[#This Row],[BOX 1]:[BOX 12]])</f>
        <v>1174</v>
      </c>
      <c r="N84" s="56"/>
    </row>
    <row r="85" spans="1:14" ht="23.25" customHeight="1" x14ac:dyDescent="0.3">
      <c r="A85" s="26" t="s">
        <v>27</v>
      </c>
      <c r="B85" s="13">
        <v>46</v>
      </c>
      <c r="C85" s="12">
        <v>127</v>
      </c>
      <c r="D85" s="12">
        <v>133</v>
      </c>
      <c r="E85" s="13">
        <v>2</v>
      </c>
      <c r="F85" s="13">
        <v>11</v>
      </c>
      <c r="G85" s="13">
        <v>6</v>
      </c>
      <c r="H85" s="13">
        <v>114</v>
      </c>
      <c r="I85" s="13">
        <v>57</v>
      </c>
      <c r="J85" s="13">
        <v>124</v>
      </c>
      <c r="K85" s="12">
        <v>122</v>
      </c>
      <c r="L85" s="12">
        <v>130</v>
      </c>
      <c r="M85" s="49">
        <f>SUM(Table1124041424446474971125[[#This Row],[BOX 1]:[BOX 12]])</f>
        <v>872</v>
      </c>
      <c r="N85" s="57"/>
    </row>
    <row r="86" spans="1:14" ht="19.5" thickBot="1" x14ac:dyDescent="0.35">
      <c r="A86" s="26" t="s">
        <v>85</v>
      </c>
      <c r="B86" s="13">
        <v>3</v>
      </c>
      <c r="C86" s="12">
        <v>13</v>
      </c>
      <c r="D86" s="12">
        <v>10</v>
      </c>
      <c r="E86" s="13">
        <v>0</v>
      </c>
      <c r="F86" s="13">
        <v>0</v>
      </c>
      <c r="G86" s="13">
        <v>0</v>
      </c>
      <c r="H86" s="13">
        <v>7</v>
      </c>
      <c r="I86" s="13">
        <v>4</v>
      </c>
      <c r="J86" s="13">
        <v>6</v>
      </c>
      <c r="K86" s="12">
        <v>2</v>
      </c>
      <c r="L86" s="12">
        <v>5</v>
      </c>
      <c r="M86" s="49">
        <f>SUM(Table1124041424446474971125[[#This Row],[BOX 1]:[BOX 12]])</f>
        <v>50</v>
      </c>
      <c r="N86" s="57"/>
    </row>
    <row r="87" spans="1:14" ht="19.5" thickBot="1" x14ac:dyDescent="0.3">
      <c r="A87" s="17" t="s">
        <v>14</v>
      </c>
      <c r="B87" s="20">
        <f>SUBTOTAL(109,Table1124041424446474971125[BOX 1])</f>
        <v>106</v>
      </c>
      <c r="C87" s="21">
        <f>SUBTOTAL(109,Table1124041424446474971125[BOX 2])</f>
        <v>270</v>
      </c>
      <c r="D87" s="21">
        <f>SUBTOTAL(109,Table1124041424446474971125[BOX 3])</f>
        <v>361</v>
      </c>
      <c r="E87" s="21">
        <f>SUBTOTAL(109,Table1124041424446474971125[BOX 4])</f>
        <v>8</v>
      </c>
      <c r="F87" s="21">
        <f>SUBTOTAL(109,Table1124041424446474971125[BOX 5])</f>
        <v>41</v>
      </c>
      <c r="G87" s="21">
        <f>SUBTOTAL(109,Table1124041424446474971125[BOX 6])</f>
        <v>15</v>
      </c>
      <c r="H87" s="21">
        <f>SUBTOTAL(109,Table1124041424446474971125[BOX 7])</f>
        <v>302</v>
      </c>
      <c r="I87" s="21">
        <f>SUBTOTAL(109,Table1124041424446474971125[BOX 8])</f>
        <v>126</v>
      </c>
      <c r="J87" s="21">
        <f>SUBTOTAL(109,Table1124041424446474971125[BOX 10])</f>
        <v>283</v>
      </c>
      <c r="K87" s="21">
        <f>SUBTOTAL(109,Table1124041424446474971125[BOX 11])</f>
        <v>215</v>
      </c>
      <c r="L87" s="21">
        <f>SUBTOTAL(109,Table1124041424446474971125[BOX 12])</f>
        <v>369</v>
      </c>
      <c r="M87" s="50">
        <f>SUBTOTAL(109,Table1124041424446474971125[TOTAL])</f>
        <v>2096</v>
      </c>
      <c r="N87" s="58"/>
    </row>
    <row r="88" spans="1:14" ht="15.75" x14ac:dyDescent="0.25">
      <c r="A88" s="18" t="s">
        <v>15</v>
      </c>
      <c r="B88" s="29">
        <v>0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  <c r="H88" s="30">
        <v>0</v>
      </c>
      <c r="I88" s="30">
        <v>0</v>
      </c>
      <c r="J88" s="22">
        <v>0</v>
      </c>
      <c r="K88" s="22">
        <v>0</v>
      </c>
      <c r="L88" s="22">
        <v>0</v>
      </c>
      <c r="M88" s="51"/>
    </row>
    <row r="89" spans="1:14" ht="15.75" x14ac:dyDescent="0.25">
      <c r="A89" s="19" t="s">
        <v>16</v>
      </c>
      <c r="B89" s="14">
        <v>12</v>
      </c>
      <c r="C89" s="14">
        <v>51</v>
      </c>
      <c r="D89" s="14">
        <v>54</v>
      </c>
      <c r="E89" s="14">
        <v>2</v>
      </c>
      <c r="F89" s="14">
        <v>5</v>
      </c>
      <c r="G89" s="28">
        <v>2</v>
      </c>
      <c r="H89" s="28">
        <v>40</v>
      </c>
      <c r="I89" s="14">
        <v>20</v>
      </c>
      <c r="J89" s="14">
        <v>33</v>
      </c>
      <c r="K89" s="14">
        <v>27</v>
      </c>
      <c r="L89" s="14">
        <v>44</v>
      </c>
      <c r="M89" s="52"/>
    </row>
    <row r="90" spans="1:14" ht="47.25" x14ac:dyDescent="0.25">
      <c r="A90" s="32" t="s">
        <v>86</v>
      </c>
      <c r="B90" s="4" t="s">
        <v>4</v>
      </c>
      <c r="C90" s="4" t="s">
        <v>47</v>
      </c>
      <c r="D90" s="4" t="s">
        <v>48</v>
      </c>
      <c r="E90" s="4" t="s">
        <v>51</v>
      </c>
      <c r="F90" s="4" t="s">
        <v>1</v>
      </c>
      <c r="G90" s="4" t="s">
        <v>2</v>
      </c>
      <c r="H90" s="4" t="s">
        <v>5</v>
      </c>
      <c r="I90" s="4" t="s">
        <v>4</v>
      </c>
      <c r="J90" s="4" t="s">
        <v>3</v>
      </c>
      <c r="K90" s="4" t="s">
        <v>47</v>
      </c>
      <c r="L90" s="4" t="s">
        <v>48</v>
      </c>
      <c r="M90" s="5"/>
      <c r="N90" s="53"/>
    </row>
    <row r="91" spans="1:14" ht="15.75" x14ac:dyDescent="0.25">
      <c r="A91" s="6" t="s">
        <v>6</v>
      </c>
      <c r="B91" s="8" t="s">
        <v>65</v>
      </c>
      <c r="C91" s="24" t="s">
        <v>45</v>
      </c>
      <c r="D91" s="7" t="s">
        <v>49</v>
      </c>
      <c r="E91" s="8" t="s">
        <v>7</v>
      </c>
      <c r="F91" s="8" t="s">
        <v>8</v>
      </c>
      <c r="G91" s="8" t="s">
        <v>9</v>
      </c>
      <c r="H91" s="8" t="s">
        <v>11</v>
      </c>
      <c r="I91" s="8" t="s">
        <v>66</v>
      </c>
      <c r="J91" s="8" t="s">
        <v>10</v>
      </c>
      <c r="K91" s="7" t="s">
        <v>46</v>
      </c>
      <c r="L91" s="7" t="s">
        <v>50</v>
      </c>
      <c r="M91" s="9" t="s">
        <v>12</v>
      </c>
      <c r="N91" s="55" t="s">
        <v>128</v>
      </c>
    </row>
    <row r="92" spans="1:14" ht="26.25" customHeight="1" x14ac:dyDescent="0.3">
      <c r="A92" s="26" t="s">
        <v>87</v>
      </c>
      <c r="B92" s="13">
        <v>60</v>
      </c>
      <c r="C92" s="12">
        <v>137</v>
      </c>
      <c r="D92" s="12">
        <v>220</v>
      </c>
      <c r="E92" s="13">
        <v>6</v>
      </c>
      <c r="F92" s="13">
        <v>32</v>
      </c>
      <c r="G92" s="13">
        <v>10</v>
      </c>
      <c r="H92" s="13">
        <v>187</v>
      </c>
      <c r="I92" s="13">
        <v>67</v>
      </c>
      <c r="J92" s="13">
        <v>152</v>
      </c>
      <c r="K92" s="12">
        <v>95</v>
      </c>
      <c r="L92" s="12">
        <v>241</v>
      </c>
      <c r="M92" s="49">
        <f>SUM(Table112404142444647495072126[[#This Row],[BOX 1]:[BOX 12]])</f>
        <v>1207</v>
      </c>
      <c r="N92" s="56"/>
    </row>
    <row r="93" spans="1:14" ht="19.5" thickBot="1" x14ac:dyDescent="0.35">
      <c r="A93" s="26" t="s">
        <v>28</v>
      </c>
      <c r="B93" s="13">
        <v>46</v>
      </c>
      <c r="C93" s="12">
        <v>131</v>
      </c>
      <c r="D93" s="12">
        <v>137</v>
      </c>
      <c r="E93" s="13">
        <v>1</v>
      </c>
      <c r="F93" s="13">
        <v>9</v>
      </c>
      <c r="G93" s="13">
        <v>5</v>
      </c>
      <c r="H93" s="13">
        <v>115</v>
      </c>
      <c r="I93" s="13">
        <v>56</v>
      </c>
      <c r="J93" s="13">
        <v>129</v>
      </c>
      <c r="K93" s="12">
        <v>117</v>
      </c>
      <c r="L93" s="12">
        <v>128</v>
      </c>
      <c r="M93" s="49">
        <f>SUM(Table112404142444647495072126[[#This Row],[BOX 1]:[BOX 12]])</f>
        <v>874</v>
      </c>
      <c r="N93" s="57"/>
    </row>
    <row r="94" spans="1:14" ht="19.5" thickBot="1" x14ac:dyDescent="0.3">
      <c r="A94" s="17" t="s">
        <v>14</v>
      </c>
      <c r="B94" s="20">
        <f>SUBTOTAL(109,Table112404142444647495072126[BOX 1])</f>
        <v>106</v>
      </c>
      <c r="C94" s="21">
        <f>SUBTOTAL(109,Table112404142444647495072126[BOX 2])</f>
        <v>268</v>
      </c>
      <c r="D94" s="21">
        <f>SUBTOTAL(109,Table112404142444647495072126[BOX 3])</f>
        <v>357</v>
      </c>
      <c r="E94" s="21">
        <f>SUBTOTAL(109,Table112404142444647495072126[BOX 4])</f>
        <v>7</v>
      </c>
      <c r="F94" s="21">
        <f>SUBTOTAL(109,Table112404142444647495072126[BOX 5])</f>
        <v>41</v>
      </c>
      <c r="G94" s="21">
        <f>SUBTOTAL(109,Table112404142444647495072126[BOX 6])</f>
        <v>15</v>
      </c>
      <c r="H94" s="21">
        <f>SUBTOTAL(109,Table112404142444647495072126[BOX 7])</f>
        <v>302</v>
      </c>
      <c r="I94" s="21">
        <f>SUBTOTAL(109,Table112404142444647495072126[BOX 8])</f>
        <v>123</v>
      </c>
      <c r="J94" s="21">
        <f>SUBTOTAL(109,Table112404142444647495072126[BOX 10])</f>
        <v>281</v>
      </c>
      <c r="K94" s="21">
        <f>SUBTOTAL(109,Table112404142444647495072126[BOX 11])</f>
        <v>212</v>
      </c>
      <c r="L94" s="21">
        <f>SUBTOTAL(109,Table112404142444647495072126[BOX 12])</f>
        <v>369</v>
      </c>
      <c r="M94" s="50">
        <f>SUBTOTAL(109,Table112404142444647495072126[TOTAL])</f>
        <v>2081</v>
      </c>
      <c r="N94" s="58"/>
    </row>
    <row r="95" spans="1:14" ht="15.75" x14ac:dyDescent="0.25">
      <c r="A95" s="18" t="s">
        <v>15</v>
      </c>
      <c r="B95" s="29">
        <v>0</v>
      </c>
      <c r="C95" s="22">
        <v>0</v>
      </c>
      <c r="D95" s="22">
        <v>1</v>
      </c>
      <c r="E95" s="22">
        <v>0</v>
      </c>
      <c r="F95" s="22">
        <v>0</v>
      </c>
      <c r="G95" s="22">
        <v>0</v>
      </c>
      <c r="H95" s="30">
        <v>0</v>
      </c>
      <c r="I95" s="30">
        <v>0</v>
      </c>
      <c r="J95" s="22">
        <v>0</v>
      </c>
      <c r="K95" s="22">
        <v>0</v>
      </c>
      <c r="L95" s="22">
        <v>0</v>
      </c>
      <c r="M95" s="51"/>
    </row>
    <row r="96" spans="1:14" ht="15.75" x14ac:dyDescent="0.25">
      <c r="A96" s="19" t="s">
        <v>16</v>
      </c>
      <c r="B96" s="14">
        <v>12</v>
      </c>
      <c r="C96" s="14">
        <v>53</v>
      </c>
      <c r="D96" s="14">
        <v>57</v>
      </c>
      <c r="E96" s="14">
        <v>3</v>
      </c>
      <c r="F96" s="14">
        <v>5</v>
      </c>
      <c r="G96" s="28">
        <v>2</v>
      </c>
      <c r="H96" s="28">
        <v>40</v>
      </c>
      <c r="I96" s="14">
        <v>23</v>
      </c>
      <c r="J96" s="14">
        <v>35</v>
      </c>
      <c r="K96" s="14">
        <v>30</v>
      </c>
      <c r="L96" s="14">
        <v>44</v>
      </c>
      <c r="M96" s="52"/>
    </row>
    <row r="97" spans="1:14" x14ac:dyDescent="0.25">
      <c r="A97" s="1"/>
      <c r="B97" s="1"/>
      <c r="C97" s="1"/>
      <c r="D97" s="1"/>
      <c r="E97" s="1"/>
      <c r="F97" s="1"/>
      <c r="G97" s="1"/>
      <c r="K97" s="1"/>
    </row>
    <row r="98" spans="1:14" x14ac:dyDescent="0.25">
      <c r="A98" s="1"/>
      <c r="B98" s="1"/>
      <c r="C98" s="1"/>
      <c r="D98" s="1"/>
      <c r="E98" s="1"/>
      <c r="F98" s="1"/>
      <c r="G98" s="1"/>
      <c r="K98" s="1"/>
    </row>
    <row r="99" spans="1:14" ht="47.25" x14ac:dyDescent="0.25">
      <c r="A99" s="32" t="s">
        <v>88</v>
      </c>
      <c r="B99" s="4" t="s">
        <v>4</v>
      </c>
      <c r="C99" s="4" t="s">
        <v>47</v>
      </c>
      <c r="D99" s="4" t="s">
        <v>48</v>
      </c>
      <c r="E99" s="4" t="s">
        <v>51</v>
      </c>
      <c r="F99" s="4" t="s">
        <v>1</v>
      </c>
      <c r="G99" s="4" t="s">
        <v>2</v>
      </c>
      <c r="H99" s="4" t="s">
        <v>5</v>
      </c>
      <c r="I99" s="4" t="s">
        <v>4</v>
      </c>
      <c r="J99" s="4" t="s">
        <v>3</v>
      </c>
      <c r="K99" s="4" t="s">
        <v>47</v>
      </c>
      <c r="L99" s="4" t="s">
        <v>48</v>
      </c>
      <c r="M99" s="5"/>
      <c r="N99" s="53"/>
    </row>
    <row r="100" spans="1:14" ht="15.75" x14ac:dyDescent="0.25">
      <c r="A100" s="6" t="s">
        <v>6</v>
      </c>
      <c r="B100" s="8" t="s">
        <v>65</v>
      </c>
      <c r="C100" s="24" t="s">
        <v>45</v>
      </c>
      <c r="D100" s="7" t="s">
        <v>49</v>
      </c>
      <c r="E100" s="8" t="s">
        <v>7</v>
      </c>
      <c r="F100" s="8" t="s">
        <v>8</v>
      </c>
      <c r="G100" s="8" t="s">
        <v>9</v>
      </c>
      <c r="H100" s="8" t="s">
        <v>11</v>
      </c>
      <c r="I100" s="8" t="s">
        <v>66</v>
      </c>
      <c r="J100" s="8" t="s">
        <v>10</v>
      </c>
      <c r="K100" s="7" t="s">
        <v>46</v>
      </c>
      <c r="L100" s="7" t="s">
        <v>50</v>
      </c>
      <c r="M100" s="9" t="s">
        <v>12</v>
      </c>
      <c r="N100" s="55" t="s">
        <v>128</v>
      </c>
    </row>
    <row r="101" spans="1:14" ht="18.75" x14ac:dyDescent="0.3">
      <c r="A101" s="26" t="s">
        <v>89</v>
      </c>
      <c r="B101" s="13">
        <v>59</v>
      </c>
      <c r="C101" s="12">
        <v>142</v>
      </c>
      <c r="D101" s="12">
        <v>222</v>
      </c>
      <c r="E101" s="13">
        <v>6</v>
      </c>
      <c r="F101" s="13">
        <v>32</v>
      </c>
      <c r="G101" s="13">
        <v>10</v>
      </c>
      <c r="H101" s="13">
        <v>190</v>
      </c>
      <c r="I101" s="13">
        <v>67</v>
      </c>
      <c r="J101" s="13">
        <v>156</v>
      </c>
      <c r="K101" s="12">
        <v>95</v>
      </c>
      <c r="L101" s="12">
        <v>237</v>
      </c>
      <c r="M101" s="49">
        <f>SUM(Table1124041424446474950515374127[[#This Row],[BOX 1]:[BOX 12]])</f>
        <v>1216</v>
      </c>
      <c r="N101" s="56"/>
    </row>
    <row r="102" spans="1:14" ht="19.5" thickBot="1" x14ac:dyDescent="0.35">
      <c r="A102" s="26" t="s">
        <v>29</v>
      </c>
      <c r="B102" s="13">
        <v>47</v>
      </c>
      <c r="C102" s="12">
        <v>124</v>
      </c>
      <c r="D102" s="12">
        <v>132</v>
      </c>
      <c r="E102" s="13">
        <v>1</v>
      </c>
      <c r="F102" s="13">
        <v>10</v>
      </c>
      <c r="G102" s="13">
        <v>5</v>
      </c>
      <c r="H102" s="13">
        <v>110</v>
      </c>
      <c r="I102" s="13">
        <v>55</v>
      </c>
      <c r="J102" s="13">
        <v>127</v>
      </c>
      <c r="K102" s="12">
        <v>118</v>
      </c>
      <c r="L102" s="12">
        <v>128</v>
      </c>
      <c r="M102" s="49">
        <f>SUM(Table1124041424446474950515374127[[#This Row],[BOX 1]:[BOX 12]])</f>
        <v>857</v>
      </c>
      <c r="N102" s="57"/>
    </row>
    <row r="103" spans="1:14" ht="19.5" thickBot="1" x14ac:dyDescent="0.3">
      <c r="A103" s="17" t="s">
        <v>14</v>
      </c>
      <c r="B103" s="20">
        <f>SUBTOTAL(109,Table1124041424446474950515374127[BOX 1])</f>
        <v>106</v>
      </c>
      <c r="C103" s="21">
        <f>SUBTOTAL(109,Table1124041424446474950515374127[BOX 2])</f>
        <v>266</v>
      </c>
      <c r="D103" s="21">
        <f>SUBTOTAL(109,Table1124041424446474950515374127[BOX 3])</f>
        <v>354</v>
      </c>
      <c r="E103" s="21">
        <f>SUBTOTAL(109,Table1124041424446474950515374127[BOX 4])</f>
        <v>7</v>
      </c>
      <c r="F103" s="21">
        <f>SUBTOTAL(109,Table1124041424446474950515374127[BOX 5])</f>
        <v>42</v>
      </c>
      <c r="G103" s="21">
        <f>SUBTOTAL(109,Table1124041424446474950515374127[BOX 6])</f>
        <v>15</v>
      </c>
      <c r="H103" s="21">
        <f>SUBTOTAL(109,Table1124041424446474950515374127[BOX 7])</f>
        <v>300</v>
      </c>
      <c r="I103" s="21">
        <f>SUBTOTAL(109,Table1124041424446474950515374127[BOX 8])</f>
        <v>122</v>
      </c>
      <c r="J103" s="21">
        <f>SUBTOTAL(109,Table1124041424446474950515374127[BOX 10])</f>
        <v>283</v>
      </c>
      <c r="K103" s="21">
        <f>SUBTOTAL(109,Table1124041424446474950515374127[BOX 11])</f>
        <v>213</v>
      </c>
      <c r="L103" s="21">
        <f>SUBTOTAL(109,Table1124041424446474950515374127[BOX 12])</f>
        <v>365</v>
      </c>
      <c r="M103" s="50">
        <f>SUBTOTAL(109,Table1124041424446474950515374127[TOTAL])</f>
        <v>2073</v>
      </c>
      <c r="N103" s="58"/>
    </row>
    <row r="104" spans="1:14" ht="15.75" x14ac:dyDescent="0.25">
      <c r="A104" s="18" t="s">
        <v>15</v>
      </c>
      <c r="B104" s="29">
        <v>0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30">
        <v>0</v>
      </c>
      <c r="I104" s="30">
        <v>0</v>
      </c>
      <c r="J104" s="22">
        <v>0</v>
      </c>
      <c r="K104" s="22">
        <v>0</v>
      </c>
      <c r="L104" s="22">
        <v>0</v>
      </c>
      <c r="M104" s="51"/>
    </row>
    <row r="105" spans="1:14" x14ac:dyDescent="0.25">
      <c r="A105" s="33" t="s">
        <v>16</v>
      </c>
      <c r="B105" s="27">
        <v>12</v>
      </c>
      <c r="C105" s="28">
        <v>55</v>
      </c>
      <c r="D105" s="28">
        <v>61</v>
      </c>
      <c r="E105" s="28">
        <v>3</v>
      </c>
      <c r="F105" s="28">
        <v>4</v>
      </c>
      <c r="G105" s="28">
        <v>2</v>
      </c>
      <c r="H105" s="28">
        <v>42</v>
      </c>
      <c r="I105" s="28">
        <v>24</v>
      </c>
      <c r="J105" s="28">
        <v>33</v>
      </c>
      <c r="K105" s="28">
        <v>29</v>
      </c>
      <c r="L105" s="28">
        <v>48</v>
      </c>
      <c r="M105" s="52"/>
    </row>
    <row r="106" spans="1:14" ht="47.25" x14ac:dyDescent="0.25">
      <c r="A106" s="32" t="s">
        <v>30</v>
      </c>
      <c r="B106" s="4" t="s">
        <v>4</v>
      </c>
      <c r="C106" s="4" t="s">
        <v>47</v>
      </c>
      <c r="D106" s="4" t="s">
        <v>48</v>
      </c>
      <c r="E106" s="4" t="s">
        <v>51</v>
      </c>
      <c r="F106" s="4" t="s">
        <v>1</v>
      </c>
      <c r="G106" s="4" t="s">
        <v>2</v>
      </c>
      <c r="H106" s="4" t="s">
        <v>5</v>
      </c>
      <c r="I106" s="4" t="s">
        <v>4</v>
      </c>
      <c r="J106" s="4" t="s">
        <v>3</v>
      </c>
      <c r="K106" s="4" t="s">
        <v>47</v>
      </c>
      <c r="L106" s="4" t="s">
        <v>48</v>
      </c>
      <c r="M106" s="5"/>
      <c r="N106" s="53"/>
    </row>
    <row r="107" spans="1:14" ht="15.75" x14ac:dyDescent="0.25">
      <c r="A107" s="6" t="s">
        <v>6</v>
      </c>
      <c r="B107" s="8" t="s">
        <v>65</v>
      </c>
      <c r="C107" s="24" t="s">
        <v>45</v>
      </c>
      <c r="D107" s="7" t="s">
        <v>49</v>
      </c>
      <c r="E107" s="8" t="s">
        <v>7</v>
      </c>
      <c r="F107" s="8" t="s">
        <v>8</v>
      </c>
      <c r="G107" s="8" t="s">
        <v>9</v>
      </c>
      <c r="H107" s="8" t="s">
        <v>11</v>
      </c>
      <c r="I107" s="8" t="s">
        <v>66</v>
      </c>
      <c r="J107" s="8" t="s">
        <v>10</v>
      </c>
      <c r="K107" s="7" t="s">
        <v>46</v>
      </c>
      <c r="L107" s="7" t="s">
        <v>50</v>
      </c>
      <c r="M107" s="9" t="s">
        <v>12</v>
      </c>
      <c r="N107" s="55" t="s">
        <v>128</v>
      </c>
    </row>
    <row r="108" spans="1:14" ht="18.75" x14ac:dyDescent="0.3">
      <c r="A108" s="26" t="s">
        <v>90</v>
      </c>
      <c r="B108" s="13">
        <v>62</v>
      </c>
      <c r="C108" s="12">
        <v>143</v>
      </c>
      <c r="D108" s="12">
        <v>224</v>
      </c>
      <c r="E108" s="13">
        <v>6</v>
      </c>
      <c r="F108" s="13">
        <v>32</v>
      </c>
      <c r="G108" s="13">
        <v>10</v>
      </c>
      <c r="H108" s="13">
        <v>188</v>
      </c>
      <c r="I108" s="13">
        <v>71</v>
      </c>
      <c r="J108" s="13">
        <v>157</v>
      </c>
      <c r="K108" s="12">
        <v>95</v>
      </c>
      <c r="L108" s="12">
        <v>238</v>
      </c>
      <c r="M108" s="49">
        <f>SUM(Table112404142444647495051535475128[[#This Row],[BOX 1]:[BOX 12]])</f>
        <v>1226</v>
      </c>
      <c r="N108" s="56"/>
    </row>
    <row r="109" spans="1:14" ht="19.5" thickBot="1" x14ac:dyDescent="0.35">
      <c r="A109" s="26" t="s">
        <v>31</v>
      </c>
      <c r="B109" s="13">
        <v>42</v>
      </c>
      <c r="C109" s="12">
        <v>121</v>
      </c>
      <c r="D109" s="12">
        <v>130</v>
      </c>
      <c r="E109" s="13">
        <v>1</v>
      </c>
      <c r="F109" s="13">
        <v>9</v>
      </c>
      <c r="G109" s="13">
        <v>5</v>
      </c>
      <c r="H109" s="13">
        <v>114</v>
      </c>
      <c r="I109" s="13">
        <v>52</v>
      </c>
      <c r="J109" s="13">
        <v>118</v>
      </c>
      <c r="K109" s="12">
        <v>113</v>
      </c>
      <c r="L109" s="12">
        <v>123</v>
      </c>
      <c r="M109" s="49">
        <f>SUM(Table112404142444647495051535475128[[#This Row],[BOX 1]:[BOX 12]])</f>
        <v>828</v>
      </c>
      <c r="N109" s="57"/>
    </row>
    <row r="110" spans="1:14" ht="19.5" thickBot="1" x14ac:dyDescent="0.3">
      <c r="A110" s="17" t="s">
        <v>14</v>
      </c>
      <c r="B110" s="20">
        <f>SUBTOTAL(109,Table112404142444647495051535475128[BOX 1])</f>
        <v>104</v>
      </c>
      <c r="C110" s="21">
        <f>SUBTOTAL(109,Table112404142444647495051535475128[BOX 2])</f>
        <v>264</v>
      </c>
      <c r="D110" s="21">
        <f>SUBTOTAL(109,Table112404142444647495051535475128[BOX 3])</f>
        <v>354</v>
      </c>
      <c r="E110" s="21">
        <f>SUBTOTAL(109,Table112404142444647495051535475128[BOX 4])</f>
        <v>7</v>
      </c>
      <c r="F110" s="21">
        <f>SUBTOTAL(109,Table112404142444647495051535475128[BOX 5])</f>
        <v>41</v>
      </c>
      <c r="G110" s="21">
        <f>SUBTOTAL(109,Table112404142444647495051535475128[BOX 6])</f>
        <v>15</v>
      </c>
      <c r="H110" s="21">
        <f>SUBTOTAL(109,Table112404142444647495051535475128[BOX 7])</f>
        <v>302</v>
      </c>
      <c r="I110" s="21">
        <f>SUBTOTAL(109,Table112404142444647495051535475128[BOX 8])</f>
        <v>123</v>
      </c>
      <c r="J110" s="21">
        <f>SUBTOTAL(109,Table112404142444647495051535475128[BOX 10])</f>
        <v>275</v>
      </c>
      <c r="K110" s="21">
        <f>SUBTOTAL(109,Table112404142444647495051535475128[BOX 11])</f>
        <v>208</v>
      </c>
      <c r="L110" s="21">
        <f>SUBTOTAL(109,Table112404142444647495051535475128[BOX 12])</f>
        <v>361</v>
      </c>
      <c r="M110" s="50">
        <f>SUBTOTAL(109,Table112404142444647495051535475128[TOTAL])</f>
        <v>2054</v>
      </c>
      <c r="N110" s="58"/>
    </row>
    <row r="111" spans="1:14" ht="15.75" x14ac:dyDescent="0.25">
      <c r="A111" s="18" t="s">
        <v>15</v>
      </c>
      <c r="B111" s="29">
        <v>0</v>
      </c>
      <c r="C111" s="22">
        <v>0</v>
      </c>
      <c r="D111" s="22">
        <v>0</v>
      </c>
      <c r="E111" s="22">
        <v>0</v>
      </c>
      <c r="F111" s="22">
        <v>0</v>
      </c>
      <c r="G111" s="22">
        <v>0</v>
      </c>
      <c r="H111" s="30">
        <v>0</v>
      </c>
      <c r="I111" s="30">
        <v>0</v>
      </c>
      <c r="J111" s="22">
        <v>0</v>
      </c>
      <c r="K111" s="22">
        <v>0</v>
      </c>
      <c r="L111" s="22">
        <v>0</v>
      </c>
      <c r="M111" s="51"/>
    </row>
    <row r="112" spans="1:14" x14ac:dyDescent="0.25">
      <c r="A112" s="33" t="s">
        <v>16</v>
      </c>
      <c r="B112" s="27">
        <v>14</v>
      </c>
      <c r="C112" s="28">
        <v>57</v>
      </c>
      <c r="D112" s="28">
        <v>61</v>
      </c>
      <c r="E112" s="28">
        <v>3</v>
      </c>
      <c r="F112" s="28">
        <v>5</v>
      </c>
      <c r="G112" s="28">
        <v>2</v>
      </c>
      <c r="H112" s="28">
        <v>40</v>
      </c>
      <c r="I112" s="28">
        <v>23</v>
      </c>
      <c r="J112" s="28">
        <v>41</v>
      </c>
      <c r="K112" s="28">
        <v>34</v>
      </c>
      <c r="L112" s="28">
        <v>52</v>
      </c>
      <c r="M112" s="52"/>
    </row>
    <row r="115" spans="1:14" ht="45" x14ac:dyDescent="0.25">
      <c r="A115" s="32" t="s">
        <v>91</v>
      </c>
      <c r="B115" s="4" t="s">
        <v>4</v>
      </c>
      <c r="C115" s="4" t="s">
        <v>47</v>
      </c>
      <c r="D115" s="4" t="s">
        <v>48</v>
      </c>
      <c r="E115" s="4" t="s">
        <v>51</v>
      </c>
      <c r="F115" s="4" t="s">
        <v>1</v>
      </c>
      <c r="G115" s="4" t="s">
        <v>2</v>
      </c>
      <c r="H115" s="4" t="s">
        <v>5</v>
      </c>
      <c r="I115" s="4" t="s">
        <v>4</v>
      </c>
      <c r="J115" s="4" t="s">
        <v>3</v>
      </c>
      <c r="K115" s="4" t="s">
        <v>47</v>
      </c>
      <c r="L115" s="4" t="s">
        <v>48</v>
      </c>
      <c r="M115" s="5"/>
      <c r="N115" s="53"/>
    </row>
    <row r="116" spans="1:14" ht="15.75" x14ac:dyDescent="0.25">
      <c r="A116" s="6" t="s">
        <v>6</v>
      </c>
      <c r="B116" s="8" t="s">
        <v>65</v>
      </c>
      <c r="C116" s="24" t="s">
        <v>45</v>
      </c>
      <c r="D116" s="7" t="s">
        <v>49</v>
      </c>
      <c r="E116" s="8" t="s">
        <v>7</v>
      </c>
      <c r="F116" s="8" t="s">
        <v>8</v>
      </c>
      <c r="G116" s="8" t="s">
        <v>9</v>
      </c>
      <c r="H116" s="8" t="s">
        <v>11</v>
      </c>
      <c r="I116" s="8" t="s">
        <v>66</v>
      </c>
      <c r="J116" s="8" t="s">
        <v>10</v>
      </c>
      <c r="K116" s="7" t="s">
        <v>46</v>
      </c>
      <c r="L116" s="7" t="s">
        <v>50</v>
      </c>
      <c r="M116" s="9" t="s">
        <v>12</v>
      </c>
      <c r="N116" s="55" t="s">
        <v>128</v>
      </c>
    </row>
    <row r="117" spans="1:14" ht="18.75" x14ac:dyDescent="0.3">
      <c r="A117" s="26" t="s">
        <v>92</v>
      </c>
      <c r="B117" s="13">
        <v>51</v>
      </c>
      <c r="C117" s="12">
        <v>136</v>
      </c>
      <c r="D117" s="12">
        <v>215</v>
      </c>
      <c r="E117" s="13">
        <v>5</v>
      </c>
      <c r="F117" s="13">
        <v>31</v>
      </c>
      <c r="G117" s="13">
        <v>10</v>
      </c>
      <c r="H117" s="13">
        <v>181</v>
      </c>
      <c r="I117" s="13">
        <v>65</v>
      </c>
      <c r="J117" s="13">
        <v>154</v>
      </c>
      <c r="K117" s="12">
        <v>84</v>
      </c>
      <c r="L117" s="12">
        <v>224</v>
      </c>
      <c r="M117" s="49">
        <f>SUM(Table112404142444647495051535676129[[#This Row],[BOX 1]:[BOX 12]])</f>
        <v>1156</v>
      </c>
      <c r="N117" s="56"/>
    </row>
    <row r="118" spans="1:14" ht="19.5" thickBot="1" x14ac:dyDescent="0.35">
      <c r="A118" s="26" t="s">
        <v>32</v>
      </c>
      <c r="B118" s="13">
        <v>45</v>
      </c>
      <c r="C118" s="12">
        <v>136</v>
      </c>
      <c r="D118" s="12">
        <v>145</v>
      </c>
      <c r="E118" s="13">
        <v>2</v>
      </c>
      <c r="F118" s="13">
        <v>11</v>
      </c>
      <c r="G118" s="13">
        <v>6</v>
      </c>
      <c r="H118" s="13">
        <v>121</v>
      </c>
      <c r="I118" s="13">
        <v>51</v>
      </c>
      <c r="J118" s="13">
        <v>123</v>
      </c>
      <c r="K118" s="12">
        <v>129</v>
      </c>
      <c r="L118" s="12">
        <v>138</v>
      </c>
      <c r="M118" s="49">
        <f>SUM(Table112404142444647495051535676129[[#This Row],[BOX 1]:[BOX 12]])</f>
        <v>907</v>
      </c>
      <c r="N118" s="57"/>
    </row>
    <row r="119" spans="1:14" ht="19.5" thickBot="1" x14ac:dyDescent="0.3">
      <c r="A119" s="17" t="s">
        <v>14</v>
      </c>
      <c r="B119" s="20">
        <f>SUBTOTAL(109,Table112404142444647495051535676129[BOX 1])</f>
        <v>96</v>
      </c>
      <c r="C119" s="21">
        <f>SUBTOTAL(109,Table112404142444647495051535676129[BOX 2])</f>
        <v>272</v>
      </c>
      <c r="D119" s="21">
        <f>SUBTOTAL(109,Table112404142444647495051535676129[BOX 3])</f>
        <v>360</v>
      </c>
      <c r="E119" s="21">
        <f>SUBTOTAL(109,Table112404142444647495051535676129[BOX 4])</f>
        <v>7</v>
      </c>
      <c r="F119" s="21">
        <f>SUBTOTAL(109,Table112404142444647495051535676129[BOX 5])</f>
        <v>42</v>
      </c>
      <c r="G119" s="21">
        <f>SUBTOTAL(109,Table112404142444647495051535676129[BOX 6])</f>
        <v>16</v>
      </c>
      <c r="H119" s="21">
        <f>SUBTOTAL(109,Table112404142444647495051535676129[BOX 7])</f>
        <v>302</v>
      </c>
      <c r="I119" s="21">
        <f>SUBTOTAL(109,Table112404142444647495051535676129[BOX 8])</f>
        <v>116</v>
      </c>
      <c r="J119" s="21">
        <f>SUBTOTAL(109,Table112404142444647495051535676129[BOX 10])</f>
        <v>277</v>
      </c>
      <c r="K119" s="21">
        <f>SUBTOTAL(109,Table112404142444647495051535676129[BOX 11])</f>
        <v>213</v>
      </c>
      <c r="L119" s="21">
        <f>SUBTOTAL(109,Table112404142444647495051535676129[BOX 12])</f>
        <v>362</v>
      </c>
      <c r="M119" s="50">
        <f>SUBTOTAL(109,Table112404142444647495051535676129[TOTAL])</f>
        <v>2063</v>
      </c>
      <c r="N119" s="58"/>
    </row>
    <row r="120" spans="1:14" ht="15.75" x14ac:dyDescent="0.25">
      <c r="A120" s="18" t="s">
        <v>15</v>
      </c>
      <c r="B120" s="29">
        <v>0</v>
      </c>
      <c r="C120" s="22">
        <v>0</v>
      </c>
      <c r="D120" s="22">
        <v>0</v>
      </c>
      <c r="E120" s="22">
        <v>0</v>
      </c>
      <c r="F120" s="22">
        <v>0</v>
      </c>
      <c r="G120" s="22">
        <v>0</v>
      </c>
      <c r="H120" s="30">
        <v>0</v>
      </c>
      <c r="I120" s="30">
        <v>0</v>
      </c>
      <c r="J120" s="22">
        <v>0</v>
      </c>
      <c r="K120" s="22">
        <v>0</v>
      </c>
      <c r="L120" s="22">
        <v>0</v>
      </c>
      <c r="M120" s="51"/>
    </row>
    <row r="121" spans="1:14" x14ac:dyDescent="0.25">
      <c r="A121" s="33" t="s">
        <v>16</v>
      </c>
      <c r="B121" s="28">
        <v>22</v>
      </c>
      <c r="C121" s="28">
        <v>49</v>
      </c>
      <c r="D121" s="28">
        <v>55</v>
      </c>
      <c r="E121" s="28">
        <v>3</v>
      </c>
      <c r="F121" s="28">
        <v>4</v>
      </c>
      <c r="G121" s="28">
        <v>1</v>
      </c>
      <c r="H121" s="28">
        <v>40</v>
      </c>
      <c r="I121" s="28">
        <v>30</v>
      </c>
      <c r="J121" s="28">
        <v>39</v>
      </c>
      <c r="K121" s="28">
        <v>29</v>
      </c>
      <c r="L121" s="28">
        <v>51</v>
      </c>
      <c r="M121" s="52"/>
    </row>
    <row r="123" spans="1:14" ht="45" x14ac:dyDescent="0.25">
      <c r="A123" s="32" t="s">
        <v>93</v>
      </c>
      <c r="B123" s="4" t="s">
        <v>4</v>
      </c>
      <c r="C123" s="4" t="s">
        <v>47</v>
      </c>
      <c r="D123" s="4" t="s">
        <v>48</v>
      </c>
      <c r="E123" s="4" t="s">
        <v>51</v>
      </c>
      <c r="F123" s="4" t="s">
        <v>1</v>
      </c>
      <c r="G123" s="4" t="s">
        <v>2</v>
      </c>
      <c r="H123" s="4" t="s">
        <v>5</v>
      </c>
      <c r="I123" s="4" t="s">
        <v>4</v>
      </c>
      <c r="J123" s="4" t="s">
        <v>3</v>
      </c>
      <c r="K123" s="4" t="s">
        <v>47</v>
      </c>
      <c r="L123" s="4" t="s">
        <v>48</v>
      </c>
      <c r="M123" s="5"/>
      <c r="N123" s="53"/>
    </row>
    <row r="124" spans="1:14" ht="15.75" x14ac:dyDescent="0.25">
      <c r="A124" s="6" t="s">
        <v>6</v>
      </c>
      <c r="B124" s="8" t="s">
        <v>65</v>
      </c>
      <c r="C124" s="24" t="s">
        <v>45</v>
      </c>
      <c r="D124" s="7" t="s">
        <v>49</v>
      </c>
      <c r="E124" s="8" t="s">
        <v>7</v>
      </c>
      <c r="F124" s="8" t="s">
        <v>8</v>
      </c>
      <c r="G124" s="8" t="s">
        <v>9</v>
      </c>
      <c r="H124" s="8" t="s">
        <v>11</v>
      </c>
      <c r="I124" s="8" t="s">
        <v>66</v>
      </c>
      <c r="J124" s="8" t="s">
        <v>10</v>
      </c>
      <c r="K124" s="7" t="s">
        <v>46</v>
      </c>
      <c r="L124" s="7" t="s">
        <v>50</v>
      </c>
      <c r="M124" s="9" t="s">
        <v>12</v>
      </c>
      <c r="N124" s="55" t="s">
        <v>128</v>
      </c>
    </row>
    <row r="125" spans="1:14" ht="18.75" x14ac:dyDescent="0.3">
      <c r="A125" s="26" t="s">
        <v>94</v>
      </c>
      <c r="B125" s="13">
        <v>57</v>
      </c>
      <c r="C125" s="12">
        <v>144</v>
      </c>
      <c r="D125" s="12">
        <v>231</v>
      </c>
      <c r="E125" s="13">
        <v>5</v>
      </c>
      <c r="F125" s="13">
        <v>31</v>
      </c>
      <c r="G125" s="13">
        <v>12</v>
      </c>
      <c r="H125" s="13">
        <v>203</v>
      </c>
      <c r="I125" s="13">
        <v>69</v>
      </c>
      <c r="J125" s="13">
        <v>165</v>
      </c>
      <c r="K125" s="12">
        <v>101</v>
      </c>
      <c r="L125" s="12">
        <v>249</v>
      </c>
      <c r="M125" s="49">
        <f>SUM(Table11240414244464749505153565877130[[#This Row],[BOX 1]:[BOX 12]])</f>
        <v>1267</v>
      </c>
      <c r="N125" s="56"/>
    </row>
    <row r="126" spans="1:14" ht="18.75" x14ac:dyDescent="0.3">
      <c r="A126" s="26" t="s">
        <v>33</v>
      </c>
      <c r="B126" s="13">
        <v>30</v>
      </c>
      <c r="C126" s="12">
        <v>124</v>
      </c>
      <c r="D126" s="12">
        <v>125</v>
      </c>
      <c r="E126" s="13">
        <v>2</v>
      </c>
      <c r="F126" s="13">
        <v>11</v>
      </c>
      <c r="G126" s="13">
        <v>4</v>
      </c>
      <c r="H126" s="13">
        <v>106</v>
      </c>
      <c r="I126" s="13">
        <v>46</v>
      </c>
      <c r="J126" s="13">
        <v>115</v>
      </c>
      <c r="K126" s="12">
        <v>112</v>
      </c>
      <c r="L126" s="12">
        <v>116</v>
      </c>
      <c r="M126" s="49">
        <f>SUM(Table11240414244464749505153565877130[[#This Row],[BOX 1]:[BOX 12]])</f>
        <v>791</v>
      </c>
      <c r="N126" s="57"/>
    </row>
    <row r="127" spans="1:14" ht="19.5" thickBot="1" x14ac:dyDescent="0.35">
      <c r="A127" s="26" t="s">
        <v>95</v>
      </c>
      <c r="B127" s="13">
        <v>10</v>
      </c>
      <c r="C127" s="12">
        <v>15</v>
      </c>
      <c r="D127" s="12">
        <v>10</v>
      </c>
      <c r="E127" s="13">
        <v>0</v>
      </c>
      <c r="F127" s="13">
        <v>1</v>
      </c>
      <c r="G127" s="13">
        <v>0</v>
      </c>
      <c r="H127" s="13">
        <v>9</v>
      </c>
      <c r="I127" s="13">
        <v>7</v>
      </c>
      <c r="J127" s="13">
        <v>6</v>
      </c>
      <c r="K127" s="12">
        <v>3</v>
      </c>
      <c r="L127" s="12">
        <v>11</v>
      </c>
      <c r="M127" s="49">
        <f>SUM(Table11240414244464749505153565877130[[#This Row],[BOX 1]:[BOX 12]])</f>
        <v>72</v>
      </c>
      <c r="N127" s="57"/>
    </row>
    <row r="128" spans="1:14" ht="19.5" thickBot="1" x14ac:dyDescent="0.3">
      <c r="A128" s="17" t="s">
        <v>14</v>
      </c>
      <c r="B128" s="20">
        <f>SUBTOTAL(109,Table11240414244464749505153565877130[BOX 1])</f>
        <v>97</v>
      </c>
      <c r="C128" s="21">
        <f>SUBTOTAL(109,Table11240414244464749505153565877130[BOX 2])</f>
        <v>283</v>
      </c>
      <c r="D128" s="21">
        <f>SUBTOTAL(109,Table11240414244464749505153565877130[BOX 3])</f>
        <v>366</v>
      </c>
      <c r="E128" s="21">
        <f>SUBTOTAL(109,Table11240414244464749505153565877130[BOX 4])</f>
        <v>7</v>
      </c>
      <c r="F128" s="21">
        <f>SUBTOTAL(109,Table11240414244464749505153565877130[BOX 5])</f>
        <v>43</v>
      </c>
      <c r="G128" s="21">
        <f>SUBTOTAL(109,Table11240414244464749505153565877130[BOX 6])</f>
        <v>16</v>
      </c>
      <c r="H128" s="21">
        <f>SUBTOTAL(109,Table11240414244464749505153565877130[BOX 7])</f>
        <v>318</v>
      </c>
      <c r="I128" s="21">
        <f>SUBTOTAL(109,Table11240414244464749505153565877130[BOX 8])</f>
        <v>122</v>
      </c>
      <c r="J128" s="21">
        <f>SUBTOTAL(109,Table11240414244464749505153565877130[BOX 10])</f>
        <v>286</v>
      </c>
      <c r="K128" s="21">
        <f>SUBTOTAL(109,Table11240414244464749505153565877130[BOX 11])</f>
        <v>216</v>
      </c>
      <c r="L128" s="21">
        <f>SUBTOTAL(109,Table11240414244464749505153565877130[BOX 12])</f>
        <v>376</v>
      </c>
      <c r="M128" s="50">
        <f>SUBTOTAL(109,Table11240414244464749505153565877130[TOTAL])</f>
        <v>2130</v>
      </c>
      <c r="N128" s="58"/>
    </row>
    <row r="129" spans="1:14" ht="15.75" x14ac:dyDescent="0.25">
      <c r="A129" s="18" t="s">
        <v>15</v>
      </c>
      <c r="B129" s="29">
        <v>0</v>
      </c>
      <c r="C129" s="22">
        <v>1</v>
      </c>
      <c r="D129" s="22">
        <v>0</v>
      </c>
      <c r="E129" s="22">
        <v>0</v>
      </c>
      <c r="F129" s="22">
        <v>0</v>
      </c>
      <c r="G129" s="22">
        <v>0</v>
      </c>
      <c r="H129" s="30">
        <v>0</v>
      </c>
      <c r="I129" s="30">
        <v>0</v>
      </c>
      <c r="J129" s="22">
        <v>0</v>
      </c>
      <c r="K129" s="22">
        <v>0</v>
      </c>
      <c r="L129" s="22">
        <v>0</v>
      </c>
      <c r="M129" s="51"/>
    </row>
    <row r="130" spans="1:14" x14ac:dyDescent="0.25">
      <c r="A130" s="33" t="s">
        <v>16</v>
      </c>
      <c r="B130" s="28">
        <v>21</v>
      </c>
      <c r="C130" s="28">
        <v>37</v>
      </c>
      <c r="D130" s="28">
        <v>49</v>
      </c>
      <c r="E130" s="28">
        <v>3</v>
      </c>
      <c r="F130" s="28">
        <v>3</v>
      </c>
      <c r="G130" s="28">
        <v>1</v>
      </c>
      <c r="H130" s="28">
        <v>24</v>
      </c>
      <c r="I130" s="28">
        <v>24</v>
      </c>
      <c r="J130" s="28">
        <v>30</v>
      </c>
      <c r="K130" s="28">
        <v>26</v>
      </c>
      <c r="L130" s="28">
        <v>37</v>
      </c>
      <c r="M130" s="52"/>
    </row>
    <row r="132" spans="1:14" ht="45" x14ac:dyDescent="0.25">
      <c r="A132" s="32" t="s">
        <v>96</v>
      </c>
      <c r="B132" s="4" t="s">
        <v>4</v>
      </c>
      <c r="C132" s="4" t="s">
        <v>47</v>
      </c>
      <c r="D132" s="4" t="s">
        <v>48</v>
      </c>
      <c r="E132" s="4" t="s">
        <v>51</v>
      </c>
      <c r="F132" s="4" t="s">
        <v>1</v>
      </c>
      <c r="G132" s="4" t="s">
        <v>2</v>
      </c>
      <c r="H132" s="4" t="s">
        <v>5</v>
      </c>
      <c r="I132" s="4" t="s">
        <v>4</v>
      </c>
      <c r="J132" s="4" t="s">
        <v>3</v>
      </c>
      <c r="K132" s="4" t="s">
        <v>47</v>
      </c>
      <c r="L132" s="4" t="s">
        <v>48</v>
      </c>
      <c r="M132" s="5"/>
      <c r="N132" s="53"/>
    </row>
    <row r="133" spans="1:14" ht="15.75" x14ac:dyDescent="0.25">
      <c r="A133" s="6" t="s">
        <v>6</v>
      </c>
      <c r="B133" s="8" t="s">
        <v>65</v>
      </c>
      <c r="C133" s="24" t="s">
        <v>45</v>
      </c>
      <c r="D133" s="7" t="s">
        <v>49</v>
      </c>
      <c r="E133" s="8" t="s">
        <v>7</v>
      </c>
      <c r="F133" s="8" t="s">
        <v>8</v>
      </c>
      <c r="G133" s="8" t="s">
        <v>9</v>
      </c>
      <c r="H133" s="8" t="s">
        <v>11</v>
      </c>
      <c r="I133" s="8" t="s">
        <v>66</v>
      </c>
      <c r="J133" s="8" t="s">
        <v>10</v>
      </c>
      <c r="K133" s="7" t="s">
        <v>46</v>
      </c>
      <c r="L133" s="7" t="s">
        <v>50</v>
      </c>
      <c r="M133" s="9" t="s">
        <v>12</v>
      </c>
      <c r="N133" s="55" t="s">
        <v>128</v>
      </c>
    </row>
    <row r="134" spans="1:14" ht="18.75" x14ac:dyDescent="0.3">
      <c r="A134" s="26" t="s">
        <v>97</v>
      </c>
      <c r="B134" s="13">
        <v>51</v>
      </c>
      <c r="C134" s="12">
        <v>136</v>
      </c>
      <c r="D134" s="12">
        <v>218</v>
      </c>
      <c r="E134" s="13">
        <v>5</v>
      </c>
      <c r="F134" s="13">
        <v>31</v>
      </c>
      <c r="G134" s="13">
        <v>11</v>
      </c>
      <c r="H134" s="13">
        <v>184</v>
      </c>
      <c r="I134" s="13">
        <v>64</v>
      </c>
      <c r="J134" s="13">
        <v>145</v>
      </c>
      <c r="K134" s="12">
        <v>85</v>
      </c>
      <c r="L134" s="12">
        <v>235</v>
      </c>
      <c r="M134" s="49">
        <f>SUM(Table1124041424446474950515356585978131[[#This Row],[BOX 1]:[BOX 12]])</f>
        <v>1165</v>
      </c>
      <c r="N134" s="56"/>
    </row>
    <row r="135" spans="1:14" ht="19.5" thickBot="1" x14ac:dyDescent="0.35">
      <c r="A135" s="26" t="s">
        <v>34</v>
      </c>
      <c r="B135" s="13">
        <v>47</v>
      </c>
      <c r="C135" s="12">
        <v>145</v>
      </c>
      <c r="D135" s="12">
        <v>148</v>
      </c>
      <c r="E135" s="13">
        <v>2</v>
      </c>
      <c r="F135" s="13">
        <v>10</v>
      </c>
      <c r="G135" s="13">
        <v>5</v>
      </c>
      <c r="H135" s="13">
        <v>125</v>
      </c>
      <c r="I135" s="13">
        <v>56</v>
      </c>
      <c r="J135" s="13">
        <v>136</v>
      </c>
      <c r="K135" s="12">
        <v>132</v>
      </c>
      <c r="L135" s="12">
        <v>134</v>
      </c>
      <c r="M135" s="49">
        <f>SUM(Table1124041424446474950515356585978131[[#This Row],[BOX 1]:[BOX 12]])</f>
        <v>940</v>
      </c>
      <c r="N135" s="57"/>
    </row>
    <row r="136" spans="1:14" ht="19.5" thickBot="1" x14ac:dyDescent="0.3">
      <c r="A136" s="17" t="s">
        <v>14</v>
      </c>
      <c r="B136" s="20">
        <f>SUBTOTAL(109,Table1124041424446474950515356585978131[BOX 1])</f>
        <v>98</v>
      </c>
      <c r="C136" s="21">
        <f>SUBTOTAL(109,Table1124041424446474950515356585978131[BOX 2])</f>
        <v>281</v>
      </c>
      <c r="D136" s="21">
        <f>SUBTOTAL(109,Table1124041424446474950515356585978131[BOX 3])</f>
        <v>366</v>
      </c>
      <c r="E136" s="21">
        <f>SUBTOTAL(109,Table1124041424446474950515356585978131[BOX 4])</f>
        <v>7</v>
      </c>
      <c r="F136" s="21">
        <f>SUBTOTAL(109,Table1124041424446474950515356585978131[BOX 5])</f>
        <v>41</v>
      </c>
      <c r="G136" s="21">
        <f>SUBTOTAL(109,Table1124041424446474950515356585978131[BOX 6])</f>
        <v>16</v>
      </c>
      <c r="H136" s="21">
        <f>SUBTOTAL(109,Table1124041424446474950515356585978131[BOX 7])</f>
        <v>309</v>
      </c>
      <c r="I136" s="21">
        <f>SUBTOTAL(109,Table1124041424446474950515356585978131[BOX 8])</f>
        <v>120</v>
      </c>
      <c r="J136" s="21">
        <f>SUBTOTAL(109,Table1124041424446474950515356585978131[BOX 10])</f>
        <v>281</v>
      </c>
      <c r="K136" s="21">
        <f>SUBTOTAL(109,Table1124041424446474950515356585978131[BOX 11])</f>
        <v>217</v>
      </c>
      <c r="L136" s="21">
        <f>SUBTOTAL(109,Table1124041424446474950515356585978131[BOX 12])</f>
        <v>369</v>
      </c>
      <c r="M136" s="50">
        <f>SUBTOTAL(109,Table1124041424446474950515356585978131[TOTAL])</f>
        <v>2105</v>
      </c>
      <c r="N136" s="58"/>
    </row>
    <row r="137" spans="1:14" ht="15.75" x14ac:dyDescent="0.25">
      <c r="A137" s="18" t="s">
        <v>15</v>
      </c>
      <c r="B137" s="29">
        <v>0</v>
      </c>
      <c r="C137" s="22">
        <v>0</v>
      </c>
      <c r="D137" s="22">
        <v>0</v>
      </c>
      <c r="E137" s="22">
        <v>0</v>
      </c>
      <c r="F137" s="22">
        <v>0</v>
      </c>
      <c r="G137" s="22">
        <v>0</v>
      </c>
      <c r="H137" s="30">
        <v>0</v>
      </c>
      <c r="I137" s="30">
        <v>0</v>
      </c>
      <c r="J137" s="22">
        <v>0</v>
      </c>
      <c r="K137" s="22">
        <v>0</v>
      </c>
      <c r="L137" s="22">
        <v>0</v>
      </c>
      <c r="M137" s="51"/>
    </row>
    <row r="138" spans="1:14" x14ac:dyDescent="0.25">
      <c r="A138" s="33" t="s">
        <v>16</v>
      </c>
      <c r="B138" s="28">
        <v>20</v>
      </c>
      <c r="C138" s="28">
        <v>40</v>
      </c>
      <c r="D138" s="28">
        <v>49</v>
      </c>
      <c r="E138" s="28">
        <v>3</v>
      </c>
      <c r="F138" s="28">
        <v>5</v>
      </c>
      <c r="G138" s="28">
        <v>1</v>
      </c>
      <c r="H138" s="28">
        <v>33</v>
      </c>
      <c r="I138" s="28">
        <v>26</v>
      </c>
      <c r="J138" s="28">
        <v>35</v>
      </c>
      <c r="K138" s="28">
        <v>25</v>
      </c>
      <c r="L138" s="28">
        <v>44</v>
      </c>
      <c r="M138" s="52"/>
    </row>
    <row r="141" spans="1:14" ht="45" x14ac:dyDescent="0.25">
      <c r="A141" s="32" t="s">
        <v>98</v>
      </c>
      <c r="B141" s="4" t="s">
        <v>4</v>
      </c>
      <c r="C141" s="4" t="s">
        <v>47</v>
      </c>
      <c r="D141" s="4" t="s">
        <v>48</v>
      </c>
      <c r="E141" s="4" t="s">
        <v>51</v>
      </c>
      <c r="F141" s="4" t="s">
        <v>1</v>
      </c>
      <c r="G141" s="4" t="s">
        <v>2</v>
      </c>
      <c r="H141" s="4" t="s">
        <v>5</v>
      </c>
      <c r="I141" s="4" t="s">
        <v>4</v>
      </c>
      <c r="J141" s="4" t="s">
        <v>3</v>
      </c>
      <c r="K141" s="4" t="s">
        <v>47</v>
      </c>
      <c r="L141" s="4" t="s">
        <v>48</v>
      </c>
      <c r="M141" s="5"/>
      <c r="N141" s="53"/>
    </row>
    <row r="142" spans="1:14" ht="15.75" x14ac:dyDescent="0.25">
      <c r="A142" s="6" t="s">
        <v>6</v>
      </c>
      <c r="B142" s="8" t="s">
        <v>65</v>
      </c>
      <c r="C142" s="24" t="s">
        <v>45</v>
      </c>
      <c r="D142" s="7" t="s">
        <v>49</v>
      </c>
      <c r="E142" s="8" t="s">
        <v>7</v>
      </c>
      <c r="F142" s="8" t="s">
        <v>8</v>
      </c>
      <c r="G142" s="8" t="s">
        <v>9</v>
      </c>
      <c r="H142" s="8" t="s">
        <v>11</v>
      </c>
      <c r="I142" s="8" t="s">
        <v>66</v>
      </c>
      <c r="J142" s="8" t="s">
        <v>10</v>
      </c>
      <c r="K142" s="7" t="s">
        <v>46</v>
      </c>
      <c r="L142" s="7" t="s">
        <v>50</v>
      </c>
      <c r="M142" s="9" t="s">
        <v>12</v>
      </c>
      <c r="N142" s="55" t="s">
        <v>128</v>
      </c>
    </row>
    <row r="143" spans="1:14" ht="18.75" x14ac:dyDescent="0.3">
      <c r="A143" s="26" t="s">
        <v>99</v>
      </c>
      <c r="B143" s="13">
        <v>51</v>
      </c>
      <c r="C143" s="12">
        <v>125</v>
      </c>
      <c r="D143" s="12">
        <v>208</v>
      </c>
      <c r="E143" s="13">
        <v>5</v>
      </c>
      <c r="F143" s="13">
        <v>29</v>
      </c>
      <c r="G143" s="13">
        <v>10</v>
      </c>
      <c r="H143" s="13">
        <v>187</v>
      </c>
      <c r="I143" s="13">
        <v>58</v>
      </c>
      <c r="J143" s="13">
        <v>140</v>
      </c>
      <c r="K143" s="12">
        <v>80</v>
      </c>
      <c r="L143" s="12">
        <v>230</v>
      </c>
      <c r="M143" s="49">
        <f t="shared" ref="M143:M144" si="0">SUM(B143:L143)</f>
        <v>1123</v>
      </c>
      <c r="N143" s="56"/>
    </row>
    <row r="144" spans="1:14" ht="19.5" thickBot="1" x14ac:dyDescent="0.35">
      <c r="A144" s="26" t="s">
        <v>35</v>
      </c>
      <c r="B144" s="13">
        <v>44</v>
      </c>
      <c r="C144" s="12">
        <v>138</v>
      </c>
      <c r="D144" s="12">
        <v>148</v>
      </c>
      <c r="E144" s="13">
        <v>2</v>
      </c>
      <c r="F144" s="13">
        <v>12</v>
      </c>
      <c r="G144" s="13">
        <v>5</v>
      </c>
      <c r="H144" s="13">
        <v>119</v>
      </c>
      <c r="I144" s="13">
        <v>58</v>
      </c>
      <c r="J144" s="13">
        <v>138</v>
      </c>
      <c r="K144" s="12">
        <v>132</v>
      </c>
      <c r="L144" s="12">
        <v>134</v>
      </c>
      <c r="M144" s="49">
        <f t="shared" si="0"/>
        <v>930</v>
      </c>
      <c r="N144" s="57"/>
    </row>
    <row r="145" spans="1:14" ht="19.5" thickBot="1" x14ac:dyDescent="0.3">
      <c r="A145" s="17" t="s">
        <v>14</v>
      </c>
      <c r="B145" s="20">
        <f>SUBTOTAL(109,Table112404142444647495051535658596079132[BOX 1])</f>
        <v>95</v>
      </c>
      <c r="C145" s="21">
        <f>SUBTOTAL(109,Table112404142444647495051535658596079132[BOX 2])</f>
        <v>263</v>
      </c>
      <c r="D145" s="21">
        <f>SUBTOTAL(109,Table112404142444647495051535658596079132[BOX 3])</f>
        <v>356</v>
      </c>
      <c r="E145" s="21">
        <f>SUBTOTAL(109,Table112404142444647495051535658596079132[BOX 4])</f>
        <v>7</v>
      </c>
      <c r="F145" s="21">
        <f>SUBTOTAL(109,Table112404142444647495051535658596079132[BOX 5])</f>
        <v>41</v>
      </c>
      <c r="G145" s="21">
        <f>SUBTOTAL(109,Table112404142444647495051535658596079132[BOX 6])</f>
        <v>15</v>
      </c>
      <c r="H145" s="21">
        <f>SUBTOTAL(109,Table112404142444647495051535658596079132[BOX 7])</f>
        <v>306</v>
      </c>
      <c r="I145" s="21">
        <f>SUBTOTAL(109,Table112404142444647495051535658596079132[BOX 8])</f>
        <v>116</v>
      </c>
      <c r="J145" s="21">
        <f>SUBTOTAL(109,Table112404142444647495051535658596079132[BOX 10])</f>
        <v>278</v>
      </c>
      <c r="K145" s="21">
        <f>SUBTOTAL(109,Table112404142444647495051535658596079132[BOX 11])</f>
        <v>212</v>
      </c>
      <c r="L145" s="21">
        <f>SUBTOTAL(109,Table112404142444647495051535658596079132[BOX 12])</f>
        <v>364</v>
      </c>
      <c r="M145" s="50">
        <f>SUBTOTAL(109,Table112404142444647495051535658596079132[TOTAL])</f>
        <v>2053</v>
      </c>
      <c r="N145" s="58"/>
    </row>
    <row r="146" spans="1:14" ht="15.75" x14ac:dyDescent="0.25">
      <c r="A146" s="18" t="s">
        <v>15</v>
      </c>
      <c r="B146" s="29">
        <v>0</v>
      </c>
      <c r="C146" s="22">
        <v>0</v>
      </c>
      <c r="D146" s="22">
        <v>0</v>
      </c>
      <c r="E146" s="22">
        <v>0</v>
      </c>
      <c r="F146" s="22">
        <v>0</v>
      </c>
      <c r="G146" s="22">
        <v>0</v>
      </c>
      <c r="H146" s="30">
        <v>0</v>
      </c>
      <c r="I146" s="30">
        <v>0</v>
      </c>
      <c r="J146" s="22">
        <v>0</v>
      </c>
      <c r="K146" s="22">
        <v>0</v>
      </c>
      <c r="L146" s="22">
        <v>0</v>
      </c>
      <c r="M146" s="51"/>
    </row>
    <row r="147" spans="1:14" x14ac:dyDescent="0.25">
      <c r="A147" s="33" t="s">
        <v>16</v>
      </c>
      <c r="B147" s="28">
        <v>23</v>
      </c>
      <c r="C147" s="28">
        <v>58</v>
      </c>
      <c r="D147" s="28">
        <v>59</v>
      </c>
      <c r="E147" s="28">
        <v>3</v>
      </c>
      <c r="F147" s="28">
        <v>5</v>
      </c>
      <c r="G147" s="28">
        <v>2</v>
      </c>
      <c r="H147" s="28">
        <v>36</v>
      </c>
      <c r="I147" s="28">
        <v>30</v>
      </c>
      <c r="J147" s="28">
        <v>38</v>
      </c>
      <c r="K147" s="28">
        <v>30</v>
      </c>
      <c r="L147" s="28">
        <v>49</v>
      </c>
      <c r="M147" s="52"/>
    </row>
    <row r="150" spans="1:14" ht="45" x14ac:dyDescent="0.25">
      <c r="A150" s="32" t="s">
        <v>100</v>
      </c>
      <c r="B150" s="4" t="s">
        <v>4</v>
      </c>
      <c r="C150" s="4" t="s">
        <v>47</v>
      </c>
      <c r="D150" s="4" t="s">
        <v>48</v>
      </c>
      <c r="E150" s="4" t="s">
        <v>51</v>
      </c>
      <c r="F150" s="4" t="s">
        <v>1</v>
      </c>
      <c r="G150" s="4" t="s">
        <v>2</v>
      </c>
      <c r="H150" s="4" t="s">
        <v>5</v>
      </c>
      <c r="I150" s="4" t="s">
        <v>4</v>
      </c>
      <c r="J150" s="4" t="s">
        <v>3</v>
      </c>
      <c r="K150" s="4" t="s">
        <v>47</v>
      </c>
      <c r="L150" s="4" t="s">
        <v>48</v>
      </c>
      <c r="M150" s="5"/>
      <c r="N150" s="53"/>
    </row>
    <row r="151" spans="1:14" ht="15.75" x14ac:dyDescent="0.25">
      <c r="A151" s="6" t="s">
        <v>6</v>
      </c>
      <c r="B151" s="8" t="s">
        <v>65</v>
      </c>
      <c r="C151" s="24" t="s">
        <v>45</v>
      </c>
      <c r="D151" s="7" t="s">
        <v>49</v>
      </c>
      <c r="E151" s="8" t="s">
        <v>7</v>
      </c>
      <c r="F151" s="8" t="s">
        <v>8</v>
      </c>
      <c r="G151" s="8" t="s">
        <v>9</v>
      </c>
      <c r="H151" s="8" t="s">
        <v>11</v>
      </c>
      <c r="I151" s="8" t="s">
        <v>66</v>
      </c>
      <c r="J151" s="8" t="s">
        <v>10</v>
      </c>
      <c r="K151" s="7" t="s">
        <v>46</v>
      </c>
      <c r="L151" s="7" t="s">
        <v>50</v>
      </c>
      <c r="M151" s="9" t="s">
        <v>12</v>
      </c>
      <c r="N151" s="55" t="s">
        <v>128</v>
      </c>
    </row>
    <row r="152" spans="1:14" ht="19.5" thickBot="1" x14ac:dyDescent="0.35">
      <c r="A152" s="26" t="s">
        <v>101</v>
      </c>
      <c r="B152" s="13">
        <v>64</v>
      </c>
      <c r="C152" s="12">
        <v>182</v>
      </c>
      <c r="D152" s="12">
        <v>266</v>
      </c>
      <c r="E152" s="13">
        <v>6</v>
      </c>
      <c r="F152" s="13">
        <v>33</v>
      </c>
      <c r="G152" s="13">
        <v>11</v>
      </c>
      <c r="H152" s="13">
        <v>231</v>
      </c>
      <c r="I152" s="13">
        <v>81</v>
      </c>
      <c r="J152" s="13">
        <v>201</v>
      </c>
      <c r="K152" s="12">
        <v>134</v>
      </c>
      <c r="L152" s="12">
        <v>291</v>
      </c>
      <c r="M152" s="49">
        <f>SUM(Table11240414244464749505153565859606180133[[#This Row],[BOX 1]:[BOX 12]])</f>
        <v>1500</v>
      </c>
      <c r="N152" s="56"/>
    </row>
    <row r="153" spans="1:14" ht="19.5" thickBot="1" x14ac:dyDescent="0.3">
      <c r="A153" s="17" t="s">
        <v>14</v>
      </c>
      <c r="B153" s="20">
        <f>SUBTOTAL(109,Table11240414244464749505153565859606180133[BOX 1])</f>
        <v>64</v>
      </c>
      <c r="C153" s="21">
        <f>SUBTOTAL(109,Table11240414244464749505153565859606180133[BOX 2])</f>
        <v>182</v>
      </c>
      <c r="D153" s="21">
        <f>SUBTOTAL(109,Table11240414244464749505153565859606180133[BOX 3])</f>
        <v>266</v>
      </c>
      <c r="E153" s="21">
        <f>SUBTOTAL(109,Table11240414244464749505153565859606180133[BOX 4])</f>
        <v>6</v>
      </c>
      <c r="F153" s="21">
        <f>SUBTOTAL(109,Table11240414244464749505153565859606180133[BOX 5])</f>
        <v>33</v>
      </c>
      <c r="G153" s="21">
        <f>SUBTOTAL(109,Table11240414244464749505153565859606180133[BOX 6])</f>
        <v>11</v>
      </c>
      <c r="H153" s="21">
        <f>SUBTOTAL(109,Table11240414244464749505153565859606180133[BOX 7])</f>
        <v>231</v>
      </c>
      <c r="I153" s="21">
        <f>SUBTOTAL(109,Table11240414244464749505153565859606180133[BOX 8])</f>
        <v>81</v>
      </c>
      <c r="J153" s="21">
        <f>SUBTOTAL(109,Table11240414244464749505153565859606180133[BOX 10])</f>
        <v>201</v>
      </c>
      <c r="K153" s="21">
        <f>SUBTOTAL(109,Table11240414244464749505153565859606180133[BOX 11])</f>
        <v>134</v>
      </c>
      <c r="L153" s="21">
        <f>SUBTOTAL(109,Table11240414244464749505153565859606180133[BOX 12])</f>
        <v>291</v>
      </c>
      <c r="M153" s="50">
        <f>SUBTOTAL(109,Table11240414244464749505153565859606180133[TOTAL])</f>
        <v>1500</v>
      </c>
      <c r="N153" s="58"/>
    </row>
    <row r="154" spans="1:14" ht="15.75" x14ac:dyDescent="0.25">
      <c r="A154" s="18" t="s">
        <v>15</v>
      </c>
      <c r="B154" s="29">
        <v>0</v>
      </c>
      <c r="C154" s="22">
        <v>0</v>
      </c>
      <c r="D154" s="22">
        <v>0</v>
      </c>
      <c r="E154" s="22">
        <v>0</v>
      </c>
      <c r="F154" s="22">
        <v>0</v>
      </c>
      <c r="G154" s="22">
        <v>0</v>
      </c>
      <c r="H154" s="30">
        <v>0</v>
      </c>
      <c r="I154" s="30">
        <v>0</v>
      </c>
      <c r="J154" s="22">
        <v>0</v>
      </c>
      <c r="K154" s="22">
        <v>0</v>
      </c>
      <c r="L154" s="22">
        <v>0</v>
      </c>
      <c r="M154" s="51"/>
    </row>
    <row r="155" spans="1:14" x14ac:dyDescent="0.25">
      <c r="A155" s="33" t="s">
        <v>16</v>
      </c>
      <c r="B155" s="28">
        <v>54</v>
      </c>
      <c r="C155" s="28">
        <v>139</v>
      </c>
      <c r="D155" s="28">
        <v>149</v>
      </c>
      <c r="E155" s="28">
        <v>4</v>
      </c>
      <c r="F155" s="28">
        <v>13</v>
      </c>
      <c r="G155" s="28">
        <v>6</v>
      </c>
      <c r="H155" s="28">
        <v>111</v>
      </c>
      <c r="I155" s="28">
        <v>65</v>
      </c>
      <c r="J155" s="28">
        <v>115</v>
      </c>
      <c r="K155" s="28">
        <v>108</v>
      </c>
      <c r="L155" s="28">
        <v>122</v>
      </c>
      <c r="M155" s="52"/>
    </row>
    <row r="156" spans="1:14" x14ac:dyDescent="0.25">
      <c r="A156" s="37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</row>
    <row r="158" spans="1:14" ht="45" x14ac:dyDescent="0.25">
      <c r="A158" s="32" t="s">
        <v>102</v>
      </c>
      <c r="B158" s="4" t="s">
        <v>4</v>
      </c>
      <c r="C158" s="4" t="s">
        <v>47</v>
      </c>
      <c r="D158" s="4" t="s">
        <v>48</v>
      </c>
      <c r="E158" s="4" t="s">
        <v>51</v>
      </c>
      <c r="F158" s="4" t="s">
        <v>1</v>
      </c>
      <c r="G158" s="4" t="s">
        <v>2</v>
      </c>
      <c r="H158" s="4" t="s">
        <v>5</v>
      </c>
      <c r="I158" s="4" t="s">
        <v>4</v>
      </c>
      <c r="J158" s="4" t="s">
        <v>3</v>
      </c>
      <c r="K158" s="4" t="s">
        <v>47</v>
      </c>
      <c r="L158" s="4" t="s">
        <v>48</v>
      </c>
      <c r="M158" s="5"/>
      <c r="N158" s="53"/>
    </row>
    <row r="159" spans="1:14" ht="15.75" x14ac:dyDescent="0.25">
      <c r="A159" s="6" t="s">
        <v>6</v>
      </c>
      <c r="B159" s="8" t="s">
        <v>65</v>
      </c>
      <c r="C159" s="24" t="s">
        <v>45</v>
      </c>
      <c r="D159" s="7" t="s">
        <v>49</v>
      </c>
      <c r="E159" s="8" t="s">
        <v>7</v>
      </c>
      <c r="F159" s="8" t="s">
        <v>8</v>
      </c>
      <c r="G159" s="8" t="s">
        <v>9</v>
      </c>
      <c r="H159" s="8" t="s">
        <v>11</v>
      </c>
      <c r="I159" s="8" t="s">
        <v>66</v>
      </c>
      <c r="J159" s="8" t="s">
        <v>10</v>
      </c>
      <c r="K159" s="7" t="s">
        <v>46</v>
      </c>
      <c r="L159" s="7" t="s">
        <v>50</v>
      </c>
      <c r="M159" s="9" t="s">
        <v>12</v>
      </c>
      <c r="N159" s="55" t="s">
        <v>128</v>
      </c>
    </row>
    <row r="160" spans="1:14" ht="19.5" thickBot="1" x14ac:dyDescent="0.35">
      <c r="A160" s="26" t="s">
        <v>36</v>
      </c>
      <c r="B160" s="13">
        <v>68</v>
      </c>
      <c r="C160" s="12">
        <v>192</v>
      </c>
      <c r="D160" s="12">
        <v>246</v>
      </c>
      <c r="E160" s="13">
        <v>2</v>
      </c>
      <c r="F160" s="13">
        <v>19</v>
      </c>
      <c r="G160" s="13">
        <v>5</v>
      </c>
      <c r="H160" s="13">
        <v>186</v>
      </c>
      <c r="I160" s="13">
        <v>87</v>
      </c>
      <c r="J160" s="13">
        <v>186</v>
      </c>
      <c r="K160" s="12">
        <v>151</v>
      </c>
      <c r="L160" s="12">
        <v>240</v>
      </c>
      <c r="M160" s="49">
        <f>SUM(Table1124041424446474950515356585960616281134[[#This Row],[BOX 1]:[BOX 12]])</f>
        <v>1382</v>
      </c>
      <c r="N160" s="56"/>
    </row>
    <row r="161" spans="1:14" ht="19.5" thickBot="1" x14ac:dyDescent="0.3">
      <c r="A161" s="17" t="s">
        <v>14</v>
      </c>
      <c r="B161" s="20">
        <f>SUBTOTAL(109,Table1124041424446474950515356585960616281134[BOX 1])</f>
        <v>68</v>
      </c>
      <c r="C161" s="21">
        <f>SUBTOTAL(109,Table1124041424446474950515356585960616281134[BOX 2])</f>
        <v>192</v>
      </c>
      <c r="D161" s="21">
        <f>SUBTOTAL(109,Table1124041424446474950515356585960616281134[BOX 3])</f>
        <v>246</v>
      </c>
      <c r="E161" s="21">
        <f>SUBTOTAL(109,Table1124041424446474950515356585960616281134[BOX 4])</f>
        <v>2</v>
      </c>
      <c r="F161" s="21">
        <f>SUBTOTAL(109,Table1124041424446474950515356585960616281134[BOX 5])</f>
        <v>19</v>
      </c>
      <c r="G161" s="21">
        <f>SUBTOTAL(109,Table1124041424446474950515356585960616281134[BOX 6])</f>
        <v>5</v>
      </c>
      <c r="H161" s="21">
        <f>SUBTOTAL(109,Table1124041424446474950515356585960616281134[BOX 7])</f>
        <v>186</v>
      </c>
      <c r="I161" s="21">
        <f>SUBTOTAL(109,Table1124041424446474950515356585960616281134[BOX 8])</f>
        <v>87</v>
      </c>
      <c r="J161" s="21">
        <f>SUBTOTAL(109,Table1124041424446474950515356585960616281134[BOX 10])</f>
        <v>186</v>
      </c>
      <c r="K161" s="21">
        <f>SUBTOTAL(109,Table1124041424446474950515356585960616281134[BOX 11])</f>
        <v>151</v>
      </c>
      <c r="L161" s="21">
        <f>SUBTOTAL(109,Table1124041424446474950515356585960616281134[BOX 12])</f>
        <v>240</v>
      </c>
      <c r="M161" s="50">
        <f>SUBTOTAL(109,Table1124041424446474950515356585960616281134[TOTAL])</f>
        <v>1382</v>
      </c>
      <c r="N161" s="58"/>
    </row>
    <row r="162" spans="1:14" ht="15.75" x14ac:dyDescent="0.25">
      <c r="A162" s="18" t="s">
        <v>15</v>
      </c>
      <c r="B162" s="29">
        <v>0</v>
      </c>
      <c r="C162" s="22">
        <v>0</v>
      </c>
      <c r="D162" s="22">
        <v>0</v>
      </c>
      <c r="E162" s="22">
        <v>0</v>
      </c>
      <c r="F162" s="22">
        <v>0</v>
      </c>
      <c r="G162" s="22">
        <v>0</v>
      </c>
      <c r="H162" s="30">
        <v>0</v>
      </c>
      <c r="I162" s="30">
        <v>0</v>
      </c>
      <c r="J162" s="22">
        <v>0</v>
      </c>
      <c r="K162" s="22">
        <v>0</v>
      </c>
      <c r="L162" s="22">
        <v>0</v>
      </c>
      <c r="M162" s="51"/>
    </row>
    <row r="163" spans="1:14" x14ac:dyDescent="0.25">
      <c r="A163" s="33" t="s">
        <v>16</v>
      </c>
      <c r="B163" s="28">
        <v>50</v>
      </c>
      <c r="C163" s="28">
        <v>129</v>
      </c>
      <c r="D163" s="28">
        <v>169</v>
      </c>
      <c r="E163" s="28">
        <v>8</v>
      </c>
      <c r="F163" s="28">
        <v>27</v>
      </c>
      <c r="G163" s="28">
        <v>12</v>
      </c>
      <c r="H163" s="28">
        <v>156</v>
      </c>
      <c r="I163" s="28">
        <v>59</v>
      </c>
      <c r="J163" s="28">
        <v>130</v>
      </c>
      <c r="K163" s="28">
        <v>91</v>
      </c>
      <c r="L163" s="28">
        <v>173</v>
      </c>
      <c r="M163" s="52"/>
    </row>
    <row r="166" spans="1:14" ht="31.5" x14ac:dyDescent="0.25">
      <c r="A166" s="32" t="s">
        <v>103</v>
      </c>
      <c r="B166" s="48" t="s">
        <v>6</v>
      </c>
      <c r="C166" s="48"/>
      <c r="D166" s="48"/>
    </row>
    <row r="167" spans="1:14" x14ac:dyDescent="0.25">
      <c r="A167" s="23" t="s">
        <v>37</v>
      </c>
      <c r="B167" s="40" t="s">
        <v>38</v>
      </c>
      <c r="C167" s="40"/>
      <c r="D167" s="40"/>
    </row>
    <row r="168" spans="1:14" x14ac:dyDescent="0.25">
      <c r="A168" s="23" t="s">
        <v>39</v>
      </c>
      <c r="B168" s="40" t="s">
        <v>40</v>
      </c>
      <c r="C168" s="40"/>
      <c r="D168" s="40"/>
    </row>
    <row r="169" spans="1:14" x14ac:dyDescent="0.25">
      <c r="A169" s="35" t="s">
        <v>41</v>
      </c>
      <c r="B169" s="41" t="s">
        <v>104</v>
      </c>
      <c r="C169" s="41"/>
      <c r="D169" s="41"/>
    </row>
    <row r="170" spans="1:14" x14ac:dyDescent="0.25">
      <c r="A170" s="23" t="s">
        <v>105</v>
      </c>
      <c r="B170" s="40" t="s">
        <v>106</v>
      </c>
      <c r="C170" s="40"/>
      <c r="D170" s="40"/>
    </row>
    <row r="171" spans="1:14" x14ac:dyDescent="0.25">
      <c r="A171" s="23" t="s">
        <v>107</v>
      </c>
      <c r="B171" s="40" t="s">
        <v>108</v>
      </c>
      <c r="C171" s="40"/>
      <c r="D171" s="40"/>
    </row>
    <row r="172" spans="1:14" ht="15.75" customHeight="1" x14ac:dyDescent="0.25">
      <c r="A172" s="23" t="s">
        <v>109</v>
      </c>
      <c r="B172" s="40" t="s">
        <v>110</v>
      </c>
      <c r="C172" s="40"/>
      <c r="D172" s="40"/>
    </row>
    <row r="173" spans="1:14" x14ac:dyDescent="0.25">
      <c r="A173" s="23" t="s">
        <v>111</v>
      </c>
      <c r="B173" s="40" t="s">
        <v>42</v>
      </c>
      <c r="C173" s="40"/>
      <c r="D173" s="40"/>
    </row>
    <row r="174" spans="1:14" x14ac:dyDescent="0.25">
      <c r="A174" s="23" t="s">
        <v>112</v>
      </c>
      <c r="B174" s="40" t="s">
        <v>115</v>
      </c>
      <c r="C174" s="40"/>
      <c r="D174" s="40"/>
    </row>
    <row r="175" spans="1:14" x14ac:dyDescent="0.25">
      <c r="A175" s="23" t="s">
        <v>113</v>
      </c>
      <c r="B175" s="40" t="s">
        <v>116</v>
      </c>
      <c r="C175" s="40"/>
      <c r="D175" s="40"/>
    </row>
    <row r="176" spans="1:14" x14ac:dyDescent="0.25">
      <c r="A176" s="23" t="s">
        <v>114</v>
      </c>
      <c r="B176" s="40" t="s">
        <v>43</v>
      </c>
      <c r="C176" s="40"/>
      <c r="D176" s="36"/>
    </row>
    <row r="216" spans="8:14" s="23" customFormat="1" x14ac:dyDescent="0.25">
      <c r="H216" s="1"/>
      <c r="I216" s="1"/>
      <c r="J216" s="1"/>
      <c r="K216" s="2"/>
      <c r="L216" s="1"/>
      <c r="M216" s="1"/>
      <c r="N216" s="38"/>
    </row>
    <row r="217" spans="8:14" s="23" customFormat="1" ht="15" customHeight="1" x14ac:dyDescent="0.25">
      <c r="H217" s="1"/>
      <c r="I217" s="1"/>
      <c r="J217" s="1"/>
      <c r="K217" s="2"/>
      <c r="L217" s="1"/>
      <c r="M217" s="1"/>
      <c r="N217" s="38"/>
    </row>
    <row r="218" spans="8:14" s="23" customFormat="1" x14ac:dyDescent="0.25">
      <c r="H218" s="1"/>
      <c r="I218" s="1"/>
      <c r="J218" s="1"/>
      <c r="K218" s="2"/>
      <c r="L218" s="1"/>
      <c r="M218" s="1"/>
      <c r="N218" s="38"/>
    </row>
    <row r="219" spans="8:14" s="23" customFormat="1" x14ac:dyDescent="0.25">
      <c r="H219" s="1"/>
      <c r="I219" s="1"/>
      <c r="J219" s="1"/>
      <c r="K219" s="2"/>
      <c r="L219" s="1"/>
      <c r="M219" s="1"/>
      <c r="N219" s="38"/>
    </row>
    <row r="220" spans="8:14" s="23" customFormat="1" x14ac:dyDescent="0.25">
      <c r="H220" s="1"/>
      <c r="I220" s="1"/>
      <c r="J220" s="1"/>
      <c r="K220" s="2"/>
      <c r="L220" s="1"/>
      <c r="M220" s="1"/>
      <c r="N220" s="38"/>
    </row>
    <row r="221" spans="8:14" s="23" customFormat="1" x14ac:dyDescent="0.25">
      <c r="H221" s="1"/>
      <c r="I221" s="1"/>
      <c r="J221" s="1"/>
      <c r="K221" s="2"/>
      <c r="L221" s="1"/>
      <c r="M221" s="1"/>
      <c r="N221" s="38"/>
    </row>
    <row r="222" spans="8:14" s="23" customFormat="1" x14ac:dyDescent="0.25">
      <c r="H222" s="1"/>
      <c r="I222" s="1"/>
      <c r="J222" s="1"/>
      <c r="K222" s="2"/>
      <c r="L222" s="1"/>
      <c r="M222" s="1"/>
      <c r="N222" s="38"/>
    </row>
    <row r="223" spans="8:14" s="23" customFormat="1" x14ac:dyDescent="0.25">
      <c r="H223" s="1"/>
      <c r="I223" s="1"/>
      <c r="J223" s="1"/>
      <c r="K223" s="2"/>
      <c r="L223" s="1"/>
      <c r="M223" s="1"/>
      <c r="N223" s="38"/>
    </row>
    <row r="224" spans="8:14" s="23" customFormat="1" x14ac:dyDescent="0.25">
      <c r="H224" s="1"/>
      <c r="I224" s="1"/>
      <c r="J224" s="1"/>
      <c r="K224" s="2"/>
      <c r="L224" s="1"/>
      <c r="M224" s="1"/>
      <c r="N224" s="38"/>
    </row>
  </sheetData>
  <mergeCells count="15">
    <mergeCell ref="B167:D167"/>
    <mergeCell ref="A1:K1"/>
    <mergeCell ref="A2:E2"/>
    <mergeCell ref="F2:G2"/>
    <mergeCell ref="H2:I2"/>
    <mergeCell ref="B166:D166"/>
    <mergeCell ref="B174:D174"/>
    <mergeCell ref="B175:D175"/>
    <mergeCell ref="B176:C176"/>
    <mergeCell ref="B168:D168"/>
    <mergeCell ref="B169:D169"/>
    <mergeCell ref="B170:D170"/>
    <mergeCell ref="B171:D171"/>
    <mergeCell ref="B172:D172"/>
    <mergeCell ref="B173:D173"/>
  </mergeCells>
  <printOptions horizontalCentered="1" verticalCentered="1" gridLines="1"/>
  <pageMargins left="0.25" right="0.25" top="0.75" bottom="0.75" header="0.3" footer="0.3"/>
  <pageSetup scale="81" fitToHeight="0" orientation="landscape" r:id="rId1"/>
  <headerFooter>
    <oddHeader>&amp;L&amp;"Times New Roman,Bold"&amp;14&amp;K000000NOVEMBER 3, 2020 
REEVES COUNTY TEXAS&amp;C&amp;"Times New Roman,Bold"&amp;14&amp;K000000GENERAL ELECTION&amp;R&amp;"Times New Roman,Bold"&amp;14&amp;K000000EARLY VOTING (EV)- BY PRICINCT TOTALS</oddHeader>
  </headerFooter>
  <tableParts count="1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76275-70C6-40D2-A618-9F3FCC4CC437}">
  <sheetPr>
    <pageSetUpPr fitToPage="1"/>
  </sheetPr>
  <dimension ref="A1:N224"/>
  <sheetViews>
    <sheetView tabSelected="1" view="pageLayout" topLeftCell="A83" zoomScaleNormal="100" workbookViewId="0">
      <selection activeCell="M4" sqref="M4"/>
    </sheetView>
  </sheetViews>
  <sheetFormatPr defaultRowHeight="15" x14ac:dyDescent="0.25"/>
  <cols>
    <col min="1" max="1" width="32.85546875" style="34" bestFit="1" customWidth="1"/>
    <col min="2" max="2" width="10.85546875" style="34" customWidth="1"/>
    <col min="3" max="3" width="9.7109375" style="34" customWidth="1"/>
    <col min="4" max="6" width="11.7109375" style="34" bestFit="1" customWidth="1"/>
    <col min="7" max="7" width="11" style="34" customWidth="1"/>
    <col min="8" max="8" width="11.5703125" style="1" customWidth="1"/>
    <col min="9" max="9" width="11.7109375" style="1" bestFit="1" customWidth="1"/>
    <col min="10" max="10" width="13" style="1" bestFit="1" customWidth="1"/>
    <col min="11" max="11" width="9.140625" style="2"/>
    <col min="12" max="12" width="11" style="1" customWidth="1"/>
    <col min="13" max="16384" width="9.140625" style="1"/>
  </cols>
  <sheetData>
    <row r="1" spans="1:14" ht="15.75" customHeight="1" x14ac:dyDescent="0.25">
      <c r="A1" s="42" t="s">
        <v>127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4" ht="64.5" customHeight="1" x14ac:dyDescent="0.25">
      <c r="A2" s="43" t="s">
        <v>126</v>
      </c>
      <c r="B2" s="43"/>
      <c r="C2" s="43"/>
      <c r="D2" s="43"/>
      <c r="E2" s="43"/>
      <c r="F2" s="44" t="s">
        <v>125</v>
      </c>
      <c r="G2" s="45"/>
      <c r="H2" s="46" t="s">
        <v>0</v>
      </c>
      <c r="I2" s="47"/>
    </row>
    <row r="3" spans="1:14" ht="45" x14ac:dyDescent="0.25">
      <c r="A3" s="3" t="s">
        <v>44</v>
      </c>
      <c r="B3" s="4" t="s">
        <v>4</v>
      </c>
      <c r="C3" s="4" t="s">
        <v>47</v>
      </c>
      <c r="D3" s="4" t="s">
        <v>48</v>
      </c>
      <c r="E3" s="4" t="s">
        <v>51</v>
      </c>
      <c r="F3" s="4" t="s">
        <v>1</v>
      </c>
      <c r="G3" s="4" t="s">
        <v>2</v>
      </c>
      <c r="H3" s="4" t="s">
        <v>5</v>
      </c>
      <c r="I3" s="4" t="s">
        <v>4</v>
      </c>
      <c r="J3" s="4" t="s">
        <v>3</v>
      </c>
      <c r="K3" s="4" t="s">
        <v>47</v>
      </c>
      <c r="L3" s="4" t="s">
        <v>48</v>
      </c>
      <c r="M3" s="5"/>
      <c r="N3" s="5"/>
    </row>
    <row r="4" spans="1:14" x14ac:dyDescent="0.25">
      <c r="A4" s="39" t="s">
        <v>119</v>
      </c>
      <c r="B4" s="5">
        <v>39</v>
      </c>
      <c r="C4" s="5">
        <v>81</v>
      </c>
      <c r="D4" s="5">
        <v>85</v>
      </c>
      <c r="E4" s="5">
        <v>30</v>
      </c>
      <c r="F4" s="5">
        <v>193</v>
      </c>
      <c r="G4" s="5">
        <v>41</v>
      </c>
      <c r="H4" s="5">
        <v>100</v>
      </c>
      <c r="I4" s="5">
        <v>70</v>
      </c>
      <c r="J4" s="5">
        <v>132</v>
      </c>
      <c r="K4" s="5">
        <v>98</v>
      </c>
      <c r="L4" s="5">
        <v>98</v>
      </c>
      <c r="M4" s="5">
        <f>SUM(B4:L4)</f>
        <v>967</v>
      </c>
      <c r="N4" s="5">
        <v>6</v>
      </c>
    </row>
    <row r="5" spans="1:14" s="5" customFormat="1" ht="15.75" x14ac:dyDescent="0.2">
      <c r="A5" s="6" t="s">
        <v>6</v>
      </c>
      <c r="B5" s="8" t="s">
        <v>65</v>
      </c>
      <c r="C5" s="24" t="s">
        <v>45</v>
      </c>
      <c r="D5" s="7" t="s">
        <v>49</v>
      </c>
      <c r="E5" s="8" t="s">
        <v>7</v>
      </c>
      <c r="F5" s="8" t="s">
        <v>8</v>
      </c>
      <c r="G5" s="8" t="s">
        <v>9</v>
      </c>
      <c r="H5" s="8" t="s">
        <v>11</v>
      </c>
      <c r="I5" s="8" t="s">
        <v>66</v>
      </c>
      <c r="J5" s="8" t="s">
        <v>10</v>
      </c>
      <c r="K5" s="7" t="s">
        <v>46</v>
      </c>
      <c r="L5" s="7" t="s">
        <v>50</v>
      </c>
      <c r="M5" s="9" t="s">
        <v>12</v>
      </c>
      <c r="N5" s="10" t="s">
        <v>13</v>
      </c>
    </row>
    <row r="6" spans="1:14" ht="18.75" x14ac:dyDescent="0.3">
      <c r="A6" s="25" t="s">
        <v>58</v>
      </c>
      <c r="B6" s="13">
        <v>28</v>
      </c>
      <c r="C6" s="12">
        <v>61</v>
      </c>
      <c r="D6" s="12">
        <v>61</v>
      </c>
      <c r="E6" s="13">
        <v>27</v>
      </c>
      <c r="F6" s="13">
        <v>129</v>
      </c>
      <c r="G6" s="13">
        <v>23</v>
      </c>
      <c r="H6" s="13">
        <v>75</v>
      </c>
      <c r="I6" s="13">
        <v>49</v>
      </c>
      <c r="J6" s="13">
        <v>88</v>
      </c>
      <c r="K6" s="12">
        <v>49</v>
      </c>
      <c r="L6" s="12">
        <v>76</v>
      </c>
      <c r="M6" s="13">
        <f>SUM(Table112641182[[#This Row],[BOX 1]:[BOX 12]])</f>
        <v>666</v>
      </c>
      <c r="N6" s="13">
        <v>5</v>
      </c>
    </row>
    <row r="7" spans="1:14" ht="18.75" x14ac:dyDescent="0.3">
      <c r="A7" s="25" t="s">
        <v>52</v>
      </c>
      <c r="B7" s="13">
        <v>8</v>
      </c>
      <c r="C7" s="12">
        <v>16</v>
      </c>
      <c r="D7" s="12">
        <v>23</v>
      </c>
      <c r="E7" s="13">
        <v>3</v>
      </c>
      <c r="F7" s="13">
        <v>57</v>
      </c>
      <c r="G7" s="13">
        <v>15</v>
      </c>
      <c r="H7" s="13">
        <v>22</v>
      </c>
      <c r="I7" s="13">
        <v>17</v>
      </c>
      <c r="J7" s="13">
        <v>41</v>
      </c>
      <c r="K7" s="12">
        <v>41</v>
      </c>
      <c r="L7" s="12">
        <v>21</v>
      </c>
      <c r="M7" s="13">
        <f>SUM(Table112641182[[#This Row],[BOX 1]:[BOX 12]])</f>
        <v>264</v>
      </c>
      <c r="N7" s="14">
        <v>1</v>
      </c>
    </row>
    <row r="8" spans="1:14" ht="18.75" x14ac:dyDescent="0.3">
      <c r="A8" s="25" t="s">
        <v>53</v>
      </c>
      <c r="B8" s="13">
        <v>1</v>
      </c>
      <c r="C8" s="12">
        <v>0</v>
      </c>
      <c r="D8" s="12">
        <v>0</v>
      </c>
      <c r="E8" s="13">
        <v>0</v>
      </c>
      <c r="F8" s="13">
        <v>2</v>
      </c>
      <c r="G8" s="13">
        <v>2</v>
      </c>
      <c r="H8" s="13">
        <v>0</v>
      </c>
      <c r="I8" s="13">
        <v>3</v>
      </c>
      <c r="J8" s="13">
        <v>2</v>
      </c>
      <c r="K8" s="12">
        <v>2</v>
      </c>
      <c r="L8" s="12">
        <v>0</v>
      </c>
      <c r="M8" s="13">
        <f>SUM(Table112641182[[#This Row],[BOX 1]:[BOX 12]])</f>
        <v>12</v>
      </c>
      <c r="N8" s="14"/>
    </row>
    <row r="9" spans="1:14" ht="18.75" x14ac:dyDescent="0.3">
      <c r="A9" s="25" t="s">
        <v>54</v>
      </c>
      <c r="B9" s="13">
        <v>0</v>
      </c>
      <c r="C9" s="12">
        <v>0</v>
      </c>
      <c r="D9" s="12">
        <v>0</v>
      </c>
      <c r="E9" s="13">
        <v>0</v>
      </c>
      <c r="F9" s="13">
        <v>1</v>
      </c>
      <c r="G9" s="13">
        <v>0</v>
      </c>
      <c r="H9" s="13">
        <v>0</v>
      </c>
      <c r="I9" s="13">
        <v>1</v>
      </c>
      <c r="J9" s="13">
        <v>0</v>
      </c>
      <c r="K9" s="12">
        <v>0</v>
      </c>
      <c r="L9" s="12">
        <v>0</v>
      </c>
      <c r="M9" s="13">
        <f>SUM(Table112641182[[#This Row],[BOX 1]:[BOX 12]])</f>
        <v>2</v>
      </c>
      <c r="N9" s="14"/>
    </row>
    <row r="10" spans="1:14" ht="18.75" x14ac:dyDescent="0.3">
      <c r="A10" s="25" t="s">
        <v>55</v>
      </c>
      <c r="B10" s="13">
        <v>0</v>
      </c>
      <c r="C10" s="12">
        <v>1</v>
      </c>
      <c r="D10" s="12">
        <v>0</v>
      </c>
      <c r="E10" s="13">
        <v>0</v>
      </c>
      <c r="F10" s="13">
        <v>0</v>
      </c>
      <c r="G10" s="13">
        <v>1</v>
      </c>
      <c r="H10" s="13">
        <v>0</v>
      </c>
      <c r="I10" s="13">
        <v>0</v>
      </c>
      <c r="J10" s="13">
        <v>0</v>
      </c>
      <c r="K10" s="12">
        <v>0</v>
      </c>
      <c r="L10" s="12">
        <v>0</v>
      </c>
      <c r="M10" s="13">
        <f>SUM(Table112641182[[#This Row],[BOX 1]:[BOX 12]])</f>
        <v>2</v>
      </c>
      <c r="N10" s="14"/>
    </row>
    <row r="11" spans="1:14" ht="18.75" x14ac:dyDescent="0.3">
      <c r="A11" s="25" t="s">
        <v>56</v>
      </c>
      <c r="B11" s="13">
        <v>0</v>
      </c>
      <c r="C11" s="12">
        <v>0</v>
      </c>
      <c r="D11" s="12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2">
        <v>0</v>
      </c>
      <c r="L11" s="12">
        <v>0</v>
      </c>
      <c r="M11" s="13">
        <f>SUM(Table112641182[[#This Row],[BOX 1]:[BOX 12]])</f>
        <v>0</v>
      </c>
      <c r="N11" s="14"/>
    </row>
    <row r="12" spans="1:14" ht="18.75" x14ac:dyDescent="0.3">
      <c r="A12" s="25" t="s">
        <v>57</v>
      </c>
      <c r="B12" s="13">
        <v>0</v>
      </c>
      <c r="C12" s="12">
        <v>0</v>
      </c>
      <c r="D12" s="12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2">
        <v>0</v>
      </c>
      <c r="L12" s="12">
        <v>0</v>
      </c>
      <c r="M12" s="13">
        <f>SUM(Table112641182[[#This Row],[BOX 1]:[BOX 12]])</f>
        <v>0</v>
      </c>
      <c r="N12" s="14"/>
    </row>
    <row r="13" spans="1:14" ht="18.75" x14ac:dyDescent="0.25">
      <c r="A13" s="25" t="s">
        <v>59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f>SUM(Table112641182[[#This Row],[BOX 1]:[BOX 12]])</f>
        <v>0</v>
      </c>
      <c r="N13" s="14"/>
    </row>
    <row r="14" spans="1:14" s="15" customFormat="1" ht="18.75" x14ac:dyDescent="0.25">
      <c r="A14" s="25" t="s">
        <v>60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f>SUM(Table112641182[[#This Row],[BOX 1]:[BOX 12]])</f>
        <v>0</v>
      </c>
      <c r="N14" s="14"/>
    </row>
    <row r="15" spans="1:14" ht="18.75" x14ac:dyDescent="0.25">
      <c r="A15" s="25" t="s">
        <v>61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f>SUM(Table112641182[[#This Row],[BOX 1]:[BOX 12]])</f>
        <v>0</v>
      </c>
      <c r="N15" s="14"/>
    </row>
    <row r="16" spans="1:14" ht="18.75" x14ac:dyDescent="0.3">
      <c r="A16" s="25" t="s">
        <v>62</v>
      </c>
      <c r="B16" s="13">
        <v>0</v>
      </c>
      <c r="C16" s="12">
        <v>0</v>
      </c>
      <c r="D16" s="12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2">
        <v>0</v>
      </c>
      <c r="L16" s="12">
        <v>0</v>
      </c>
      <c r="M16" s="13">
        <f>SUM(Table112641182[[#This Row],[BOX 1]:[BOX 12]])</f>
        <v>0</v>
      </c>
      <c r="N16" s="14"/>
    </row>
    <row r="17" spans="1:14" ht="18.75" x14ac:dyDescent="0.3">
      <c r="A17" s="25" t="s">
        <v>63</v>
      </c>
      <c r="B17" s="13">
        <v>0</v>
      </c>
      <c r="C17" s="12">
        <v>0</v>
      </c>
      <c r="D17" s="12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2">
        <v>0</v>
      </c>
      <c r="L17" s="12">
        <v>0</v>
      </c>
      <c r="M17" s="13">
        <f>SUM(Table112641182[[#This Row],[BOX 1]:[BOX 12]])</f>
        <v>0</v>
      </c>
      <c r="N17" s="14"/>
    </row>
    <row r="18" spans="1:14" ht="19.5" thickBot="1" x14ac:dyDescent="0.35">
      <c r="A18" s="25" t="s">
        <v>64</v>
      </c>
      <c r="B18" s="13">
        <v>0</v>
      </c>
      <c r="C18" s="12">
        <v>0</v>
      </c>
      <c r="D18" s="12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2">
        <v>0</v>
      </c>
      <c r="L18" s="12">
        <v>0</v>
      </c>
      <c r="M18" s="13">
        <f>SUM(Table112641182[[#This Row],[BOX 1]:[BOX 12]])</f>
        <v>0</v>
      </c>
      <c r="N18" s="14"/>
    </row>
    <row r="19" spans="1:14" s="5" customFormat="1" ht="19.5" thickBot="1" x14ac:dyDescent="0.25">
      <c r="A19" s="17" t="s">
        <v>14</v>
      </c>
      <c r="B19" s="20">
        <f>SUBTOTAL(109,Table112641182[BOX 1])</f>
        <v>37</v>
      </c>
      <c r="C19" s="21">
        <f>SUBTOTAL(109,Table112641182[BOX 2])</f>
        <v>78</v>
      </c>
      <c r="D19" s="21">
        <f>SUBTOTAL(109,Table112641182[BOX 3])</f>
        <v>84</v>
      </c>
      <c r="E19" s="21">
        <f>SUBTOTAL(109,Table112641182[BOX 4])</f>
        <v>30</v>
      </c>
      <c r="F19" s="21">
        <f>SUBTOTAL(109,Table112641182[BOX 5])</f>
        <v>189</v>
      </c>
      <c r="G19" s="21">
        <f>SUBTOTAL(109,Table112641182[BOX 6])</f>
        <v>41</v>
      </c>
      <c r="H19" s="21">
        <f>SUBTOTAL(109,Table112641182[BOX 7])</f>
        <v>97</v>
      </c>
      <c r="I19" s="21">
        <f>SUBTOTAL(109,Table112641182[BOX 8])</f>
        <v>70</v>
      </c>
      <c r="J19" s="21">
        <f>SUBTOTAL(109,Table112641182[BOX 10])</f>
        <v>131</v>
      </c>
      <c r="K19" s="21">
        <f>SUBTOTAL(109,Table112641182[BOX 11])</f>
        <v>92</v>
      </c>
      <c r="L19" s="21">
        <f>SUBTOTAL(109,Table112641182[BOX 12])</f>
        <v>97</v>
      </c>
      <c r="M19" s="21">
        <f>SUBTOTAL(109,Table112641182[TOTAL])</f>
        <v>946</v>
      </c>
      <c r="N19" s="31">
        <f>SUBTOTAL(109,Table112641182[PROVISIONAL])</f>
        <v>6</v>
      </c>
    </row>
    <row r="20" spans="1:14" s="16" customFormat="1" ht="15.75" x14ac:dyDescent="0.25">
      <c r="A20" s="18" t="s">
        <v>15</v>
      </c>
      <c r="B20" s="29">
        <v>0</v>
      </c>
      <c r="C20" s="22">
        <v>0</v>
      </c>
      <c r="D20" s="22">
        <v>0</v>
      </c>
      <c r="E20" s="22">
        <v>0</v>
      </c>
      <c r="F20" s="22">
        <v>1</v>
      </c>
      <c r="G20" s="22">
        <v>0</v>
      </c>
      <c r="H20" s="30">
        <v>0</v>
      </c>
      <c r="I20" s="30">
        <v>0</v>
      </c>
      <c r="J20" s="22">
        <v>1</v>
      </c>
      <c r="K20" s="22">
        <v>1</v>
      </c>
      <c r="L20" s="22">
        <v>0</v>
      </c>
      <c r="M20" s="30">
        <f>SUM(B20:L20)</f>
        <v>3</v>
      </c>
      <c r="N20" s="30"/>
    </row>
    <row r="21" spans="1:14" ht="15.75" x14ac:dyDescent="0.25">
      <c r="A21" s="19" t="s">
        <v>16</v>
      </c>
      <c r="B21" s="14">
        <v>2</v>
      </c>
      <c r="C21" s="14">
        <v>3</v>
      </c>
      <c r="D21" s="14">
        <v>1</v>
      </c>
      <c r="E21" s="14">
        <v>0</v>
      </c>
      <c r="F21" s="14">
        <v>3</v>
      </c>
      <c r="G21" s="28">
        <v>0</v>
      </c>
      <c r="H21" s="28">
        <v>3</v>
      </c>
      <c r="I21" s="14">
        <v>0</v>
      </c>
      <c r="J21" s="14">
        <v>0</v>
      </c>
      <c r="K21" s="14">
        <v>5</v>
      </c>
      <c r="L21" s="14">
        <v>1</v>
      </c>
      <c r="M21" s="28">
        <f>SUM(B21:L21)</f>
        <v>18</v>
      </c>
      <c r="N21" s="28"/>
    </row>
    <row r="22" spans="1:14" s="5" customFormat="1" ht="45" x14ac:dyDescent="0.2">
      <c r="A22" s="3" t="s">
        <v>17</v>
      </c>
      <c r="B22" s="4" t="s">
        <v>4</v>
      </c>
      <c r="C22" s="4" t="s">
        <v>47</v>
      </c>
      <c r="D22" s="4" t="s">
        <v>48</v>
      </c>
      <c r="E22" s="4" t="s">
        <v>51</v>
      </c>
      <c r="F22" s="4" t="s">
        <v>1</v>
      </c>
      <c r="G22" s="4" t="s">
        <v>2</v>
      </c>
      <c r="H22" s="4" t="s">
        <v>5</v>
      </c>
      <c r="I22" s="4" t="s">
        <v>4</v>
      </c>
      <c r="J22" s="4" t="s">
        <v>3</v>
      </c>
      <c r="K22" s="4" t="s">
        <v>47</v>
      </c>
      <c r="L22" s="4" t="s">
        <v>48</v>
      </c>
    </row>
    <row r="23" spans="1:14" ht="15.75" x14ac:dyDescent="0.25">
      <c r="A23" s="6" t="s">
        <v>6</v>
      </c>
      <c r="B23" s="8" t="s">
        <v>65</v>
      </c>
      <c r="C23" s="24" t="s">
        <v>45</v>
      </c>
      <c r="D23" s="7" t="s">
        <v>49</v>
      </c>
      <c r="E23" s="8" t="s">
        <v>7</v>
      </c>
      <c r="F23" s="8" t="s">
        <v>8</v>
      </c>
      <c r="G23" s="8" t="s">
        <v>9</v>
      </c>
      <c r="H23" s="8" t="s">
        <v>11</v>
      </c>
      <c r="I23" s="8" t="s">
        <v>66</v>
      </c>
      <c r="J23" s="8" t="s">
        <v>10</v>
      </c>
      <c r="K23" s="7" t="s">
        <v>46</v>
      </c>
      <c r="L23" s="7" t="s">
        <v>50</v>
      </c>
      <c r="M23" s="9" t="s">
        <v>12</v>
      </c>
      <c r="N23" s="10" t="s">
        <v>13</v>
      </c>
    </row>
    <row r="24" spans="1:14" ht="18.75" x14ac:dyDescent="0.3">
      <c r="A24" s="11" t="s">
        <v>67</v>
      </c>
      <c r="B24" s="13">
        <v>25</v>
      </c>
      <c r="C24" s="12">
        <v>48</v>
      </c>
      <c r="D24" s="12">
        <v>49</v>
      </c>
      <c r="E24" s="13">
        <v>26</v>
      </c>
      <c r="F24" s="13">
        <v>109</v>
      </c>
      <c r="G24" s="13">
        <v>21</v>
      </c>
      <c r="H24" s="13">
        <v>62</v>
      </c>
      <c r="I24" s="13">
        <v>43</v>
      </c>
      <c r="J24" s="13">
        <v>81</v>
      </c>
      <c r="K24" s="12">
        <v>39</v>
      </c>
      <c r="L24" s="12">
        <v>64</v>
      </c>
      <c r="M24" s="13">
        <f>SUM(Table11240651193[[#This Row],[BOX 1]:[BOX 12]])</f>
        <v>567</v>
      </c>
      <c r="N24" s="13">
        <v>5</v>
      </c>
    </row>
    <row r="25" spans="1:14" ht="16.5" customHeight="1" x14ac:dyDescent="0.3">
      <c r="A25" s="11" t="s">
        <v>18</v>
      </c>
      <c r="B25" s="13">
        <v>8</v>
      </c>
      <c r="C25" s="12">
        <v>25</v>
      </c>
      <c r="D25" s="12">
        <v>29</v>
      </c>
      <c r="E25" s="13">
        <v>3</v>
      </c>
      <c r="F25" s="13">
        <v>53</v>
      </c>
      <c r="G25" s="13">
        <v>15</v>
      </c>
      <c r="H25" s="13">
        <v>23</v>
      </c>
      <c r="I25" s="13">
        <v>15</v>
      </c>
      <c r="J25" s="13">
        <v>38</v>
      </c>
      <c r="K25" s="12">
        <v>32</v>
      </c>
      <c r="L25" s="12">
        <v>24</v>
      </c>
      <c r="M25" s="13">
        <f>SUM(Table11240651193[[#This Row],[BOX 1]:[BOX 12]])</f>
        <v>265</v>
      </c>
      <c r="N25" s="14"/>
    </row>
    <row r="26" spans="1:14" ht="16.5" customHeight="1" x14ac:dyDescent="0.3">
      <c r="A26" s="11" t="s">
        <v>68</v>
      </c>
      <c r="B26" s="13">
        <v>2</v>
      </c>
      <c r="C26" s="12">
        <v>3</v>
      </c>
      <c r="D26" s="12">
        <v>0</v>
      </c>
      <c r="E26" s="13">
        <v>0</v>
      </c>
      <c r="F26" s="13">
        <v>9</v>
      </c>
      <c r="G26" s="13">
        <v>1</v>
      </c>
      <c r="H26" s="13">
        <v>2</v>
      </c>
      <c r="I26" s="13">
        <v>6</v>
      </c>
      <c r="J26" s="13">
        <v>2</v>
      </c>
      <c r="K26" s="12">
        <v>4</v>
      </c>
      <c r="L26" s="12">
        <v>1</v>
      </c>
      <c r="M26" s="13">
        <f>SUM(Table11240651193[[#This Row],[BOX 1]:[BOX 12]])</f>
        <v>30</v>
      </c>
      <c r="N26" s="14">
        <v>1</v>
      </c>
    </row>
    <row r="27" spans="1:14" ht="18.75" x14ac:dyDescent="0.3">
      <c r="A27" s="11" t="s">
        <v>69</v>
      </c>
      <c r="B27" s="13">
        <v>0</v>
      </c>
      <c r="C27" s="12">
        <v>0</v>
      </c>
      <c r="D27" s="12">
        <v>2</v>
      </c>
      <c r="E27" s="13">
        <v>0</v>
      </c>
      <c r="F27" s="13">
        <v>2</v>
      </c>
      <c r="G27" s="13">
        <v>1</v>
      </c>
      <c r="H27" s="13">
        <v>2</v>
      </c>
      <c r="I27" s="13">
        <v>1</v>
      </c>
      <c r="J27" s="13">
        <v>2</v>
      </c>
      <c r="K27" s="12">
        <v>8</v>
      </c>
      <c r="L27" s="12">
        <v>1</v>
      </c>
      <c r="M27" s="13">
        <f>SUM(Table11240651193[[#This Row],[BOX 1]:[BOX 12]])</f>
        <v>19</v>
      </c>
      <c r="N27" s="14"/>
    </row>
    <row r="28" spans="1:14" ht="19.5" thickBot="1" x14ac:dyDescent="0.35">
      <c r="A28" s="11" t="s">
        <v>70</v>
      </c>
      <c r="B28" s="13">
        <v>0</v>
      </c>
      <c r="C28" s="12">
        <v>0</v>
      </c>
      <c r="D28" s="12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2">
        <v>1</v>
      </c>
      <c r="L28" s="12">
        <v>0</v>
      </c>
      <c r="M28" s="13">
        <f>SUM(Table11240651193[[#This Row],[BOX 1]:[BOX 12]])</f>
        <v>1</v>
      </c>
      <c r="N28" s="14"/>
    </row>
    <row r="29" spans="1:14" ht="19.5" thickBot="1" x14ac:dyDescent="0.3">
      <c r="A29" s="17" t="s">
        <v>14</v>
      </c>
      <c r="B29" s="20">
        <f>SUBTOTAL(109,Table11240651193[BOX 1])</f>
        <v>35</v>
      </c>
      <c r="C29" s="21">
        <f>SUBTOTAL(109,Table11240651193[BOX 2])</f>
        <v>76</v>
      </c>
      <c r="D29" s="21">
        <f>SUBTOTAL(109,Table11240651193[BOX 3])</f>
        <v>80</v>
      </c>
      <c r="E29" s="21">
        <f>SUBTOTAL(109,Table11240651193[BOX 4])</f>
        <v>29</v>
      </c>
      <c r="F29" s="21">
        <f>SUBTOTAL(109,Table11240651193[BOX 5])</f>
        <v>173</v>
      </c>
      <c r="G29" s="21">
        <f>SUBTOTAL(109,Table11240651193[BOX 6])</f>
        <v>38</v>
      </c>
      <c r="H29" s="21">
        <f>SUBTOTAL(109,Table11240651193[BOX 7])</f>
        <v>89</v>
      </c>
      <c r="I29" s="21">
        <f>SUBTOTAL(109,Table11240651193[BOX 8])</f>
        <v>65</v>
      </c>
      <c r="J29" s="21">
        <f>SUBTOTAL(109,Table11240651193[BOX 10])</f>
        <v>123</v>
      </c>
      <c r="K29" s="21">
        <f>SUBTOTAL(109,Table11240651193[BOX 11])</f>
        <v>84</v>
      </c>
      <c r="L29" s="21">
        <f>SUBTOTAL(109,Table11240651193[BOX 12])</f>
        <v>90</v>
      </c>
      <c r="M29" s="21">
        <f>SUBTOTAL(109,Table11240651193[TOTAL])</f>
        <v>882</v>
      </c>
      <c r="N29" s="31">
        <f>SUBTOTAL(109,Table11240651193[PROVISIONAL])</f>
        <v>6</v>
      </c>
    </row>
    <row r="30" spans="1:14" ht="15.75" x14ac:dyDescent="0.25">
      <c r="A30" s="18" t="s">
        <v>15</v>
      </c>
      <c r="B30" s="29">
        <v>0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30">
        <v>0</v>
      </c>
      <c r="I30" s="30">
        <v>0</v>
      </c>
      <c r="J30" s="22">
        <v>0</v>
      </c>
      <c r="K30" s="22">
        <v>0</v>
      </c>
      <c r="L30" s="22">
        <v>0</v>
      </c>
      <c r="M30" s="30">
        <f>SUM(C30:L30)</f>
        <v>0</v>
      </c>
      <c r="N30" s="30"/>
    </row>
    <row r="31" spans="1:14" ht="15.75" x14ac:dyDescent="0.25">
      <c r="A31" s="19" t="s">
        <v>16</v>
      </c>
      <c r="B31" s="14">
        <v>4</v>
      </c>
      <c r="C31" s="14">
        <v>5</v>
      </c>
      <c r="D31" s="14">
        <v>5</v>
      </c>
      <c r="E31" s="14">
        <v>1</v>
      </c>
      <c r="F31" s="14">
        <v>20</v>
      </c>
      <c r="G31" s="28">
        <v>3</v>
      </c>
      <c r="H31" s="28">
        <v>11</v>
      </c>
      <c r="I31" s="14">
        <v>5</v>
      </c>
      <c r="J31" s="14">
        <v>9</v>
      </c>
      <c r="K31" s="14">
        <v>14</v>
      </c>
      <c r="L31" s="14">
        <v>8</v>
      </c>
      <c r="M31" s="28">
        <f>SUM(B31:L31)</f>
        <v>85</v>
      </c>
      <c r="N31" s="28"/>
    </row>
    <row r="32" spans="1:14" ht="45.75" customHeight="1" x14ac:dyDescent="0.25">
      <c r="A32" s="32" t="s">
        <v>19</v>
      </c>
      <c r="B32" s="4" t="s">
        <v>4</v>
      </c>
      <c r="C32" s="4" t="s">
        <v>47</v>
      </c>
      <c r="D32" s="4" t="s">
        <v>48</v>
      </c>
      <c r="E32" s="4" t="s">
        <v>51</v>
      </c>
      <c r="F32" s="4" t="s">
        <v>1</v>
      </c>
      <c r="G32" s="4" t="s">
        <v>2</v>
      </c>
      <c r="H32" s="4" t="s">
        <v>5</v>
      </c>
      <c r="I32" s="4" t="s">
        <v>4</v>
      </c>
      <c r="J32" s="4" t="s">
        <v>3</v>
      </c>
      <c r="K32" s="4" t="s">
        <v>47</v>
      </c>
      <c r="L32" s="4" t="s">
        <v>48</v>
      </c>
      <c r="M32" s="5"/>
      <c r="N32" s="5"/>
    </row>
    <row r="33" spans="1:14" ht="15.75" x14ac:dyDescent="0.25">
      <c r="A33" s="6" t="s">
        <v>6</v>
      </c>
      <c r="B33" s="8" t="s">
        <v>65</v>
      </c>
      <c r="C33" s="24" t="s">
        <v>45</v>
      </c>
      <c r="D33" s="7" t="s">
        <v>49</v>
      </c>
      <c r="E33" s="8" t="s">
        <v>7</v>
      </c>
      <c r="F33" s="8" t="s">
        <v>8</v>
      </c>
      <c r="G33" s="8" t="s">
        <v>9</v>
      </c>
      <c r="H33" s="8" t="s">
        <v>11</v>
      </c>
      <c r="I33" s="8" t="s">
        <v>66</v>
      </c>
      <c r="J33" s="8" t="s">
        <v>10</v>
      </c>
      <c r="K33" s="7" t="s">
        <v>46</v>
      </c>
      <c r="L33" s="7" t="s">
        <v>50</v>
      </c>
      <c r="M33" s="9" t="s">
        <v>12</v>
      </c>
      <c r="N33" s="10" t="s">
        <v>13</v>
      </c>
    </row>
    <row r="34" spans="1:14" ht="18.75" x14ac:dyDescent="0.3">
      <c r="A34" s="26" t="s">
        <v>71</v>
      </c>
      <c r="B34" s="13">
        <v>27</v>
      </c>
      <c r="C34" s="12">
        <v>40</v>
      </c>
      <c r="D34" s="12">
        <v>52</v>
      </c>
      <c r="E34" s="13">
        <v>24</v>
      </c>
      <c r="F34" s="13">
        <v>106</v>
      </c>
      <c r="G34" s="13">
        <v>18</v>
      </c>
      <c r="H34" s="13">
        <v>61</v>
      </c>
      <c r="I34" s="13">
        <v>45</v>
      </c>
      <c r="J34" s="13">
        <v>76</v>
      </c>
      <c r="K34" s="12">
        <v>43</v>
      </c>
      <c r="L34" s="12">
        <v>60</v>
      </c>
      <c r="M34" s="13">
        <f>SUM(Table1124041661204[[#This Row],[BOX 1]:[BOX 12]])</f>
        <v>552</v>
      </c>
      <c r="N34" s="13">
        <v>4</v>
      </c>
    </row>
    <row r="35" spans="1:14" ht="18.75" x14ac:dyDescent="0.3">
      <c r="A35" s="26" t="s">
        <v>20</v>
      </c>
      <c r="B35" s="13">
        <v>7</v>
      </c>
      <c r="C35" s="12">
        <v>29</v>
      </c>
      <c r="D35" s="12">
        <v>30</v>
      </c>
      <c r="E35" s="13">
        <v>4</v>
      </c>
      <c r="F35" s="13">
        <v>64</v>
      </c>
      <c r="G35" s="13">
        <v>17</v>
      </c>
      <c r="H35" s="13">
        <v>24</v>
      </c>
      <c r="I35" s="13">
        <v>20</v>
      </c>
      <c r="J35" s="13">
        <v>43</v>
      </c>
      <c r="K35" s="12">
        <v>44</v>
      </c>
      <c r="L35" s="12">
        <v>29</v>
      </c>
      <c r="M35" s="13">
        <f>SUM(Table1124041661204[[#This Row],[BOX 1]:[BOX 12]])</f>
        <v>311</v>
      </c>
      <c r="N35" s="14">
        <v>2</v>
      </c>
    </row>
    <row r="36" spans="1:14" ht="19.5" thickBot="1" x14ac:dyDescent="0.35">
      <c r="A36" s="26" t="s">
        <v>72</v>
      </c>
      <c r="B36" s="13">
        <v>3</v>
      </c>
      <c r="C36" s="12">
        <v>5</v>
      </c>
      <c r="D36" s="12">
        <v>1</v>
      </c>
      <c r="E36" s="13">
        <v>0</v>
      </c>
      <c r="F36" s="13">
        <v>10</v>
      </c>
      <c r="G36" s="13">
        <v>3</v>
      </c>
      <c r="H36" s="13">
        <v>7</v>
      </c>
      <c r="I36" s="13">
        <v>2</v>
      </c>
      <c r="J36" s="13">
        <v>6</v>
      </c>
      <c r="K36" s="12">
        <v>1</v>
      </c>
      <c r="L36" s="12">
        <v>3</v>
      </c>
      <c r="M36" s="13">
        <f>SUM(Table1124041661204[[#This Row],[BOX 1]:[BOX 12]])</f>
        <v>41</v>
      </c>
      <c r="N36" s="14"/>
    </row>
    <row r="37" spans="1:14" ht="19.5" thickBot="1" x14ac:dyDescent="0.3">
      <c r="A37" s="17" t="s">
        <v>14</v>
      </c>
      <c r="B37" s="20">
        <f>SUBTOTAL(109,Table1124041661204[BOX 1])</f>
        <v>37</v>
      </c>
      <c r="C37" s="21">
        <f>SUBTOTAL(109,Table1124041661204[BOX 2])</f>
        <v>74</v>
      </c>
      <c r="D37" s="21">
        <f>SUBTOTAL(109,Table1124041661204[BOX 3])</f>
        <v>83</v>
      </c>
      <c r="E37" s="21">
        <f>SUBTOTAL(109,Table1124041661204[BOX 4])</f>
        <v>28</v>
      </c>
      <c r="F37" s="21">
        <f>SUBTOTAL(109,Table1124041661204[BOX 5])</f>
        <v>180</v>
      </c>
      <c r="G37" s="21">
        <f>SUBTOTAL(109,Table1124041661204[BOX 6])</f>
        <v>38</v>
      </c>
      <c r="H37" s="21">
        <f>SUBTOTAL(109,Table1124041661204[BOX 7])</f>
        <v>92</v>
      </c>
      <c r="I37" s="21">
        <f>SUBTOTAL(109,Table1124041661204[BOX 8])</f>
        <v>67</v>
      </c>
      <c r="J37" s="21">
        <f>SUBTOTAL(109,Table1124041661204[BOX 10])</f>
        <v>125</v>
      </c>
      <c r="K37" s="21">
        <f>SUBTOTAL(109,Table1124041661204[BOX 11])</f>
        <v>88</v>
      </c>
      <c r="L37" s="21">
        <f>SUBTOTAL(109,Table1124041661204[BOX 12])</f>
        <v>92</v>
      </c>
      <c r="M37" s="21">
        <f>SUBTOTAL(109,Table1124041661204[TOTAL])</f>
        <v>904</v>
      </c>
      <c r="N37" s="31">
        <f>SUBTOTAL(109,Table1124041661204[PROVISIONAL])</f>
        <v>6</v>
      </c>
    </row>
    <row r="38" spans="1:14" ht="15.75" x14ac:dyDescent="0.25">
      <c r="A38" s="18" t="s">
        <v>15</v>
      </c>
      <c r="B38" s="29">
        <v>0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30">
        <v>0</v>
      </c>
      <c r="I38" s="30">
        <v>0</v>
      </c>
      <c r="J38" s="22">
        <v>0</v>
      </c>
      <c r="K38" s="22">
        <v>0</v>
      </c>
      <c r="L38" s="22">
        <v>0</v>
      </c>
      <c r="M38" s="30">
        <f>SUM(B38:L38)</f>
        <v>0</v>
      </c>
      <c r="N38" s="30"/>
    </row>
    <row r="39" spans="1:14" ht="15.75" x14ac:dyDescent="0.25">
      <c r="A39" s="19" t="s">
        <v>16</v>
      </c>
      <c r="B39" s="14">
        <v>2</v>
      </c>
      <c r="C39" s="14">
        <v>7</v>
      </c>
      <c r="D39" s="14">
        <v>2</v>
      </c>
      <c r="E39" s="14">
        <v>2</v>
      </c>
      <c r="F39" s="14">
        <v>13</v>
      </c>
      <c r="G39" s="28">
        <v>3</v>
      </c>
      <c r="H39" s="28">
        <v>8</v>
      </c>
      <c r="I39" s="14">
        <v>3</v>
      </c>
      <c r="J39" s="14">
        <v>7</v>
      </c>
      <c r="K39" s="14">
        <v>10</v>
      </c>
      <c r="L39" s="14">
        <v>6</v>
      </c>
      <c r="M39" s="28">
        <f>SUM(B39:L39)</f>
        <v>63</v>
      </c>
      <c r="N39" s="28"/>
    </row>
    <row r="41" spans="1:14" x14ac:dyDescent="0.25">
      <c r="A41" s="1"/>
      <c r="B41" s="1"/>
      <c r="C41" s="1"/>
      <c r="D41" s="1"/>
      <c r="E41" s="1"/>
      <c r="F41" s="1"/>
      <c r="G41" s="1"/>
      <c r="K41" s="1"/>
    </row>
    <row r="42" spans="1:14" x14ac:dyDescent="0.25">
      <c r="A42" s="1"/>
      <c r="B42" s="1"/>
      <c r="C42" s="1"/>
      <c r="D42" s="1"/>
      <c r="E42" s="1"/>
      <c r="F42" s="1"/>
      <c r="G42" s="1"/>
      <c r="K42" s="1"/>
    </row>
    <row r="43" spans="1:14" x14ac:dyDescent="0.25">
      <c r="A43" s="1"/>
      <c r="B43" s="1"/>
      <c r="C43" s="1"/>
      <c r="D43" s="1"/>
      <c r="E43" s="1"/>
      <c r="F43" s="1"/>
      <c r="G43" s="1"/>
      <c r="K43" s="1"/>
    </row>
    <row r="44" spans="1:14" x14ac:dyDescent="0.25">
      <c r="A44" s="1"/>
      <c r="B44" s="1"/>
      <c r="C44" s="1"/>
      <c r="D44" s="1"/>
      <c r="E44" s="1"/>
      <c r="F44" s="1"/>
      <c r="G44" s="1"/>
      <c r="K44" s="1"/>
    </row>
    <row r="45" spans="1:14" ht="45" x14ac:dyDescent="0.25">
      <c r="A45" s="32" t="s">
        <v>21</v>
      </c>
      <c r="B45" s="4" t="s">
        <v>4</v>
      </c>
      <c r="C45" s="4" t="s">
        <v>47</v>
      </c>
      <c r="D45" s="4" t="s">
        <v>48</v>
      </c>
      <c r="E45" s="4" t="s">
        <v>51</v>
      </c>
      <c r="F45" s="4" t="s">
        <v>1</v>
      </c>
      <c r="G45" s="4" t="s">
        <v>2</v>
      </c>
      <c r="H45" s="4" t="s">
        <v>5</v>
      </c>
      <c r="I45" s="4" t="s">
        <v>4</v>
      </c>
      <c r="J45" s="4" t="s">
        <v>3</v>
      </c>
      <c r="K45" s="4" t="s">
        <v>47</v>
      </c>
      <c r="L45" s="4" t="s">
        <v>48</v>
      </c>
      <c r="M45" s="5"/>
      <c r="N45" s="5"/>
    </row>
    <row r="46" spans="1:14" ht="15.75" x14ac:dyDescent="0.25">
      <c r="A46" s="6" t="s">
        <v>6</v>
      </c>
      <c r="B46" s="8" t="s">
        <v>65</v>
      </c>
      <c r="C46" s="24" t="s">
        <v>45</v>
      </c>
      <c r="D46" s="7" t="s">
        <v>49</v>
      </c>
      <c r="E46" s="8" t="s">
        <v>7</v>
      </c>
      <c r="F46" s="8" t="s">
        <v>8</v>
      </c>
      <c r="G46" s="8" t="s">
        <v>9</v>
      </c>
      <c r="H46" s="8" t="s">
        <v>11</v>
      </c>
      <c r="I46" s="8" t="s">
        <v>66</v>
      </c>
      <c r="J46" s="8" t="s">
        <v>10</v>
      </c>
      <c r="K46" s="7" t="s">
        <v>46</v>
      </c>
      <c r="L46" s="7" t="s">
        <v>50</v>
      </c>
      <c r="M46" s="9" t="s">
        <v>12</v>
      </c>
      <c r="N46" s="10" t="s">
        <v>13</v>
      </c>
    </row>
    <row r="47" spans="1:14" ht="18.75" x14ac:dyDescent="0.3">
      <c r="A47" s="26" t="s">
        <v>73</v>
      </c>
      <c r="B47" s="13">
        <v>22</v>
      </c>
      <c r="C47" s="12">
        <v>43</v>
      </c>
      <c r="D47" s="12">
        <v>52</v>
      </c>
      <c r="E47" s="13">
        <v>22</v>
      </c>
      <c r="F47" s="13">
        <v>107</v>
      </c>
      <c r="G47" s="13">
        <v>19</v>
      </c>
      <c r="H47" s="13">
        <v>60</v>
      </c>
      <c r="I47" s="13">
        <v>43</v>
      </c>
      <c r="J47" s="13">
        <v>76</v>
      </c>
      <c r="K47" s="12">
        <v>40</v>
      </c>
      <c r="L47" s="12">
        <v>60</v>
      </c>
      <c r="M47" s="13">
        <f>SUM(Table112404142671215[[#This Row],[BOX 1]:[BOX 12]])</f>
        <v>544</v>
      </c>
      <c r="N47" s="13">
        <v>5</v>
      </c>
    </row>
    <row r="48" spans="1:14" ht="18.75" x14ac:dyDescent="0.3">
      <c r="A48" s="26" t="s">
        <v>22</v>
      </c>
      <c r="B48" s="13">
        <v>12</v>
      </c>
      <c r="C48" s="12">
        <v>30</v>
      </c>
      <c r="D48" s="12">
        <v>27</v>
      </c>
      <c r="E48" s="13">
        <v>5</v>
      </c>
      <c r="F48" s="13">
        <v>57</v>
      </c>
      <c r="G48" s="13">
        <v>11</v>
      </c>
      <c r="H48" s="13">
        <v>28</v>
      </c>
      <c r="I48" s="13">
        <v>17</v>
      </c>
      <c r="J48" s="13">
        <v>41</v>
      </c>
      <c r="K48" s="12">
        <v>34</v>
      </c>
      <c r="L48" s="12">
        <v>26</v>
      </c>
      <c r="M48" s="13">
        <f>SUM(Table112404142671215[[#This Row],[BOX 1]:[BOX 12]])</f>
        <v>288</v>
      </c>
      <c r="N48" s="14"/>
    </row>
    <row r="49" spans="1:14" ht="18.75" x14ac:dyDescent="0.3">
      <c r="A49" s="26" t="s">
        <v>74</v>
      </c>
      <c r="B49" s="13">
        <v>1</v>
      </c>
      <c r="C49" s="12">
        <v>1</v>
      </c>
      <c r="D49" s="12">
        <v>1</v>
      </c>
      <c r="E49" s="13">
        <v>1</v>
      </c>
      <c r="F49" s="13">
        <v>3</v>
      </c>
      <c r="G49" s="13">
        <v>3</v>
      </c>
      <c r="H49" s="13">
        <v>3</v>
      </c>
      <c r="I49" s="13">
        <v>3</v>
      </c>
      <c r="J49" s="13">
        <v>5</v>
      </c>
      <c r="K49" s="12">
        <v>7</v>
      </c>
      <c r="L49" s="12">
        <v>2</v>
      </c>
      <c r="M49" s="13">
        <f>SUM(Table112404142671215[[#This Row],[BOX 1]:[BOX 12]])</f>
        <v>30</v>
      </c>
      <c r="N49" s="14">
        <v>1</v>
      </c>
    </row>
    <row r="50" spans="1:14" ht="19.5" thickBot="1" x14ac:dyDescent="0.35">
      <c r="A50" s="26" t="s">
        <v>75</v>
      </c>
      <c r="B50" s="13">
        <v>0</v>
      </c>
      <c r="C50" s="12">
        <v>0</v>
      </c>
      <c r="D50" s="12">
        <v>0</v>
      </c>
      <c r="E50" s="13">
        <v>0</v>
      </c>
      <c r="F50" s="13">
        <v>0</v>
      </c>
      <c r="G50" s="13">
        <v>1</v>
      </c>
      <c r="H50" s="13">
        <v>0</v>
      </c>
      <c r="I50" s="13">
        <v>1</v>
      </c>
      <c r="J50" s="13">
        <v>1</v>
      </c>
      <c r="K50" s="12">
        <v>2</v>
      </c>
      <c r="L50" s="12">
        <v>1</v>
      </c>
      <c r="M50" s="13">
        <f>SUM(Table112404142671215[[#This Row],[BOX 1]:[BOX 12]])</f>
        <v>6</v>
      </c>
      <c r="N50" s="14"/>
    </row>
    <row r="51" spans="1:14" ht="19.5" thickBot="1" x14ac:dyDescent="0.3">
      <c r="A51" s="17" t="s">
        <v>14</v>
      </c>
      <c r="B51" s="20">
        <f>SUBTOTAL(109,Table112404142671215[BOX 1])</f>
        <v>35</v>
      </c>
      <c r="C51" s="21">
        <f>SUBTOTAL(109,Table112404142671215[BOX 2])</f>
        <v>74</v>
      </c>
      <c r="D51" s="21">
        <f>SUBTOTAL(109,Table112404142671215[BOX 3])</f>
        <v>80</v>
      </c>
      <c r="E51" s="21">
        <f>SUBTOTAL(109,Table112404142671215[BOX 4])</f>
        <v>28</v>
      </c>
      <c r="F51" s="21">
        <f>SUBTOTAL(109,Table112404142671215[BOX 5])</f>
        <v>167</v>
      </c>
      <c r="G51" s="21">
        <f>SUBTOTAL(109,Table112404142671215[BOX 6])</f>
        <v>34</v>
      </c>
      <c r="H51" s="21">
        <f>SUBTOTAL(109,Table112404142671215[BOX 7])</f>
        <v>91</v>
      </c>
      <c r="I51" s="21">
        <f>SUBTOTAL(109,Table112404142671215[BOX 8])</f>
        <v>64</v>
      </c>
      <c r="J51" s="21">
        <f>SUBTOTAL(109,Table112404142671215[BOX 10])</f>
        <v>123</v>
      </c>
      <c r="K51" s="21">
        <f>SUBTOTAL(109,Table112404142671215[BOX 11])</f>
        <v>83</v>
      </c>
      <c r="L51" s="21">
        <f>SUBTOTAL(109,Table112404142671215[BOX 12])</f>
        <v>89</v>
      </c>
      <c r="M51" s="21">
        <f>SUBTOTAL(109,Table112404142671215[TOTAL])</f>
        <v>868</v>
      </c>
      <c r="N51" s="31">
        <f>SUBTOTAL(109,Table112404142671215[PROVISIONAL])</f>
        <v>6</v>
      </c>
    </row>
    <row r="52" spans="1:14" ht="15.75" x14ac:dyDescent="0.25">
      <c r="A52" s="18" t="s">
        <v>15</v>
      </c>
      <c r="B52" s="29">
        <v>0</v>
      </c>
      <c r="C52" s="22">
        <v>0</v>
      </c>
      <c r="D52" s="22">
        <v>0</v>
      </c>
      <c r="E52" s="22">
        <v>0</v>
      </c>
      <c r="F52" s="22">
        <v>0</v>
      </c>
      <c r="G52" s="22">
        <v>0</v>
      </c>
      <c r="H52" s="30">
        <v>0</v>
      </c>
      <c r="I52" s="30">
        <v>0</v>
      </c>
      <c r="J52" s="22">
        <v>0</v>
      </c>
      <c r="K52" s="22">
        <v>0</v>
      </c>
      <c r="L52" s="22">
        <v>0</v>
      </c>
      <c r="M52" s="30">
        <f>SUM(B52:L52)</f>
        <v>0</v>
      </c>
      <c r="N52" s="30"/>
    </row>
    <row r="53" spans="1:14" ht="15.75" x14ac:dyDescent="0.25">
      <c r="A53" s="19" t="s">
        <v>16</v>
      </c>
      <c r="B53" s="14">
        <v>4</v>
      </c>
      <c r="C53" s="14">
        <v>7</v>
      </c>
      <c r="D53" s="14">
        <v>5</v>
      </c>
      <c r="E53" s="14">
        <v>2</v>
      </c>
      <c r="F53" s="14">
        <v>26</v>
      </c>
      <c r="G53" s="28">
        <v>7</v>
      </c>
      <c r="H53" s="28">
        <v>9</v>
      </c>
      <c r="I53" s="14">
        <v>6</v>
      </c>
      <c r="J53" s="14">
        <v>9</v>
      </c>
      <c r="K53" s="14">
        <v>15</v>
      </c>
      <c r="L53" s="14">
        <v>9</v>
      </c>
      <c r="M53" s="28">
        <f>SUM(B53:L53)</f>
        <v>99</v>
      </c>
      <c r="N53" s="28"/>
    </row>
    <row r="54" spans="1:14" x14ac:dyDescent="0.25">
      <c r="A54" s="1"/>
      <c r="B54" s="1"/>
      <c r="C54" s="1"/>
      <c r="D54" s="1"/>
      <c r="E54" s="1"/>
      <c r="F54" s="1"/>
      <c r="G54" s="1"/>
      <c r="K54" s="1"/>
    </row>
    <row r="55" spans="1:14" x14ac:dyDescent="0.25">
      <c r="A55" s="1"/>
      <c r="B55" s="1"/>
      <c r="C55" s="1"/>
      <c r="D55" s="1"/>
      <c r="E55" s="1"/>
      <c r="F55" s="1"/>
      <c r="G55" s="1"/>
      <c r="K55" s="1"/>
    </row>
    <row r="56" spans="1:14" ht="45" x14ac:dyDescent="0.25">
      <c r="A56" s="32" t="s">
        <v>77</v>
      </c>
      <c r="B56" s="4" t="s">
        <v>4</v>
      </c>
      <c r="C56" s="4" t="s">
        <v>47</v>
      </c>
      <c r="D56" s="4" t="s">
        <v>48</v>
      </c>
      <c r="E56" s="4" t="s">
        <v>51</v>
      </c>
      <c r="F56" s="4" t="s">
        <v>1</v>
      </c>
      <c r="G56" s="4" t="s">
        <v>2</v>
      </c>
      <c r="H56" s="4" t="s">
        <v>5</v>
      </c>
      <c r="I56" s="4" t="s">
        <v>4</v>
      </c>
      <c r="J56" s="4" t="s">
        <v>3</v>
      </c>
      <c r="K56" s="4" t="s">
        <v>47</v>
      </c>
      <c r="L56" s="4" t="s">
        <v>48</v>
      </c>
      <c r="M56" s="5"/>
      <c r="N56" s="5"/>
    </row>
    <row r="57" spans="1:14" ht="15.75" x14ac:dyDescent="0.25">
      <c r="A57" s="6" t="s">
        <v>6</v>
      </c>
      <c r="B57" s="8" t="s">
        <v>65</v>
      </c>
      <c r="C57" s="24" t="s">
        <v>45</v>
      </c>
      <c r="D57" s="7" t="s">
        <v>49</v>
      </c>
      <c r="E57" s="8" t="s">
        <v>7</v>
      </c>
      <c r="F57" s="8" t="s">
        <v>8</v>
      </c>
      <c r="G57" s="8" t="s">
        <v>9</v>
      </c>
      <c r="H57" s="8" t="s">
        <v>11</v>
      </c>
      <c r="I57" s="8" t="s">
        <v>66</v>
      </c>
      <c r="J57" s="8" t="s">
        <v>10</v>
      </c>
      <c r="K57" s="7" t="s">
        <v>46</v>
      </c>
      <c r="L57" s="7" t="s">
        <v>50</v>
      </c>
      <c r="M57" s="9" t="s">
        <v>12</v>
      </c>
      <c r="N57" s="10" t="s">
        <v>13</v>
      </c>
    </row>
    <row r="58" spans="1:14" ht="18.75" x14ac:dyDescent="0.3">
      <c r="A58" s="26" t="s">
        <v>76</v>
      </c>
      <c r="B58" s="13">
        <v>20</v>
      </c>
      <c r="C58" s="12">
        <v>41</v>
      </c>
      <c r="D58" s="12">
        <v>46</v>
      </c>
      <c r="E58" s="13">
        <v>25</v>
      </c>
      <c r="F58" s="13">
        <v>106</v>
      </c>
      <c r="G58" s="13">
        <v>17</v>
      </c>
      <c r="H58" s="13">
        <v>61</v>
      </c>
      <c r="I58" s="13">
        <v>46</v>
      </c>
      <c r="J58" s="13">
        <v>75</v>
      </c>
      <c r="K58" s="12">
        <v>41</v>
      </c>
      <c r="L58" s="12">
        <v>62</v>
      </c>
      <c r="M58" s="13">
        <f>SUM(Table11240414244681226[[#This Row],[BOX 1]:[BOX 12]])</f>
        <v>540</v>
      </c>
      <c r="N58" s="13">
        <v>4</v>
      </c>
    </row>
    <row r="59" spans="1:14" ht="18.75" x14ac:dyDescent="0.3">
      <c r="A59" s="26" t="s">
        <v>23</v>
      </c>
      <c r="B59" s="13">
        <v>12</v>
      </c>
      <c r="C59" s="12">
        <v>31</v>
      </c>
      <c r="D59" s="12">
        <v>30</v>
      </c>
      <c r="E59" s="13">
        <v>2</v>
      </c>
      <c r="F59" s="13">
        <v>52</v>
      </c>
      <c r="G59" s="13">
        <v>16</v>
      </c>
      <c r="H59" s="13">
        <v>24</v>
      </c>
      <c r="I59" s="13">
        <v>12</v>
      </c>
      <c r="J59" s="13">
        <v>39</v>
      </c>
      <c r="K59" s="12">
        <v>35</v>
      </c>
      <c r="L59" s="12">
        <v>25</v>
      </c>
      <c r="M59" s="13">
        <f>SUM(Table11240414244681226[[#This Row],[BOX 1]:[BOX 12]])</f>
        <v>278</v>
      </c>
      <c r="N59" s="14">
        <v>2</v>
      </c>
    </row>
    <row r="60" spans="1:14" ht="19.5" thickBot="1" x14ac:dyDescent="0.35">
      <c r="A60" s="26" t="s">
        <v>78</v>
      </c>
      <c r="B60" s="13">
        <v>2</v>
      </c>
      <c r="C60" s="12">
        <v>1</v>
      </c>
      <c r="D60" s="12">
        <v>1</v>
      </c>
      <c r="E60" s="13">
        <v>0</v>
      </c>
      <c r="F60" s="13">
        <v>5</v>
      </c>
      <c r="G60" s="13">
        <v>3</v>
      </c>
      <c r="H60" s="13">
        <v>2</v>
      </c>
      <c r="I60" s="13">
        <v>6</v>
      </c>
      <c r="J60" s="13">
        <v>6</v>
      </c>
      <c r="K60" s="12">
        <v>8</v>
      </c>
      <c r="L60" s="12">
        <v>1</v>
      </c>
      <c r="M60" s="13">
        <f>SUM(Table11240414244681226[[#This Row],[BOX 1]:[BOX 12]])</f>
        <v>35</v>
      </c>
      <c r="N60" s="14"/>
    </row>
    <row r="61" spans="1:14" ht="19.5" thickBot="1" x14ac:dyDescent="0.3">
      <c r="A61" s="17" t="s">
        <v>14</v>
      </c>
      <c r="B61" s="20">
        <f>SUBTOTAL(109,Table11240414244681226[BOX 1])</f>
        <v>34</v>
      </c>
      <c r="C61" s="21">
        <f>SUBTOTAL(109,Table11240414244681226[BOX 2])</f>
        <v>73</v>
      </c>
      <c r="D61" s="21">
        <f>SUBTOTAL(109,Table11240414244681226[BOX 3])</f>
        <v>77</v>
      </c>
      <c r="E61" s="21">
        <f>SUBTOTAL(109,Table11240414244681226[BOX 4])</f>
        <v>27</v>
      </c>
      <c r="F61" s="21">
        <f>SUBTOTAL(109,Table11240414244681226[BOX 5])</f>
        <v>163</v>
      </c>
      <c r="G61" s="21">
        <f>SUBTOTAL(109,Table11240414244681226[BOX 6])</f>
        <v>36</v>
      </c>
      <c r="H61" s="21">
        <f>SUBTOTAL(109,Table11240414244681226[BOX 7])</f>
        <v>87</v>
      </c>
      <c r="I61" s="21">
        <f>SUBTOTAL(109,Table11240414244681226[BOX 8])</f>
        <v>64</v>
      </c>
      <c r="J61" s="21">
        <f>SUBTOTAL(109,Table11240414244681226[BOX 10])</f>
        <v>120</v>
      </c>
      <c r="K61" s="21">
        <f>SUBTOTAL(109,Table11240414244681226[BOX 11])</f>
        <v>84</v>
      </c>
      <c r="L61" s="21">
        <f>SUBTOTAL(109,Table11240414244681226[BOX 12])</f>
        <v>88</v>
      </c>
      <c r="M61" s="21">
        <f>SUBTOTAL(109,Table11240414244681226[TOTAL])</f>
        <v>853</v>
      </c>
      <c r="N61" s="31">
        <f>SUBTOTAL(109,Table11240414244681226[PROVISIONAL])</f>
        <v>6</v>
      </c>
    </row>
    <row r="62" spans="1:14" ht="15.75" x14ac:dyDescent="0.25">
      <c r="A62" s="18" t="s">
        <v>15</v>
      </c>
      <c r="B62" s="29">
        <v>0</v>
      </c>
      <c r="C62" s="22">
        <v>0</v>
      </c>
      <c r="D62" s="22">
        <v>0</v>
      </c>
      <c r="E62" s="22">
        <v>0</v>
      </c>
      <c r="F62" s="22">
        <v>0</v>
      </c>
      <c r="G62" s="22">
        <v>0</v>
      </c>
      <c r="H62" s="30">
        <v>0</v>
      </c>
      <c r="I62" s="30">
        <v>0</v>
      </c>
      <c r="J62" s="22">
        <v>0</v>
      </c>
      <c r="K62" s="22">
        <v>0</v>
      </c>
      <c r="L62" s="22">
        <v>0</v>
      </c>
      <c r="M62" s="30">
        <f>SUM(B62:L62)</f>
        <v>0</v>
      </c>
      <c r="N62" s="30"/>
    </row>
    <row r="63" spans="1:14" ht="15.75" x14ac:dyDescent="0.25">
      <c r="A63" s="19" t="s">
        <v>16</v>
      </c>
      <c r="B63" s="14">
        <v>5</v>
      </c>
      <c r="C63" s="14">
        <v>8</v>
      </c>
      <c r="D63" s="14">
        <v>8</v>
      </c>
      <c r="E63" s="14">
        <v>3</v>
      </c>
      <c r="F63" s="14">
        <v>30</v>
      </c>
      <c r="G63" s="28">
        <v>5</v>
      </c>
      <c r="H63" s="28">
        <v>13</v>
      </c>
      <c r="I63" s="14">
        <v>6</v>
      </c>
      <c r="J63" s="14">
        <v>12</v>
      </c>
      <c r="K63" s="14">
        <v>14</v>
      </c>
      <c r="L63" s="14">
        <v>10</v>
      </c>
      <c r="M63" s="28">
        <f>SUM(B63:L63)</f>
        <v>114</v>
      </c>
      <c r="N63" s="28"/>
    </row>
    <row r="64" spans="1:14" x14ac:dyDescent="0.25">
      <c r="A64" s="1"/>
      <c r="B64" s="1"/>
      <c r="C64" s="1"/>
      <c r="D64" s="1"/>
      <c r="E64" s="1"/>
      <c r="F64" s="1"/>
      <c r="G64" s="1"/>
    </row>
    <row r="65" spans="1:14" ht="45" x14ac:dyDescent="0.25">
      <c r="A65" s="32" t="s">
        <v>79</v>
      </c>
      <c r="B65" s="4" t="s">
        <v>4</v>
      </c>
      <c r="C65" s="4" t="s">
        <v>47</v>
      </c>
      <c r="D65" s="4" t="s">
        <v>48</v>
      </c>
      <c r="E65" s="4" t="s">
        <v>51</v>
      </c>
      <c r="F65" s="4" t="s">
        <v>1</v>
      </c>
      <c r="G65" s="4" t="s">
        <v>2</v>
      </c>
      <c r="H65" s="4" t="s">
        <v>5</v>
      </c>
      <c r="I65" s="4" t="s">
        <v>4</v>
      </c>
      <c r="J65" s="4" t="s">
        <v>3</v>
      </c>
      <c r="K65" s="4" t="s">
        <v>47</v>
      </c>
      <c r="L65" s="4" t="s">
        <v>48</v>
      </c>
      <c r="M65" s="5"/>
      <c r="N65" s="5"/>
    </row>
    <row r="66" spans="1:14" ht="15.75" x14ac:dyDescent="0.25">
      <c r="A66" s="6" t="s">
        <v>6</v>
      </c>
      <c r="B66" s="8" t="s">
        <v>65</v>
      </c>
      <c r="C66" s="24" t="s">
        <v>45</v>
      </c>
      <c r="D66" s="7" t="s">
        <v>49</v>
      </c>
      <c r="E66" s="8" t="s">
        <v>7</v>
      </c>
      <c r="F66" s="8" t="s">
        <v>8</v>
      </c>
      <c r="G66" s="8" t="s">
        <v>9</v>
      </c>
      <c r="H66" s="8" t="s">
        <v>11</v>
      </c>
      <c r="I66" s="8" t="s">
        <v>66</v>
      </c>
      <c r="J66" s="8" t="s">
        <v>10</v>
      </c>
      <c r="K66" s="7" t="s">
        <v>46</v>
      </c>
      <c r="L66" s="7" t="s">
        <v>50</v>
      </c>
      <c r="M66" s="9" t="s">
        <v>12</v>
      </c>
      <c r="N66" s="10" t="s">
        <v>13</v>
      </c>
    </row>
    <row r="67" spans="1:14" ht="18.75" x14ac:dyDescent="0.3">
      <c r="A67" s="26" t="s">
        <v>80</v>
      </c>
      <c r="B67" s="13">
        <v>18</v>
      </c>
      <c r="C67" s="12">
        <v>46</v>
      </c>
      <c r="D67" s="12">
        <v>53</v>
      </c>
      <c r="E67" s="13">
        <v>25</v>
      </c>
      <c r="F67" s="13">
        <v>109</v>
      </c>
      <c r="G67" s="13">
        <v>22</v>
      </c>
      <c r="H67" s="13">
        <v>69</v>
      </c>
      <c r="I67" s="13">
        <v>47</v>
      </c>
      <c r="J67" s="13">
        <v>82</v>
      </c>
      <c r="K67" s="12">
        <v>38</v>
      </c>
      <c r="L67" s="12">
        <v>63</v>
      </c>
      <c r="M67" s="13">
        <f>SUM(Table1124041424446691237[[#This Row],[BOX 1]:[BOX 12]])</f>
        <v>572</v>
      </c>
      <c r="N67" s="13">
        <v>5</v>
      </c>
    </row>
    <row r="68" spans="1:14" ht="19.5" thickBot="1" x14ac:dyDescent="0.35">
      <c r="A68" s="26" t="s">
        <v>24</v>
      </c>
      <c r="B68" s="13">
        <v>13</v>
      </c>
      <c r="C68" s="12">
        <v>25</v>
      </c>
      <c r="D68" s="12">
        <v>27</v>
      </c>
      <c r="E68" s="13">
        <v>3</v>
      </c>
      <c r="F68" s="13">
        <v>55</v>
      </c>
      <c r="G68" s="13">
        <v>11</v>
      </c>
      <c r="H68" s="13">
        <v>19</v>
      </c>
      <c r="I68" s="13">
        <v>15</v>
      </c>
      <c r="J68" s="13">
        <v>40</v>
      </c>
      <c r="K68" s="12">
        <v>42</v>
      </c>
      <c r="L68" s="12">
        <v>25</v>
      </c>
      <c r="M68" s="13">
        <f>SUM(Table1124041424446691237[[#This Row],[BOX 1]:[BOX 12]])</f>
        <v>275</v>
      </c>
      <c r="N68" s="14"/>
    </row>
    <row r="69" spans="1:14" ht="19.5" thickBot="1" x14ac:dyDescent="0.3">
      <c r="A69" s="17" t="s">
        <v>14</v>
      </c>
      <c r="B69" s="20">
        <f>SUBTOTAL(109,Table1124041424446691237[BOX 1])</f>
        <v>31</v>
      </c>
      <c r="C69" s="21">
        <f>SUBTOTAL(109,Table1124041424446691237[BOX 2])</f>
        <v>71</v>
      </c>
      <c r="D69" s="21">
        <f>SUBTOTAL(109,Table1124041424446691237[BOX 3])</f>
        <v>80</v>
      </c>
      <c r="E69" s="21">
        <f>SUBTOTAL(109,Table1124041424446691237[BOX 4])</f>
        <v>28</v>
      </c>
      <c r="F69" s="21">
        <f>SUBTOTAL(109,Table1124041424446691237[BOX 5])</f>
        <v>164</v>
      </c>
      <c r="G69" s="21">
        <f>SUBTOTAL(109,Table1124041424446691237[BOX 6])</f>
        <v>33</v>
      </c>
      <c r="H69" s="21">
        <f>SUBTOTAL(109,Table1124041424446691237[BOX 7])</f>
        <v>88</v>
      </c>
      <c r="I69" s="21">
        <f>SUBTOTAL(109,Table1124041424446691237[BOX 8])</f>
        <v>62</v>
      </c>
      <c r="J69" s="21">
        <f>SUBTOTAL(109,Table1124041424446691237[BOX 10])</f>
        <v>122</v>
      </c>
      <c r="K69" s="21">
        <f>SUBTOTAL(109,Table1124041424446691237[BOX 11])</f>
        <v>80</v>
      </c>
      <c r="L69" s="21">
        <f>SUBTOTAL(109,Table1124041424446691237[BOX 12])</f>
        <v>88</v>
      </c>
      <c r="M69" s="21">
        <f>SUBTOTAL(109,Table1124041424446691237[TOTAL])</f>
        <v>847</v>
      </c>
      <c r="N69" s="31">
        <f>SUBTOTAL(104,Table1124041424446691237[PROVISIONAL])</f>
        <v>5</v>
      </c>
    </row>
    <row r="70" spans="1:14" ht="15.75" x14ac:dyDescent="0.25">
      <c r="A70" s="18" t="s">
        <v>15</v>
      </c>
      <c r="B70" s="29">
        <v>0</v>
      </c>
      <c r="C70" s="22">
        <v>0</v>
      </c>
      <c r="D70" s="22">
        <v>0</v>
      </c>
      <c r="E70" s="22">
        <v>0</v>
      </c>
      <c r="F70" s="22">
        <v>0</v>
      </c>
      <c r="G70" s="22">
        <v>0</v>
      </c>
      <c r="H70" s="30">
        <v>0</v>
      </c>
      <c r="I70" s="30">
        <v>0</v>
      </c>
      <c r="J70" s="22">
        <v>0</v>
      </c>
      <c r="K70" s="22">
        <v>0</v>
      </c>
      <c r="L70" s="22">
        <v>0</v>
      </c>
      <c r="M70" s="30">
        <f>SUM(B70:L70)</f>
        <v>0</v>
      </c>
      <c r="N70" s="30">
        <v>0</v>
      </c>
    </row>
    <row r="71" spans="1:14" ht="15.75" x14ac:dyDescent="0.25">
      <c r="A71" s="19" t="s">
        <v>16</v>
      </c>
      <c r="B71" s="14">
        <v>8</v>
      </c>
      <c r="C71" s="14">
        <v>10</v>
      </c>
      <c r="D71" s="14">
        <v>5</v>
      </c>
      <c r="E71" s="14">
        <v>2</v>
      </c>
      <c r="F71" s="14">
        <v>29</v>
      </c>
      <c r="G71" s="28">
        <v>8</v>
      </c>
      <c r="H71" s="28">
        <v>12</v>
      </c>
      <c r="I71" s="14">
        <v>8</v>
      </c>
      <c r="J71" s="14">
        <v>10</v>
      </c>
      <c r="K71" s="14">
        <v>18</v>
      </c>
      <c r="L71" s="14">
        <v>10</v>
      </c>
      <c r="M71" s="28">
        <f>SUM(B71:L71)</f>
        <v>120</v>
      </c>
      <c r="N71" s="28">
        <v>1</v>
      </c>
    </row>
    <row r="72" spans="1:14" x14ac:dyDescent="0.25">
      <c r="A72" s="1"/>
      <c r="B72" s="1"/>
      <c r="C72" s="1"/>
      <c r="D72" s="1"/>
      <c r="E72" s="1"/>
      <c r="F72" s="1"/>
      <c r="G72" s="1"/>
    </row>
    <row r="73" spans="1:14" ht="45" x14ac:dyDescent="0.25">
      <c r="A73" s="32" t="s">
        <v>25</v>
      </c>
      <c r="B73" s="4" t="s">
        <v>4</v>
      </c>
      <c r="C73" s="4" t="s">
        <v>47</v>
      </c>
      <c r="D73" s="4" t="s">
        <v>48</v>
      </c>
      <c r="E73" s="4" t="s">
        <v>51</v>
      </c>
      <c r="F73" s="4" t="s">
        <v>1</v>
      </c>
      <c r="G73" s="4" t="s">
        <v>2</v>
      </c>
      <c r="H73" s="4" t="s">
        <v>5</v>
      </c>
      <c r="I73" s="4" t="s">
        <v>4</v>
      </c>
      <c r="J73" s="4" t="s">
        <v>3</v>
      </c>
      <c r="K73" s="4" t="s">
        <v>47</v>
      </c>
      <c r="L73" s="4" t="s">
        <v>48</v>
      </c>
      <c r="M73" s="5"/>
      <c r="N73" s="5"/>
    </row>
    <row r="74" spans="1:14" ht="15.75" x14ac:dyDescent="0.25">
      <c r="A74" s="6" t="s">
        <v>6</v>
      </c>
      <c r="B74" s="8" t="s">
        <v>65</v>
      </c>
      <c r="C74" s="24" t="s">
        <v>45</v>
      </c>
      <c r="D74" s="7" t="s">
        <v>49</v>
      </c>
      <c r="E74" s="8" t="s">
        <v>7</v>
      </c>
      <c r="F74" s="8" t="s">
        <v>8</v>
      </c>
      <c r="G74" s="8" t="s">
        <v>9</v>
      </c>
      <c r="H74" s="8" t="s">
        <v>11</v>
      </c>
      <c r="I74" s="8" t="s">
        <v>66</v>
      </c>
      <c r="J74" s="8" t="s">
        <v>10</v>
      </c>
      <c r="K74" s="7" t="s">
        <v>46</v>
      </c>
      <c r="L74" s="7" t="s">
        <v>50</v>
      </c>
      <c r="M74" s="9" t="s">
        <v>12</v>
      </c>
      <c r="N74" s="10" t="s">
        <v>13</v>
      </c>
    </row>
    <row r="75" spans="1:14" ht="18.75" x14ac:dyDescent="0.3">
      <c r="A75" s="26" t="s">
        <v>81</v>
      </c>
      <c r="B75" s="13">
        <v>18</v>
      </c>
      <c r="C75" s="12">
        <v>43</v>
      </c>
      <c r="D75" s="12">
        <v>52</v>
      </c>
      <c r="E75" s="13">
        <v>24</v>
      </c>
      <c r="F75" s="13">
        <v>105</v>
      </c>
      <c r="G75" s="13">
        <v>19</v>
      </c>
      <c r="H75" s="13">
        <v>64</v>
      </c>
      <c r="I75" s="13">
        <v>41</v>
      </c>
      <c r="J75" s="13">
        <v>76</v>
      </c>
      <c r="K75" s="12">
        <v>44</v>
      </c>
      <c r="L75" s="12">
        <v>65</v>
      </c>
      <c r="M75" s="13">
        <f>SUM(Table112404142444647701248[[#This Row],[BOX 1]:[BOX 12]])</f>
        <v>551</v>
      </c>
      <c r="N75" s="13">
        <v>4</v>
      </c>
    </row>
    <row r="76" spans="1:14" ht="21" customHeight="1" x14ac:dyDescent="0.3">
      <c r="A76" s="26" t="s">
        <v>82</v>
      </c>
      <c r="B76" s="13">
        <v>14</v>
      </c>
      <c r="C76" s="12">
        <v>26</v>
      </c>
      <c r="D76" s="12">
        <v>26</v>
      </c>
      <c r="E76" s="13">
        <v>3</v>
      </c>
      <c r="F76" s="13">
        <v>54</v>
      </c>
      <c r="G76" s="13">
        <v>13</v>
      </c>
      <c r="H76" s="13">
        <v>22</v>
      </c>
      <c r="I76" s="13">
        <v>14</v>
      </c>
      <c r="J76" s="13">
        <v>37</v>
      </c>
      <c r="K76" s="12">
        <v>33</v>
      </c>
      <c r="L76" s="12">
        <v>23</v>
      </c>
      <c r="M76" s="13">
        <f>SUM(Table112404142444647701248[[#This Row],[BOX 1]:[BOX 12]])</f>
        <v>265</v>
      </c>
      <c r="N76" s="14">
        <v>1</v>
      </c>
    </row>
    <row r="77" spans="1:14" ht="19.5" thickBot="1" x14ac:dyDescent="0.35">
      <c r="A77" s="26" t="s">
        <v>83</v>
      </c>
      <c r="B77" s="13">
        <v>1</v>
      </c>
      <c r="C77" s="12">
        <v>3</v>
      </c>
      <c r="D77" s="12">
        <v>1</v>
      </c>
      <c r="E77" s="13">
        <v>1</v>
      </c>
      <c r="F77" s="13">
        <v>3</v>
      </c>
      <c r="G77" s="13">
        <v>3</v>
      </c>
      <c r="H77" s="13">
        <v>3</v>
      </c>
      <c r="I77" s="13">
        <v>7</v>
      </c>
      <c r="J77" s="13">
        <v>7</v>
      </c>
      <c r="K77" s="12">
        <v>4</v>
      </c>
      <c r="L77" s="12">
        <v>0</v>
      </c>
      <c r="M77" s="13">
        <f>SUM(Table112404142444647701248[[#This Row],[BOX 1]:[BOX 12]])</f>
        <v>33</v>
      </c>
      <c r="N77" s="14"/>
    </row>
    <row r="78" spans="1:14" ht="19.5" thickBot="1" x14ac:dyDescent="0.3">
      <c r="A78" s="17" t="s">
        <v>14</v>
      </c>
      <c r="B78" s="20">
        <f>SUBTOTAL(109,Table112404142444647701248[BOX 1])</f>
        <v>33</v>
      </c>
      <c r="C78" s="21">
        <f>SUBTOTAL(109,Table112404142444647701248[BOX 2])</f>
        <v>72</v>
      </c>
      <c r="D78" s="21">
        <f>SUBTOTAL(109,Table112404142444647701248[BOX 3])</f>
        <v>79</v>
      </c>
      <c r="E78" s="21">
        <f>SUBTOTAL(109,Table112404142444647701248[BOX 4])</f>
        <v>28</v>
      </c>
      <c r="F78" s="21">
        <f>SUBTOTAL(109,Table112404142444647701248[BOX 5])</f>
        <v>162</v>
      </c>
      <c r="G78" s="21">
        <f>SUBTOTAL(109,Table112404142444647701248[BOX 6])</f>
        <v>35</v>
      </c>
      <c r="H78" s="21">
        <f>SUBTOTAL(109,Table112404142444647701248[BOX 7])</f>
        <v>89</v>
      </c>
      <c r="I78" s="21">
        <f>SUBTOTAL(109,Table112404142444647701248[BOX 8])</f>
        <v>62</v>
      </c>
      <c r="J78" s="21">
        <f>SUBTOTAL(109,Table112404142444647701248[BOX 10])</f>
        <v>120</v>
      </c>
      <c r="K78" s="21">
        <f>SUBTOTAL(109,Table112404142444647701248[BOX 11])</f>
        <v>81</v>
      </c>
      <c r="L78" s="21">
        <f>SUBTOTAL(109,Table112404142444647701248[BOX 12])</f>
        <v>88</v>
      </c>
      <c r="M78" s="21">
        <f>SUBTOTAL(109,Table112404142444647701248[TOTAL])</f>
        <v>849</v>
      </c>
      <c r="N78" s="31">
        <f>SUBTOTAL(109,Table112404142444647701248[PROVISIONAL])</f>
        <v>5</v>
      </c>
    </row>
    <row r="79" spans="1:14" ht="15.75" x14ac:dyDescent="0.25">
      <c r="A79" s="18" t="s">
        <v>15</v>
      </c>
      <c r="B79" s="29">
        <v>0</v>
      </c>
      <c r="C79" s="22">
        <v>0</v>
      </c>
      <c r="D79" s="22">
        <v>0</v>
      </c>
      <c r="E79" s="22">
        <v>0</v>
      </c>
      <c r="F79" s="22">
        <v>0</v>
      </c>
      <c r="G79" s="22">
        <v>0</v>
      </c>
      <c r="H79" s="30">
        <v>0</v>
      </c>
      <c r="I79" s="30">
        <v>0</v>
      </c>
      <c r="J79" s="22">
        <v>0</v>
      </c>
      <c r="K79" s="22">
        <v>0</v>
      </c>
      <c r="L79" s="22">
        <v>0</v>
      </c>
      <c r="M79" s="30">
        <f>SUM(B79:L79)</f>
        <v>0</v>
      </c>
      <c r="N79" s="30">
        <v>0</v>
      </c>
    </row>
    <row r="80" spans="1:14" ht="15.75" x14ac:dyDescent="0.25">
      <c r="A80" s="19" t="s">
        <v>16</v>
      </c>
      <c r="B80" s="14">
        <v>6</v>
      </c>
      <c r="C80" s="14">
        <v>9</v>
      </c>
      <c r="D80" s="14">
        <v>6</v>
      </c>
      <c r="E80" s="14">
        <v>2</v>
      </c>
      <c r="F80" s="14">
        <v>31</v>
      </c>
      <c r="G80" s="28">
        <v>6</v>
      </c>
      <c r="H80" s="28">
        <v>11</v>
      </c>
      <c r="I80" s="14">
        <v>8</v>
      </c>
      <c r="J80" s="14">
        <v>12</v>
      </c>
      <c r="K80" s="14">
        <v>17</v>
      </c>
      <c r="L80" s="14">
        <v>10</v>
      </c>
      <c r="M80" s="28">
        <f>SUM(B80:L80)</f>
        <v>118</v>
      </c>
      <c r="N80" s="28">
        <v>1</v>
      </c>
    </row>
    <row r="81" spans="1:14" x14ac:dyDescent="0.25">
      <c r="A81" s="1"/>
      <c r="B81" s="1"/>
      <c r="C81" s="1"/>
      <c r="D81" s="1"/>
      <c r="E81" s="1"/>
      <c r="F81" s="1"/>
      <c r="G81" s="1"/>
    </row>
    <row r="82" spans="1:14" ht="2.25" hidden="1" customHeight="1" x14ac:dyDescent="0.25">
      <c r="A82" s="32" t="s">
        <v>26</v>
      </c>
      <c r="B82" s="4" t="s">
        <v>4</v>
      </c>
      <c r="C82" s="4" t="s">
        <v>47</v>
      </c>
      <c r="D82" s="4" t="s">
        <v>48</v>
      </c>
      <c r="E82" s="4" t="s">
        <v>51</v>
      </c>
      <c r="F82" s="4" t="s">
        <v>1</v>
      </c>
      <c r="G82" s="4" t="s">
        <v>2</v>
      </c>
      <c r="H82" s="4" t="s">
        <v>5</v>
      </c>
      <c r="I82" s="4" t="s">
        <v>4</v>
      </c>
      <c r="J82" s="4" t="s">
        <v>3</v>
      </c>
      <c r="K82" s="4" t="s">
        <v>47</v>
      </c>
      <c r="L82" s="4" t="s">
        <v>48</v>
      </c>
      <c r="M82" s="5"/>
      <c r="N82" s="5"/>
    </row>
    <row r="83" spans="1:14" ht="19.5" customHeight="1" x14ac:dyDescent="0.25">
      <c r="A83" s="6" t="s">
        <v>6</v>
      </c>
      <c r="B83" s="8" t="s">
        <v>65</v>
      </c>
      <c r="C83" s="24" t="s">
        <v>45</v>
      </c>
      <c r="D83" s="7" t="s">
        <v>49</v>
      </c>
      <c r="E83" s="8" t="s">
        <v>7</v>
      </c>
      <c r="F83" s="8" t="s">
        <v>8</v>
      </c>
      <c r="G83" s="8" t="s">
        <v>9</v>
      </c>
      <c r="H83" s="8" t="s">
        <v>11</v>
      </c>
      <c r="I83" s="8" t="s">
        <v>66</v>
      </c>
      <c r="J83" s="8" t="s">
        <v>10</v>
      </c>
      <c r="K83" s="7" t="s">
        <v>46</v>
      </c>
      <c r="L83" s="7" t="s">
        <v>50</v>
      </c>
      <c r="M83" s="9" t="s">
        <v>12</v>
      </c>
      <c r="N83" s="10" t="s">
        <v>13</v>
      </c>
    </row>
    <row r="84" spans="1:14" ht="21" customHeight="1" x14ac:dyDescent="0.3">
      <c r="A84" s="26" t="s">
        <v>84</v>
      </c>
      <c r="B84" s="13">
        <v>19</v>
      </c>
      <c r="C84" s="12">
        <v>40</v>
      </c>
      <c r="D84" s="12">
        <v>50</v>
      </c>
      <c r="E84" s="13">
        <v>21</v>
      </c>
      <c r="F84" s="13">
        <v>106</v>
      </c>
      <c r="G84" s="13">
        <v>17</v>
      </c>
      <c r="H84" s="13">
        <v>65</v>
      </c>
      <c r="I84" s="13">
        <v>39</v>
      </c>
      <c r="J84" s="13">
        <v>73</v>
      </c>
      <c r="K84" s="12">
        <v>37</v>
      </c>
      <c r="L84" s="12">
        <v>60</v>
      </c>
      <c r="M84" s="13">
        <f>SUM(Table11240414244464749711259[[#This Row],[BOX 1]:[BOX 12]])</f>
        <v>527</v>
      </c>
      <c r="N84" s="13">
        <v>5</v>
      </c>
    </row>
    <row r="85" spans="1:14" ht="23.25" customHeight="1" x14ac:dyDescent="0.3">
      <c r="A85" s="26" t="s">
        <v>27</v>
      </c>
      <c r="B85" s="13">
        <v>13</v>
      </c>
      <c r="C85" s="12">
        <v>28</v>
      </c>
      <c r="D85" s="12">
        <v>29</v>
      </c>
      <c r="E85" s="13">
        <v>6</v>
      </c>
      <c r="F85" s="13">
        <v>53</v>
      </c>
      <c r="G85" s="13">
        <v>15</v>
      </c>
      <c r="H85" s="13">
        <v>24</v>
      </c>
      <c r="I85" s="13">
        <v>18</v>
      </c>
      <c r="J85" s="13">
        <v>43</v>
      </c>
      <c r="K85" s="12">
        <v>40</v>
      </c>
      <c r="L85" s="12">
        <v>26</v>
      </c>
      <c r="M85" s="13">
        <f>SUM(Table11240414244464749711259[[#This Row],[BOX 1]:[BOX 12]])</f>
        <v>295</v>
      </c>
      <c r="N85" s="14">
        <v>1</v>
      </c>
    </row>
    <row r="86" spans="1:14" ht="19.5" thickBot="1" x14ac:dyDescent="0.35">
      <c r="A86" s="26" t="s">
        <v>85</v>
      </c>
      <c r="B86" s="13">
        <v>2</v>
      </c>
      <c r="C86" s="12">
        <v>4</v>
      </c>
      <c r="D86" s="12">
        <v>1</v>
      </c>
      <c r="E86" s="13">
        <v>1</v>
      </c>
      <c r="F86" s="13">
        <v>6</v>
      </c>
      <c r="G86" s="13">
        <v>3</v>
      </c>
      <c r="H86" s="13">
        <v>2</v>
      </c>
      <c r="I86" s="13">
        <v>6</v>
      </c>
      <c r="J86" s="13">
        <v>4</v>
      </c>
      <c r="K86" s="12">
        <v>6</v>
      </c>
      <c r="L86" s="12">
        <v>1</v>
      </c>
      <c r="M86" s="13">
        <f>SUM(Table11240414244464749711259[[#This Row],[BOX 1]:[BOX 12]])</f>
        <v>36</v>
      </c>
      <c r="N86" s="14"/>
    </row>
    <row r="87" spans="1:14" ht="19.5" thickBot="1" x14ac:dyDescent="0.3">
      <c r="A87" s="17" t="s">
        <v>14</v>
      </c>
      <c r="B87" s="20">
        <f>SUBTOTAL(109,Table11240414244464749711259[BOX 1])</f>
        <v>34</v>
      </c>
      <c r="C87" s="21">
        <f>SUBTOTAL(109,Table11240414244464749711259[BOX 2])</f>
        <v>72</v>
      </c>
      <c r="D87" s="21">
        <f>SUBTOTAL(109,Table11240414244464749711259[BOX 3])</f>
        <v>80</v>
      </c>
      <c r="E87" s="21">
        <f>SUBTOTAL(109,Table11240414244464749711259[BOX 4])</f>
        <v>28</v>
      </c>
      <c r="F87" s="21">
        <f>SUBTOTAL(109,Table11240414244464749711259[BOX 5])</f>
        <v>165</v>
      </c>
      <c r="G87" s="21">
        <f>SUBTOTAL(109,Table11240414244464749711259[BOX 6])</f>
        <v>35</v>
      </c>
      <c r="H87" s="21">
        <f>SUBTOTAL(109,Table11240414244464749711259[BOX 7])</f>
        <v>91</v>
      </c>
      <c r="I87" s="21">
        <f>SUBTOTAL(109,Table11240414244464749711259[BOX 8])</f>
        <v>63</v>
      </c>
      <c r="J87" s="21">
        <f>SUBTOTAL(109,Table11240414244464749711259[BOX 10])</f>
        <v>120</v>
      </c>
      <c r="K87" s="21">
        <f>SUBTOTAL(109,Table11240414244464749711259[BOX 11])</f>
        <v>83</v>
      </c>
      <c r="L87" s="21">
        <f>SUBTOTAL(109,Table11240414244464749711259[BOX 12])</f>
        <v>87</v>
      </c>
      <c r="M87" s="21">
        <f>SUBTOTAL(109,Table11240414244464749711259[TOTAL])</f>
        <v>858</v>
      </c>
      <c r="N87" s="31">
        <f>SUBTOTAL(109,Table11240414244464749711259[PROVISIONAL])</f>
        <v>6</v>
      </c>
    </row>
    <row r="88" spans="1:14" ht="15.75" x14ac:dyDescent="0.25">
      <c r="A88" s="18" t="s">
        <v>15</v>
      </c>
      <c r="B88" s="29">
        <v>0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  <c r="H88" s="30">
        <v>0</v>
      </c>
      <c r="I88" s="30">
        <v>0</v>
      </c>
      <c r="J88" s="22">
        <v>0</v>
      </c>
      <c r="K88" s="22">
        <v>0</v>
      </c>
      <c r="L88" s="22">
        <v>0</v>
      </c>
      <c r="M88" s="30">
        <f>SUM(B88:L88)</f>
        <v>0</v>
      </c>
      <c r="N88" s="30">
        <f>SUM(B88:M88)</f>
        <v>0</v>
      </c>
    </row>
    <row r="89" spans="1:14" ht="15.75" x14ac:dyDescent="0.25">
      <c r="A89" s="19" t="s">
        <v>16</v>
      </c>
      <c r="B89" s="14">
        <v>5</v>
      </c>
      <c r="C89" s="14">
        <v>9</v>
      </c>
      <c r="D89" s="14">
        <v>5</v>
      </c>
      <c r="E89" s="14">
        <v>2</v>
      </c>
      <c r="F89" s="14">
        <v>28</v>
      </c>
      <c r="G89" s="28">
        <v>6</v>
      </c>
      <c r="H89" s="28">
        <v>9</v>
      </c>
      <c r="I89" s="14">
        <v>7</v>
      </c>
      <c r="J89" s="14">
        <v>12</v>
      </c>
      <c r="K89" s="14">
        <v>15</v>
      </c>
      <c r="L89" s="14">
        <v>11</v>
      </c>
      <c r="M89" s="28">
        <f>SUM(B89:L89)</f>
        <v>109</v>
      </c>
      <c r="N89" s="28">
        <v>0</v>
      </c>
    </row>
    <row r="90" spans="1:14" ht="47.25" x14ac:dyDescent="0.25">
      <c r="A90" s="32" t="s">
        <v>86</v>
      </c>
      <c r="B90" s="4" t="s">
        <v>4</v>
      </c>
      <c r="C90" s="4" t="s">
        <v>47</v>
      </c>
      <c r="D90" s="4" t="s">
        <v>48</v>
      </c>
      <c r="E90" s="4" t="s">
        <v>51</v>
      </c>
      <c r="F90" s="4" t="s">
        <v>1</v>
      </c>
      <c r="G90" s="4" t="s">
        <v>2</v>
      </c>
      <c r="H90" s="4" t="s">
        <v>5</v>
      </c>
      <c r="I90" s="4" t="s">
        <v>4</v>
      </c>
      <c r="J90" s="4" t="s">
        <v>3</v>
      </c>
      <c r="K90" s="4" t="s">
        <v>47</v>
      </c>
      <c r="L90" s="4" t="s">
        <v>48</v>
      </c>
      <c r="M90" s="5"/>
      <c r="N90" s="5"/>
    </row>
    <row r="91" spans="1:14" ht="15.75" x14ac:dyDescent="0.25">
      <c r="A91" s="6" t="s">
        <v>6</v>
      </c>
      <c r="B91" s="8" t="s">
        <v>65</v>
      </c>
      <c r="C91" s="24" t="s">
        <v>45</v>
      </c>
      <c r="D91" s="7" t="s">
        <v>49</v>
      </c>
      <c r="E91" s="8" t="s">
        <v>7</v>
      </c>
      <c r="F91" s="8" t="s">
        <v>8</v>
      </c>
      <c r="G91" s="8" t="s">
        <v>9</v>
      </c>
      <c r="H91" s="8" t="s">
        <v>11</v>
      </c>
      <c r="I91" s="8" t="s">
        <v>66</v>
      </c>
      <c r="J91" s="8" t="s">
        <v>10</v>
      </c>
      <c r="K91" s="7" t="s">
        <v>46</v>
      </c>
      <c r="L91" s="7" t="s">
        <v>50</v>
      </c>
      <c r="M91" s="9" t="s">
        <v>12</v>
      </c>
      <c r="N91" s="10" t="s">
        <v>13</v>
      </c>
    </row>
    <row r="92" spans="1:14" ht="26.25" customHeight="1" x14ac:dyDescent="0.3">
      <c r="A92" s="26" t="s">
        <v>87</v>
      </c>
      <c r="B92" s="13">
        <v>18</v>
      </c>
      <c r="C92" s="12">
        <v>41</v>
      </c>
      <c r="D92" s="12">
        <v>55</v>
      </c>
      <c r="E92" s="13">
        <v>25</v>
      </c>
      <c r="F92" s="13">
        <v>109</v>
      </c>
      <c r="G92" s="13">
        <v>18</v>
      </c>
      <c r="H92" s="13">
        <v>62</v>
      </c>
      <c r="I92" s="13">
        <v>46</v>
      </c>
      <c r="J92" s="13">
        <v>78</v>
      </c>
      <c r="K92" s="12">
        <v>41</v>
      </c>
      <c r="L92" s="12">
        <v>64</v>
      </c>
      <c r="M92" s="13">
        <f>SUM(Table11240414244464749507212610[[#This Row],[BOX 1]:[BOX 12]])</f>
        <v>557</v>
      </c>
      <c r="N92" s="13">
        <v>4</v>
      </c>
    </row>
    <row r="93" spans="1:14" ht="19.5" thickBot="1" x14ac:dyDescent="0.35">
      <c r="A93" s="26" t="s">
        <v>28</v>
      </c>
      <c r="B93" s="13">
        <v>14</v>
      </c>
      <c r="C93" s="12">
        <v>32</v>
      </c>
      <c r="D93" s="12">
        <v>25</v>
      </c>
      <c r="E93" s="13">
        <v>3</v>
      </c>
      <c r="F93" s="13">
        <v>56</v>
      </c>
      <c r="G93" s="13">
        <v>17</v>
      </c>
      <c r="H93" s="13">
        <v>27</v>
      </c>
      <c r="I93" s="13">
        <v>16</v>
      </c>
      <c r="J93" s="13">
        <v>42</v>
      </c>
      <c r="K93" s="12">
        <v>38</v>
      </c>
      <c r="L93" s="12">
        <v>22</v>
      </c>
      <c r="M93" s="13">
        <f>SUM(Table11240414244464749507212610[[#This Row],[BOX 1]:[BOX 12]])</f>
        <v>292</v>
      </c>
      <c r="N93" s="14">
        <v>2</v>
      </c>
    </row>
    <row r="94" spans="1:14" ht="19.5" thickBot="1" x14ac:dyDescent="0.3">
      <c r="A94" s="17" t="s">
        <v>14</v>
      </c>
      <c r="B94" s="20">
        <f>SUBTOTAL(109,Table11240414244464749507212610[BOX 1])</f>
        <v>32</v>
      </c>
      <c r="C94" s="21">
        <f>SUBTOTAL(109,Table11240414244464749507212610[BOX 2])</f>
        <v>73</v>
      </c>
      <c r="D94" s="21">
        <f>SUBTOTAL(109,Table11240414244464749507212610[BOX 3])</f>
        <v>80</v>
      </c>
      <c r="E94" s="21">
        <f>SUBTOTAL(109,Table11240414244464749507212610[BOX 4])</f>
        <v>28</v>
      </c>
      <c r="F94" s="21">
        <f>SUBTOTAL(109,Table11240414244464749507212610[BOX 5])</f>
        <v>165</v>
      </c>
      <c r="G94" s="21">
        <f>SUBTOTAL(109,Table11240414244464749507212610[BOX 6])</f>
        <v>35</v>
      </c>
      <c r="H94" s="21">
        <f>SUBTOTAL(109,Table11240414244464749507212610[BOX 7])</f>
        <v>89</v>
      </c>
      <c r="I94" s="21">
        <f>SUBTOTAL(109,Table11240414244464749507212610[BOX 8])</f>
        <v>62</v>
      </c>
      <c r="J94" s="21">
        <f>SUBTOTAL(109,Table11240414244464749507212610[BOX 10])</f>
        <v>120</v>
      </c>
      <c r="K94" s="21">
        <f>SUBTOTAL(109,Table11240414244464749507212610[BOX 11])</f>
        <v>79</v>
      </c>
      <c r="L94" s="21">
        <f>SUBTOTAL(109,Table11240414244464749507212610[BOX 12])</f>
        <v>86</v>
      </c>
      <c r="M94" s="21">
        <f>SUBTOTAL(109,Table11240414244464749507212610[TOTAL])</f>
        <v>849</v>
      </c>
      <c r="N94" s="31">
        <f>SUBTOTAL(109,Table11240414244464749507212610[PROVISIONAL])</f>
        <v>6</v>
      </c>
    </row>
    <row r="95" spans="1:14" ht="15.75" x14ac:dyDescent="0.25">
      <c r="A95" s="18" t="s">
        <v>15</v>
      </c>
      <c r="B95" s="29">
        <v>0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30">
        <v>0</v>
      </c>
      <c r="I95" s="30">
        <v>0</v>
      </c>
      <c r="J95" s="22">
        <v>0</v>
      </c>
      <c r="K95" s="22">
        <v>0</v>
      </c>
      <c r="L95" s="22">
        <v>0</v>
      </c>
      <c r="M95" s="30">
        <f>SUM(B95:L95)</f>
        <v>0</v>
      </c>
      <c r="N95" s="30">
        <f>SUM(B95:L95)</f>
        <v>0</v>
      </c>
    </row>
    <row r="96" spans="1:14" ht="15.75" x14ac:dyDescent="0.25">
      <c r="A96" s="19" t="s">
        <v>16</v>
      </c>
      <c r="B96" s="14">
        <v>7</v>
      </c>
      <c r="C96" s="14">
        <v>8</v>
      </c>
      <c r="D96" s="14">
        <v>5</v>
      </c>
      <c r="E96" s="14">
        <v>2</v>
      </c>
      <c r="F96" s="14">
        <v>28</v>
      </c>
      <c r="G96" s="28">
        <v>6</v>
      </c>
      <c r="H96" s="28">
        <v>11</v>
      </c>
      <c r="I96" s="14">
        <v>8</v>
      </c>
      <c r="J96" s="14">
        <v>12</v>
      </c>
      <c r="K96" s="14">
        <v>19</v>
      </c>
      <c r="L96" s="14">
        <v>12</v>
      </c>
      <c r="M96" s="28">
        <f>SUM(B96:L96)</f>
        <v>118</v>
      </c>
      <c r="N96" s="28">
        <v>0</v>
      </c>
    </row>
    <row r="97" spans="1:14" x14ac:dyDescent="0.25">
      <c r="A97" s="1"/>
      <c r="B97" s="1"/>
      <c r="C97" s="1"/>
      <c r="D97" s="1"/>
      <c r="E97" s="1"/>
      <c r="F97" s="1"/>
      <c r="G97" s="1"/>
      <c r="K97" s="1"/>
    </row>
    <row r="98" spans="1:14" x14ac:dyDescent="0.25">
      <c r="A98" s="1"/>
      <c r="B98" s="1"/>
      <c r="C98" s="1"/>
      <c r="D98" s="1"/>
      <c r="E98" s="1"/>
      <c r="F98" s="1"/>
      <c r="G98" s="1"/>
      <c r="K98" s="1"/>
    </row>
    <row r="99" spans="1:14" ht="47.25" x14ac:dyDescent="0.25">
      <c r="A99" s="32" t="s">
        <v>88</v>
      </c>
      <c r="B99" s="4" t="s">
        <v>4</v>
      </c>
      <c r="C99" s="4" t="s">
        <v>47</v>
      </c>
      <c r="D99" s="4" t="s">
        <v>48</v>
      </c>
      <c r="E99" s="4" t="s">
        <v>51</v>
      </c>
      <c r="F99" s="4" t="s">
        <v>1</v>
      </c>
      <c r="G99" s="4" t="s">
        <v>2</v>
      </c>
      <c r="H99" s="4" t="s">
        <v>5</v>
      </c>
      <c r="I99" s="4" t="s">
        <v>4</v>
      </c>
      <c r="J99" s="4" t="s">
        <v>3</v>
      </c>
      <c r="K99" s="4" t="s">
        <v>47</v>
      </c>
      <c r="L99" s="4" t="s">
        <v>48</v>
      </c>
      <c r="M99" s="5"/>
      <c r="N99" s="5"/>
    </row>
    <row r="100" spans="1:14" ht="15.75" x14ac:dyDescent="0.25">
      <c r="A100" s="6" t="s">
        <v>6</v>
      </c>
      <c r="B100" s="8" t="s">
        <v>65</v>
      </c>
      <c r="C100" s="24" t="s">
        <v>45</v>
      </c>
      <c r="D100" s="7" t="s">
        <v>49</v>
      </c>
      <c r="E100" s="8" t="s">
        <v>7</v>
      </c>
      <c r="F100" s="8" t="s">
        <v>8</v>
      </c>
      <c r="G100" s="8" t="s">
        <v>9</v>
      </c>
      <c r="H100" s="8" t="s">
        <v>11</v>
      </c>
      <c r="I100" s="8" t="s">
        <v>66</v>
      </c>
      <c r="J100" s="8" t="s">
        <v>10</v>
      </c>
      <c r="K100" s="7" t="s">
        <v>46</v>
      </c>
      <c r="L100" s="7" t="s">
        <v>50</v>
      </c>
      <c r="M100" s="9" t="s">
        <v>12</v>
      </c>
      <c r="N100" s="10" t="s">
        <v>13</v>
      </c>
    </row>
    <row r="101" spans="1:14" ht="18.75" x14ac:dyDescent="0.3">
      <c r="A101" s="26" t="s">
        <v>89</v>
      </c>
      <c r="B101" s="13">
        <v>22</v>
      </c>
      <c r="C101" s="12">
        <v>44</v>
      </c>
      <c r="D101" s="12">
        <v>51</v>
      </c>
      <c r="E101" s="13">
        <v>24</v>
      </c>
      <c r="F101" s="13">
        <v>111</v>
      </c>
      <c r="G101" s="13">
        <v>20</v>
      </c>
      <c r="H101" s="13">
        <v>64</v>
      </c>
      <c r="I101" s="13">
        <v>44</v>
      </c>
      <c r="J101" s="13">
        <v>81</v>
      </c>
      <c r="K101" s="12">
        <v>41</v>
      </c>
      <c r="L101" s="12">
        <v>64</v>
      </c>
      <c r="M101" s="13">
        <f>SUM(Table112404142444647495051537412711[[#This Row],[BOX 1]:[BOX 12]])</f>
        <v>566</v>
      </c>
      <c r="N101" s="13">
        <v>4</v>
      </c>
    </row>
    <row r="102" spans="1:14" ht="19.5" thickBot="1" x14ac:dyDescent="0.35">
      <c r="A102" s="26" t="s">
        <v>29</v>
      </c>
      <c r="B102" s="13">
        <v>12</v>
      </c>
      <c r="C102" s="12">
        <v>29</v>
      </c>
      <c r="D102" s="12">
        <v>28</v>
      </c>
      <c r="E102" s="13">
        <v>4</v>
      </c>
      <c r="F102" s="13">
        <v>53</v>
      </c>
      <c r="G102" s="13">
        <v>13</v>
      </c>
      <c r="H102" s="13">
        <v>23</v>
      </c>
      <c r="I102" s="13">
        <v>18</v>
      </c>
      <c r="J102" s="13">
        <v>38</v>
      </c>
      <c r="K102" s="12">
        <v>40</v>
      </c>
      <c r="L102" s="12">
        <v>22</v>
      </c>
      <c r="M102" s="13">
        <f>SUM(Table112404142444647495051537412711[[#This Row],[BOX 1]:[BOX 12]])</f>
        <v>280</v>
      </c>
      <c r="N102" s="14">
        <v>2</v>
      </c>
    </row>
    <row r="103" spans="1:14" ht="19.5" thickBot="1" x14ac:dyDescent="0.3">
      <c r="A103" s="17" t="s">
        <v>14</v>
      </c>
      <c r="B103" s="20">
        <f>SUBTOTAL(109,Table112404142444647495051537412711[BOX 1])</f>
        <v>34</v>
      </c>
      <c r="C103" s="21">
        <f>SUBTOTAL(109,Table112404142444647495051537412711[BOX 2])</f>
        <v>73</v>
      </c>
      <c r="D103" s="21">
        <f>SUBTOTAL(109,Table112404142444647495051537412711[BOX 3])</f>
        <v>79</v>
      </c>
      <c r="E103" s="21">
        <f>SUBTOTAL(109,Table112404142444647495051537412711[BOX 4])</f>
        <v>28</v>
      </c>
      <c r="F103" s="21">
        <f>SUBTOTAL(109,Table112404142444647495051537412711[BOX 5])</f>
        <v>164</v>
      </c>
      <c r="G103" s="21">
        <f>SUBTOTAL(109,Table112404142444647495051537412711[BOX 6])</f>
        <v>33</v>
      </c>
      <c r="H103" s="21">
        <f>SUBTOTAL(109,Table112404142444647495051537412711[BOX 7])</f>
        <v>87</v>
      </c>
      <c r="I103" s="21">
        <f>SUBTOTAL(109,Table112404142444647495051537412711[BOX 8])</f>
        <v>62</v>
      </c>
      <c r="J103" s="21">
        <f>SUBTOTAL(109,Table112404142444647495051537412711[BOX 10])</f>
        <v>119</v>
      </c>
      <c r="K103" s="21">
        <f>SUBTOTAL(109,Table112404142444647495051537412711[BOX 11])</f>
        <v>81</v>
      </c>
      <c r="L103" s="21">
        <f>SUBTOTAL(109,Table112404142444647495051537412711[BOX 12])</f>
        <v>86</v>
      </c>
      <c r="M103" s="21">
        <f>SUBTOTAL(109,Table112404142444647495051537412711[TOTAL])</f>
        <v>846</v>
      </c>
      <c r="N103" s="31">
        <f>SUBTOTAL(109,Table112404142444647495051537412711[PROVISIONAL])</f>
        <v>6</v>
      </c>
    </row>
    <row r="104" spans="1:14" ht="15.75" x14ac:dyDescent="0.25">
      <c r="A104" s="18" t="s">
        <v>15</v>
      </c>
      <c r="B104" s="29">
        <v>0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30">
        <v>0</v>
      </c>
      <c r="I104" s="30">
        <v>0</v>
      </c>
      <c r="J104" s="22">
        <v>0</v>
      </c>
      <c r="K104" s="22">
        <v>0</v>
      </c>
      <c r="L104" s="22">
        <v>0</v>
      </c>
      <c r="M104" s="30">
        <f>SUM(B104:L104)</f>
        <v>0</v>
      </c>
      <c r="N104" s="30">
        <v>0</v>
      </c>
    </row>
    <row r="105" spans="1:14" x14ac:dyDescent="0.25">
      <c r="A105" s="33" t="s">
        <v>16</v>
      </c>
      <c r="B105" s="27">
        <v>5</v>
      </c>
      <c r="C105" s="28">
        <v>8</v>
      </c>
      <c r="D105" s="28">
        <v>6</v>
      </c>
      <c r="E105" s="28">
        <v>2</v>
      </c>
      <c r="F105" s="28">
        <v>29</v>
      </c>
      <c r="G105" s="28">
        <v>8</v>
      </c>
      <c r="H105" s="28">
        <v>13</v>
      </c>
      <c r="I105" s="28">
        <v>8</v>
      </c>
      <c r="J105" s="28">
        <v>13</v>
      </c>
      <c r="K105" s="28">
        <v>17</v>
      </c>
      <c r="L105" s="28">
        <v>12</v>
      </c>
      <c r="M105" s="28">
        <f>SUM(B105:L105)</f>
        <v>121</v>
      </c>
      <c r="N105" s="28">
        <v>0</v>
      </c>
    </row>
    <row r="106" spans="1:14" ht="47.25" x14ac:dyDescent="0.25">
      <c r="A106" s="32" t="s">
        <v>30</v>
      </c>
      <c r="B106" s="4" t="s">
        <v>4</v>
      </c>
      <c r="C106" s="4" t="s">
        <v>47</v>
      </c>
      <c r="D106" s="4" t="s">
        <v>48</v>
      </c>
      <c r="E106" s="4" t="s">
        <v>51</v>
      </c>
      <c r="F106" s="4" t="s">
        <v>1</v>
      </c>
      <c r="G106" s="4" t="s">
        <v>2</v>
      </c>
      <c r="H106" s="4" t="s">
        <v>5</v>
      </c>
      <c r="I106" s="4" t="s">
        <v>4</v>
      </c>
      <c r="J106" s="4" t="s">
        <v>3</v>
      </c>
      <c r="K106" s="4" t="s">
        <v>47</v>
      </c>
      <c r="L106" s="4" t="s">
        <v>48</v>
      </c>
      <c r="M106" s="5"/>
      <c r="N106" s="5"/>
    </row>
    <row r="107" spans="1:14" ht="15.75" x14ac:dyDescent="0.25">
      <c r="A107" s="6" t="s">
        <v>6</v>
      </c>
      <c r="B107" s="8" t="s">
        <v>65</v>
      </c>
      <c r="C107" s="24" t="s">
        <v>45</v>
      </c>
      <c r="D107" s="7" t="s">
        <v>49</v>
      </c>
      <c r="E107" s="8" t="s">
        <v>7</v>
      </c>
      <c r="F107" s="8" t="s">
        <v>8</v>
      </c>
      <c r="G107" s="8" t="s">
        <v>9</v>
      </c>
      <c r="H107" s="8" t="s">
        <v>11</v>
      </c>
      <c r="I107" s="8" t="s">
        <v>66</v>
      </c>
      <c r="J107" s="8" t="s">
        <v>10</v>
      </c>
      <c r="K107" s="7" t="s">
        <v>46</v>
      </c>
      <c r="L107" s="7" t="s">
        <v>50</v>
      </c>
      <c r="M107" s="9" t="s">
        <v>12</v>
      </c>
      <c r="N107" s="10" t="s">
        <v>13</v>
      </c>
    </row>
    <row r="108" spans="1:14" ht="18.75" x14ac:dyDescent="0.3">
      <c r="A108" s="26" t="s">
        <v>90</v>
      </c>
      <c r="B108" s="13">
        <v>23</v>
      </c>
      <c r="C108" s="12">
        <v>44</v>
      </c>
      <c r="D108" s="12">
        <v>55</v>
      </c>
      <c r="E108" s="13">
        <v>25</v>
      </c>
      <c r="F108" s="13">
        <v>106</v>
      </c>
      <c r="G108" s="13">
        <v>20</v>
      </c>
      <c r="H108" s="13">
        <v>67</v>
      </c>
      <c r="I108" s="13">
        <v>44</v>
      </c>
      <c r="J108" s="13">
        <v>83</v>
      </c>
      <c r="K108" s="12">
        <v>45</v>
      </c>
      <c r="L108" s="12">
        <v>64</v>
      </c>
      <c r="M108" s="13">
        <f>SUM(Table11240414244464749505153547512812[[#This Row],[BOX 1]:[BOX 12]])</f>
        <v>576</v>
      </c>
      <c r="N108" s="13">
        <v>4</v>
      </c>
    </row>
    <row r="109" spans="1:14" ht="19.5" thickBot="1" x14ac:dyDescent="0.35">
      <c r="A109" s="26" t="s">
        <v>31</v>
      </c>
      <c r="B109" s="13">
        <v>11</v>
      </c>
      <c r="C109" s="12">
        <v>27</v>
      </c>
      <c r="D109" s="12">
        <v>25</v>
      </c>
      <c r="E109" s="13">
        <v>3</v>
      </c>
      <c r="F109" s="13">
        <v>55</v>
      </c>
      <c r="G109" s="13">
        <v>14</v>
      </c>
      <c r="H109" s="13">
        <v>21</v>
      </c>
      <c r="I109" s="13">
        <v>19</v>
      </c>
      <c r="J109" s="13">
        <v>37</v>
      </c>
      <c r="K109" s="12">
        <v>34</v>
      </c>
      <c r="L109" s="12">
        <v>22</v>
      </c>
      <c r="M109" s="13">
        <f>SUM(Table11240414244464749505153547512812[[#This Row],[BOX 1]:[BOX 12]])</f>
        <v>268</v>
      </c>
      <c r="N109" s="14">
        <v>2</v>
      </c>
    </row>
    <row r="110" spans="1:14" ht="19.5" thickBot="1" x14ac:dyDescent="0.3">
      <c r="A110" s="17" t="s">
        <v>14</v>
      </c>
      <c r="B110" s="20">
        <f>SUBTOTAL(109,Table11240414244464749505153547512812[BOX 1])</f>
        <v>34</v>
      </c>
      <c r="C110" s="21">
        <f>SUBTOTAL(109,Table11240414244464749505153547512812[BOX 2])</f>
        <v>71</v>
      </c>
      <c r="D110" s="21">
        <f>SUBTOTAL(109,Table11240414244464749505153547512812[BOX 3])</f>
        <v>80</v>
      </c>
      <c r="E110" s="21">
        <f>SUBTOTAL(109,Table11240414244464749505153547512812[BOX 4])</f>
        <v>28</v>
      </c>
      <c r="F110" s="21">
        <f>SUBTOTAL(109,Table11240414244464749505153547512812[BOX 5])</f>
        <v>161</v>
      </c>
      <c r="G110" s="21">
        <f>SUBTOTAL(109,Table11240414244464749505153547512812[BOX 6])</f>
        <v>34</v>
      </c>
      <c r="H110" s="21">
        <f>SUBTOTAL(109,Table11240414244464749505153547512812[BOX 7])</f>
        <v>88</v>
      </c>
      <c r="I110" s="21">
        <f>SUBTOTAL(109,Table11240414244464749505153547512812[BOX 8])</f>
        <v>63</v>
      </c>
      <c r="J110" s="21">
        <f>SUBTOTAL(109,Table11240414244464749505153547512812[BOX 10])</f>
        <v>120</v>
      </c>
      <c r="K110" s="21">
        <f>SUBTOTAL(109,Table11240414244464749505153547512812[BOX 11])</f>
        <v>79</v>
      </c>
      <c r="L110" s="21">
        <f>SUBTOTAL(109,Table11240414244464749505153547512812[BOX 12])</f>
        <v>86</v>
      </c>
      <c r="M110" s="21">
        <f>SUBTOTAL(109,Table11240414244464749505153547512812[TOTAL])</f>
        <v>844</v>
      </c>
      <c r="N110" s="31">
        <f>SUBTOTAL(109,Table11240414244464749505153547512812[PROVISIONAL])</f>
        <v>6</v>
      </c>
    </row>
    <row r="111" spans="1:14" ht="15.75" x14ac:dyDescent="0.25">
      <c r="A111" s="18" t="s">
        <v>15</v>
      </c>
      <c r="B111" s="29">
        <v>0</v>
      </c>
      <c r="C111" s="22">
        <v>0</v>
      </c>
      <c r="D111" s="22">
        <v>0</v>
      </c>
      <c r="E111" s="22">
        <v>0</v>
      </c>
      <c r="F111" s="22">
        <v>0</v>
      </c>
      <c r="G111" s="22">
        <v>0</v>
      </c>
      <c r="H111" s="30">
        <v>0</v>
      </c>
      <c r="I111" s="30">
        <v>0</v>
      </c>
      <c r="J111" s="22">
        <v>0</v>
      </c>
      <c r="K111" s="22">
        <v>0</v>
      </c>
      <c r="L111" s="22">
        <v>0</v>
      </c>
      <c r="M111" s="30">
        <f>SUM(B111:L111)</f>
        <v>0</v>
      </c>
      <c r="N111" s="30">
        <f>SUM(B111:M111)</f>
        <v>0</v>
      </c>
    </row>
    <row r="112" spans="1:14" x14ac:dyDescent="0.25">
      <c r="A112" s="33" t="s">
        <v>16</v>
      </c>
      <c r="B112" s="27">
        <v>5</v>
      </c>
      <c r="C112" s="28">
        <v>10</v>
      </c>
      <c r="D112" s="28">
        <v>5</v>
      </c>
      <c r="E112" s="28">
        <v>2</v>
      </c>
      <c r="F112" s="28">
        <v>32</v>
      </c>
      <c r="G112" s="28">
        <v>7</v>
      </c>
      <c r="H112" s="28">
        <v>12</v>
      </c>
      <c r="I112" s="28">
        <v>7</v>
      </c>
      <c r="J112" s="28">
        <v>12</v>
      </c>
      <c r="K112" s="28">
        <v>19</v>
      </c>
      <c r="L112" s="28">
        <v>12</v>
      </c>
      <c r="M112" s="28">
        <f>SUM(B112:L112)</f>
        <v>123</v>
      </c>
      <c r="N112" s="28">
        <v>0</v>
      </c>
    </row>
    <row r="115" spans="1:14" ht="45" x14ac:dyDescent="0.25">
      <c r="A115" s="32" t="s">
        <v>91</v>
      </c>
      <c r="B115" s="4" t="s">
        <v>4</v>
      </c>
      <c r="C115" s="4" t="s">
        <v>47</v>
      </c>
      <c r="D115" s="4" t="s">
        <v>48</v>
      </c>
      <c r="E115" s="4" t="s">
        <v>51</v>
      </c>
      <c r="F115" s="4" t="s">
        <v>1</v>
      </c>
      <c r="G115" s="4" t="s">
        <v>2</v>
      </c>
      <c r="H115" s="4" t="s">
        <v>5</v>
      </c>
      <c r="I115" s="4" t="s">
        <v>4</v>
      </c>
      <c r="J115" s="4" t="s">
        <v>3</v>
      </c>
      <c r="K115" s="4" t="s">
        <v>47</v>
      </c>
      <c r="L115" s="4" t="s">
        <v>48</v>
      </c>
      <c r="M115" s="5"/>
      <c r="N115" s="5"/>
    </row>
    <row r="116" spans="1:14" ht="15.75" x14ac:dyDescent="0.25">
      <c r="A116" s="6" t="s">
        <v>6</v>
      </c>
      <c r="B116" s="8" t="s">
        <v>65</v>
      </c>
      <c r="C116" s="24" t="s">
        <v>45</v>
      </c>
      <c r="D116" s="7" t="s">
        <v>49</v>
      </c>
      <c r="E116" s="8" t="s">
        <v>7</v>
      </c>
      <c r="F116" s="8" t="s">
        <v>8</v>
      </c>
      <c r="G116" s="8" t="s">
        <v>9</v>
      </c>
      <c r="H116" s="8" t="s">
        <v>11</v>
      </c>
      <c r="I116" s="8" t="s">
        <v>66</v>
      </c>
      <c r="J116" s="8" t="s">
        <v>10</v>
      </c>
      <c r="K116" s="7" t="s">
        <v>46</v>
      </c>
      <c r="L116" s="7" t="s">
        <v>50</v>
      </c>
      <c r="M116" s="9" t="s">
        <v>12</v>
      </c>
      <c r="N116" s="10" t="s">
        <v>13</v>
      </c>
    </row>
    <row r="117" spans="1:14" ht="18.75" x14ac:dyDescent="0.3">
      <c r="A117" s="26" t="s">
        <v>92</v>
      </c>
      <c r="B117" s="13">
        <v>18</v>
      </c>
      <c r="C117" s="12">
        <v>40</v>
      </c>
      <c r="D117" s="12">
        <v>45</v>
      </c>
      <c r="E117" s="13">
        <v>24</v>
      </c>
      <c r="F117" s="13">
        <v>106</v>
      </c>
      <c r="G117" s="13">
        <v>19</v>
      </c>
      <c r="H117" s="13">
        <v>61</v>
      </c>
      <c r="I117" s="13">
        <v>44</v>
      </c>
      <c r="J117" s="13">
        <v>77</v>
      </c>
      <c r="K117" s="12">
        <v>38</v>
      </c>
      <c r="L117" s="12">
        <v>62</v>
      </c>
      <c r="M117" s="13">
        <f>SUM(Table11240414244464749505153567612913[[#This Row],[BOX 1]:[BOX 12]])</f>
        <v>534</v>
      </c>
      <c r="N117" s="13">
        <v>5</v>
      </c>
    </row>
    <row r="118" spans="1:14" ht="19.5" thickBot="1" x14ac:dyDescent="0.35">
      <c r="A118" s="26" t="s">
        <v>32</v>
      </c>
      <c r="B118" s="13">
        <v>16</v>
      </c>
      <c r="C118" s="12">
        <v>34</v>
      </c>
      <c r="D118" s="12">
        <v>34</v>
      </c>
      <c r="E118" s="13">
        <v>4</v>
      </c>
      <c r="F118" s="13">
        <v>60</v>
      </c>
      <c r="G118" s="13">
        <v>17</v>
      </c>
      <c r="H118" s="13">
        <v>31</v>
      </c>
      <c r="I118" s="13">
        <v>20</v>
      </c>
      <c r="J118" s="13">
        <v>44</v>
      </c>
      <c r="K118" s="12">
        <v>40</v>
      </c>
      <c r="L118" s="12">
        <v>26</v>
      </c>
      <c r="M118" s="13">
        <f>SUM(Table11240414244464749505153567612913[[#This Row],[BOX 1]:[BOX 12]])</f>
        <v>326</v>
      </c>
      <c r="N118" s="14">
        <v>1</v>
      </c>
    </row>
    <row r="119" spans="1:14" ht="19.5" thickBot="1" x14ac:dyDescent="0.3">
      <c r="A119" s="17" t="s">
        <v>14</v>
      </c>
      <c r="B119" s="20">
        <f>SUBTOTAL(109,Table11240414244464749505153567612913[BOX 1])</f>
        <v>34</v>
      </c>
      <c r="C119" s="21">
        <f>SUBTOTAL(109,Table11240414244464749505153567612913[BOX 2])</f>
        <v>74</v>
      </c>
      <c r="D119" s="21">
        <f>SUBTOTAL(109,Table11240414244464749505153567612913[BOX 3])</f>
        <v>79</v>
      </c>
      <c r="E119" s="21">
        <f>SUBTOTAL(109,Table11240414244464749505153567612913[BOX 4])</f>
        <v>28</v>
      </c>
      <c r="F119" s="21">
        <f>SUBTOTAL(109,Table11240414244464749505153567612913[BOX 5])</f>
        <v>166</v>
      </c>
      <c r="G119" s="21">
        <f>SUBTOTAL(109,Table11240414244464749505153567612913[BOX 6])</f>
        <v>36</v>
      </c>
      <c r="H119" s="21">
        <f>SUBTOTAL(109,Table11240414244464749505153567612913[BOX 7])</f>
        <v>92</v>
      </c>
      <c r="I119" s="21">
        <f>SUBTOTAL(109,Table11240414244464749505153567612913[BOX 8])</f>
        <v>64</v>
      </c>
      <c r="J119" s="21">
        <f>SUBTOTAL(109,Table11240414244464749505153567612913[BOX 10])</f>
        <v>121</v>
      </c>
      <c r="K119" s="21">
        <f>SUBTOTAL(109,Table11240414244464749505153567612913[BOX 11])</f>
        <v>78</v>
      </c>
      <c r="L119" s="21">
        <f>SUBTOTAL(109,Table11240414244464749505153567612913[BOX 12])</f>
        <v>88</v>
      </c>
      <c r="M119" s="21">
        <f>SUBTOTAL(109,Table11240414244464749505153567612913[TOTAL])</f>
        <v>860</v>
      </c>
      <c r="N119" s="31">
        <f>SUBTOTAL(109,Table11240414244464749505153567612913[PROVISIONAL])</f>
        <v>6</v>
      </c>
    </row>
    <row r="120" spans="1:14" ht="15.75" x14ac:dyDescent="0.25">
      <c r="A120" s="18" t="s">
        <v>15</v>
      </c>
      <c r="B120" s="29">
        <v>0</v>
      </c>
      <c r="C120" s="22">
        <v>0</v>
      </c>
      <c r="D120" s="22">
        <v>0</v>
      </c>
      <c r="E120" s="22">
        <v>0</v>
      </c>
      <c r="F120" s="22">
        <v>0</v>
      </c>
      <c r="G120" s="22">
        <v>0</v>
      </c>
      <c r="H120" s="30">
        <v>0</v>
      </c>
      <c r="I120" s="30">
        <v>0</v>
      </c>
      <c r="J120" s="22">
        <v>0</v>
      </c>
      <c r="K120" s="22">
        <v>0</v>
      </c>
      <c r="L120" s="22">
        <v>0</v>
      </c>
      <c r="M120" s="30">
        <f>SUM(B120:L120)</f>
        <v>0</v>
      </c>
      <c r="N120" s="30">
        <v>0</v>
      </c>
    </row>
    <row r="121" spans="1:14" x14ac:dyDescent="0.25">
      <c r="A121" s="33" t="s">
        <v>16</v>
      </c>
      <c r="B121" s="28">
        <v>5</v>
      </c>
      <c r="C121" s="28">
        <v>7</v>
      </c>
      <c r="D121" s="28">
        <v>6</v>
      </c>
      <c r="E121" s="28">
        <v>2</v>
      </c>
      <c r="F121" s="28">
        <v>27</v>
      </c>
      <c r="G121" s="28">
        <v>5</v>
      </c>
      <c r="H121" s="28">
        <v>8</v>
      </c>
      <c r="I121" s="28">
        <v>6</v>
      </c>
      <c r="J121" s="28">
        <v>11</v>
      </c>
      <c r="K121" s="28">
        <v>20</v>
      </c>
      <c r="L121" s="28">
        <v>10</v>
      </c>
      <c r="M121" s="28">
        <f>SUM(B121:L121)</f>
        <v>107</v>
      </c>
      <c r="N121" s="28">
        <v>0</v>
      </c>
    </row>
    <row r="123" spans="1:14" ht="45" x14ac:dyDescent="0.25">
      <c r="A123" s="32" t="s">
        <v>93</v>
      </c>
      <c r="B123" s="4" t="s">
        <v>4</v>
      </c>
      <c r="C123" s="4" t="s">
        <v>47</v>
      </c>
      <c r="D123" s="4" t="s">
        <v>48</v>
      </c>
      <c r="E123" s="4" t="s">
        <v>51</v>
      </c>
      <c r="F123" s="4" t="s">
        <v>1</v>
      </c>
      <c r="G123" s="4" t="s">
        <v>2</v>
      </c>
      <c r="H123" s="4" t="s">
        <v>5</v>
      </c>
      <c r="I123" s="4" t="s">
        <v>4</v>
      </c>
      <c r="J123" s="4" t="s">
        <v>3</v>
      </c>
      <c r="K123" s="4" t="s">
        <v>47</v>
      </c>
      <c r="L123" s="4" t="s">
        <v>48</v>
      </c>
      <c r="M123" s="5"/>
      <c r="N123" s="5"/>
    </row>
    <row r="124" spans="1:14" ht="15.75" x14ac:dyDescent="0.25">
      <c r="A124" s="6" t="s">
        <v>6</v>
      </c>
      <c r="B124" s="8" t="s">
        <v>65</v>
      </c>
      <c r="C124" s="24" t="s">
        <v>45</v>
      </c>
      <c r="D124" s="7" t="s">
        <v>49</v>
      </c>
      <c r="E124" s="8" t="s">
        <v>7</v>
      </c>
      <c r="F124" s="8" t="s">
        <v>8</v>
      </c>
      <c r="G124" s="8" t="s">
        <v>9</v>
      </c>
      <c r="H124" s="8" t="s">
        <v>11</v>
      </c>
      <c r="I124" s="8" t="s">
        <v>66</v>
      </c>
      <c r="J124" s="8" t="s">
        <v>10</v>
      </c>
      <c r="K124" s="7" t="s">
        <v>46</v>
      </c>
      <c r="L124" s="7" t="s">
        <v>50</v>
      </c>
      <c r="M124" s="9" t="s">
        <v>12</v>
      </c>
      <c r="N124" s="10" t="s">
        <v>13</v>
      </c>
    </row>
    <row r="125" spans="1:14" ht="18.75" x14ac:dyDescent="0.3">
      <c r="A125" s="26" t="s">
        <v>94</v>
      </c>
      <c r="B125" s="13">
        <v>21</v>
      </c>
      <c r="C125" s="12">
        <v>53</v>
      </c>
      <c r="D125" s="12">
        <v>55</v>
      </c>
      <c r="E125" s="13">
        <v>24</v>
      </c>
      <c r="F125" s="13">
        <v>114</v>
      </c>
      <c r="G125" s="13">
        <v>22</v>
      </c>
      <c r="H125" s="13">
        <v>73</v>
      </c>
      <c r="I125" s="13">
        <v>45</v>
      </c>
      <c r="J125" s="13">
        <v>82</v>
      </c>
      <c r="K125" s="12">
        <v>39</v>
      </c>
      <c r="L125" s="12">
        <v>63</v>
      </c>
      <c r="M125" s="13">
        <f>SUM(Table1124041424446474950515356587713014[[#This Row],[BOX 1]:[BOX 12]])</f>
        <v>591</v>
      </c>
      <c r="N125" s="13">
        <v>5</v>
      </c>
    </row>
    <row r="126" spans="1:14" ht="18.75" x14ac:dyDescent="0.3">
      <c r="A126" s="26" t="s">
        <v>33</v>
      </c>
      <c r="B126" s="13">
        <v>11</v>
      </c>
      <c r="C126" s="12">
        <v>20</v>
      </c>
      <c r="D126" s="12">
        <v>22</v>
      </c>
      <c r="E126" s="13">
        <v>3</v>
      </c>
      <c r="F126" s="13">
        <v>49</v>
      </c>
      <c r="G126" s="13">
        <v>9</v>
      </c>
      <c r="H126" s="13">
        <v>20</v>
      </c>
      <c r="I126" s="13">
        <v>12</v>
      </c>
      <c r="J126" s="13">
        <v>38</v>
      </c>
      <c r="K126" s="12">
        <v>39</v>
      </c>
      <c r="L126" s="12">
        <v>25</v>
      </c>
      <c r="M126" s="13">
        <f>SUM(Table1124041424446474950515356587713014[[#This Row],[BOX 1]:[BOX 12]])</f>
        <v>248</v>
      </c>
      <c r="N126" s="14">
        <v>1</v>
      </c>
    </row>
    <row r="127" spans="1:14" ht="19.5" thickBot="1" x14ac:dyDescent="0.35">
      <c r="A127" s="26" t="s">
        <v>95</v>
      </c>
      <c r="B127" s="13">
        <v>3</v>
      </c>
      <c r="C127" s="12">
        <v>3</v>
      </c>
      <c r="D127" s="12">
        <v>1</v>
      </c>
      <c r="E127" s="13">
        <v>0</v>
      </c>
      <c r="F127" s="13">
        <v>8</v>
      </c>
      <c r="G127" s="13">
        <v>3</v>
      </c>
      <c r="H127" s="13">
        <v>3</v>
      </c>
      <c r="I127" s="13">
        <v>6</v>
      </c>
      <c r="J127" s="13">
        <v>5</v>
      </c>
      <c r="K127" s="12">
        <v>9</v>
      </c>
      <c r="L127" s="12">
        <v>1</v>
      </c>
      <c r="M127" s="13">
        <f>SUM(Table1124041424446474950515356587713014[[#This Row],[BOX 1]:[BOX 12]])</f>
        <v>42</v>
      </c>
      <c r="N127" s="14">
        <v>0</v>
      </c>
    </row>
    <row r="128" spans="1:14" ht="19.5" thickBot="1" x14ac:dyDescent="0.3">
      <c r="A128" s="17" t="s">
        <v>14</v>
      </c>
      <c r="B128" s="20">
        <f>SUBTOTAL(109,Table1124041424446474950515356587713014[BOX 1])</f>
        <v>35</v>
      </c>
      <c r="C128" s="21">
        <f>SUBTOTAL(109,Table1124041424446474950515356587713014[BOX 2])</f>
        <v>76</v>
      </c>
      <c r="D128" s="21">
        <f>SUBTOTAL(109,Table1124041424446474950515356587713014[BOX 3])</f>
        <v>78</v>
      </c>
      <c r="E128" s="21">
        <f>SUBTOTAL(109,Table1124041424446474950515356587713014[BOX 4])</f>
        <v>27</v>
      </c>
      <c r="F128" s="21">
        <f>SUBTOTAL(109,Table1124041424446474950515356587713014[BOX 5])</f>
        <v>171</v>
      </c>
      <c r="G128" s="21">
        <f>SUBTOTAL(109,Table1124041424446474950515356587713014[BOX 6])</f>
        <v>34</v>
      </c>
      <c r="H128" s="21">
        <f>SUBTOTAL(109,Table1124041424446474950515356587713014[BOX 7])</f>
        <v>96</v>
      </c>
      <c r="I128" s="21">
        <f>SUBTOTAL(109,Table1124041424446474950515356587713014[BOX 8])</f>
        <v>63</v>
      </c>
      <c r="J128" s="21">
        <f>SUBTOTAL(109,Table1124041424446474950515356587713014[BOX 10])</f>
        <v>125</v>
      </c>
      <c r="K128" s="21">
        <f>SUBTOTAL(109,Table1124041424446474950515356587713014[BOX 11])</f>
        <v>87</v>
      </c>
      <c r="L128" s="21">
        <f>SUBTOTAL(109,Table1124041424446474950515356587713014[BOX 12])</f>
        <v>89</v>
      </c>
      <c r="M128" s="21">
        <f>SUBTOTAL(109,Table1124041424446474950515356587713014[TOTAL])</f>
        <v>881</v>
      </c>
      <c r="N128" s="31">
        <f>SUBTOTAL(109,Table1124041424446474950515356587713014[PROVISIONAL])</f>
        <v>6</v>
      </c>
    </row>
    <row r="129" spans="1:14" ht="15.75" x14ac:dyDescent="0.25">
      <c r="A129" s="18" t="s">
        <v>15</v>
      </c>
      <c r="B129" s="29">
        <v>0</v>
      </c>
      <c r="C129" s="22">
        <v>1</v>
      </c>
      <c r="D129" s="22">
        <v>0</v>
      </c>
      <c r="E129" s="22">
        <v>0</v>
      </c>
      <c r="F129" s="22">
        <v>0</v>
      </c>
      <c r="G129" s="22">
        <v>0</v>
      </c>
      <c r="H129" s="30">
        <v>0</v>
      </c>
      <c r="I129" s="30">
        <v>0</v>
      </c>
      <c r="J129" s="22">
        <v>0</v>
      </c>
      <c r="K129" s="22">
        <v>0</v>
      </c>
      <c r="L129" s="22">
        <v>0</v>
      </c>
      <c r="M129" s="30">
        <f>SUM(B129:L129)</f>
        <v>1</v>
      </c>
      <c r="N129" s="30"/>
    </row>
    <row r="130" spans="1:14" x14ac:dyDescent="0.25">
      <c r="A130" s="33" t="s">
        <v>16</v>
      </c>
      <c r="B130" s="28">
        <v>4</v>
      </c>
      <c r="C130" s="28">
        <v>4</v>
      </c>
      <c r="D130" s="28">
        <v>7</v>
      </c>
      <c r="E130" s="28">
        <v>3</v>
      </c>
      <c r="F130" s="28">
        <v>22</v>
      </c>
      <c r="G130" s="28">
        <v>7</v>
      </c>
      <c r="H130" s="28">
        <v>4</v>
      </c>
      <c r="I130" s="28">
        <v>7</v>
      </c>
      <c r="J130" s="28">
        <v>7</v>
      </c>
      <c r="K130" s="28">
        <v>11</v>
      </c>
      <c r="L130" s="28">
        <v>9</v>
      </c>
      <c r="M130" s="28">
        <f>SUM(B130:L130)</f>
        <v>85</v>
      </c>
      <c r="N130" s="28"/>
    </row>
    <row r="132" spans="1:14" ht="45" x14ac:dyDescent="0.25">
      <c r="A132" s="32" t="s">
        <v>96</v>
      </c>
      <c r="B132" s="4" t="s">
        <v>4</v>
      </c>
      <c r="C132" s="4" t="s">
        <v>47</v>
      </c>
      <c r="D132" s="4" t="s">
        <v>48</v>
      </c>
      <c r="E132" s="4" t="s">
        <v>51</v>
      </c>
      <c r="F132" s="4" t="s">
        <v>1</v>
      </c>
      <c r="G132" s="4" t="s">
        <v>2</v>
      </c>
      <c r="H132" s="4" t="s">
        <v>5</v>
      </c>
      <c r="I132" s="4" t="s">
        <v>4</v>
      </c>
      <c r="J132" s="4" t="s">
        <v>3</v>
      </c>
      <c r="K132" s="4" t="s">
        <v>47</v>
      </c>
      <c r="L132" s="4" t="s">
        <v>48</v>
      </c>
      <c r="M132" s="5"/>
      <c r="N132" s="5"/>
    </row>
    <row r="133" spans="1:14" ht="15.75" x14ac:dyDescent="0.25">
      <c r="A133" s="6" t="s">
        <v>6</v>
      </c>
      <c r="B133" s="8" t="s">
        <v>65</v>
      </c>
      <c r="C133" s="24" t="s">
        <v>45</v>
      </c>
      <c r="D133" s="7" t="s">
        <v>49</v>
      </c>
      <c r="E133" s="8" t="s">
        <v>7</v>
      </c>
      <c r="F133" s="8" t="s">
        <v>8</v>
      </c>
      <c r="G133" s="8" t="s">
        <v>9</v>
      </c>
      <c r="H133" s="8" t="s">
        <v>11</v>
      </c>
      <c r="I133" s="8" t="s">
        <v>66</v>
      </c>
      <c r="J133" s="8" t="s">
        <v>10</v>
      </c>
      <c r="K133" s="7" t="s">
        <v>46</v>
      </c>
      <c r="L133" s="7" t="s">
        <v>50</v>
      </c>
      <c r="M133" s="9" t="s">
        <v>12</v>
      </c>
      <c r="N133" s="10" t="s">
        <v>13</v>
      </c>
    </row>
    <row r="134" spans="1:14" ht="18.75" x14ac:dyDescent="0.3">
      <c r="A134" s="26" t="s">
        <v>97</v>
      </c>
      <c r="B134" s="13">
        <v>21</v>
      </c>
      <c r="C134" s="12">
        <v>41</v>
      </c>
      <c r="D134" s="12">
        <v>48</v>
      </c>
      <c r="E134" s="13">
        <v>22</v>
      </c>
      <c r="F134" s="13">
        <v>110</v>
      </c>
      <c r="G134" s="13">
        <v>19</v>
      </c>
      <c r="H134" s="13">
        <v>65</v>
      </c>
      <c r="I134" s="13">
        <v>42</v>
      </c>
      <c r="J134" s="13">
        <v>76</v>
      </c>
      <c r="K134" s="12">
        <v>39</v>
      </c>
      <c r="L134" s="12">
        <v>58</v>
      </c>
      <c r="M134" s="13">
        <f>SUM(Table112404142444647495051535658597813115[[#This Row],[BOX 1]:[BOX 12]])</f>
        <v>541</v>
      </c>
      <c r="N134" s="13">
        <v>5</v>
      </c>
    </row>
    <row r="135" spans="1:14" ht="19.5" thickBot="1" x14ac:dyDescent="0.35">
      <c r="A135" s="26" t="s">
        <v>34</v>
      </c>
      <c r="B135" s="13">
        <v>14</v>
      </c>
      <c r="C135" s="12">
        <v>33</v>
      </c>
      <c r="D135" s="12">
        <v>30</v>
      </c>
      <c r="E135" s="13">
        <v>4</v>
      </c>
      <c r="F135" s="13">
        <v>59</v>
      </c>
      <c r="G135" s="13">
        <v>17</v>
      </c>
      <c r="H135" s="13">
        <v>28</v>
      </c>
      <c r="I135" s="13">
        <v>21</v>
      </c>
      <c r="J135" s="13">
        <v>48</v>
      </c>
      <c r="K135" s="12">
        <v>47</v>
      </c>
      <c r="L135" s="12">
        <v>27</v>
      </c>
      <c r="M135" s="13">
        <f>SUM(Table112404142444647495051535658597813115[[#This Row],[BOX 1]:[BOX 12]])</f>
        <v>328</v>
      </c>
      <c r="N135" s="14">
        <v>1</v>
      </c>
    </row>
    <row r="136" spans="1:14" ht="19.5" thickBot="1" x14ac:dyDescent="0.3">
      <c r="A136" s="17" t="s">
        <v>14</v>
      </c>
      <c r="B136" s="20">
        <f>SUBTOTAL(109,Table112404142444647495051535658597813115[BOX 1])</f>
        <v>35</v>
      </c>
      <c r="C136" s="21">
        <f>SUBTOTAL(109,Table112404142444647495051535658597813115[BOX 2])</f>
        <v>74</v>
      </c>
      <c r="D136" s="21">
        <f>SUBTOTAL(109,Table112404142444647495051535658597813115[BOX 3])</f>
        <v>78</v>
      </c>
      <c r="E136" s="21">
        <f>SUBTOTAL(109,Table112404142444647495051535658597813115[BOX 4])</f>
        <v>26</v>
      </c>
      <c r="F136" s="21">
        <f>SUBTOTAL(109,Table112404142444647495051535658597813115[BOX 5])</f>
        <v>169</v>
      </c>
      <c r="G136" s="21">
        <f>SUBTOTAL(109,Table112404142444647495051535658597813115[BOX 6])</f>
        <v>36</v>
      </c>
      <c r="H136" s="21">
        <f>SUBTOTAL(109,Table112404142444647495051535658597813115[BOX 7])</f>
        <v>93</v>
      </c>
      <c r="I136" s="21">
        <f>SUBTOTAL(109,Table112404142444647495051535658597813115[BOX 8])</f>
        <v>63</v>
      </c>
      <c r="J136" s="21" t="s">
        <v>135</v>
      </c>
      <c r="K136" s="21">
        <f>SUBTOTAL(109,Table112404142444647495051535658597813115[BOX 11])</f>
        <v>86</v>
      </c>
      <c r="L136" s="21">
        <f>SUBTOTAL(109,Table112404142444647495051535658597813115[BOX 12])</f>
        <v>85</v>
      </c>
      <c r="M136" s="21">
        <f>SUBTOTAL(109,Table112404142444647495051535658597813115[TOTAL])</f>
        <v>869</v>
      </c>
      <c r="N136" s="31">
        <f>SUBTOTAL(109,Table112404142444647495051535658597813115[PROVISIONAL])</f>
        <v>6</v>
      </c>
    </row>
    <row r="137" spans="1:14" ht="15.75" x14ac:dyDescent="0.25">
      <c r="A137" s="18" t="s">
        <v>15</v>
      </c>
      <c r="B137" s="29">
        <v>0</v>
      </c>
      <c r="C137" s="22">
        <v>0</v>
      </c>
      <c r="D137" s="22">
        <v>0</v>
      </c>
      <c r="E137" s="22">
        <v>0</v>
      </c>
      <c r="F137" s="22">
        <v>0</v>
      </c>
      <c r="G137" s="22">
        <v>0</v>
      </c>
      <c r="H137" s="30">
        <v>0</v>
      </c>
      <c r="I137" s="30">
        <v>0</v>
      </c>
      <c r="J137" s="22">
        <v>0</v>
      </c>
      <c r="K137" s="22">
        <v>0</v>
      </c>
      <c r="L137" s="22">
        <v>0</v>
      </c>
      <c r="M137" s="30">
        <f>SUM(B137:L137)</f>
        <v>0</v>
      </c>
      <c r="N137" s="30">
        <v>0</v>
      </c>
    </row>
    <row r="138" spans="1:14" x14ac:dyDescent="0.25">
      <c r="A138" s="33" t="s">
        <v>16</v>
      </c>
      <c r="B138" s="28">
        <v>4</v>
      </c>
      <c r="C138" s="28">
        <v>7</v>
      </c>
      <c r="D138" s="28">
        <v>7</v>
      </c>
      <c r="E138" s="28">
        <v>4</v>
      </c>
      <c r="F138" s="28">
        <v>24</v>
      </c>
      <c r="G138" s="28">
        <v>5</v>
      </c>
      <c r="H138" s="28">
        <v>7</v>
      </c>
      <c r="I138" s="28">
        <v>7</v>
      </c>
      <c r="J138" s="28">
        <v>8</v>
      </c>
      <c r="K138" s="28">
        <v>12</v>
      </c>
      <c r="L138" s="28">
        <v>13</v>
      </c>
      <c r="M138" s="28">
        <f>SUM(B138:L138)</f>
        <v>98</v>
      </c>
      <c r="N138" s="28">
        <v>0</v>
      </c>
    </row>
    <row r="141" spans="1:14" ht="45" x14ac:dyDescent="0.25">
      <c r="A141" s="32" t="s">
        <v>98</v>
      </c>
      <c r="B141" s="4" t="s">
        <v>4</v>
      </c>
      <c r="C141" s="4" t="s">
        <v>47</v>
      </c>
      <c r="D141" s="4" t="s">
        <v>48</v>
      </c>
      <c r="E141" s="4" t="s">
        <v>51</v>
      </c>
      <c r="F141" s="4" t="s">
        <v>1</v>
      </c>
      <c r="G141" s="4" t="s">
        <v>2</v>
      </c>
      <c r="H141" s="4" t="s">
        <v>5</v>
      </c>
      <c r="I141" s="4" t="s">
        <v>4</v>
      </c>
      <c r="J141" s="4" t="s">
        <v>3</v>
      </c>
      <c r="K141" s="4" t="s">
        <v>47</v>
      </c>
      <c r="L141" s="4" t="s">
        <v>48</v>
      </c>
      <c r="M141" s="5"/>
      <c r="N141" s="5"/>
    </row>
    <row r="142" spans="1:14" ht="15.75" x14ac:dyDescent="0.25">
      <c r="A142" s="6" t="s">
        <v>6</v>
      </c>
      <c r="B142" s="8" t="s">
        <v>65</v>
      </c>
      <c r="C142" s="24" t="s">
        <v>45</v>
      </c>
      <c r="D142" s="7" t="s">
        <v>49</v>
      </c>
      <c r="E142" s="8" t="s">
        <v>7</v>
      </c>
      <c r="F142" s="8" t="s">
        <v>8</v>
      </c>
      <c r="G142" s="8" t="s">
        <v>9</v>
      </c>
      <c r="H142" s="8" t="s">
        <v>11</v>
      </c>
      <c r="I142" s="8" t="s">
        <v>66</v>
      </c>
      <c r="J142" s="8" t="s">
        <v>10</v>
      </c>
      <c r="K142" s="7" t="s">
        <v>46</v>
      </c>
      <c r="L142" s="7" t="s">
        <v>50</v>
      </c>
      <c r="M142" s="9" t="s">
        <v>12</v>
      </c>
      <c r="N142" s="10" t="s">
        <v>13</v>
      </c>
    </row>
    <row r="143" spans="1:14" ht="18.75" x14ac:dyDescent="0.3">
      <c r="A143" s="26" t="s">
        <v>99</v>
      </c>
      <c r="B143" s="13">
        <v>15</v>
      </c>
      <c r="C143" s="12">
        <v>36</v>
      </c>
      <c r="D143" s="12">
        <v>47</v>
      </c>
      <c r="E143" s="13">
        <v>23</v>
      </c>
      <c r="F143" s="13">
        <v>103</v>
      </c>
      <c r="G143" s="13">
        <v>19</v>
      </c>
      <c r="H143" s="13">
        <v>58</v>
      </c>
      <c r="I143" s="13">
        <v>45</v>
      </c>
      <c r="J143" s="13">
        <v>75</v>
      </c>
      <c r="K143" s="12">
        <v>34</v>
      </c>
      <c r="L143" s="12">
        <v>61</v>
      </c>
      <c r="M143" s="13">
        <f t="shared" ref="M143:M144" si="0">SUM(B143:L143)</f>
        <v>516</v>
      </c>
      <c r="N143" s="13">
        <v>5</v>
      </c>
    </row>
    <row r="144" spans="1:14" ht="19.5" thickBot="1" x14ac:dyDescent="0.35">
      <c r="A144" s="26" t="s">
        <v>35</v>
      </c>
      <c r="B144" s="13">
        <v>20</v>
      </c>
      <c r="C144" s="12">
        <v>36</v>
      </c>
      <c r="D144" s="12">
        <v>31</v>
      </c>
      <c r="E144" s="13">
        <v>3</v>
      </c>
      <c r="F144" s="13">
        <v>63</v>
      </c>
      <c r="G144" s="13">
        <v>17</v>
      </c>
      <c r="H144" s="13">
        <v>33</v>
      </c>
      <c r="I144" s="13">
        <v>19</v>
      </c>
      <c r="J144" s="13">
        <v>46</v>
      </c>
      <c r="K144" s="12">
        <v>51</v>
      </c>
      <c r="L144" s="12">
        <v>24</v>
      </c>
      <c r="M144" s="13">
        <f t="shared" si="0"/>
        <v>343</v>
      </c>
      <c r="N144" s="14">
        <v>1</v>
      </c>
    </row>
    <row r="145" spans="1:14" ht="19.5" thickBot="1" x14ac:dyDescent="0.3">
      <c r="A145" s="17" t="s">
        <v>14</v>
      </c>
      <c r="B145" s="20">
        <f>SUBTOTAL(109,Table11240414244464749505153565859607913216[BOX 1])</f>
        <v>35</v>
      </c>
      <c r="C145" s="21">
        <f>SUBTOTAL(109,Table11240414244464749505153565859607913216[BOX 2])</f>
        <v>72</v>
      </c>
      <c r="D145" s="21">
        <f>SUBTOTAL(109,Table11240414244464749505153565859607913216[BOX 3])</f>
        <v>78</v>
      </c>
      <c r="E145" s="21">
        <f>SUBTOTAL(109,Table11240414244464749505153565859607913216[BOX 4])</f>
        <v>26</v>
      </c>
      <c r="F145" s="21">
        <f>SUBTOTAL(109,Table11240414244464749505153565859607913216[BOX 5])</f>
        <v>166</v>
      </c>
      <c r="G145" s="21">
        <f>SUBTOTAL(109,Table11240414244464749505153565859607913216[BOX 6])</f>
        <v>36</v>
      </c>
      <c r="H145" s="21">
        <f>SUBTOTAL(109,Table11240414244464749505153565859607913216[BOX 7])</f>
        <v>91</v>
      </c>
      <c r="I145" s="21">
        <f>SUBTOTAL(109,Table11240414244464749505153565859607913216[BOX 8])</f>
        <v>64</v>
      </c>
      <c r="J145" s="21">
        <f>SUBTOTAL(109,Table11240414244464749505153565859607913216[BOX 10])</f>
        <v>121</v>
      </c>
      <c r="K145" s="21">
        <f>SUBTOTAL(109,Table11240414244464749505153565859607913216[BOX 11])</f>
        <v>85</v>
      </c>
      <c r="L145" s="21">
        <f>SUBTOTAL(109,Table11240414244464749505153565859607913216[BOX 12])</f>
        <v>85</v>
      </c>
      <c r="M145" s="21">
        <f>SUBTOTAL(109,Table11240414244464749505153565859607913216[TOTAL])</f>
        <v>859</v>
      </c>
      <c r="N145" s="31">
        <f>SUBTOTAL(109,Table11240414244464749505153565859607913216[PROVISIONAL])</f>
        <v>6</v>
      </c>
    </row>
    <row r="146" spans="1:14" ht="15.75" x14ac:dyDescent="0.25">
      <c r="A146" s="18" t="s">
        <v>15</v>
      </c>
      <c r="B146" s="29">
        <v>0</v>
      </c>
      <c r="C146" s="22">
        <v>0</v>
      </c>
      <c r="D146" s="22">
        <v>0</v>
      </c>
      <c r="E146" s="22">
        <v>0</v>
      </c>
      <c r="F146" s="22">
        <v>0</v>
      </c>
      <c r="G146" s="22">
        <v>0</v>
      </c>
      <c r="H146" s="30">
        <v>0</v>
      </c>
      <c r="I146" s="30">
        <v>0</v>
      </c>
      <c r="J146" s="22">
        <v>0</v>
      </c>
      <c r="K146" s="22">
        <v>0</v>
      </c>
      <c r="L146" s="22">
        <v>0</v>
      </c>
      <c r="M146" s="30">
        <f>SUM(B146:L146)</f>
        <v>0</v>
      </c>
      <c r="N146" s="30">
        <v>0</v>
      </c>
    </row>
    <row r="147" spans="1:14" x14ac:dyDescent="0.25">
      <c r="A147" s="33" t="s">
        <v>16</v>
      </c>
      <c r="B147" s="28">
        <v>4</v>
      </c>
      <c r="C147" s="28">
        <v>9</v>
      </c>
      <c r="D147" s="28">
        <v>7</v>
      </c>
      <c r="E147" s="28">
        <v>4</v>
      </c>
      <c r="F147" s="28">
        <v>27</v>
      </c>
      <c r="G147" s="28">
        <v>5</v>
      </c>
      <c r="H147" s="28">
        <v>9</v>
      </c>
      <c r="I147" s="28">
        <v>6</v>
      </c>
      <c r="J147" s="28">
        <v>11</v>
      </c>
      <c r="K147" s="28">
        <v>13</v>
      </c>
      <c r="L147" s="28">
        <v>13</v>
      </c>
      <c r="M147" s="28">
        <f>SUM(B147:L147)</f>
        <v>108</v>
      </c>
      <c r="N147" s="28">
        <v>0</v>
      </c>
    </row>
    <row r="150" spans="1:14" ht="45" x14ac:dyDescent="0.25">
      <c r="A150" s="32" t="s">
        <v>100</v>
      </c>
      <c r="B150" s="4" t="s">
        <v>4</v>
      </c>
      <c r="C150" s="4" t="s">
        <v>47</v>
      </c>
      <c r="D150" s="4" t="s">
        <v>48</v>
      </c>
      <c r="E150" s="4" t="s">
        <v>51</v>
      </c>
      <c r="F150" s="4" t="s">
        <v>1</v>
      </c>
      <c r="G150" s="4" t="s">
        <v>2</v>
      </c>
      <c r="H150" s="4" t="s">
        <v>5</v>
      </c>
      <c r="I150" s="4" t="s">
        <v>4</v>
      </c>
      <c r="J150" s="4" t="s">
        <v>3</v>
      </c>
      <c r="K150" s="4" t="s">
        <v>47</v>
      </c>
      <c r="L150" s="4" t="s">
        <v>48</v>
      </c>
      <c r="M150" s="5"/>
      <c r="N150" s="5"/>
    </row>
    <row r="151" spans="1:14" ht="15.75" x14ac:dyDescent="0.25">
      <c r="A151" s="6" t="s">
        <v>6</v>
      </c>
      <c r="B151" s="8" t="s">
        <v>65</v>
      </c>
      <c r="C151" s="24" t="s">
        <v>45</v>
      </c>
      <c r="D151" s="7" t="s">
        <v>49</v>
      </c>
      <c r="E151" s="8" t="s">
        <v>7</v>
      </c>
      <c r="F151" s="8" t="s">
        <v>8</v>
      </c>
      <c r="G151" s="8" t="s">
        <v>9</v>
      </c>
      <c r="H151" s="8" t="s">
        <v>11</v>
      </c>
      <c r="I151" s="8" t="s">
        <v>66</v>
      </c>
      <c r="J151" s="8" t="s">
        <v>10</v>
      </c>
      <c r="K151" s="7" t="s">
        <v>46</v>
      </c>
      <c r="L151" s="7" t="s">
        <v>50</v>
      </c>
      <c r="M151" s="9" t="s">
        <v>12</v>
      </c>
      <c r="N151" s="10" t="s">
        <v>13</v>
      </c>
    </row>
    <row r="152" spans="1:14" ht="19.5" thickBot="1" x14ac:dyDescent="0.35">
      <c r="A152" s="26" t="s">
        <v>101</v>
      </c>
      <c r="B152" s="13">
        <v>26</v>
      </c>
      <c r="C152" s="12">
        <v>54</v>
      </c>
      <c r="D152" s="12">
        <v>64</v>
      </c>
      <c r="E152" s="13">
        <v>22</v>
      </c>
      <c r="F152" s="13">
        <v>134</v>
      </c>
      <c r="G152" s="13">
        <v>24</v>
      </c>
      <c r="H152" s="13">
        <v>79</v>
      </c>
      <c r="I152" s="13">
        <v>50</v>
      </c>
      <c r="J152" s="13">
        <v>94</v>
      </c>
      <c r="K152" s="12">
        <v>61</v>
      </c>
      <c r="L152" s="12">
        <v>70</v>
      </c>
      <c r="M152" s="13">
        <f>SUM(Table1124041424446474950515356585960618013317[[#This Row],[BOX 1]:[BOX 12]])</f>
        <v>678</v>
      </c>
      <c r="N152" s="13">
        <v>5</v>
      </c>
    </row>
    <row r="153" spans="1:14" ht="19.5" thickBot="1" x14ac:dyDescent="0.3">
      <c r="A153" s="17" t="s">
        <v>14</v>
      </c>
      <c r="B153" s="20">
        <f>SUBTOTAL(109,Table1124041424446474950515356585960618013317[BOX 1])</f>
        <v>26</v>
      </c>
      <c r="C153" s="21">
        <f>SUBTOTAL(109,Table1124041424446474950515356585960618013317[BOX 2])</f>
        <v>54</v>
      </c>
      <c r="D153" s="21" t="s">
        <v>134</v>
      </c>
      <c r="E153" s="21">
        <f>SUBTOTAL(109,Table1124041424446474950515356585960618013317[BOX 4])</f>
        <v>22</v>
      </c>
      <c r="F153" s="21">
        <f>SUBTOTAL(109,Table1124041424446474950515356585960618013317[BOX 5])</f>
        <v>134</v>
      </c>
      <c r="G153" s="21">
        <f>SUBTOTAL(109,Table1124041424446474950515356585960618013317[BOX 6])</f>
        <v>24</v>
      </c>
      <c r="H153" s="21">
        <f>SUBTOTAL(109,Table1124041424446474950515356585960618013317[BOX 7])</f>
        <v>79</v>
      </c>
      <c r="I153" s="21">
        <f>SUBTOTAL(109,Table1124041424446474950515356585960618013317[BOX 8])</f>
        <v>50</v>
      </c>
      <c r="J153" s="21">
        <f>SUBTOTAL(109,Table1124041424446474950515356585960618013317[BOX 10])</f>
        <v>94</v>
      </c>
      <c r="K153" s="21">
        <f>SUBTOTAL(109,Table1124041424446474950515356585960618013317[BOX 11])</f>
        <v>61</v>
      </c>
      <c r="L153" s="21">
        <f>SUBTOTAL(109,Table1124041424446474950515356585960618013317[BOX 12])</f>
        <v>70</v>
      </c>
      <c r="M153" s="21">
        <f>SUBTOTAL(109,Table1124041424446474950515356585960618013317[TOTAL])</f>
        <v>678</v>
      </c>
      <c r="N153" s="31">
        <f>SUBTOTAL(109,Table1124041424446474950515356585960618013317[PROVISIONAL])</f>
        <v>5</v>
      </c>
    </row>
    <row r="154" spans="1:14" ht="15.75" x14ac:dyDescent="0.25">
      <c r="A154" s="18" t="s">
        <v>15</v>
      </c>
      <c r="B154" s="29">
        <v>0</v>
      </c>
      <c r="C154" s="22">
        <v>0</v>
      </c>
      <c r="D154" s="22">
        <v>0</v>
      </c>
      <c r="E154" s="22">
        <v>0</v>
      </c>
      <c r="F154" s="22">
        <v>0</v>
      </c>
      <c r="G154" s="22">
        <v>0</v>
      </c>
      <c r="H154" s="30">
        <v>0</v>
      </c>
      <c r="I154" s="30">
        <v>0</v>
      </c>
      <c r="J154" s="22">
        <v>0</v>
      </c>
      <c r="K154" s="22">
        <v>0</v>
      </c>
      <c r="L154" s="22">
        <v>0</v>
      </c>
      <c r="M154" s="30">
        <f>SUM(B154:L154)</f>
        <v>0</v>
      </c>
      <c r="N154" s="30">
        <v>0</v>
      </c>
    </row>
    <row r="155" spans="1:14" x14ac:dyDescent="0.25">
      <c r="A155" s="33" t="s">
        <v>16</v>
      </c>
      <c r="B155" s="28">
        <v>13</v>
      </c>
      <c r="C155" s="28">
        <v>27</v>
      </c>
      <c r="D155" s="28">
        <v>21</v>
      </c>
      <c r="E155" s="28">
        <v>8</v>
      </c>
      <c r="F155" s="28">
        <v>59</v>
      </c>
      <c r="G155" s="28">
        <v>17</v>
      </c>
      <c r="H155" s="28">
        <v>21</v>
      </c>
      <c r="I155" s="28">
        <v>20</v>
      </c>
      <c r="J155" s="28">
        <v>38</v>
      </c>
      <c r="K155" s="28">
        <v>37</v>
      </c>
      <c r="L155" s="28">
        <v>28</v>
      </c>
      <c r="M155" s="28">
        <f>SUM(B155:L155)</f>
        <v>289</v>
      </c>
      <c r="N155" s="28">
        <v>1</v>
      </c>
    </row>
    <row r="156" spans="1:14" x14ac:dyDescent="0.25">
      <c r="A156" s="37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</row>
    <row r="158" spans="1:14" ht="45" x14ac:dyDescent="0.25">
      <c r="A158" s="32" t="s">
        <v>102</v>
      </c>
      <c r="B158" s="4" t="s">
        <v>4</v>
      </c>
      <c r="C158" s="4" t="s">
        <v>47</v>
      </c>
      <c r="D158" s="4" t="s">
        <v>48</v>
      </c>
      <c r="E158" s="4" t="s">
        <v>51</v>
      </c>
      <c r="F158" s="4" t="s">
        <v>1</v>
      </c>
      <c r="G158" s="4" t="s">
        <v>2</v>
      </c>
      <c r="H158" s="4" t="s">
        <v>5</v>
      </c>
      <c r="I158" s="4" t="s">
        <v>4</v>
      </c>
      <c r="J158" s="4" t="s">
        <v>3</v>
      </c>
      <c r="K158" s="4" t="s">
        <v>47</v>
      </c>
      <c r="L158" s="4" t="s">
        <v>48</v>
      </c>
      <c r="M158" s="5"/>
      <c r="N158" s="5"/>
    </row>
    <row r="159" spans="1:14" ht="15.75" x14ac:dyDescent="0.25">
      <c r="A159" s="6" t="s">
        <v>6</v>
      </c>
      <c r="B159" s="8" t="s">
        <v>65</v>
      </c>
      <c r="C159" s="24" t="s">
        <v>45</v>
      </c>
      <c r="D159" s="7" t="s">
        <v>49</v>
      </c>
      <c r="E159" s="8" t="s">
        <v>7</v>
      </c>
      <c r="F159" s="8" t="s">
        <v>8</v>
      </c>
      <c r="G159" s="8" t="s">
        <v>9</v>
      </c>
      <c r="H159" s="8" t="s">
        <v>11</v>
      </c>
      <c r="I159" s="8" t="s">
        <v>66</v>
      </c>
      <c r="J159" s="8" t="s">
        <v>10</v>
      </c>
      <c r="K159" s="7" t="s">
        <v>46</v>
      </c>
      <c r="L159" s="7" t="s">
        <v>50</v>
      </c>
      <c r="M159" s="9" t="s">
        <v>12</v>
      </c>
      <c r="N159" s="10" t="s">
        <v>13</v>
      </c>
    </row>
    <row r="160" spans="1:14" ht="19.5" thickBot="1" x14ac:dyDescent="0.35">
      <c r="A160" s="26" t="s">
        <v>36</v>
      </c>
      <c r="B160" s="13">
        <v>25</v>
      </c>
      <c r="C160" s="12">
        <v>56</v>
      </c>
      <c r="D160" s="12">
        <v>55</v>
      </c>
      <c r="E160" s="13">
        <v>8</v>
      </c>
      <c r="F160" s="13">
        <v>88</v>
      </c>
      <c r="G160" s="13">
        <v>27</v>
      </c>
      <c r="H160" s="13">
        <v>53</v>
      </c>
      <c r="I160" s="13">
        <v>41</v>
      </c>
      <c r="J160" s="13">
        <v>81</v>
      </c>
      <c r="K160" s="12">
        <v>66</v>
      </c>
      <c r="L160" s="12">
        <v>52</v>
      </c>
      <c r="M160" s="13">
        <f>SUM(Table112404142444647495051535658596061628113418[[#This Row],[BOX 1]:[BOX 12]])</f>
        <v>552</v>
      </c>
      <c r="N160" s="13">
        <v>5</v>
      </c>
    </row>
    <row r="161" spans="1:14" ht="19.5" thickBot="1" x14ac:dyDescent="0.3">
      <c r="A161" s="17" t="s">
        <v>14</v>
      </c>
      <c r="B161" s="20">
        <f>SUBTOTAL(109,Table112404142444647495051535658596061628113418[BOX 1])</f>
        <v>25</v>
      </c>
      <c r="C161" s="21">
        <f>SUBTOTAL(109,Table112404142444647495051535658596061628113418[BOX 2])</f>
        <v>56</v>
      </c>
      <c r="D161" s="21">
        <f>SUBTOTAL(109,Table112404142444647495051535658596061628113418[BOX 3])</f>
        <v>55</v>
      </c>
      <c r="E161" s="21">
        <f>SUBTOTAL(109,Table112404142444647495051535658596061628113418[BOX 4])</f>
        <v>8</v>
      </c>
      <c r="F161" s="21">
        <f>SUBTOTAL(109,Table112404142444647495051535658596061628113418[BOX 5])</f>
        <v>88</v>
      </c>
      <c r="G161" s="21">
        <f>SUBTOTAL(109,Table112404142444647495051535658596061628113418[BOX 6])</f>
        <v>27</v>
      </c>
      <c r="H161" s="21">
        <f>SUBTOTAL(109,Table112404142444647495051535658596061628113418[BOX 7])</f>
        <v>53</v>
      </c>
      <c r="I161" s="21">
        <f>SUBTOTAL(109,Table112404142444647495051535658596061628113418[BOX 8])</f>
        <v>41</v>
      </c>
      <c r="J161" s="21">
        <f>SUBTOTAL(109,Table112404142444647495051535658596061628113418[BOX 10])</f>
        <v>81</v>
      </c>
      <c r="K161" s="21">
        <f>SUBTOTAL(109,Table112404142444647495051535658596061628113418[BOX 11])</f>
        <v>66</v>
      </c>
      <c r="L161" s="21">
        <f>SUBTOTAL(109,Table112404142444647495051535658596061628113418[BOX 12])</f>
        <v>52</v>
      </c>
      <c r="M161" s="21">
        <f>SUBTOTAL(109,Table112404142444647495051535658596061628113418[TOTAL])</f>
        <v>552</v>
      </c>
      <c r="N161" s="31">
        <f>SUBTOTAL(109,Table112404142444647495051535658596061628113418[PROVISIONAL])</f>
        <v>5</v>
      </c>
    </row>
    <row r="162" spans="1:14" ht="15.75" x14ac:dyDescent="0.25">
      <c r="A162" s="18" t="s">
        <v>15</v>
      </c>
      <c r="B162" s="29">
        <v>0</v>
      </c>
      <c r="C162" s="22">
        <v>0</v>
      </c>
      <c r="D162" s="22">
        <v>0</v>
      </c>
      <c r="E162" s="22">
        <v>0</v>
      </c>
      <c r="F162" s="22">
        <v>0</v>
      </c>
      <c r="G162" s="22">
        <v>0</v>
      </c>
      <c r="H162" s="30">
        <v>0</v>
      </c>
      <c r="I162" s="30">
        <v>0</v>
      </c>
      <c r="J162" s="22">
        <v>0</v>
      </c>
      <c r="K162" s="22">
        <v>0</v>
      </c>
      <c r="L162" s="22">
        <v>0</v>
      </c>
      <c r="M162" s="30">
        <f>SUM(B162:L162)</f>
        <v>0</v>
      </c>
      <c r="N162" s="30">
        <v>0</v>
      </c>
    </row>
    <row r="163" spans="1:14" x14ac:dyDescent="0.25">
      <c r="A163" s="33" t="s">
        <v>16</v>
      </c>
      <c r="B163" s="28">
        <v>14</v>
      </c>
      <c r="C163" s="28">
        <v>25</v>
      </c>
      <c r="D163" s="28">
        <v>30</v>
      </c>
      <c r="E163" s="28">
        <v>22</v>
      </c>
      <c r="F163" s="28">
        <v>105</v>
      </c>
      <c r="G163" s="28">
        <v>14</v>
      </c>
      <c r="H163" s="28">
        <v>47</v>
      </c>
      <c r="I163" s="28">
        <v>29</v>
      </c>
      <c r="J163" s="28">
        <v>51</v>
      </c>
      <c r="K163" s="28">
        <v>32</v>
      </c>
      <c r="L163" s="28">
        <v>46</v>
      </c>
      <c r="M163" s="28">
        <f>SUM(B163:L163)</f>
        <v>415</v>
      </c>
      <c r="N163" s="28">
        <v>1</v>
      </c>
    </row>
    <row r="166" spans="1:14" ht="31.5" x14ac:dyDescent="0.25">
      <c r="A166" s="32" t="s">
        <v>103</v>
      </c>
      <c r="B166" s="48" t="s">
        <v>6</v>
      </c>
      <c r="C166" s="48"/>
      <c r="D166" s="48"/>
    </row>
    <row r="167" spans="1:14" x14ac:dyDescent="0.25">
      <c r="A167" s="34" t="s">
        <v>37</v>
      </c>
      <c r="B167" s="40" t="s">
        <v>38</v>
      </c>
      <c r="C167" s="40"/>
      <c r="D167" s="40"/>
    </row>
    <row r="168" spans="1:14" x14ac:dyDescent="0.25">
      <c r="A168" s="34" t="s">
        <v>39</v>
      </c>
      <c r="B168" s="40" t="s">
        <v>40</v>
      </c>
      <c r="C168" s="40"/>
      <c r="D168" s="40"/>
    </row>
    <row r="169" spans="1:14" x14ac:dyDescent="0.25">
      <c r="A169" s="35" t="s">
        <v>41</v>
      </c>
      <c r="B169" s="41" t="s">
        <v>104</v>
      </c>
      <c r="C169" s="41"/>
      <c r="D169" s="41"/>
    </row>
    <row r="170" spans="1:14" x14ac:dyDescent="0.25">
      <c r="A170" s="34" t="s">
        <v>105</v>
      </c>
      <c r="B170" s="40" t="s">
        <v>106</v>
      </c>
      <c r="C170" s="40"/>
      <c r="D170" s="40"/>
    </row>
    <row r="171" spans="1:14" x14ac:dyDescent="0.25">
      <c r="A171" s="34" t="s">
        <v>107</v>
      </c>
      <c r="B171" s="40" t="s">
        <v>108</v>
      </c>
      <c r="C171" s="40"/>
      <c r="D171" s="40"/>
    </row>
    <row r="172" spans="1:14" ht="15.75" customHeight="1" x14ac:dyDescent="0.25">
      <c r="A172" s="34" t="s">
        <v>109</v>
      </c>
      <c r="B172" s="40" t="s">
        <v>110</v>
      </c>
      <c r="C172" s="40"/>
      <c r="D172" s="40"/>
    </row>
    <row r="173" spans="1:14" x14ac:dyDescent="0.25">
      <c r="A173" s="34" t="s">
        <v>111</v>
      </c>
      <c r="B173" s="40" t="s">
        <v>42</v>
      </c>
      <c r="C173" s="40"/>
      <c r="D173" s="40"/>
    </row>
    <row r="174" spans="1:14" x14ac:dyDescent="0.25">
      <c r="A174" s="34" t="s">
        <v>112</v>
      </c>
      <c r="B174" s="40" t="s">
        <v>115</v>
      </c>
      <c r="C174" s="40"/>
      <c r="D174" s="40"/>
    </row>
    <row r="175" spans="1:14" x14ac:dyDescent="0.25">
      <c r="A175" s="34" t="s">
        <v>113</v>
      </c>
      <c r="B175" s="40" t="s">
        <v>116</v>
      </c>
      <c r="C175" s="40"/>
      <c r="D175" s="40"/>
    </row>
    <row r="176" spans="1:14" x14ac:dyDescent="0.25">
      <c r="A176" s="34" t="s">
        <v>114</v>
      </c>
      <c r="B176" s="40" t="s">
        <v>43</v>
      </c>
      <c r="C176" s="40"/>
      <c r="D176" s="36"/>
    </row>
    <row r="216" spans="8:14" s="34" customFormat="1" x14ac:dyDescent="0.25">
      <c r="H216" s="1"/>
      <c r="I216" s="1"/>
      <c r="J216" s="1"/>
      <c r="K216" s="2"/>
      <c r="L216" s="1"/>
      <c r="M216" s="1"/>
      <c r="N216" s="1"/>
    </row>
    <row r="217" spans="8:14" s="34" customFormat="1" ht="15" customHeight="1" x14ac:dyDescent="0.25">
      <c r="H217" s="1"/>
      <c r="I217" s="1"/>
      <c r="J217" s="1"/>
      <c r="K217" s="2"/>
      <c r="L217" s="1"/>
      <c r="M217" s="1"/>
      <c r="N217" s="1"/>
    </row>
    <row r="218" spans="8:14" s="34" customFormat="1" x14ac:dyDescent="0.25">
      <c r="H218" s="1"/>
      <c r="I218" s="1"/>
      <c r="J218" s="1"/>
      <c r="K218" s="2"/>
      <c r="L218" s="1"/>
      <c r="M218" s="1"/>
      <c r="N218" s="1"/>
    </row>
    <row r="219" spans="8:14" s="34" customFormat="1" x14ac:dyDescent="0.25">
      <c r="H219" s="1"/>
      <c r="I219" s="1"/>
      <c r="J219" s="1"/>
      <c r="K219" s="2"/>
      <c r="L219" s="1"/>
      <c r="M219" s="1"/>
      <c r="N219" s="1"/>
    </row>
    <row r="220" spans="8:14" s="34" customFormat="1" x14ac:dyDescent="0.25">
      <c r="H220" s="1"/>
      <c r="I220" s="1"/>
      <c r="J220" s="1"/>
      <c r="K220" s="2"/>
      <c r="L220" s="1"/>
      <c r="M220" s="1"/>
      <c r="N220" s="1"/>
    </row>
    <row r="221" spans="8:14" s="34" customFormat="1" x14ac:dyDescent="0.25">
      <c r="H221" s="1"/>
      <c r="I221" s="1"/>
      <c r="J221" s="1"/>
      <c r="K221" s="2"/>
      <c r="L221" s="1"/>
      <c r="M221" s="1"/>
      <c r="N221" s="1"/>
    </row>
    <row r="222" spans="8:14" s="34" customFormat="1" x14ac:dyDescent="0.25">
      <c r="H222" s="1"/>
      <c r="I222" s="1"/>
      <c r="J222" s="1"/>
      <c r="K222" s="2"/>
      <c r="L222" s="1"/>
      <c r="M222" s="1"/>
      <c r="N222" s="1"/>
    </row>
    <row r="223" spans="8:14" s="34" customFormat="1" x14ac:dyDescent="0.25">
      <c r="H223" s="1"/>
      <c r="I223" s="1"/>
      <c r="J223" s="1"/>
      <c r="K223" s="2"/>
      <c r="L223" s="1"/>
      <c r="M223" s="1"/>
      <c r="N223" s="1"/>
    </row>
    <row r="224" spans="8:14" s="34" customFormat="1" x14ac:dyDescent="0.25">
      <c r="H224" s="1"/>
      <c r="I224" s="1"/>
      <c r="J224" s="1"/>
      <c r="K224" s="2"/>
      <c r="L224" s="1"/>
      <c r="M224" s="1"/>
      <c r="N224" s="1"/>
    </row>
  </sheetData>
  <mergeCells count="15">
    <mergeCell ref="B174:D174"/>
    <mergeCell ref="B175:D175"/>
    <mergeCell ref="B176:C176"/>
    <mergeCell ref="B168:D168"/>
    <mergeCell ref="B169:D169"/>
    <mergeCell ref="B170:D170"/>
    <mergeCell ref="B171:D171"/>
    <mergeCell ref="B172:D172"/>
    <mergeCell ref="B173:D173"/>
    <mergeCell ref="B167:D167"/>
    <mergeCell ref="A1:K1"/>
    <mergeCell ref="A2:E2"/>
    <mergeCell ref="F2:G2"/>
    <mergeCell ref="H2:I2"/>
    <mergeCell ref="B166:D166"/>
  </mergeCells>
  <printOptions horizontalCentered="1" verticalCentered="1" gridLines="1"/>
  <pageMargins left="0.25" right="0.25" top="0.75" bottom="0.75" header="0.3" footer="0.3"/>
  <pageSetup scale="77" fitToHeight="0" orientation="landscape" r:id="rId1"/>
  <headerFooter>
    <oddHeader>&amp;L&amp;"Times New Roman,Bold"&amp;14&amp;K000000NOVEMBER 3, 2020 
REEVES COUNTY TEXAS&amp;C&amp;"Times New Roman,Bold"&amp;14&amp;K000000GENERAL ELECTION&amp;R&amp;"Times New Roman,Bold"&amp;14&amp;K000000ELECTION DAY (ED)- BY PRICINCT TOTALS</oddHeader>
  </headerFooter>
  <tableParts count="1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95FDF-A8A6-4FDB-8192-C36B46EAA34C}">
  <dimension ref="A1:L30"/>
  <sheetViews>
    <sheetView workbookViewId="0">
      <selection activeCell="F7" sqref="F7:F9"/>
    </sheetView>
  </sheetViews>
  <sheetFormatPr defaultRowHeight="15" x14ac:dyDescent="0.25"/>
  <cols>
    <col min="1" max="1" width="25.85546875" bestFit="1" customWidth="1"/>
    <col min="2" max="2" width="12" bestFit="1" customWidth="1"/>
    <col min="3" max="4" width="12.5703125" bestFit="1" customWidth="1"/>
    <col min="5" max="5" width="12.28515625" bestFit="1" customWidth="1"/>
    <col min="8" max="8" width="25.85546875" bestFit="1" customWidth="1"/>
    <col min="9" max="9" width="12" bestFit="1" customWidth="1"/>
    <col min="10" max="10" width="10.85546875" bestFit="1" customWidth="1"/>
    <col min="11" max="11" width="12.5703125" bestFit="1" customWidth="1"/>
    <col min="13" max="13" width="12.28515625" bestFit="1" customWidth="1"/>
  </cols>
  <sheetData>
    <row r="1" spans="1:12" ht="45" x14ac:dyDescent="0.25">
      <c r="A1" s="32" t="s">
        <v>21</v>
      </c>
      <c r="B1" s="4" t="s">
        <v>48</v>
      </c>
      <c r="C1" s="4" t="s">
        <v>1</v>
      </c>
      <c r="D1" s="4" t="s">
        <v>4</v>
      </c>
      <c r="E1" s="5"/>
      <c r="F1" s="5"/>
      <c r="H1" s="32" t="s">
        <v>21</v>
      </c>
      <c r="I1" s="4" t="s">
        <v>48</v>
      </c>
      <c r="J1" s="4" t="s">
        <v>1</v>
      </c>
      <c r="K1" s="4" t="s">
        <v>4</v>
      </c>
      <c r="L1" s="5"/>
    </row>
    <row r="2" spans="1:12" ht="15.75" x14ac:dyDescent="0.25">
      <c r="A2" s="6" t="s">
        <v>121</v>
      </c>
      <c r="B2" s="7" t="s">
        <v>122</v>
      </c>
      <c r="C2" s="8" t="s">
        <v>123</v>
      </c>
      <c r="D2" s="8" t="s">
        <v>124</v>
      </c>
      <c r="E2" s="9" t="s">
        <v>12</v>
      </c>
      <c r="F2" s="55"/>
      <c r="H2" s="6" t="s">
        <v>121</v>
      </c>
      <c r="I2" s="7" t="s">
        <v>122</v>
      </c>
      <c r="J2" s="8" t="s">
        <v>123</v>
      </c>
      <c r="K2" s="8" t="s">
        <v>124</v>
      </c>
      <c r="L2" s="9" t="s">
        <v>12</v>
      </c>
    </row>
    <row r="3" spans="1:12" ht="18.75" x14ac:dyDescent="0.3">
      <c r="A3" s="26" t="s">
        <v>73</v>
      </c>
      <c r="B3" s="12">
        <v>9</v>
      </c>
      <c r="C3" s="13">
        <v>12</v>
      </c>
      <c r="D3" s="13">
        <v>11</v>
      </c>
      <c r="E3" s="49">
        <f>SUM(Table11240414267169[[#This Row],[BOX 3 / 51 ]:[BOX 8/ 25 ]])</f>
        <v>32</v>
      </c>
      <c r="F3" s="56"/>
      <c r="H3" s="26" t="s">
        <v>73</v>
      </c>
      <c r="I3" s="12">
        <v>9</v>
      </c>
      <c r="J3" s="13">
        <v>12</v>
      </c>
      <c r="K3" s="13">
        <v>11</v>
      </c>
      <c r="L3" s="13">
        <f>SUM(I3:K3)</f>
        <v>32</v>
      </c>
    </row>
    <row r="4" spans="1:12" ht="18.75" x14ac:dyDescent="0.3">
      <c r="A4" s="26" t="s">
        <v>22</v>
      </c>
      <c r="B4" s="12">
        <v>34</v>
      </c>
      <c r="C4" s="13">
        <v>17</v>
      </c>
      <c r="D4" s="13">
        <v>11</v>
      </c>
      <c r="E4" s="49">
        <f>SUM(Table11240414267169[[#This Row],[BOX 3 / 51 ]:[BOX 8/ 25 ]])</f>
        <v>62</v>
      </c>
      <c r="F4" s="57"/>
      <c r="H4" s="26" t="s">
        <v>22</v>
      </c>
      <c r="I4" s="12">
        <v>35</v>
      </c>
      <c r="J4" s="13">
        <v>17</v>
      </c>
      <c r="K4" s="13">
        <v>11</v>
      </c>
      <c r="L4" s="13">
        <f>SUM(I4:K4)</f>
        <v>63</v>
      </c>
    </row>
    <row r="5" spans="1:12" ht="18.75" x14ac:dyDescent="0.3">
      <c r="A5" s="26" t="s">
        <v>74</v>
      </c>
      <c r="B5" s="12">
        <v>2</v>
      </c>
      <c r="C5" s="13">
        <v>0</v>
      </c>
      <c r="D5" s="13">
        <v>0</v>
      </c>
      <c r="E5" s="49">
        <f>SUM(Table11240414267169[[#This Row],[BOX 3 / 51 ]:[BOX 8/ 25 ]])</f>
        <v>2</v>
      </c>
      <c r="F5" s="57"/>
      <c r="H5" s="26" t="s">
        <v>74</v>
      </c>
      <c r="I5" s="12">
        <v>2</v>
      </c>
      <c r="J5" s="13">
        <v>0</v>
      </c>
      <c r="K5" s="13">
        <v>0</v>
      </c>
      <c r="L5" s="13">
        <f>SUM(I5:K5)</f>
        <v>2</v>
      </c>
    </row>
    <row r="6" spans="1:12" ht="19.5" thickBot="1" x14ac:dyDescent="0.35">
      <c r="A6" s="26" t="s">
        <v>75</v>
      </c>
      <c r="B6" s="12">
        <v>0</v>
      </c>
      <c r="C6" s="13">
        <v>0</v>
      </c>
      <c r="D6" s="13">
        <v>0</v>
      </c>
      <c r="E6" s="49">
        <f>SUM(Table11240414267169[[#This Row],[BOX 3 / 51 ]:[BOX 8/ 25 ]])</f>
        <v>0</v>
      </c>
      <c r="F6" s="57"/>
      <c r="H6" s="26" t="s">
        <v>75</v>
      </c>
      <c r="I6" s="12">
        <v>0</v>
      </c>
      <c r="J6" s="13">
        <v>0</v>
      </c>
      <c r="K6" s="13">
        <v>0</v>
      </c>
      <c r="L6" s="13">
        <f>SUM(I6:K6)</f>
        <v>0</v>
      </c>
    </row>
    <row r="7" spans="1:12" ht="19.5" thickBot="1" x14ac:dyDescent="0.3">
      <c r="A7" s="17" t="s">
        <v>14</v>
      </c>
      <c r="B7" s="21">
        <f>SUBTOTAL(109,Table11240414267169[BOX 3 / 51 ])</f>
        <v>45</v>
      </c>
      <c r="C7" s="21">
        <f>SUBTOTAL(109,Table11240414267169[BOX 5/ 36])</f>
        <v>29</v>
      </c>
      <c r="D7" s="21">
        <f>SUBTOTAL(109,Table11240414267169[BOX 8/ 25 ])</f>
        <v>22</v>
      </c>
      <c r="E7" s="50">
        <f>SUBTOTAL(109,Table11240414267169[TOTAL])</f>
        <v>96</v>
      </c>
      <c r="F7" s="58"/>
      <c r="H7" s="17" t="s">
        <v>14</v>
      </c>
      <c r="I7" s="21">
        <f>SUM(I3:I6)</f>
        <v>46</v>
      </c>
      <c r="J7" s="21">
        <f>SUM(J3:J6)</f>
        <v>29</v>
      </c>
      <c r="K7" s="21">
        <f>SUM(K3:K6)</f>
        <v>22</v>
      </c>
      <c r="L7" s="21">
        <f>SUM(L3:L6)</f>
        <v>97</v>
      </c>
    </row>
    <row r="8" spans="1:12" ht="15.75" x14ac:dyDescent="0.25">
      <c r="A8" s="18" t="s">
        <v>15</v>
      </c>
      <c r="B8" s="22">
        <v>0</v>
      </c>
      <c r="C8" s="22">
        <v>1</v>
      </c>
      <c r="D8" s="30">
        <v>0</v>
      </c>
      <c r="E8" s="51"/>
      <c r="F8" s="38"/>
      <c r="H8" s="18" t="s">
        <v>15</v>
      </c>
      <c r="I8" s="22">
        <v>0</v>
      </c>
      <c r="J8" s="22">
        <v>1</v>
      </c>
      <c r="K8" s="30">
        <v>0</v>
      </c>
      <c r="L8" s="30"/>
    </row>
    <row r="9" spans="1:12" ht="15.75" x14ac:dyDescent="0.25">
      <c r="A9" s="19" t="s">
        <v>16</v>
      </c>
      <c r="B9" s="14">
        <v>6</v>
      </c>
      <c r="C9" s="14">
        <v>6</v>
      </c>
      <c r="D9" s="14">
        <v>3</v>
      </c>
      <c r="E9" s="52"/>
      <c r="F9" s="38"/>
      <c r="H9" s="19" t="s">
        <v>16</v>
      </c>
      <c r="I9" s="14">
        <v>6</v>
      </c>
      <c r="J9" s="14">
        <v>6</v>
      </c>
      <c r="K9" s="14">
        <v>3</v>
      </c>
      <c r="L9" s="28"/>
    </row>
    <row r="12" spans="1:12" ht="78.75" x14ac:dyDescent="0.25">
      <c r="A12" s="32" t="s">
        <v>21</v>
      </c>
      <c r="B12" s="4" t="s">
        <v>48</v>
      </c>
      <c r="C12" s="4" t="s">
        <v>1</v>
      </c>
      <c r="D12" s="4" t="s">
        <v>4</v>
      </c>
      <c r="E12" s="5"/>
      <c r="H12" s="32" t="s">
        <v>21</v>
      </c>
      <c r="I12" s="4" t="s">
        <v>48</v>
      </c>
      <c r="J12" s="4" t="s">
        <v>1</v>
      </c>
      <c r="K12" s="4" t="s">
        <v>4</v>
      </c>
      <c r="L12" s="5"/>
    </row>
    <row r="13" spans="1:12" ht="15.75" x14ac:dyDescent="0.25">
      <c r="A13" s="6" t="s">
        <v>129</v>
      </c>
      <c r="B13" s="7" t="s">
        <v>130</v>
      </c>
      <c r="C13" s="8" t="s">
        <v>131</v>
      </c>
      <c r="D13" s="8" t="s">
        <v>132</v>
      </c>
      <c r="E13" s="9" t="s">
        <v>12</v>
      </c>
      <c r="H13" s="6" t="s">
        <v>129</v>
      </c>
      <c r="I13" s="7" t="s">
        <v>130</v>
      </c>
      <c r="J13" s="8" t="s">
        <v>131</v>
      </c>
      <c r="K13" s="8" t="s">
        <v>132</v>
      </c>
      <c r="L13" s="9" t="s">
        <v>12</v>
      </c>
    </row>
    <row r="14" spans="1:12" ht="18.75" x14ac:dyDescent="0.3">
      <c r="A14" s="26" t="s">
        <v>73</v>
      </c>
      <c r="B14" s="12">
        <v>214</v>
      </c>
      <c r="C14" s="13">
        <v>31</v>
      </c>
      <c r="D14" s="13">
        <v>71</v>
      </c>
      <c r="E14" s="13">
        <f>SUM(B14:D14)</f>
        <v>316</v>
      </c>
      <c r="H14" s="26" t="s">
        <v>73</v>
      </c>
      <c r="I14" s="12">
        <v>215</v>
      </c>
      <c r="J14" s="13">
        <v>31</v>
      </c>
      <c r="K14" s="13">
        <v>70</v>
      </c>
      <c r="L14" s="13">
        <f>SUM(I14:K14)</f>
        <v>316</v>
      </c>
    </row>
    <row r="15" spans="1:12" ht="18.75" x14ac:dyDescent="0.3">
      <c r="A15" s="26" t="s">
        <v>22</v>
      </c>
      <c r="B15" s="12">
        <v>139</v>
      </c>
      <c r="C15" s="13">
        <v>11</v>
      </c>
      <c r="D15" s="13">
        <v>51</v>
      </c>
      <c r="E15" s="13">
        <f>SUM(B15:D15)</f>
        <v>201</v>
      </c>
      <c r="H15" s="26" t="s">
        <v>22</v>
      </c>
      <c r="I15" s="12">
        <v>140</v>
      </c>
      <c r="J15" s="13">
        <v>11</v>
      </c>
      <c r="K15" s="13">
        <v>51</v>
      </c>
      <c r="L15" s="13">
        <f>SUM(I15:K15)</f>
        <v>202</v>
      </c>
    </row>
    <row r="16" spans="1:12" ht="18.75" x14ac:dyDescent="0.3">
      <c r="A16" s="26" t="s">
        <v>74</v>
      </c>
      <c r="B16" s="12">
        <v>10</v>
      </c>
      <c r="C16" s="13">
        <v>0</v>
      </c>
      <c r="D16" s="13">
        <v>3</v>
      </c>
      <c r="E16" s="13">
        <f>SUM(B16:D16)</f>
        <v>13</v>
      </c>
      <c r="H16" s="26" t="s">
        <v>74</v>
      </c>
      <c r="I16" s="12">
        <v>10</v>
      </c>
      <c r="J16" s="13">
        <v>0</v>
      </c>
      <c r="K16" s="13">
        <v>3</v>
      </c>
      <c r="L16" s="13">
        <f>SUM(I16:K16)</f>
        <v>13</v>
      </c>
    </row>
    <row r="17" spans="1:12" ht="19.5" thickBot="1" x14ac:dyDescent="0.35">
      <c r="A17" s="26" t="s">
        <v>75</v>
      </c>
      <c r="B17" s="12">
        <v>3</v>
      </c>
      <c r="C17" s="13">
        <v>1</v>
      </c>
      <c r="D17" s="13">
        <v>1</v>
      </c>
      <c r="E17" s="13">
        <f>SUM(B17:D17)</f>
        <v>5</v>
      </c>
      <c r="H17" s="26" t="s">
        <v>75</v>
      </c>
      <c r="I17" s="12">
        <v>3</v>
      </c>
      <c r="J17" s="13">
        <v>1</v>
      </c>
      <c r="K17" s="13">
        <v>1</v>
      </c>
      <c r="L17" s="13">
        <f>SUM(I17:K17)</f>
        <v>5</v>
      </c>
    </row>
    <row r="18" spans="1:12" ht="19.5" thickBot="1" x14ac:dyDescent="0.3">
      <c r="A18" s="17" t="s">
        <v>14</v>
      </c>
      <c r="B18" s="21">
        <f>SUBTOTAL(109,Table11240414267121[BOX 3])</f>
        <v>366</v>
      </c>
      <c r="C18" s="21">
        <f>SUBTOTAL(109,Table11240414267121[BOX 5])</f>
        <v>43</v>
      </c>
      <c r="D18" s="21">
        <f>SUM(D14:D17)</f>
        <v>126</v>
      </c>
      <c r="E18" s="21">
        <f>SUM(E14:E17)</f>
        <v>535</v>
      </c>
      <c r="H18" s="17" t="s">
        <v>14</v>
      </c>
      <c r="I18" s="21">
        <f>SUM(I14:I17)</f>
        <v>368</v>
      </c>
      <c r="J18" s="21">
        <f>SUM(J14:J17)</f>
        <v>43</v>
      </c>
      <c r="K18" s="21">
        <f>SUM(K14:K17)</f>
        <v>125</v>
      </c>
      <c r="L18" s="21">
        <f>SUM(L14:L17)</f>
        <v>536</v>
      </c>
    </row>
    <row r="19" spans="1:12" ht="15.75" x14ac:dyDescent="0.25">
      <c r="A19" s="18" t="s">
        <v>15</v>
      </c>
      <c r="B19" s="22">
        <v>0</v>
      </c>
      <c r="C19" s="22">
        <v>0</v>
      </c>
      <c r="D19" s="30">
        <v>1</v>
      </c>
      <c r="E19" s="30"/>
      <c r="H19" s="18" t="s">
        <v>15</v>
      </c>
      <c r="I19" s="22">
        <v>0</v>
      </c>
      <c r="J19" s="22">
        <v>0</v>
      </c>
      <c r="K19" s="30">
        <v>1</v>
      </c>
      <c r="L19" s="30"/>
    </row>
    <row r="20" spans="1:12" ht="15.75" x14ac:dyDescent="0.25">
      <c r="A20" s="19" t="s">
        <v>16</v>
      </c>
      <c r="B20" s="14">
        <v>49</v>
      </c>
      <c r="C20" s="14">
        <v>3</v>
      </c>
      <c r="D20" s="14">
        <v>19</v>
      </c>
      <c r="E20" s="28"/>
      <c r="H20" s="19" t="s">
        <v>16</v>
      </c>
      <c r="I20" s="14">
        <v>46</v>
      </c>
      <c r="J20" s="14">
        <v>3</v>
      </c>
      <c r="K20" s="14">
        <v>19</v>
      </c>
      <c r="L20" s="28"/>
    </row>
    <row r="22" spans="1:12" ht="45" x14ac:dyDescent="0.25">
      <c r="A22" s="32" t="s">
        <v>21</v>
      </c>
      <c r="B22" s="4" t="s">
        <v>48</v>
      </c>
      <c r="C22" s="4" t="s">
        <v>1</v>
      </c>
      <c r="D22" s="4" t="s">
        <v>4</v>
      </c>
      <c r="E22" s="5"/>
      <c r="F22" s="5"/>
      <c r="H22" s="32" t="s">
        <v>21</v>
      </c>
      <c r="I22" s="4" t="s">
        <v>48</v>
      </c>
      <c r="J22" s="4" t="s">
        <v>1</v>
      </c>
      <c r="K22" s="4" t="s">
        <v>4</v>
      </c>
      <c r="L22" s="5"/>
    </row>
    <row r="23" spans="1:12" ht="15.75" x14ac:dyDescent="0.25">
      <c r="A23" s="6" t="s">
        <v>136</v>
      </c>
      <c r="B23" s="7" t="s">
        <v>137</v>
      </c>
      <c r="C23" s="8" t="s">
        <v>138</v>
      </c>
      <c r="D23" s="8" t="s">
        <v>139</v>
      </c>
      <c r="E23" s="9" t="s">
        <v>12</v>
      </c>
      <c r="F23" s="10" t="s">
        <v>13</v>
      </c>
      <c r="H23" s="6" t="s">
        <v>133</v>
      </c>
      <c r="I23" s="7" t="s">
        <v>137</v>
      </c>
      <c r="J23" s="8" t="s">
        <v>140</v>
      </c>
      <c r="K23" s="8" t="s">
        <v>141</v>
      </c>
      <c r="L23" s="9" t="s">
        <v>12</v>
      </c>
    </row>
    <row r="24" spans="1:12" ht="18.75" x14ac:dyDescent="0.3">
      <c r="A24" s="26" t="s">
        <v>73</v>
      </c>
      <c r="B24" s="12">
        <v>52</v>
      </c>
      <c r="C24" s="13">
        <v>107</v>
      </c>
      <c r="D24" s="13">
        <v>43</v>
      </c>
      <c r="E24" s="13">
        <f>SUM(Table11240414267121522[[#This Row],[BOX 3/ 85]:[BOX 8/ 70]])</f>
        <v>202</v>
      </c>
      <c r="F24" s="13">
        <v>5</v>
      </c>
      <c r="H24" s="26" t="s">
        <v>73</v>
      </c>
      <c r="I24" s="12">
        <v>52</v>
      </c>
      <c r="J24" s="13">
        <v>107</v>
      </c>
      <c r="K24" s="13">
        <v>43</v>
      </c>
      <c r="L24" s="13">
        <f>SUM(I24:K24)</f>
        <v>202</v>
      </c>
    </row>
    <row r="25" spans="1:12" ht="18.75" x14ac:dyDescent="0.3">
      <c r="A25" s="26" t="s">
        <v>22</v>
      </c>
      <c r="B25" s="12">
        <v>27</v>
      </c>
      <c r="C25" s="13">
        <v>57</v>
      </c>
      <c r="D25" s="13">
        <v>17</v>
      </c>
      <c r="E25" s="13">
        <f>SUM(Table11240414267121522[[#This Row],[BOX 3/ 85]:[BOX 8/ 70]])</f>
        <v>101</v>
      </c>
      <c r="F25" s="14"/>
      <c r="H25" s="26" t="s">
        <v>22</v>
      </c>
      <c r="I25" s="12">
        <v>27</v>
      </c>
      <c r="J25" s="13">
        <v>57</v>
      </c>
      <c r="K25" s="13">
        <v>17</v>
      </c>
      <c r="L25" s="13">
        <f>SUM(I25:K25)</f>
        <v>101</v>
      </c>
    </row>
    <row r="26" spans="1:12" ht="18.75" x14ac:dyDescent="0.3">
      <c r="A26" s="26" t="s">
        <v>74</v>
      </c>
      <c r="B26" s="12">
        <v>1</v>
      </c>
      <c r="C26" s="13">
        <v>3</v>
      </c>
      <c r="D26" s="13">
        <v>3</v>
      </c>
      <c r="E26" s="13">
        <f>SUM(Table11240414267121522[[#This Row],[BOX 3/ 85]:[BOX 8/ 70]])</f>
        <v>7</v>
      </c>
      <c r="F26" s="14">
        <v>1</v>
      </c>
      <c r="H26" s="26" t="s">
        <v>74</v>
      </c>
      <c r="I26" s="12">
        <v>1</v>
      </c>
      <c r="J26" s="13">
        <v>3</v>
      </c>
      <c r="K26" s="13">
        <v>3</v>
      </c>
      <c r="L26" s="13">
        <f>SUM(I26:K26)</f>
        <v>7</v>
      </c>
    </row>
    <row r="27" spans="1:12" ht="19.5" thickBot="1" x14ac:dyDescent="0.35">
      <c r="A27" s="26" t="s">
        <v>75</v>
      </c>
      <c r="B27" s="12">
        <v>0</v>
      </c>
      <c r="C27" s="13">
        <v>0</v>
      </c>
      <c r="D27" s="13">
        <v>1</v>
      </c>
      <c r="E27" s="13">
        <f>SUM(Table11240414267121522[[#This Row],[BOX 3/ 85]:[BOX 8/ 70]])</f>
        <v>1</v>
      </c>
      <c r="F27" s="14"/>
      <c r="H27" s="26" t="s">
        <v>75</v>
      </c>
      <c r="I27" s="12">
        <v>0</v>
      </c>
      <c r="J27" s="13">
        <v>0</v>
      </c>
      <c r="K27" s="13">
        <v>1</v>
      </c>
      <c r="L27" s="13">
        <f>SUM(I27:K27)</f>
        <v>1</v>
      </c>
    </row>
    <row r="28" spans="1:12" ht="19.5" thickBot="1" x14ac:dyDescent="0.3">
      <c r="A28" s="17" t="s">
        <v>14</v>
      </c>
      <c r="B28" s="21">
        <f>SUBTOTAL(109,Table11240414267121522[BOX 3/ 85])</f>
        <v>80</v>
      </c>
      <c r="C28" s="21">
        <f>SUBTOTAL(109,Table11240414267121522[BOX 5 / 193])</f>
        <v>167</v>
      </c>
      <c r="D28" s="21">
        <f>SUBTOTAL(109,Table11240414267121522[BOX 8/ 70])</f>
        <v>64</v>
      </c>
      <c r="E28" s="21">
        <f>SUBTOTAL(109,Table11240414267121522[TOTAL])</f>
        <v>311</v>
      </c>
      <c r="F28" s="31"/>
      <c r="H28" s="17" t="s">
        <v>14</v>
      </c>
      <c r="I28" s="21">
        <f>SUM(I24:I27)</f>
        <v>80</v>
      </c>
      <c r="J28" s="21">
        <f>SUM(J24:J27)</f>
        <v>167</v>
      </c>
      <c r="K28" s="21">
        <f>SUM(K24:K27)</f>
        <v>64</v>
      </c>
      <c r="L28" s="21">
        <f>SUM(L24:L27)</f>
        <v>311</v>
      </c>
    </row>
    <row r="29" spans="1:12" ht="15.75" x14ac:dyDescent="0.25">
      <c r="A29" s="18" t="s">
        <v>15</v>
      </c>
      <c r="B29" s="22">
        <v>0</v>
      </c>
      <c r="C29" s="22">
        <v>0</v>
      </c>
      <c r="D29" s="30">
        <v>0</v>
      </c>
      <c r="E29" s="30"/>
      <c r="F29" s="30"/>
      <c r="H29" s="18" t="s">
        <v>15</v>
      </c>
      <c r="I29" s="22">
        <v>0</v>
      </c>
      <c r="J29" s="22">
        <v>0</v>
      </c>
      <c r="K29" s="30">
        <v>0</v>
      </c>
      <c r="L29" s="30"/>
    </row>
    <row r="30" spans="1:12" ht="15.75" x14ac:dyDescent="0.25">
      <c r="A30" s="19" t="s">
        <v>16</v>
      </c>
      <c r="B30" s="14">
        <v>5</v>
      </c>
      <c r="C30" s="14">
        <v>26</v>
      </c>
      <c r="D30" s="14">
        <v>6</v>
      </c>
      <c r="E30" s="28"/>
      <c r="F30" s="28"/>
      <c r="H30" s="19" t="s">
        <v>16</v>
      </c>
      <c r="I30" s="14">
        <v>5</v>
      </c>
      <c r="J30" s="14">
        <v>26</v>
      </c>
      <c r="K30" s="14">
        <v>6</v>
      </c>
      <c r="L30" s="28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REEVES COUNTY GENERAL ELECT AV</vt:lpstr>
      <vt:lpstr>REEVES COUNTY GENERAL ELECT EV</vt:lpstr>
      <vt:lpstr>REEVES COUNTY GENERAL ELECT ED</vt:lpstr>
      <vt:lpstr>MAN RECOUNT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Kellie</dc:creator>
  <cp:lastModifiedBy>Kellie</cp:lastModifiedBy>
  <cp:lastPrinted>2020-11-24T14:22:54Z</cp:lastPrinted>
  <dcterms:created xsi:type="dcterms:W3CDTF">2020-11-19T19:35:55Z</dcterms:created>
  <dcterms:modified xsi:type="dcterms:W3CDTF">2020-11-25T15:03:04Z</dcterms:modified>
</cp:coreProperties>
</file>