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\Desktop\IE7200\partial exam\"/>
    </mc:Choice>
  </mc:AlternateContent>
  <xr:revisionPtr revIDLastSave="0" documentId="13_ncr:1_{145CBA7E-9487-48FB-8227-8657F703B1D6}" xr6:coauthVersionLast="47" xr6:coauthVersionMax="47" xr10:uidLastSave="{00000000-0000-0000-0000-000000000000}"/>
  <bookViews>
    <workbookView xWindow="28680" yWindow="-105" windowWidth="29040" windowHeight="15720" activeTab="1" xr2:uid="{7130A491-4DFE-4634-9881-31750FF93C80}"/>
  </bookViews>
  <sheets>
    <sheet name="U example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3" l="1"/>
  <c r="J7" i="3"/>
  <c r="J8" i="3"/>
  <c r="J11" i="3"/>
  <c r="J12" i="3"/>
  <c r="J13" i="3"/>
  <c r="J14" i="3"/>
  <c r="J17" i="3"/>
  <c r="J18" i="3"/>
  <c r="J19" i="3"/>
  <c r="J22" i="3"/>
  <c r="E22" i="3" l="1"/>
  <c r="I19" i="3"/>
  <c r="H18" i="3"/>
  <c r="I14" i="3"/>
  <c r="I13" i="3"/>
  <c r="H17" i="3"/>
  <c r="H11" i="3"/>
  <c r="K6" i="3"/>
  <c r="E13" i="3"/>
  <c r="E12" i="3"/>
  <c r="E11" i="3"/>
  <c r="I8" i="3"/>
  <c r="I7" i="3"/>
  <c r="I6" i="3"/>
  <c r="H6" i="3"/>
  <c r="G6" i="3"/>
  <c r="F6" i="3"/>
  <c r="E6" i="3"/>
  <c r="Y19" i="3"/>
  <c r="X19" i="3"/>
  <c r="W19" i="3"/>
  <c r="U19" i="3"/>
  <c r="U8" i="3"/>
  <c r="X7" i="3"/>
  <c r="W7" i="3"/>
  <c r="W6" i="3"/>
  <c r="X6" i="3" s="1"/>
  <c r="Y6" i="3" s="1"/>
  <c r="W8" i="3"/>
  <c r="W11" i="3"/>
  <c r="W12" i="3"/>
  <c r="U6" i="3"/>
  <c r="K6" i="1"/>
  <c r="J6" i="1"/>
  <c r="U7" i="3"/>
  <c r="W18" i="3"/>
  <c r="X18" i="3" s="1"/>
  <c r="Y18" i="3" s="1"/>
  <c r="G18" i="3" s="1"/>
  <c r="E18" i="3" s="1"/>
  <c r="F18" i="3" s="1"/>
  <c r="W17" i="3"/>
  <c r="X17" i="3" s="1"/>
  <c r="J18" i="1"/>
  <c r="J19" i="1"/>
  <c r="K19" i="1" s="1"/>
  <c r="H19" i="1" s="1"/>
  <c r="I19" i="1" s="1"/>
  <c r="L19" i="1" s="1"/>
  <c r="J14" i="1"/>
  <c r="J12" i="1"/>
  <c r="J13" i="1"/>
  <c r="J11" i="1"/>
  <c r="H6" i="1"/>
  <c r="I6" i="1" s="1"/>
  <c r="L6" i="1" s="1"/>
  <c r="G22" i="1"/>
  <c r="G19" i="1"/>
  <c r="G17" i="1"/>
  <c r="G13" i="1"/>
  <c r="G14" i="1"/>
  <c r="G11" i="1"/>
  <c r="G7" i="1"/>
  <c r="K7" i="1" s="1"/>
  <c r="H7" i="1" s="1"/>
  <c r="I7" i="1" s="1"/>
  <c r="L7" i="1" s="1"/>
  <c r="G6" i="1"/>
  <c r="J8" i="1"/>
  <c r="J7" i="1"/>
  <c r="A22" i="1"/>
  <c r="C22" i="1" s="1"/>
  <c r="A19" i="1"/>
  <c r="C19" i="1" s="1"/>
  <c r="A18" i="1"/>
  <c r="C18" i="1" s="1"/>
  <c r="A17" i="1"/>
  <c r="C17" i="1" s="1"/>
  <c r="A12" i="1"/>
  <c r="C12" i="1" s="1"/>
  <c r="A14" i="1"/>
  <c r="C14" i="1" s="1"/>
  <c r="A13" i="1"/>
  <c r="C13" i="1" s="1"/>
  <c r="A11" i="1"/>
  <c r="C11" i="1" s="1"/>
  <c r="A7" i="1"/>
  <c r="C7" i="1" s="1"/>
  <c r="A8" i="1"/>
  <c r="C8" i="1" s="1"/>
  <c r="A6" i="1"/>
  <c r="C6" i="1" s="1"/>
  <c r="J22" i="1" s="1"/>
  <c r="K22" i="1" s="1"/>
  <c r="I18" i="3" l="1"/>
  <c r="G18" i="1"/>
  <c r="K18" i="1" s="1"/>
  <c r="H18" i="1" s="1"/>
  <c r="I18" i="1" s="1"/>
  <c r="L18" i="1" s="1"/>
  <c r="K13" i="1"/>
  <c r="H13" i="1" s="1"/>
  <c r="I13" i="1" s="1"/>
  <c r="L13" i="1" s="1"/>
  <c r="K14" i="1"/>
  <c r="H14" i="1" s="1"/>
  <c r="I14" i="1" s="1"/>
  <c r="L14" i="1" s="1"/>
  <c r="K11" i="1"/>
  <c r="H11" i="1" s="1"/>
  <c r="G8" i="1"/>
  <c r="K8" i="1" s="1"/>
  <c r="H8" i="1" s="1"/>
  <c r="I8" i="1" s="1"/>
  <c r="L8" i="1" s="1"/>
  <c r="J17" i="1"/>
  <c r="G12" i="1"/>
  <c r="F22" i="3" l="1"/>
  <c r="W22" i="3"/>
  <c r="X22" i="3" s="1"/>
  <c r="Y22" i="3" s="1"/>
  <c r="G22" i="3" s="1"/>
  <c r="W14" i="3"/>
  <c r="U14" i="3"/>
  <c r="U13" i="3"/>
  <c r="W13" i="3"/>
  <c r="Y17" i="3"/>
  <c r="U12" i="3"/>
  <c r="X11" i="3"/>
  <c r="Y11" i="3" s="1"/>
  <c r="G11" i="3" s="1"/>
  <c r="F11" i="3"/>
  <c r="I11" i="3" s="1"/>
  <c r="I11" i="1"/>
  <c r="G17" i="3" l="1"/>
  <c r="E17" i="3" s="1"/>
  <c r="F17" i="3" s="1"/>
  <c r="X12" i="3"/>
  <c r="Y12" i="3" s="1"/>
  <c r="G12" i="3" s="1"/>
  <c r="G19" i="3"/>
  <c r="X14" i="3"/>
  <c r="Y14" i="3" s="1"/>
  <c r="G14" i="3" s="1"/>
  <c r="X13" i="3"/>
  <c r="Y13" i="3" s="1"/>
  <c r="G13" i="3" s="1"/>
  <c r="X8" i="3"/>
  <c r="Y8" i="3" s="1"/>
  <c r="G8" i="3" s="1"/>
  <c r="Y7" i="3"/>
  <c r="G7" i="3" s="1"/>
  <c r="L11" i="1"/>
  <c r="H19" i="3" l="1"/>
  <c r="E19" i="3"/>
  <c r="F19" i="3" s="1"/>
  <c r="H12" i="3"/>
  <c r="I12" i="3" s="1"/>
  <c r="F12" i="3"/>
  <c r="H8" i="3"/>
  <c r="E8" i="3"/>
  <c r="F8" i="3" s="1"/>
  <c r="H7" i="3"/>
  <c r="E7" i="3"/>
  <c r="F7" i="3" s="1"/>
  <c r="H14" i="3"/>
  <c r="E14" i="3"/>
  <c r="F14" i="3" s="1"/>
  <c r="H13" i="3"/>
  <c r="F13" i="3"/>
  <c r="N6" i="1"/>
  <c r="K12" i="1" l="1"/>
  <c r="H12" i="1" s="1"/>
  <c r="I12" i="1" s="1"/>
  <c r="L12" i="1" s="1"/>
  <c r="N11" i="1" s="1"/>
  <c r="K17" i="1" s="1"/>
  <c r="H17" i="1" l="1"/>
  <c r="I17" i="1" s="1"/>
  <c r="L17" i="1" s="1"/>
  <c r="N16" i="1" s="1"/>
  <c r="I17" i="3" l="1"/>
  <c r="K17" i="3" s="1"/>
  <c r="H22" i="3" s="1"/>
  <c r="I22" i="3" l="1"/>
</calcChain>
</file>

<file path=xl/sharedStrings.xml><?xml version="1.0" encoding="utf-8"?>
<sst xmlns="http://schemas.openxmlformats.org/spreadsheetml/2006/main" count="186" uniqueCount="50">
  <si>
    <t xml:space="preserve">Buy </t>
  </si>
  <si>
    <t>Make</t>
  </si>
  <si>
    <t>Make H</t>
  </si>
  <si>
    <t>Make P</t>
  </si>
  <si>
    <t>Make S</t>
  </si>
  <si>
    <t>Buy W</t>
  </si>
  <si>
    <t>C</t>
  </si>
  <si>
    <t>==&gt; W</t>
  </si>
  <si>
    <t>==&gt; U</t>
  </si>
  <si>
    <t>Cost</t>
  </si>
  <si>
    <t>Total</t>
  </si>
  <si>
    <t>Qty</t>
  </si>
  <si>
    <t>Component</t>
  </si>
  <si>
    <t>Minimum</t>
  </si>
  <si>
    <t>Decision</t>
  </si>
  <si>
    <t>A</t>
  </si>
  <si>
    <t>B</t>
  </si>
  <si>
    <t>==&gt; ABC</t>
  </si>
  <si>
    <t>ABC</t>
  </si>
  <si>
    <t>D</t>
  </si>
  <si>
    <t>ABCD</t>
  </si>
  <si>
    <t>E</t>
  </si>
  <si>
    <t>F</t>
  </si>
  <si>
    <t>G</t>
  </si>
  <si>
    <t>==&gt; ABCDEFG</t>
  </si>
  <si>
    <t>ABCDEFG</t>
  </si>
  <si>
    <t># Assy Operations</t>
  </si>
  <si>
    <t>Qty.</t>
  </si>
  <si>
    <t>Assy Operation Cost</t>
  </si>
  <si>
    <t>Make Cost Total</t>
  </si>
  <si>
    <t>Make Cost Total/Component</t>
  </si>
  <si>
    <t>NA</t>
  </si>
  <si>
    <t>Raw Material Cost</t>
  </si>
  <si>
    <t># Elements</t>
  </si>
  <si>
    <t># Components</t>
  </si>
  <si>
    <t>#Assy Ops</t>
  </si>
  <si>
    <t>EF</t>
  </si>
  <si>
    <t>Costs</t>
  </si>
  <si>
    <t>Level 1</t>
  </si>
  <si>
    <t>Level 2</t>
  </si>
  <si>
    <t>Level 3</t>
  </si>
  <si>
    <t>Element</t>
  </si>
  <si>
    <t>Assy</t>
  </si>
  <si>
    <t>Buy (% of Make Cost)</t>
  </si>
  <si>
    <t>Total Demand:</t>
  </si>
  <si>
    <t>Final Assy Cost</t>
  </si>
  <si>
    <t>N/A</t>
  </si>
  <si>
    <t>Level 0</t>
  </si>
  <si>
    <t>Buy Cost</t>
  </si>
  <si>
    <t>==&gt; ABCD
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</si>
</sst>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sz val="9"/>
      <name val="新細明體"/>
      <family val="3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0" xfId="0" applyFont="1" applyAlignment="1">
      <alignment horizontal="center" vertical="center"/>
    </xf>
    <xf numFmtId="0" fontId="1" fillId="0" borderId="15" xfId="0" applyFont="1" applyBorder="1"/>
    <xf numFmtId="49" fontId="1" fillId="0" borderId="15" xfId="0" applyNumberFormat="1" applyFont="1" applyBorder="1" applyAlignment="1">
      <alignment horizontal="center" vertical="center"/>
    </xf>
    <xf numFmtId="0" fontId="1" fillId="5" borderId="0" xfId="0" applyFont="1" applyFill="1"/>
    <xf numFmtId="0" fontId="1" fillId="0" borderId="17" xfId="0" applyFont="1" applyBorder="1"/>
    <xf numFmtId="0" fontId="1" fillId="0" borderId="18" xfId="0" applyFont="1" applyBorder="1"/>
    <xf numFmtId="0" fontId="1" fillId="4" borderId="1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4" xfId="0" applyBorder="1"/>
    <xf numFmtId="0" fontId="1" fillId="2" borderId="6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0" xfId="0" applyFont="1" applyFill="1" applyBorder="1"/>
    <xf numFmtId="2" fontId="1" fillId="0" borderId="1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/>
    </xf>
    <xf numFmtId="2" fontId="1" fillId="0" borderId="23" xfId="0" applyNumberFormat="1" applyFont="1" applyBorder="1" applyAlignment="1">
      <alignment horizontal="center"/>
    </xf>
    <xf numFmtId="2" fontId="1" fillId="0" borderId="22" xfId="0" applyNumberFormat="1" applyFont="1" applyBorder="1" applyAlignment="1">
      <alignment horizontal="center"/>
    </xf>
    <xf numFmtId="2" fontId="1" fillId="0" borderId="21" xfId="0" applyNumberFormat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1" fillId="6" borderId="19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0" fillId="5" borderId="8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6" borderId="0" xfId="0" applyFont="1" applyFill="1" applyAlignment="1">
      <alignment horizontal="center" vertical="center"/>
    </xf>
    <xf numFmtId="0" fontId="1" fillId="0" borderId="7" xfId="0" applyFont="1" applyBorder="1"/>
    <xf numFmtId="0" fontId="1" fillId="0" borderId="30" xfId="0" applyFont="1" applyBorder="1"/>
    <xf numFmtId="0" fontId="1" fillId="2" borderId="8" xfId="0" applyFont="1" applyFill="1" applyBorder="1" applyAlignment="1">
      <alignment horizontal="center" vertical="center"/>
    </xf>
    <xf numFmtId="0" fontId="0" fillId="0" borderId="31" xfId="0" applyBorder="1"/>
    <xf numFmtId="0" fontId="1" fillId="0" borderId="31" xfId="0" applyFont="1" applyBorder="1"/>
    <xf numFmtId="0" fontId="0" fillId="0" borderId="32" xfId="0" applyBorder="1"/>
    <xf numFmtId="0" fontId="1" fillId="0" borderId="24" xfId="0" applyFont="1" applyBorder="1"/>
    <xf numFmtId="0" fontId="1" fillId="2" borderId="31" xfId="0" applyFont="1" applyFill="1" applyBorder="1" applyAlignment="1">
      <alignment horizontal="center" vertical="center"/>
    </xf>
    <xf numFmtId="0" fontId="1" fillId="7" borderId="6" xfId="0" applyFont="1" applyFill="1" applyBorder="1"/>
    <xf numFmtId="0" fontId="1" fillId="7" borderId="8" xfId="0" applyFont="1" applyFill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1" fillId="0" borderId="38" xfId="0" applyFont="1" applyBorder="1"/>
    <xf numFmtId="0" fontId="1" fillId="0" borderId="39" xfId="0" applyFont="1" applyBorder="1"/>
    <xf numFmtId="0" fontId="1" fillId="0" borderId="40" xfId="0" applyFont="1" applyBorder="1"/>
    <xf numFmtId="0" fontId="1" fillId="3" borderId="25" xfId="0" applyFont="1" applyFill="1" applyBorder="1" applyAlignment="1">
      <alignment horizontal="center" vertical="center"/>
    </xf>
    <xf numFmtId="0" fontId="1" fillId="3" borderId="21" xfId="0" applyFont="1" applyFill="1" applyBorder="1"/>
    <xf numFmtId="0" fontId="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2" fontId="1" fillId="8" borderId="19" xfId="0" applyNumberFormat="1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2" fontId="1" fillId="8" borderId="9" xfId="0" applyNumberFormat="1" applyFont="1" applyFill="1" applyBorder="1" applyAlignment="1">
      <alignment horizontal="center" vertical="center"/>
    </xf>
    <xf numFmtId="2" fontId="2" fillId="10" borderId="7" xfId="0" applyNumberFormat="1" applyFont="1" applyFill="1" applyBorder="1" applyAlignment="1">
      <alignment horizontal="center" vertical="center"/>
    </xf>
    <xf numFmtId="2" fontId="2" fillId="9" borderId="19" xfId="0" applyNumberFormat="1" applyFont="1" applyFill="1" applyBorder="1" applyAlignment="1">
      <alignment horizontal="center" vertical="center"/>
    </xf>
    <xf numFmtId="2" fontId="2" fillId="9" borderId="3" xfId="0" applyNumberFormat="1" applyFont="1" applyFill="1" applyBorder="1" applyAlignment="1">
      <alignment horizontal="center" vertical="center"/>
    </xf>
    <xf numFmtId="2" fontId="2" fillId="9" borderId="9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center"/>
    </xf>
    <xf numFmtId="2" fontId="1" fillId="6" borderId="10" xfId="0" applyNumberFormat="1" applyFont="1" applyFill="1" applyBorder="1" applyAlignment="1">
      <alignment horizontal="center" vertical="center"/>
    </xf>
    <xf numFmtId="2" fontId="1" fillId="6" borderId="4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2" fontId="2" fillId="10" borderId="2" xfId="0" applyNumberFormat="1" applyFont="1" applyFill="1" applyBorder="1" applyAlignment="1">
      <alignment horizontal="center" vertical="center"/>
    </xf>
    <xf numFmtId="2" fontId="2" fillId="10" borderId="10" xfId="0" applyNumberFormat="1" applyFont="1" applyFill="1" applyBorder="1" applyAlignment="1">
      <alignment horizontal="center" vertical="center"/>
    </xf>
    <xf numFmtId="2" fontId="2" fillId="10" borderId="4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FFF82-B070-459E-95FE-71B8AD328206}">
  <dimension ref="A1:AC64"/>
  <sheetViews>
    <sheetView workbookViewId="0">
      <selection activeCell="J6" sqref="J6"/>
    </sheetView>
  </sheetViews>
  <sheetFormatPr defaultRowHeight="15.75" x14ac:dyDescent="0.25"/>
  <cols>
    <col min="1" max="1" width="14" bestFit="1" customWidth="1"/>
    <col min="2" max="2" width="13.85546875" bestFit="1" customWidth="1"/>
    <col min="3" max="3" width="11.7109375" customWidth="1"/>
    <col min="6" max="6" width="10.85546875" bestFit="1" customWidth="1"/>
    <col min="7" max="7" width="4.140625" bestFit="1" customWidth="1"/>
    <col min="12" max="12" width="9.28515625" bestFit="1" customWidth="1"/>
    <col min="18" max="18" width="21" customWidth="1"/>
  </cols>
  <sheetData>
    <row r="1" spans="1:29" ht="16.5" thickBot="1" x14ac:dyDescent="0.3">
      <c r="B1" s="84" t="s">
        <v>44</v>
      </c>
      <c r="C1" s="85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6.5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86" t="s">
        <v>37</v>
      </c>
      <c r="S2" t="s">
        <v>47</v>
      </c>
      <c r="T2" s="87" t="s">
        <v>38</v>
      </c>
      <c r="U2" s="87" t="s">
        <v>39</v>
      </c>
      <c r="V2" s="88" t="s">
        <v>40</v>
      </c>
      <c r="W2" s="1"/>
      <c r="X2" s="1"/>
      <c r="Y2" s="1"/>
      <c r="Z2" s="1"/>
      <c r="AA2" s="1"/>
      <c r="AB2" s="1"/>
      <c r="AC2" s="1"/>
    </row>
    <row r="3" spans="1:29" ht="17.25" thickTop="1" thickBot="1" x14ac:dyDescent="0.3">
      <c r="A3" t="s">
        <v>34</v>
      </c>
      <c r="B3" s="1" t="s">
        <v>33</v>
      </c>
      <c r="C3" s="1" t="s">
        <v>35</v>
      </c>
      <c r="D3" s="1"/>
      <c r="E3" s="9"/>
      <c r="F3" s="10"/>
      <c r="G3" s="10"/>
      <c r="H3" s="11"/>
      <c r="I3" s="11"/>
      <c r="J3" s="11"/>
      <c r="K3" s="11"/>
      <c r="L3" s="11"/>
      <c r="M3" s="11"/>
      <c r="N3" s="11"/>
      <c r="O3" s="12"/>
      <c r="P3" s="1"/>
      <c r="Q3" s="1"/>
      <c r="R3" s="89" t="s">
        <v>41</v>
      </c>
      <c r="S3">
        <v>7.5</v>
      </c>
      <c r="T3" s="80">
        <v>5</v>
      </c>
      <c r="U3" s="80">
        <v>3</v>
      </c>
      <c r="V3" s="90">
        <v>1.25</v>
      </c>
      <c r="W3" s="1"/>
      <c r="X3" s="1"/>
      <c r="Y3" s="1"/>
      <c r="Z3" s="1"/>
      <c r="AA3" s="1"/>
      <c r="AB3" s="1"/>
      <c r="AC3" s="1"/>
    </row>
    <row r="4" spans="1:29" ht="16.5" thickBot="1" x14ac:dyDescent="0.3">
      <c r="B4" s="1"/>
      <c r="C4" s="1"/>
      <c r="D4" s="1"/>
      <c r="E4" s="13"/>
      <c r="F4" s="14"/>
      <c r="G4" s="14"/>
      <c r="H4" s="105" t="s">
        <v>0</v>
      </c>
      <c r="I4" s="112"/>
      <c r="J4" s="113" t="s">
        <v>1</v>
      </c>
      <c r="K4" s="108"/>
      <c r="L4" s="1"/>
      <c r="M4" s="1"/>
      <c r="N4" s="1"/>
      <c r="O4" s="15"/>
      <c r="P4" s="1"/>
      <c r="Q4" s="1"/>
      <c r="R4" s="89" t="s">
        <v>42</v>
      </c>
      <c r="S4">
        <v>25</v>
      </c>
      <c r="T4" s="80">
        <v>7.5</v>
      </c>
      <c r="U4" s="80">
        <v>5</v>
      </c>
      <c r="V4" s="90">
        <v>2.5</v>
      </c>
      <c r="W4" s="1"/>
      <c r="X4" s="1"/>
      <c r="Y4" s="1"/>
      <c r="Z4" s="1"/>
      <c r="AA4" s="1"/>
      <c r="AB4" s="1"/>
      <c r="AC4" s="1"/>
    </row>
    <row r="5" spans="1:29" ht="16.5" thickBot="1" x14ac:dyDescent="0.3">
      <c r="B5" s="1"/>
      <c r="C5" s="1"/>
      <c r="D5" s="1"/>
      <c r="E5" s="13"/>
      <c r="F5" s="14" t="s">
        <v>12</v>
      </c>
      <c r="G5" s="14" t="s">
        <v>11</v>
      </c>
      <c r="H5" s="20" t="s">
        <v>9</v>
      </c>
      <c r="I5" s="22" t="s">
        <v>10</v>
      </c>
      <c r="J5" s="21" t="s">
        <v>9</v>
      </c>
      <c r="K5" s="23" t="s">
        <v>10</v>
      </c>
      <c r="L5" s="1" t="s">
        <v>13</v>
      </c>
      <c r="M5" s="1" t="s">
        <v>14</v>
      </c>
      <c r="N5" s="1"/>
      <c r="O5" s="15"/>
      <c r="P5" s="1"/>
      <c r="Q5" s="1"/>
      <c r="R5" s="91" t="s">
        <v>43</v>
      </c>
      <c r="T5" s="92">
        <v>0.9</v>
      </c>
      <c r="U5" s="92">
        <v>1.1499999999999999</v>
      </c>
      <c r="V5" s="93">
        <v>0.8</v>
      </c>
      <c r="W5" s="1"/>
      <c r="X5" s="1"/>
      <c r="Y5" s="1"/>
      <c r="Z5" s="1"/>
      <c r="AA5" s="1"/>
      <c r="AB5" s="1"/>
      <c r="AC5" s="1"/>
    </row>
    <row r="6" spans="1:29" ht="16.5" thickBot="1" x14ac:dyDescent="0.3">
      <c r="A6" s="81">
        <f>$C$1*2</f>
        <v>2</v>
      </c>
      <c r="B6" s="82">
        <v>3</v>
      </c>
      <c r="C6" s="82">
        <f>(B6-1)*A6</f>
        <v>4</v>
      </c>
      <c r="D6" s="76"/>
      <c r="E6" s="77"/>
      <c r="F6" s="78" t="s">
        <v>15</v>
      </c>
      <c r="G6" s="14">
        <f>A6</f>
        <v>2</v>
      </c>
      <c r="H6" s="3">
        <f>K6*$V$5</f>
        <v>22</v>
      </c>
      <c r="I6" s="24">
        <f>G6*H6</f>
        <v>44</v>
      </c>
      <c r="J6" s="3">
        <f>B6*$V$3+$C$6*$V$4</f>
        <v>13.75</v>
      </c>
      <c r="K6" s="24">
        <f>G6*J6</f>
        <v>27.5</v>
      </c>
      <c r="L6" s="3">
        <f>MIN(I6,K6)</f>
        <v>27.5</v>
      </c>
      <c r="M6" s="29" t="s">
        <v>2</v>
      </c>
      <c r="N6" s="109">
        <f>L6+L7</f>
        <v>39.5</v>
      </c>
      <c r="O6" s="111" t="s">
        <v>7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6.5" thickBot="1" x14ac:dyDescent="0.3">
      <c r="A7" s="81">
        <f>$C$1</f>
        <v>1</v>
      </c>
      <c r="B7" s="82">
        <v>4</v>
      </c>
      <c r="C7" s="82">
        <f>(B7-1)*A7</f>
        <v>3</v>
      </c>
      <c r="D7" s="76"/>
      <c r="E7" s="77"/>
      <c r="F7" s="78" t="s">
        <v>16</v>
      </c>
      <c r="G7" s="14">
        <f t="shared" ref="G7:G8" si="0">A7</f>
        <v>1</v>
      </c>
      <c r="H7" s="3">
        <f>K7*$V$5</f>
        <v>12</v>
      </c>
      <c r="I7" s="24">
        <f t="shared" ref="I7" si="1">G7*H7</f>
        <v>12</v>
      </c>
      <c r="J7" s="3">
        <f>B7*$V$3+$C$6*$V$4</f>
        <v>15</v>
      </c>
      <c r="K7" s="24">
        <f t="shared" ref="K7:K8" si="2">G7*J7</f>
        <v>15</v>
      </c>
      <c r="L7" s="3">
        <f t="shared" ref="L7:L8" si="3">MIN(I7,K7)</f>
        <v>12</v>
      </c>
      <c r="M7" s="30" t="s">
        <v>3</v>
      </c>
      <c r="N7" s="110"/>
      <c r="O7" s="11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6.5" thickBot="1" x14ac:dyDescent="0.3">
      <c r="A8" s="81">
        <f>$C$1*2</f>
        <v>2</v>
      </c>
      <c r="B8" s="82">
        <v>1</v>
      </c>
      <c r="C8" s="82">
        <f>(B8-1)*A8</f>
        <v>0</v>
      </c>
      <c r="D8" s="76"/>
      <c r="E8" s="77"/>
      <c r="F8" s="78" t="s">
        <v>6</v>
      </c>
      <c r="G8" s="14">
        <f t="shared" si="0"/>
        <v>2</v>
      </c>
      <c r="H8" s="3">
        <f>K8*$V$5</f>
        <v>18</v>
      </c>
      <c r="I8" s="24">
        <f>G8*H8</f>
        <v>36</v>
      </c>
      <c r="J8" s="3">
        <f>B8*$V$3+$C$6*$V$4</f>
        <v>11.25</v>
      </c>
      <c r="K8" s="24">
        <f t="shared" si="2"/>
        <v>22.5</v>
      </c>
      <c r="L8" s="3">
        <f t="shared" si="3"/>
        <v>22.5</v>
      </c>
      <c r="M8" s="14"/>
      <c r="N8" s="75"/>
      <c r="O8" s="1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6.5" thickBot="1" x14ac:dyDescent="0.3">
      <c r="B9" s="1"/>
      <c r="C9" s="1"/>
      <c r="D9" s="1"/>
      <c r="E9" s="13"/>
      <c r="F9" s="1"/>
      <c r="G9" s="1"/>
      <c r="H9" s="105" t="s">
        <v>0</v>
      </c>
      <c r="I9" s="106"/>
      <c r="J9" s="107" t="s">
        <v>1</v>
      </c>
      <c r="K9" s="108"/>
      <c r="L9" s="1"/>
      <c r="M9" s="1"/>
      <c r="N9" s="1"/>
      <c r="O9" s="15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6.5" thickBot="1" x14ac:dyDescent="0.3">
      <c r="B10" s="1"/>
      <c r="C10" s="1"/>
      <c r="D10" s="1"/>
      <c r="E10" s="13"/>
      <c r="F10" s="14" t="s">
        <v>12</v>
      </c>
      <c r="G10" s="14" t="s">
        <v>11</v>
      </c>
      <c r="H10" s="20" t="s">
        <v>9</v>
      </c>
      <c r="I10" s="22" t="s">
        <v>10</v>
      </c>
      <c r="J10" s="21" t="s">
        <v>9</v>
      </c>
      <c r="K10" s="23" t="s">
        <v>10</v>
      </c>
      <c r="L10" s="1" t="s">
        <v>13</v>
      </c>
      <c r="M10" s="1" t="s">
        <v>14</v>
      </c>
      <c r="N10" s="1"/>
      <c r="O10" s="15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6.5" thickBot="1" x14ac:dyDescent="0.3">
      <c r="A11" s="81">
        <f>$C$1</f>
        <v>1</v>
      </c>
      <c r="B11" s="80">
        <v>5</v>
      </c>
      <c r="C11" s="82">
        <f>(B11-1)*A11</f>
        <v>4</v>
      </c>
      <c r="D11" s="80"/>
      <c r="E11" s="80"/>
      <c r="F11" s="83" t="s">
        <v>18</v>
      </c>
      <c r="G11" s="14">
        <f>A11</f>
        <v>1</v>
      </c>
      <c r="H11" s="3">
        <f>K11*$U$5</f>
        <v>40.25</v>
      </c>
      <c r="I11" s="25">
        <f>G11*H11</f>
        <v>40.25</v>
      </c>
      <c r="J11" s="3">
        <f>B11*$U$3+$C$6*$U$4</f>
        <v>35</v>
      </c>
      <c r="K11" s="25">
        <f>G11*J11</f>
        <v>35</v>
      </c>
      <c r="L11" s="3">
        <f>MIN(I11,K11)</f>
        <v>35</v>
      </c>
      <c r="M11" s="29" t="s">
        <v>4</v>
      </c>
      <c r="N11" s="109">
        <f>L11+L12</f>
        <v>143.5</v>
      </c>
      <c r="O11" s="111" t="s">
        <v>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6.5" thickBot="1" x14ac:dyDescent="0.3">
      <c r="A12" s="79">
        <f>$C$1*3</f>
        <v>3</v>
      </c>
      <c r="B12" s="80">
        <v>1</v>
      </c>
      <c r="C12" s="82">
        <f t="shared" ref="C12:C14" si="4">(B12-1)*A12</f>
        <v>0</v>
      </c>
      <c r="D12" s="80"/>
      <c r="E12" s="80"/>
      <c r="F12" s="83" t="s">
        <v>19</v>
      </c>
      <c r="G12" s="14">
        <f t="shared" ref="G12:G14" si="5">A12</f>
        <v>3</v>
      </c>
      <c r="H12" s="3">
        <f>K12*$U$5</f>
        <v>124.77499999999999</v>
      </c>
      <c r="I12" s="26">
        <f>G12*H12</f>
        <v>374.32499999999999</v>
      </c>
      <c r="J12" s="3">
        <f>B12*$U$3+$C$6*$U$4</f>
        <v>23</v>
      </c>
      <c r="K12" s="31">
        <f>G12*J12+N6</f>
        <v>108.5</v>
      </c>
      <c r="L12" s="3">
        <f t="shared" ref="L12:L14" si="6">MIN(I12,K12)</f>
        <v>108.5</v>
      </c>
      <c r="M12" s="30" t="s">
        <v>5</v>
      </c>
      <c r="N12" s="110"/>
      <c r="O12" s="11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6.5" thickBot="1" x14ac:dyDescent="0.3">
      <c r="A13" s="81">
        <f>$C$1</f>
        <v>1</v>
      </c>
      <c r="B13" s="80">
        <v>7</v>
      </c>
      <c r="C13" s="82">
        <f t="shared" si="4"/>
        <v>6</v>
      </c>
      <c r="D13" s="80"/>
      <c r="E13" s="80"/>
      <c r="F13" s="83" t="s">
        <v>21</v>
      </c>
      <c r="G13" s="14">
        <f t="shared" si="5"/>
        <v>1</v>
      </c>
      <c r="H13" s="3">
        <f>K13*$U$5</f>
        <v>47.15</v>
      </c>
      <c r="I13" s="26">
        <f t="shared" ref="I13" si="7">G13*H13</f>
        <v>47.15</v>
      </c>
      <c r="J13" s="3">
        <f>B13*$U$3+$C$6*$U$4</f>
        <v>41</v>
      </c>
      <c r="K13" s="31">
        <f t="shared" ref="K13" si="8">G13*J13+N7</f>
        <v>41</v>
      </c>
      <c r="L13" s="3">
        <f t="shared" si="6"/>
        <v>41</v>
      </c>
      <c r="M13" s="14"/>
      <c r="N13" s="75"/>
      <c r="O13" s="1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6.5" thickBot="1" x14ac:dyDescent="0.3">
      <c r="A14" s="81">
        <f>$C$1</f>
        <v>1</v>
      </c>
      <c r="B14" s="80">
        <v>4</v>
      </c>
      <c r="C14" s="82">
        <f t="shared" si="4"/>
        <v>3</v>
      </c>
      <c r="D14" s="80"/>
      <c r="E14" s="80"/>
      <c r="F14" s="83" t="s">
        <v>22</v>
      </c>
      <c r="G14" s="14">
        <f t="shared" si="5"/>
        <v>1</v>
      </c>
      <c r="H14" s="3">
        <f>K14*$U$5</f>
        <v>36.799999999999997</v>
      </c>
      <c r="I14" s="26">
        <f>G14*H14</f>
        <v>36.799999999999997</v>
      </c>
      <c r="J14" s="3">
        <f>B14*$U$3+$C$6*$U$4</f>
        <v>32</v>
      </c>
      <c r="K14" s="31">
        <f>G14*J14+N8</f>
        <v>32</v>
      </c>
      <c r="L14" s="3">
        <f t="shared" si="6"/>
        <v>32</v>
      </c>
      <c r="M14" s="14"/>
      <c r="N14" s="75"/>
      <c r="O14" s="1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6.5" thickBot="1" x14ac:dyDescent="0.3">
      <c r="B15" s="1"/>
      <c r="C15" s="1"/>
      <c r="D15" s="1"/>
      <c r="E15" s="13"/>
      <c r="F15" s="1"/>
      <c r="G15" s="1"/>
      <c r="H15" s="105" t="s">
        <v>0</v>
      </c>
      <c r="I15" s="106"/>
      <c r="J15" s="107" t="s">
        <v>1</v>
      </c>
      <c r="K15" s="108"/>
      <c r="N15" s="1"/>
      <c r="O15" s="1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6.5" thickBot="1" x14ac:dyDescent="0.3">
      <c r="B16" s="1"/>
      <c r="C16" s="1"/>
      <c r="D16" s="1"/>
      <c r="E16" s="13"/>
      <c r="F16" s="14" t="s">
        <v>12</v>
      </c>
      <c r="G16" s="14" t="s">
        <v>11</v>
      </c>
      <c r="H16" s="4" t="s">
        <v>9</v>
      </c>
      <c r="I16" s="27" t="s">
        <v>10</v>
      </c>
      <c r="J16" s="5" t="s">
        <v>9</v>
      </c>
      <c r="K16" s="28" t="s">
        <v>10</v>
      </c>
      <c r="L16" s="1" t="s">
        <v>13</v>
      </c>
      <c r="M16" s="1" t="s">
        <v>14</v>
      </c>
      <c r="N16" s="109" t="e">
        <f>#REF!+L17</f>
        <v>#REF!</v>
      </c>
      <c r="O16" s="1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6.5" thickBot="1" x14ac:dyDescent="0.3">
      <c r="A17" s="81">
        <f t="shared" ref="A17:A19" si="9">$C$1</f>
        <v>1</v>
      </c>
      <c r="B17" s="80">
        <v>4</v>
      </c>
      <c r="C17" s="82">
        <f>(B17-1)*A17</f>
        <v>3</v>
      </c>
      <c r="D17" s="80"/>
      <c r="E17" s="80"/>
      <c r="F17" s="83" t="s">
        <v>20</v>
      </c>
      <c r="G17" s="14">
        <f>A17</f>
        <v>1</v>
      </c>
      <c r="H17" s="3">
        <f>K17*$T$5</f>
        <v>174.15</v>
      </c>
      <c r="I17" s="26">
        <f>G17*H17</f>
        <v>174.15</v>
      </c>
      <c r="J17" s="3">
        <f>B17*$T$3+$C$6*$T$4</f>
        <v>50</v>
      </c>
      <c r="K17" s="31">
        <f>G17*J17+N11</f>
        <v>193.5</v>
      </c>
      <c r="L17" s="2">
        <f>MIN(I17,K17)</f>
        <v>174.15</v>
      </c>
      <c r="M17" s="30" t="s">
        <v>5</v>
      </c>
      <c r="N17" s="110"/>
      <c r="O17" s="1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6.5" thickBot="1" x14ac:dyDescent="0.3">
      <c r="A18" s="81">
        <f t="shared" si="9"/>
        <v>1</v>
      </c>
      <c r="B18" s="80">
        <v>3</v>
      </c>
      <c r="C18" s="82">
        <f t="shared" ref="C18:C19" si="10">(B18-1)*A18</f>
        <v>2</v>
      </c>
      <c r="D18" s="80"/>
      <c r="E18" s="80"/>
      <c r="F18" s="83" t="s">
        <v>36</v>
      </c>
      <c r="G18" s="14">
        <f t="shared" ref="G18:G19" si="11">A18</f>
        <v>1</v>
      </c>
      <c r="H18" s="3">
        <f>K18*$T$5</f>
        <v>40.5</v>
      </c>
      <c r="I18" s="26">
        <f t="shared" ref="I18:I19" si="12">G18*H18</f>
        <v>40.5</v>
      </c>
      <c r="J18" s="3">
        <f>B18*$T$3+$C$6*$T$4</f>
        <v>45</v>
      </c>
      <c r="K18" s="31">
        <f t="shared" ref="K18" si="13">G18*J18+N12</f>
        <v>45</v>
      </c>
      <c r="L18" s="2">
        <f t="shared" ref="L18:L19" si="14">MIN(I18,K18)</f>
        <v>40.5</v>
      </c>
      <c r="M18" s="14"/>
      <c r="N18" s="75"/>
      <c r="O18" s="1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6.5" thickBot="1" x14ac:dyDescent="0.3">
      <c r="A19" s="81">
        <f t="shared" si="9"/>
        <v>1</v>
      </c>
      <c r="B19" s="80">
        <v>4</v>
      </c>
      <c r="C19" s="82">
        <f t="shared" si="10"/>
        <v>3</v>
      </c>
      <c r="D19" s="80"/>
      <c r="E19" s="80"/>
      <c r="F19" s="83" t="s">
        <v>23</v>
      </c>
      <c r="G19" s="14">
        <f t="shared" si="11"/>
        <v>1</v>
      </c>
      <c r="H19" s="3">
        <f>K19*$T$5</f>
        <v>45</v>
      </c>
      <c r="I19" s="26">
        <f t="shared" si="12"/>
        <v>45</v>
      </c>
      <c r="J19" s="3">
        <f>B19*$T$3+$C$6*$T$4</f>
        <v>50</v>
      </c>
      <c r="K19" s="31">
        <f>G19*J19+N13</f>
        <v>50</v>
      </c>
      <c r="L19" s="2">
        <f t="shared" si="14"/>
        <v>45</v>
      </c>
      <c r="M19" s="14"/>
      <c r="N19" s="75"/>
      <c r="O19" s="1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6.5" thickBot="1" x14ac:dyDescent="0.3">
      <c r="B20" s="1"/>
      <c r="C20" s="1"/>
      <c r="D20" s="1"/>
      <c r="E20" s="13"/>
      <c r="F20" s="1"/>
      <c r="G20" s="1"/>
      <c r="H20" s="105" t="s">
        <v>0</v>
      </c>
      <c r="I20" s="106"/>
      <c r="J20" s="107" t="s">
        <v>1</v>
      </c>
      <c r="K20" s="108"/>
      <c r="L20" s="1"/>
      <c r="M20" s="1"/>
      <c r="N20" s="1"/>
      <c r="O20" s="1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6.5" thickBot="1" x14ac:dyDescent="0.3">
      <c r="B21" s="1"/>
      <c r="C21" s="1"/>
      <c r="D21" s="1"/>
      <c r="E21" s="13"/>
      <c r="F21" s="14" t="s">
        <v>12</v>
      </c>
      <c r="G21" s="14" t="s">
        <v>11</v>
      </c>
      <c r="H21" s="4" t="s">
        <v>9</v>
      </c>
      <c r="I21" s="27" t="s">
        <v>10</v>
      </c>
      <c r="J21" s="5" t="s">
        <v>9</v>
      </c>
      <c r="K21" s="28" t="s">
        <v>10</v>
      </c>
      <c r="L21" s="1" t="s">
        <v>45</v>
      </c>
      <c r="M21" s="1"/>
      <c r="N21" s="1"/>
      <c r="O21" s="1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6.5" thickBot="1" x14ac:dyDescent="0.3">
      <c r="A22" s="81">
        <f>$C$1</f>
        <v>1</v>
      </c>
      <c r="B22" s="80">
        <v>3</v>
      </c>
      <c r="C22" s="82">
        <f>(B22-1)*A22</f>
        <v>2</v>
      </c>
      <c r="D22" s="80"/>
      <c r="E22" s="80"/>
      <c r="F22" s="83" t="s">
        <v>25</v>
      </c>
      <c r="G22" s="14">
        <f>A22</f>
        <v>1</v>
      </c>
      <c r="H22" s="2" t="s">
        <v>46</v>
      </c>
      <c r="I22" s="26" t="s">
        <v>46</v>
      </c>
      <c r="J22" s="3">
        <f>B22*$T$3+$C$6*$T$4</f>
        <v>45</v>
      </c>
      <c r="K22" s="31">
        <f>G22*J22</f>
        <v>45</v>
      </c>
      <c r="L22" s="17"/>
      <c r="M22" s="17"/>
      <c r="N22" s="18"/>
      <c r="O22" s="19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2:29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2:29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2:29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2:29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2:29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2:29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2:29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2:29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2:29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2:29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2:29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2:29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2:29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2:29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2:29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2:29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2:29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2:29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2:29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2:29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2:29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2:29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2:29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2:29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2:29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2:29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2:29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2:29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2:29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2:29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2:29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2:29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</sheetData>
  <mergeCells count="13">
    <mergeCell ref="H4:I4"/>
    <mergeCell ref="J4:K4"/>
    <mergeCell ref="H9:I9"/>
    <mergeCell ref="J9:K9"/>
    <mergeCell ref="J15:K15"/>
    <mergeCell ref="H15:I15"/>
    <mergeCell ref="H20:I20"/>
    <mergeCell ref="J20:K20"/>
    <mergeCell ref="N16:N17"/>
    <mergeCell ref="N6:N7"/>
    <mergeCell ref="O6:O7"/>
    <mergeCell ref="N11:N12"/>
    <mergeCell ref="O11:O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5D67D-14BF-49E4-9A70-AF4B80CD35DC}">
  <dimension ref="A2:Z24"/>
  <sheetViews>
    <sheetView tabSelected="1" zoomScaleNormal="100" workbookViewId="0">
      <selection activeCell="J4" sqref="J4:J5"/>
    </sheetView>
  </sheetViews>
  <sheetFormatPr defaultRowHeight="15.75" x14ac:dyDescent="0.25"/>
  <cols>
    <col min="1" max="1" width="17" customWidth="1"/>
    <col min="2" max="2" width="13.7109375" customWidth="1"/>
    <col min="3" max="3" width="11.140625" bestFit="1" customWidth="1"/>
    <col min="7" max="7" width="6" bestFit="1" customWidth="1"/>
    <col min="10" max="10" width="16.7109375" bestFit="1" customWidth="1"/>
    <col min="12" max="12" width="15.42578125" bestFit="1" customWidth="1"/>
    <col min="13" max="14" width="2.5703125" bestFit="1" customWidth="1"/>
    <col min="15" max="15" width="2" bestFit="1" customWidth="1"/>
    <col min="16" max="16" width="11.140625" bestFit="1" customWidth="1"/>
    <col min="17" max="17" width="4.7109375" bestFit="1" customWidth="1"/>
    <col min="18" max="18" width="13.5703125" bestFit="1" customWidth="1"/>
    <col min="19" max="19" width="17.42578125" bestFit="1" customWidth="1"/>
    <col min="20" max="20" width="18" bestFit="1" customWidth="1"/>
    <col min="21" max="21" width="5.7109375" bestFit="1" customWidth="1"/>
    <col min="22" max="22" width="19.42578125" bestFit="1" customWidth="1"/>
    <col min="23" max="23" width="5.7109375" bestFit="1" customWidth="1"/>
    <col min="24" max="24" width="15.7109375" bestFit="1" customWidth="1"/>
    <col min="25" max="25" width="26.7109375" bestFit="1" customWidth="1"/>
    <col min="26" max="26" width="2" bestFit="1" customWidth="1"/>
  </cols>
  <sheetData>
    <row r="2" spans="1:26" ht="16.5" thickBot="1" x14ac:dyDescent="0.3"/>
    <row r="3" spans="1:26" ht="17.25" thickTop="1" thickBot="1" x14ac:dyDescent="0.3">
      <c r="B3" s="9"/>
      <c r="C3" s="10"/>
      <c r="D3" s="10"/>
      <c r="E3" s="11"/>
      <c r="F3" s="11"/>
      <c r="G3" s="11"/>
      <c r="H3" s="11"/>
      <c r="I3" s="11"/>
      <c r="J3" s="11"/>
      <c r="K3" s="11"/>
      <c r="L3" s="11"/>
      <c r="M3" s="12"/>
      <c r="N3" s="1"/>
      <c r="O3" s="72"/>
      <c r="P3" s="73"/>
      <c r="Q3" s="73"/>
      <c r="R3" s="73"/>
      <c r="S3" s="73"/>
      <c r="T3" s="73"/>
      <c r="U3" s="73"/>
      <c r="V3" s="73"/>
      <c r="W3" s="73"/>
      <c r="X3" s="73"/>
      <c r="Y3" s="73"/>
      <c r="Z3" s="74"/>
    </row>
    <row r="4" spans="1:26" ht="16.5" thickBot="1" x14ac:dyDescent="0.3">
      <c r="B4" s="13"/>
      <c r="C4" s="14"/>
      <c r="D4" s="14"/>
      <c r="E4" s="105" t="s">
        <v>0</v>
      </c>
      <c r="F4" s="112"/>
      <c r="G4" s="107" t="s">
        <v>1</v>
      </c>
      <c r="H4" s="108"/>
      <c r="I4" s="43"/>
      <c r="J4" s="43"/>
      <c r="K4" s="43"/>
      <c r="L4" s="43"/>
      <c r="M4" s="55"/>
      <c r="N4" s="43"/>
      <c r="O4" s="40"/>
      <c r="Z4" s="39"/>
    </row>
    <row r="5" spans="1:26" ht="16.5" thickBot="1" x14ac:dyDescent="0.3">
      <c r="B5" s="13"/>
      <c r="C5" s="14" t="s">
        <v>12</v>
      </c>
      <c r="D5" s="14" t="s">
        <v>27</v>
      </c>
      <c r="E5" s="20" t="s">
        <v>9</v>
      </c>
      <c r="F5" s="22" t="s">
        <v>10</v>
      </c>
      <c r="G5" s="21" t="s">
        <v>9</v>
      </c>
      <c r="H5" s="6" t="s">
        <v>10</v>
      </c>
      <c r="I5" s="43" t="s">
        <v>13</v>
      </c>
      <c r="J5" s="43" t="s">
        <v>14</v>
      </c>
      <c r="K5" s="43"/>
      <c r="L5" s="43"/>
      <c r="M5" s="55"/>
      <c r="N5" s="43"/>
      <c r="O5" s="40"/>
      <c r="P5" s="14" t="s">
        <v>12</v>
      </c>
      <c r="Q5" s="14" t="s">
        <v>27</v>
      </c>
      <c r="R5" s="14" t="s">
        <v>33</v>
      </c>
      <c r="S5" s="14" t="s">
        <v>26</v>
      </c>
      <c r="T5" s="48" t="s">
        <v>32</v>
      </c>
      <c r="U5" s="21" t="s">
        <v>10</v>
      </c>
      <c r="V5" s="44" t="s">
        <v>28</v>
      </c>
      <c r="W5" s="46" t="s">
        <v>10</v>
      </c>
      <c r="X5" s="94" t="s">
        <v>29</v>
      </c>
      <c r="Y5" s="95" t="s">
        <v>30</v>
      </c>
      <c r="Z5" s="39"/>
    </row>
    <row r="6" spans="1:26" ht="16.5" thickBot="1" x14ac:dyDescent="0.3">
      <c r="A6" t="s">
        <v>40</v>
      </c>
      <c r="B6" s="13"/>
      <c r="C6" s="36" t="s">
        <v>15</v>
      </c>
      <c r="D6" s="29">
        <v>2</v>
      </c>
      <c r="E6" s="51">
        <f>G6*$A$8</f>
        <v>7</v>
      </c>
      <c r="F6" s="60">
        <f>D6*E6</f>
        <v>14</v>
      </c>
      <c r="G6" s="51">
        <f>Y6</f>
        <v>8.75</v>
      </c>
      <c r="H6" s="57">
        <f>D6*G6</f>
        <v>17.5</v>
      </c>
      <c r="I6" s="51">
        <f>MIN(F6,H6)</f>
        <v>14</v>
      </c>
      <c r="J6" s="7" t="str">
        <f>IF(H6&lt;=F6, "Make","Buy A")</f>
        <v>Buy A</v>
      </c>
      <c r="K6" s="114">
        <f>SUM(I6:I8)</f>
        <v>26</v>
      </c>
      <c r="L6" s="117" t="s">
        <v>17</v>
      </c>
      <c r="M6" s="16"/>
      <c r="N6" s="35"/>
      <c r="O6" s="40"/>
      <c r="P6" s="83" t="s">
        <v>15</v>
      </c>
      <c r="Q6" s="96">
        <v>2</v>
      </c>
      <c r="R6" s="96">
        <v>3</v>
      </c>
      <c r="S6" s="96">
        <v>4</v>
      </c>
      <c r="T6" s="96">
        <v>1.25</v>
      </c>
      <c r="U6" s="96">
        <f>Q6*R6*T6</f>
        <v>7.5</v>
      </c>
      <c r="V6" s="96">
        <v>2.5</v>
      </c>
      <c r="W6" s="96">
        <f>S6*V6</f>
        <v>10</v>
      </c>
      <c r="X6" s="97">
        <f>U6+W6</f>
        <v>17.5</v>
      </c>
      <c r="Y6" s="96">
        <f>X6/Q6</f>
        <v>8.75</v>
      </c>
      <c r="Z6" s="39"/>
    </row>
    <row r="7" spans="1:26" ht="16.5" thickBot="1" x14ac:dyDescent="0.3">
      <c r="A7" t="s">
        <v>48</v>
      </c>
      <c r="B7" s="13"/>
      <c r="C7" s="37" t="s">
        <v>16</v>
      </c>
      <c r="D7" s="14">
        <v>1</v>
      </c>
      <c r="E7" s="51">
        <f t="shared" ref="E7:E8" si="0">G7*$A$8</f>
        <v>10</v>
      </c>
      <c r="F7" s="61">
        <f>D7*E7</f>
        <v>10</v>
      </c>
      <c r="G7" s="52">
        <f>Y7</f>
        <v>12.5</v>
      </c>
      <c r="H7" s="58">
        <f>D7*G7</f>
        <v>12.5</v>
      </c>
      <c r="I7" s="52">
        <f>MIN(F7,H7)</f>
        <v>10</v>
      </c>
      <c r="J7" s="32" t="str">
        <f>IF(H7&lt;=F7, "Make","Buy B")</f>
        <v>Buy B</v>
      </c>
      <c r="K7" s="115"/>
      <c r="L7" s="117"/>
      <c r="M7" s="16"/>
      <c r="N7" s="35"/>
      <c r="O7" s="40"/>
      <c r="P7" s="83" t="s">
        <v>16</v>
      </c>
      <c r="Q7" s="96">
        <v>1</v>
      </c>
      <c r="R7" s="96">
        <v>4</v>
      </c>
      <c r="S7" s="96">
        <v>3</v>
      </c>
      <c r="T7" s="96">
        <v>1.25</v>
      </c>
      <c r="U7" s="96">
        <f>Q7*R7*T7</f>
        <v>5</v>
      </c>
      <c r="V7" s="96">
        <v>2.5</v>
      </c>
      <c r="W7" s="96">
        <f>S7*V7</f>
        <v>7.5</v>
      </c>
      <c r="X7" s="97">
        <f>U7+W7</f>
        <v>12.5</v>
      </c>
      <c r="Y7" s="96">
        <f>X7/Q7</f>
        <v>12.5</v>
      </c>
      <c r="Z7" s="39"/>
    </row>
    <row r="8" spans="1:26" ht="16.5" thickBot="1" x14ac:dyDescent="0.3">
      <c r="A8">
        <v>0.8</v>
      </c>
      <c r="B8" s="40"/>
      <c r="C8" s="38" t="s">
        <v>6</v>
      </c>
      <c r="D8" s="30">
        <v>2</v>
      </c>
      <c r="E8" s="51">
        <f t="shared" si="0"/>
        <v>1</v>
      </c>
      <c r="F8" s="62">
        <f>D8*E8</f>
        <v>2</v>
      </c>
      <c r="G8" s="53">
        <f>Y8</f>
        <v>1.25</v>
      </c>
      <c r="H8" s="59">
        <f>D8*G8</f>
        <v>2.5</v>
      </c>
      <c r="I8" s="53">
        <f>MIN(F8,H8)</f>
        <v>2</v>
      </c>
      <c r="J8" s="8" t="str">
        <f>IF(H8&lt;=F8, "Make","Buy C")</f>
        <v>Buy C</v>
      </c>
      <c r="K8" s="116"/>
      <c r="L8" s="117"/>
      <c r="M8" s="16"/>
      <c r="N8" s="35"/>
      <c r="O8" s="40"/>
      <c r="P8" s="83" t="s">
        <v>6</v>
      </c>
      <c r="Q8" s="96">
        <v>2</v>
      </c>
      <c r="R8" s="96">
        <v>1</v>
      </c>
      <c r="S8" s="96">
        <v>0</v>
      </c>
      <c r="T8" s="96">
        <v>1.25</v>
      </c>
      <c r="U8" s="96">
        <f>Q8*R8*T8</f>
        <v>2.5</v>
      </c>
      <c r="V8" s="96">
        <v>2.5</v>
      </c>
      <c r="W8" s="96">
        <f>S8*V8</f>
        <v>0</v>
      </c>
      <c r="X8" s="97">
        <f>U8+W8</f>
        <v>2.5</v>
      </c>
      <c r="Y8" s="96">
        <f>X8/Q8</f>
        <v>1.25</v>
      </c>
      <c r="Z8" s="39"/>
    </row>
    <row r="9" spans="1:26" ht="16.5" thickBot="1" x14ac:dyDescent="0.3">
      <c r="B9" s="40"/>
      <c r="C9" s="43"/>
      <c r="D9" s="43"/>
      <c r="E9" s="118" t="s">
        <v>0</v>
      </c>
      <c r="F9" s="119"/>
      <c r="G9" s="107" t="s">
        <v>1</v>
      </c>
      <c r="H9" s="108"/>
      <c r="I9" s="43"/>
      <c r="J9" s="43"/>
      <c r="K9" s="43"/>
      <c r="L9" s="68"/>
      <c r="M9" s="56"/>
      <c r="N9" s="68"/>
      <c r="O9" s="40"/>
      <c r="Z9" s="39"/>
    </row>
    <row r="10" spans="1:26" ht="16.5" thickBot="1" x14ac:dyDescent="0.3">
      <c r="B10" s="40"/>
      <c r="C10" s="14" t="s">
        <v>12</v>
      </c>
      <c r="D10" s="14"/>
      <c r="E10" s="20" t="s">
        <v>9</v>
      </c>
      <c r="F10" s="22" t="s">
        <v>10</v>
      </c>
      <c r="G10" s="21" t="s">
        <v>9</v>
      </c>
      <c r="H10" s="6" t="s">
        <v>10</v>
      </c>
      <c r="I10" s="43" t="s">
        <v>13</v>
      </c>
      <c r="J10" s="43" t="s">
        <v>14</v>
      </c>
      <c r="K10" s="43"/>
      <c r="L10" s="68"/>
      <c r="M10" s="56"/>
      <c r="N10" s="68"/>
      <c r="O10" s="40"/>
      <c r="P10" s="14" t="s">
        <v>12</v>
      </c>
      <c r="Q10" s="14"/>
      <c r="R10" s="14" t="s">
        <v>33</v>
      </c>
      <c r="S10" s="14" t="s">
        <v>26</v>
      </c>
      <c r="T10" s="48" t="s">
        <v>32</v>
      </c>
      <c r="U10" s="21" t="s">
        <v>10</v>
      </c>
      <c r="V10" s="44" t="s">
        <v>28</v>
      </c>
      <c r="W10" s="46" t="s">
        <v>10</v>
      </c>
      <c r="X10" s="94" t="s">
        <v>29</v>
      </c>
      <c r="Y10" s="95" t="s">
        <v>30</v>
      </c>
      <c r="Z10" s="39"/>
    </row>
    <row r="11" spans="1:26" ht="16.5" thickBot="1" x14ac:dyDescent="0.3">
      <c r="A11" t="s">
        <v>39</v>
      </c>
      <c r="B11" s="40"/>
      <c r="C11" s="36" t="s">
        <v>18</v>
      </c>
      <c r="D11" s="7">
        <v>1</v>
      </c>
      <c r="E11" s="57">
        <f>G11*$A$13</f>
        <v>23</v>
      </c>
      <c r="F11" s="63">
        <f>D11*E11</f>
        <v>23</v>
      </c>
      <c r="G11" s="51">
        <f>Y11</f>
        <v>20</v>
      </c>
      <c r="H11" s="65">
        <f>D11*G11+K6</f>
        <v>46</v>
      </c>
      <c r="I11" s="99">
        <f>MIN(F11,H11)</f>
        <v>23</v>
      </c>
      <c r="J11" s="7" t="str">
        <f>IF(H11&lt;=F11, "Make","Buy ABC")</f>
        <v>Buy ABC</v>
      </c>
      <c r="K11" s="123"/>
      <c r="L11" s="126" t="s">
        <v>49</v>
      </c>
      <c r="M11" s="16"/>
      <c r="N11" s="35"/>
      <c r="O11" s="40"/>
      <c r="P11" s="83" t="s">
        <v>18</v>
      </c>
      <c r="Q11" s="96">
        <v>1</v>
      </c>
      <c r="R11" s="96" t="s">
        <v>31</v>
      </c>
      <c r="S11" s="96">
        <v>4</v>
      </c>
      <c r="T11" s="120" t="s">
        <v>31</v>
      </c>
      <c r="U11" s="120"/>
      <c r="V11" s="96">
        <v>5</v>
      </c>
      <c r="W11" s="96">
        <f>S11*V11</f>
        <v>20</v>
      </c>
      <c r="X11" s="96">
        <f>W11</f>
        <v>20</v>
      </c>
      <c r="Y11" s="96">
        <f>X11/Q11</f>
        <v>20</v>
      </c>
      <c r="Z11" s="39"/>
    </row>
    <row r="12" spans="1:26" ht="16.5" thickBot="1" x14ac:dyDescent="0.3">
      <c r="A12" t="s">
        <v>48</v>
      </c>
      <c r="B12" s="40"/>
      <c r="C12" s="37" t="s">
        <v>19</v>
      </c>
      <c r="D12" s="32">
        <v>3</v>
      </c>
      <c r="E12" s="57">
        <f>G12*$A$13</f>
        <v>3.4499999999999997</v>
      </c>
      <c r="F12" s="64">
        <f>D12*E12</f>
        <v>10.35</v>
      </c>
      <c r="G12" s="53">
        <f>Y12</f>
        <v>3</v>
      </c>
      <c r="H12" s="58">
        <f>D12*G12</f>
        <v>9</v>
      </c>
      <c r="I12" s="100">
        <f>MIN(F12,H12)</f>
        <v>9</v>
      </c>
      <c r="J12" s="32" t="str">
        <f>IF(H12&lt;=F12, "Make D","Buy")</f>
        <v>Make D</v>
      </c>
      <c r="K12" s="124"/>
      <c r="L12" s="117"/>
      <c r="M12" s="16"/>
      <c r="N12" s="35"/>
      <c r="O12" s="40"/>
      <c r="P12" s="83" t="s">
        <v>19</v>
      </c>
      <c r="Q12" s="96">
        <v>3</v>
      </c>
      <c r="R12" s="96">
        <v>1</v>
      </c>
      <c r="S12" s="96">
        <v>0</v>
      </c>
      <c r="T12" s="96">
        <v>3</v>
      </c>
      <c r="U12" s="96">
        <f>Q12*R12*T12</f>
        <v>9</v>
      </c>
      <c r="V12" s="96">
        <v>5</v>
      </c>
      <c r="W12" s="96">
        <f>S12*V12</f>
        <v>0</v>
      </c>
      <c r="X12" s="97">
        <f>U12+W12</f>
        <v>9</v>
      </c>
      <c r="Y12" s="96">
        <f>X12/Q12</f>
        <v>3</v>
      </c>
      <c r="Z12" s="39"/>
    </row>
    <row r="13" spans="1:26" ht="16.5" thickBot="1" x14ac:dyDescent="0.3">
      <c r="A13">
        <v>1.1499999999999999</v>
      </c>
      <c r="B13" s="40"/>
      <c r="C13" s="37" t="s">
        <v>21</v>
      </c>
      <c r="D13" s="32">
        <v>1</v>
      </c>
      <c r="E13" s="57">
        <f>G13*$A$13</f>
        <v>58.65</v>
      </c>
      <c r="F13" s="61">
        <f>D13*E13</f>
        <v>58.65</v>
      </c>
      <c r="G13" s="52">
        <f>Y13</f>
        <v>51</v>
      </c>
      <c r="H13" s="58">
        <f t="shared" ref="H13:H14" si="1">D13*G13</f>
        <v>51</v>
      </c>
      <c r="I13" s="104">
        <f>MIN(F13,H13)</f>
        <v>51</v>
      </c>
      <c r="J13" s="32" t="str">
        <f>IF(H13&lt;=F13, "Make E","Buy")</f>
        <v>Make E</v>
      </c>
      <c r="K13" s="124"/>
      <c r="L13" s="117"/>
      <c r="M13" s="16"/>
      <c r="N13" s="35"/>
      <c r="O13" s="40"/>
      <c r="P13" s="83" t="s">
        <v>21</v>
      </c>
      <c r="Q13" s="96">
        <v>1</v>
      </c>
      <c r="R13" s="96">
        <v>7</v>
      </c>
      <c r="S13" s="96">
        <v>6</v>
      </c>
      <c r="T13" s="96">
        <v>3</v>
      </c>
      <c r="U13" s="96">
        <f>Q13*R13*T13</f>
        <v>21</v>
      </c>
      <c r="V13" s="96">
        <v>5</v>
      </c>
      <c r="W13" s="96">
        <f>S13*V13</f>
        <v>30</v>
      </c>
      <c r="X13" s="97">
        <f>U13+W13</f>
        <v>51</v>
      </c>
      <c r="Y13" s="96">
        <f>X13/Q13</f>
        <v>51</v>
      </c>
      <c r="Z13" s="39"/>
    </row>
    <row r="14" spans="1:26" ht="16.5" thickBot="1" x14ac:dyDescent="0.3">
      <c r="B14" s="40"/>
      <c r="C14" s="38" t="s">
        <v>22</v>
      </c>
      <c r="D14" s="8">
        <v>1</v>
      </c>
      <c r="E14" s="57">
        <f t="shared" ref="E14" si="2">G14*$A$13</f>
        <v>31.049999999999997</v>
      </c>
      <c r="F14" s="61">
        <f>D14*E14</f>
        <v>31.049999999999997</v>
      </c>
      <c r="G14" s="52">
        <f>Y14</f>
        <v>27</v>
      </c>
      <c r="H14" s="58">
        <f t="shared" si="1"/>
        <v>27</v>
      </c>
      <c r="I14" s="103">
        <f>MIN(F14,H14)</f>
        <v>27</v>
      </c>
      <c r="J14" s="8" t="str">
        <f>IF(H14&lt;=F14, "Make F","Buy")</f>
        <v>Make F</v>
      </c>
      <c r="K14" s="125"/>
      <c r="L14" s="117"/>
      <c r="M14" s="16"/>
      <c r="N14" s="35"/>
      <c r="O14" s="40"/>
      <c r="P14" s="83" t="s">
        <v>22</v>
      </c>
      <c r="Q14" s="96">
        <v>1</v>
      </c>
      <c r="R14" s="96">
        <v>4</v>
      </c>
      <c r="S14" s="96">
        <v>3</v>
      </c>
      <c r="T14" s="96">
        <v>3</v>
      </c>
      <c r="U14" s="96">
        <f>Q14*R14*T14</f>
        <v>12</v>
      </c>
      <c r="V14" s="96">
        <v>5</v>
      </c>
      <c r="W14" s="96">
        <f>S14*V14</f>
        <v>15</v>
      </c>
      <c r="X14" s="97">
        <f>U14+W14</f>
        <v>27</v>
      </c>
      <c r="Y14" s="96">
        <f>X14/Q14</f>
        <v>27</v>
      </c>
      <c r="Z14" s="39"/>
    </row>
    <row r="15" spans="1:26" ht="16.5" thickBot="1" x14ac:dyDescent="0.3">
      <c r="B15" s="40"/>
      <c r="C15" s="14"/>
      <c r="D15" s="14"/>
      <c r="E15" s="105" t="s">
        <v>0</v>
      </c>
      <c r="F15" s="112"/>
      <c r="G15" s="107" t="s">
        <v>1</v>
      </c>
      <c r="H15" s="108"/>
      <c r="I15" s="66"/>
      <c r="J15" s="43"/>
      <c r="K15" s="43"/>
      <c r="L15" s="43"/>
      <c r="M15" s="55"/>
      <c r="N15" s="43"/>
      <c r="O15" s="40"/>
      <c r="Z15" s="39"/>
    </row>
    <row r="16" spans="1:26" ht="16.5" thickBot="1" x14ac:dyDescent="0.3">
      <c r="B16" s="40"/>
      <c r="C16" s="14" t="s">
        <v>12</v>
      </c>
      <c r="D16" s="14"/>
      <c r="E16" s="20" t="s">
        <v>9</v>
      </c>
      <c r="F16" s="22" t="s">
        <v>10</v>
      </c>
      <c r="G16" s="21" t="s">
        <v>9</v>
      </c>
      <c r="H16" s="6" t="s">
        <v>10</v>
      </c>
      <c r="I16" s="43" t="s">
        <v>13</v>
      </c>
      <c r="J16" s="43" t="s">
        <v>14</v>
      </c>
      <c r="K16" s="43"/>
      <c r="L16" s="43"/>
      <c r="M16" s="55"/>
      <c r="N16" s="43"/>
      <c r="O16" s="40"/>
      <c r="P16" s="14" t="s">
        <v>12</v>
      </c>
      <c r="Q16" s="14"/>
      <c r="R16" s="14" t="s">
        <v>33</v>
      </c>
      <c r="S16" s="14" t="s">
        <v>26</v>
      </c>
      <c r="T16" s="48" t="s">
        <v>32</v>
      </c>
      <c r="U16" s="21" t="s">
        <v>10</v>
      </c>
      <c r="V16" s="44" t="s">
        <v>28</v>
      </c>
      <c r="W16" s="46" t="s">
        <v>10</v>
      </c>
      <c r="X16" s="94" t="s">
        <v>29</v>
      </c>
      <c r="Y16" s="95" t="s">
        <v>30</v>
      </c>
      <c r="Z16" s="39"/>
    </row>
    <row r="17" spans="1:26" ht="16.5" thickBot="1" x14ac:dyDescent="0.3">
      <c r="A17" t="s">
        <v>38</v>
      </c>
      <c r="B17" s="40"/>
      <c r="C17" s="36" t="s">
        <v>20</v>
      </c>
      <c r="D17" s="7">
        <v>1</v>
      </c>
      <c r="E17" s="51">
        <f>$A$19*G17</f>
        <v>27</v>
      </c>
      <c r="F17" s="60">
        <f>D17*E17</f>
        <v>27</v>
      </c>
      <c r="G17" s="51">
        <f>Y17</f>
        <v>30</v>
      </c>
      <c r="H17" s="98">
        <f>SUM(I11:I12)</f>
        <v>32</v>
      </c>
      <c r="I17" s="51">
        <f>MIN(F17,H17)</f>
        <v>27</v>
      </c>
      <c r="J17" s="7" t="str">
        <f>IF(H17&lt;=F17, "Make","Buy ABCD")</f>
        <v>Buy ABCD</v>
      </c>
      <c r="K17" s="127">
        <f>SUM(I17:I19)</f>
        <v>83.25</v>
      </c>
      <c r="L17" s="117" t="s">
        <v>24</v>
      </c>
      <c r="M17" s="16"/>
      <c r="N17" s="35"/>
      <c r="O17" s="40"/>
      <c r="P17" s="83" t="s">
        <v>20</v>
      </c>
      <c r="Q17" s="96">
        <v>1</v>
      </c>
      <c r="R17" s="96" t="s">
        <v>31</v>
      </c>
      <c r="S17" s="96">
        <v>3</v>
      </c>
      <c r="T17" s="120" t="s">
        <v>31</v>
      </c>
      <c r="U17" s="120"/>
      <c r="V17" s="96">
        <v>10</v>
      </c>
      <c r="W17" s="96">
        <f>S17*V17</f>
        <v>30</v>
      </c>
      <c r="X17" s="97">
        <f>U17+W17</f>
        <v>30</v>
      </c>
      <c r="Y17" s="96">
        <f>X17/Q17</f>
        <v>30</v>
      </c>
      <c r="Z17" s="39"/>
    </row>
    <row r="18" spans="1:26" ht="16.5" thickBot="1" x14ac:dyDescent="0.3">
      <c r="A18" t="s">
        <v>48</v>
      </c>
      <c r="B18" s="40"/>
      <c r="C18" s="37" t="s">
        <v>36</v>
      </c>
      <c r="D18" s="32">
        <v>1</v>
      </c>
      <c r="E18" s="51">
        <f t="shared" ref="E18:E19" si="3">$A$19*G18</f>
        <v>18</v>
      </c>
      <c r="F18" s="60">
        <f>D18*E18</f>
        <v>18</v>
      </c>
      <c r="G18" s="51">
        <f>Y18</f>
        <v>20</v>
      </c>
      <c r="H18" s="102">
        <f>SUM(I13:I14)</f>
        <v>78</v>
      </c>
      <c r="I18" s="52">
        <f>MIN(F18,H18)</f>
        <v>18</v>
      </c>
      <c r="J18" s="32" t="str">
        <f>IF(H18&lt;=F18, "Make","Buy EF")</f>
        <v>Buy EF</v>
      </c>
      <c r="K18" s="128"/>
      <c r="L18" s="117"/>
      <c r="M18" s="16"/>
      <c r="N18" s="35"/>
      <c r="O18" s="40"/>
      <c r="P18" s="83" t="s">
        <v>36</v>
      </c>
      <c r="Q18" s="96">
        <v>1</v>
      </c>
      <c r="R18" s="96" t="s">
        <v>31</v>
      </c>
      <c r="S18" s="96">
        <v>2</v>
      </c>
      <c r="T18" s="120" t="s">
        <v>31</v>
      </c>
      <c r="U18" s="120"/>
      <c r="V18" s="96">
        <v>10</v>
      </c>
      <c r="W18" s="96">
        <f>S18*V18</f>
        <v>20</v>
      </c>
      <c r="X18" s="97">
        <f>U18+W18</f>
        <v>20</v>
      </c>
      <c r="Y18" s="96">
        <f t="shared" ref="Y18" si="4">X18/Q18</f>
        <v>20</v>
      </c>
      <c r="Z18" s="39"/>
    </row>
    <row r="19" spans="1:26" ht="16.5" thickBot="1" x14ac:dyDescent="0.3">
      <c r="A19">
        <v>0.9</v>
      </c>
      <c r="B19" s="40"/>
      <c r="C19" s="38" t="s">
        <v>23</v>
      </c>
      <c r="D19" s="8">
        <v>1</v>
      </c>
      <c r="E19" s="51">
        <f t="shared" si="3"/>
        <v>38.25</v>
      </c>
      <c r="F19" s="64">
        <f>D19*E19</f>
        <v>38.25</v>
      </c>
      <c r="G19" s="53">
        <f>Y19</f>
        <v>42.5</v>
      </c>
      <c r="H19" s="59">
        <f>D19*G19</f>
        <v>42.5</v>
      </c>
      <c r="I19" s="53">
        <f>MIN(F19,H19)</f>
        <v>38.25</v>
      </c>
      <c r="J19" s="8" t="str">
        <f>IF(H19&lt;=F19, "Make","Buy G")</f>
        <v>Buy G</v>
      </c>
      <c r="K19" s="129"/>
      <c r="L19" s="117"/>
      <c r="M19" s="16"/>
      <c r="N19" s="35"/>
      <c r="O19" s="40"/>
      <c r="P19" s="83" t="s">
        <v>23</v>
      </c>
      <c r="Q19" s="96">
        <v>1</v>
      </c>
      <c r="R19" s="96">
        <v>4</v>
      </c>
      <c r="S19" s="96">
        <v>3</v>
      </c>
      <c r="T19" s="96">
        <v>5</v>
      </c>
      <c r="U19" s="96">
        <f>Q19*R19*T19</f>
        <v>20</v>
      </c>
      <c r="V19" s="96">
        <v>7.5</v>
      </c>
      <c r="W19" s="96">
        <f>S19*V19</f>
        <v>22.5</v>
      </c>
      <c r="X19" s="97">
        <f>U19+W19</f>
        <v>42.5</v>
      </c>
      <c r="Y19" s="96">
        <f>X19/Q19</f>
        <v>42.5</v>
      </c>
      <c r="Z19" s="39"/>
    </row>
    <row r="20" spans="1:26" ht="16.5" thickBot="1" x14ac:dyDescent="0.3">
      <c r="B20" s="40"/>
      <c r="C20" s="14"/>
      <c r="D20" s="14"/>
      <c r="E20" s="105" t="s">
        <v>0</v>
      </c>
      <c r="F20" s="112"/>
      <c r="G20" s="107" t="s">
        <v>1</v>
      </c>
      <c r="H20" s="108"/>
      <c r="I20" s="43"/>
      <c r="J20" s="43"/>
      <c r="K20" s="68"/>
      <c r="L20" s="68"/>
      <c r="M20" s="56"/>
      <c r="N20" s="68"/>
      <c r="O20" s="40"/>
      <c r="Z20" s="39"/>
    </row>
    <row r="21" spans="1:26" ht="16.5" thickBot="1" x14ac:dyDescent="0.3">
      <c r="B21" s="40"/>
      <c r="C21" s="14" t="s">
        <v>12</v>
      </c>
      <c r="D21" s="14"/>
      <c r="E21" s="20" t="s">
        <v>9</v>
      </c>
      <c r="F21" s="27" t="s">
        <v>10</v>
      </c>
      <c r="G21" s="21" t="s">
        <v>9</v>
      </c>
      <c r="H21" s="6" t="s">
        <v>10</v>
      </c>
      <c r="I21" s="43" t="s">
        <v>13</v>
      </c>
      <c r="J21" s="43" t="s">
        <v>14</v>
      </c>
      <c r="K21" s="68"/>
      <c r="L21" s="68"/>
      <c r="M21" s="56"/>
      <c r="N21" s="68"/>
      <c r="O21" s="40"/>
      <c r="P21" s="14" t="s">
        <v>12</v>
      </c>
      <c r="Q21" s="14"/>
      <c r="R21" s="14" t="s">
        <v>33</v>
      </c>
      <c r="S21" s="14" t="s">
        <v>26</v>
      </c>
      <c r="T21" s="48" t="s">
        <v>32</v>
      </c>
      <c r="U21" s="21" t="s">
        <v>10</v>
      </c>
      <c r="V21" s="44" t="s">
        <v>28</v>
      </c>
      <c r="W21" s="46" t="s">
        <v>10</v>
      </c>
      <c r="X21" s="49" t="s">
        <v>29</v>
      </c>
      <c r="Y21" s="50" t="s">
        <v>30</v>
      </c>
      <c r="Z21" s="39"/>
    </row>
    <row r="22" spans="1:26" ht="16.5" thickBot="1" x14ac:dyDescent="0.3">
      <c r="A22" t="s">
        <v>47</v>
      </c>
      <c r="B22" s="40"/>
      <c r="C22" s="41" t="s">
        <v>25</v>
      </c>
      <c r="D22" s="34">
        <v>1</v>
      </c>
      <c r="E22" s="54">
        <f>G22*A24</f>
        <v>60</v>
      </c>
      <c r="F22" s="64">
        <f>D22*E22</f>
        <v>60</v>
      </c>
      <c r="G22" s="54">
        <f>Y22</f>
        <v>50</v>
      </c>
      <c r="H22" s="101">
        <f>G22+K17</f>
        <v>133.25</v>
      </c>
      <c r="I22" s="54">
        <f>MIN(F22,H22)</f>
        <v>60</v>
      </c>
      <c r="J22" s="34" t="str">
        <f>IF(H22&lt;=F22, "Make","Buy ABCDEFG")</f>
        <v>Buy ABCDEFG</v>
      </c>
      <c r="K22" s="67"/>
      <c r="L22" s="68"/>
      <c r="M22" s="56"/>
      <c r="N22" s="68"/>
      <c r="O22" s="40"/>
      <c r="P22" s="41" t="s">
        <v>25</v>
      </c>
      <c r="Q22" s="34">
        <v>1</v>
      </c>
      <c r="R22" s="34" t="s">
        <v>31</v>
      </c>
      <c r="S22" s="34">
        <v>2</v>
      </c>
      <c r="T22" s="121" t="s">
        <v>31</v>
      </c>
      <c r="U22" s="122"/>
      <c r="V22" s="45">
        <v>25</v>
      </c>
      <c r="W22" s="47">
        <f>S22*V22</f>
        <v>50</v>
      </c>
      <c r="X22" s="42">
        <f>W22</f>
        <v>50</v>
      </c>
      <c r="Y22" s="33">
        <f>X22/Q22</f>
        <v>50</v>
      </c>
      <c r="Z22" s="39"/>
    </row>
    <row r="23" spans="1:26" ht="16.5" thickBot="1" x14ac:dyDescent="0.3">
      <c r="A23" t="s">
        <v>48</v>
      </c>
      <c r="B23" s="69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1"/>
      <c r="O23" s="69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1"/>
    </row>
    <row r="24" spans="1:26" ht="16.5" thickTop="1" x14ac:dyDescent="0.25">
      <c r="A24">
        <v>1.2</v>
      </c>
    </row>
  </sheetData>
  <mergeCells count="18">
    <mergeCell ref="E20:F20"/>
    <mergeCell ref="G20:H20"/>
    <mergeCell ref="T11:U11"/>
    <mergeCell ref="T17:U17"/>
    <mergeCell ref="T22:U22"/>
    <mergeCell ref="K11:K14"/>
    <mergeCell ref="L11:L14"/>
    <mergeCell ref="E15:F15"/>
    <mergeCell ref="G15:H15"/>
    <mergeCell ref="K17:K19"/>
    <mergeCell ref="L17:L19"/>
    <mergeCell ref="T18:U18"/>
    <mergeCell ref="E4:F4"/>
    <mergeCell ref="G4:H4"/>
    <mergeCell ref="K6:K8"/>
    <mergeCell ref="L6:L8"/>
    <mergeCell ref="E9:F9"/>
    <mergeCell ref="G9:H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 example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Martinez Olvera</dc:creator>
  <cp:lastModifiedBy>Holin Lee</cp:lastModifiedBy>
  <dcterms:created xsi:type="dcterms:W3CDTF">2024-02-21T15:52:07Z</dcterms:created>
  <dcterms:modified xsi:type="dcterms:W3CDTF">2024-03-16T19:27:46Z</dcterms:modified>
</cp:coreProperties>
</file>