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johna\Desktop\Excel Pivot Table and Slider Project\"/>
    </mc:Choice>
  </mc:AlternateContent>
  <xr:revisionPtr revIDLastSave="0" documentId="8_{4BD5D682-A71C-49D7-B4BD-DB6E121612CA}" xr6:coauthVersionLast="47" xr6:coauthVersionMax="47" xr10:uidLastSave="{00000000-0000-0000-0000-000000000000}"/>
  <bookViews>
    <workbookView xWindow="-120" yWindow="-120" windowWidth="20730" windowHeight="11160" firstSheet="1" activeTab="1" xr2:uid="{F6BFB418-3361-CB43-AD40-1DFB5404F161}"/>
  </bookViews>
  <sheets>
    <sheet name=" Sharable Slic" sheetId="12" r:id="rId1"/>
    <sheet name="Sales by Product and Year" sheetId="10" r:id="rId2"/>
    <sheet name="Data" sheetId="5" r:id="rId3"/>
    <sheet name="PROFITABILITY BY REGION " sheetId="9" r:id="rId4"/>
    <sheet name="Sum of Quantity Sold" sheetId="7" r:id="rId5"/>
    <sheet name="Average of Price per unit" sheetId="8" r:id="rId6"/>
    <sheet name="Coca Cola" sheetId="1" state="hidden" r:id="rId7"/>
    <sheet name="Coca Cola (2)" sheetId="6" state="hidden" r:id="rId8"/>
  </sheets>
  <definedNames>
    <definedName name="Slicer_Region">#N/A</definedName>
    <definedName name="Slicer_Region1">#N/A</definedName>
    <definedName name="Slicer_Sales_Method">#N/A</definedName>
    <definedName name="Slicer_Sales_Method1">#N/A</definedName>
    <definedName name="Slicer_Year">#N/A</definedName>
    <definedName name="Slicer_Year1">#N/A</definedName>
  </definedNames>
  <calcPr calcId="181029"/>
  <pivotCaches>
    <pivotCache cacheId="7"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19" i="8" l="1"/>
  <c r="I5" i="5"/>
  <c r="J5" i="5"/>
  <c r="I6" i="5"/>
  <c r="J6" i="5"/>
  <c r="I7" i="5"/>
  <c r="J7" i="5"/>
  <c r="I8" i="5"/>
  <c r="J8" i="5"/>
  <c r="I9" i="5"/>
  <c r="J9" i="5"/>
  <c r="I10" i="5"/>
  <c r="J10" i="5"/>
  <c r="I11" i="5"/>
  <c r="J11" i="5"/>
  <c r="I12" i="5"/>
  <c r="J12" i="5"/>
  <c r="I13" i="5"/>
  <c r="J13" i="5"/>
  <c r="I14" i="5"/>
  <c r="J14" i="5"/>
  <c r="I15" i="5"/>
  <c r="J15" i="5"/>
  <c r="I16" i="5"/>
  <c r="J16" i="5"/>
  <c r="I17" i="5"/>
  <c r="J17" i="5"/>
  <c r="I18" i="5"/>
  <c r="J18" i="5"/>
  <c r="I19" i="5"/>
  <c r="J19" i="5"/>
  <c r="I20" i="5"/>
  <c r="J20" i="5"/>
  <c r="I21" i="5"/>
  <c r="J21" i="5"/>
  <c r="I22" i="5"/>
  <c r="J22" i="5"/>
  <c r="I23" i="5"/>
  <c r="J23" i="5"/>
  <c r="I24" i="5"/>
  <c r="J24" i="5"/>
  <c r="I25" i="5"/>
  <c r="J25" i="5"/>
  <c r="I26" i="5"/>
  <c r="J26" i="5"/>
  <c r="I27" i="5"/>
  <c r="J27" i="5"/>
  <c r="I28" i="5"/>
  <c r="J28" i="5"/>
  <c r="I29" i="5"/>
  <c r="J29" i="5"/>
  <c r="I30" i="5"/>
  <c r="J30" i="5"/>
  <c r="I31" i="5"/>
  <c r="J31" i="5"/>
  <c r="I32" i="5"/>
  <c r="J32" i="5"/>
  <c r="I33" i="5"/>
  <c r="J33" i="5"/>
  <c r="I34" i="5"/>
  <c r="J34" i="5"/>
  <c r="I35" i="5"/>
  <c r="J35" i="5"/>
  <c r="I36" i="5"/>
  <c r="J36" i="5"/>
  <c r="I37" i="5"/>
  <c r="J37" i="5"/>
  <c r="I38" i="5"/>
  <c r="J38" i="5"/>
  <c r="I39" i="5"/>
  <c r="J39" i="5"/>
  <c r="I40" i="5"/>
  <c r="J40" i="5"/>
  <c r="I41" i="5"/>
  <c r="J41" i="5"/>
  <c r="I42" i="5"/>
  <c r="J42" i="5"/>
  <c r="I43" i="5"/>
  <c r="J43" i="5"/>
  <c r="I44" i="5"/>
  <c r="J44" i="5"/>
  <c r="I45" i="5"/>
  <c r="J45" i="5"/>
  <c r="I46" i="5"/>
  <c r="J46" i="5"/>
  <c r="I47" i="5"/>
  <c r="J47" i="5"/>
  <c r="I48" i="5"/>
  <c r="J48" i="5"/>
  <c r="I49" i="5"/>
  <c r="J49" i="5"/>
  <c r="I50" i="5"/>
  <c r="J50" i="5"/>
  <c r="I51" i="5"/>
  <c r="J51" i="5"/>
  <c r="I52" i="5"/>
  <c r="J52" i="5"/>
  <c r="I53" i="5"/>
  <c r="J53" i="5"/>
  <c r="I54" i="5"/>
  <c r="J54" i="5"/>
  <c r="I55" i="5"/>
  <c r="J55" i="5"/>
  <c r="I56" i="5"/>
  <c r="J56" i="5"/>
  <c r="I57" i="5"/>
  <c r="J57" i="5"/>
  <c r="I58" i="5"/>
  <c r="J58" i="5"/>
  <c r="I59" i="5"/>
  <c r="J59" i="5"/>
  <c r="I60" i="5"/>
  <c r="J60" i="5"/>
  <c r="I61" i="5"/>
  <c r="J61" i="5"/>
  <c r="I62" i="5"/>
  <c r="J62" i="5"/>
  <c r="I63" i="5"/>
  <c r="J63" i="5"/>
  <c r="I64" i="5"/>
  <c r="J64" i="5"/>
  <c r="I65" i="5"/>
  <c r="J65" i="5"/>
  <c r="I66" i="5"/>
  <c r="J66" i="5"/>
  <c r="I67" i="5"/>
  <c r="J67" i="5"/>
  <c r="I68" i="5"/>
  <c r="J68" i="5"/>
  <c r="I69" i="5"/>
  <c r="J69" i="5"/>
  <c r="I70" i="5"/>
  <c r="J70" i="5"/>
  <c r="I71" i="5"/>
  <c r="J71" i="5"/>
  <c r="I72" i="5"/>
  <c r="J72" i="5"/>
  <c r="I73" i="5"/>
  <c r="J73" i="5"/>
  <c r="I74" i="5"/>
  <c r="J74" i="5"/>
  <c r="I75" i="5"/>
  <c r="J75" i="5"/>
  <c r="I76" i="5"/>
  <c r="J76" i="5"/>
  <c r="I77" i="5"/>
  <c r="J77" i="5"/>
  <c r="I78" i="5"/>
  <c r="J78" i="5"/>
  <c r="I79" i="5"/>
  <c r="J79" i="5"/>
  <c r="I80" i="5"/>
  <c r="J80" i="5"/>
  <c r="I81" i="5"/>
  <c r="J81" i="5"/>
  <c r="I82" i="5"/>
  <c r="J82" i="5"/>
  <c r="I83" i="5"/>
  <c r="J83" i="5"/>
  <c r="I84" i="5"/>
  <c r="J84" i="5"/>
  <c r="I85" i="5"/>
  <c r="J85" i="5"/>
  <c r="I86" i="5"/>
  <c r="J86" i="5"/>
  <c r="I87" i="5"/>
  <c r="J87" i="5"/>
  <c r="I88" i="5"/>
  <c r="J88" i="5"/>
  <c r="I89" i="5"/>
  <c r="J89" i="5"/>
  <c r="I90" i="5"/>
  <c r="J90" i="5"/>
  <c r="I91" i="5"/>
  <c r="J91" i="5"/>
  <c r="I92" i="5"/>
  <c r="J92" i="5"/>
  <c r="I93" i="5"/>
  <c r="J93" i="5"/>
  <c r="I94" i="5"/>
  <c r="J94" i="5"/>
  <c r="I95" i="5"/>
  <c r="J95" i="5"/>
  <c r="I96" i="5"/>
  <c r="J96" i="5"/>
  <c r="I97" i="5"/>
  <c r="J97" i="5"/>
  <c r="I98" i="5"/>
  <c r="J98" i="5"/>
  <c r="I99" i="5"/>
  <c r="J99" i="5"/>
  <c r="I100" i="5"/>
  <c r="J100" i="5"/>
  <c r="I101" i="5"/>
  <c r="J101" i="5"/>
  <c r="I102" i="5"/>
  <c r="J102" i="5"/>
  <c r="I103" i="5"/>
  <c r="J103" i="5"/>
  <c r="J4" i="5"/>
  <c r="I4" i="5"/>
  <c r="H23" i="6"/>
  <c r="E23" i="6" s="1"/>
  <c r="H22" i="6"/>
  <c r="E22" i="6" s="1"/>
  <c r="H21" i="6"/>
  <c r="E21" i="6" s="1"/>
  <c r="H20" i="6"/>
  <c r="E20" i="6" s="1"/>
  <c r="D69" i="6" s="1"/>
  <c r="D20" i="6" s="1"/>
  <c r="H19" i="6"/>
  <c r="E19" i="6" s="1"/>
  <c r="D68" i="6" s="1"/>
  <c r="D19" i="6" s="1"/>
  <c r="H13" i="6"/>
  <c r="H12" i="6"/>
  <c r="E12" i="6" s="1"/>
  <c r="H11" i="6"/>
  <c r="E11" i="6" s="1"/>
  <c r="D65" i="6" s="1"/>
  <c r="D11" i="6" s="1"/>
  <c r="H10" i="6"/>
  <c r="E10" i="6" s="1"/>
  <c r="D64" i="6" s="1"/>
  <c r="D10" i="6" s="1"/>
  <c r="H9" i="6"/>
  <c r="E8" i="6"/>
  <c r="E7" i="6"/>
  <c r="D61" i="6" s="1"/>
  <c r="E6" i="6"/>
  <c r="D60" i="6" s="1"/>
  <c r="E5" i="6"/>
  <c r="D59" i="6" s="1"/>
  <c r="E4" i="6"/>
  <c r="D58" i="6" s="1"/>
  <c r="D4" i="6" s="1"/>
  <c r="E13" i="1"/>
  <c r="F13" i="1" s="1"/>
  <c r="E11" i="1"/>
  <c r="F11" i="1" s="1"/>
  <c r="E8" i="1"/>
  <c r="E28" i="1" s="1"/>
  <c r="E7" i="1"/>
  <c r="F7" i="1" s="1"/>
  <c r="E6" i="1"/>
  <c r="F6" i="1" s="1"/>
  <c r="E5" i="1"/>
  <c r="E25" i="1" s="1"/>
  <c r="E4" i="1"/>
  <c r="E24" i="1" s="1"/>
  <c r="I14" i="1"/>
  <c r="I17" i="1"/>
  <c r="E17" i="1" s="1"/>
  <c r="F17" i="1" s="1"/>
  <c r="I18" i="1"/>
  <c r="E18" i="1" s="1"/>
  <c r="F18" i="1" s="1"/>
  <c r="I16" i="1"/>
  <c r="I15" i="1"/>
  <c r="I13" i="1"/>
  <c r="I12" i="1"/>
  <c r="I11" i="1"/>
  <c r="I10" i="1"/>
  <c r="E10" i="1" s="1"/>
  <c r="E30" i="1" s="1"/>
  <c r="I9" i="1"/>
  <c r="E9" i="1" s="1"/>
  <c r="F9" i="1" s="1"/>
  <c r="E16" i="6" l="1"/>
  <c r="E17" i="6"/>
  <c r="E15" i="6"/>
  <c r="D79" i="6"/>
  <c r="D5" i="6"/>
  <c r="D15" i="6" s="1"/>
  <c r="D80" i="6"/>
  <c r="D6" i="6"/>
  <c r="D16" i="6" s="1"/>
  <c r="D81" i="6"/>
  <c r="D7" i="6"/>
  <c r="H24" i="6"/>
  <c r="E24" i="6" s="1"/>
  <c r="H27" i="6"/>
  <c r="E27" i="6" s="1"/>
  <c r="H25" i="6"/>
  <c r="E25" i="6" s="1"/>
  <c r="D71" i="6"/>
  <c r="D22" i="6" s="1"/>
  <c r="E9" i="6"/>
  <c r="D63" i="6" s="1"/>
  <c r="E63" i="6" s="1"/>
  <c r="H28" i="6"/>
  <c r="E28" i="6" s="1"/>
  <c r="D66" i="6"/>
  <c r="D86" i="6" s="1"/>
  <c r="E86" i="6" s="1"/>
  <c r="H26" i="6"/>
  <c r="E26" i="6" s="1"/>
  <c r="D72" i="6"/>
  <c r="D23" i="6" s="1"/>
  <c r="E64" i="6"/>
  <c r="D84" i="6"/>
  <c r="E84" i="6" s="1"/>
  <c r="D74" i="6"/>
  <c r="E65" i="6"/>
  <c r="D85" i="6"/>
  <c r="E85" i="6" s="1"/>
  <c r="D88" i="6"/>
  <c r="E88" i="6" s="1"/>
  <c r="E68" i="6"/>
  <c r="E69" i="6"/>
  <c r="D89" i="6"/>
  <c r="E89" i="6" s="1"/>
  <c r="E59" i="6"/>
  <c r="E79" i="6" s="1"/>
  <c r="D62" i="6"/>
  <c r="D8" i="6" s="1"/>
  <c r="D70" i="6"/>
  <c r="D21" i="6" s="1"/>
  <c r="D78" i="6"/>
  <c r="E61" i="6"/>
  <c r="E81" i="6" s="1"/>
  <c r="E58" i="6"/>
  <c r="E78" i="6" s="1"/>
  <c r="E60" i="6"/>
  <c r="E80" i="6" s="1"/>
  <c r="E13" i="6"/>
  <c r="E18" i="6" s="1"/>
  <c r="E29" i="1"/>
  <c r="F29" i="1" s="1"/>
  <c r="E31" i="1"/>
  <c r="F31" i="1" s="1"/>
  <c r="E33" i="1"/>
  <c r="F33" i="1" s="1"/>
  <c r="F8" i="1"/>
  <c r="F10" i="1"/>
  <c r="I19" i="1"/>
  <c r="E19" i="1" s="1"/>
  <c r="F19" i="1" s="1"/>
  <c r="F25" i="1"/>
  <c r="F45" i="1" s="1"/>
  <c r="E45" i="1"/>
  <c r="F28" i="1"/>
  <c r="F48" i="1" s="1"/>
  <c r="E48" i="1"/>
  <c r="F30" i="1"/>
  <c r="E50" i="1"/>
  <c r="F50" i="1" s="1"/>
  <c r="F24" i="1"/>
  <c r="F44" i="1" s="1"/>
  <c r="E44" i="1"/>
  <c r="E37" i="1"/>
  <c r="E38" i="1"/>
  <c r="I22" i="1"/>
  <c r="E22" i="1" s="1"/>
  <c r="F22" i="1" s="1"/>
  <c r="E14" i="1"/>
  <c r="F4" i="1"/>
  <c r="I23" i="1"/>
  <c r="E23" i="1" s="1"/>
  <c r="F23" i="1" s="1"/>
  <c r="E26" i="1"/>
  <c r="F5" i="1"/>
  <c r="I20" i="1"/>
  <c r="E20" i="1" s="1"/>
  <c r="F20" i="1" s="1"/>
  <c r="E27" i="1"/>
  <c r="I21" i="1"/>
  <c r="E21" i="1" s="1"/>
  <c r="F21" i="1" s="1"/>
  <c r="E12" i="1"/>
  <c r="E15" i="1"/>
  <c r="E16" i="1"/>
  <c r="E53" i="1" l="1"/>
  <c r="F53" i="1" s="1"/>
  <c r="E49" i="1"/>
  <c r="F49" i="1" s="1"/>
  <c r="E30" i="6"/>
  <c r="E32" i="6"/>
  <c r="E33" i="6"/>
  <c r="E31" i="6"/>
  <c r="E14" i="6"/>
  <c r="E29" i="6" s="1"/>
  <c r="D83" i="6"/>
  <c r="E83" i="6" s="1"/>
  <c r="D76" i="6"/>
  <c r="D12" i="6"/>
  <c r="D17" i="6" s="1"/>
  <c r="D73" i="6"/>
  <c r="D9" i="6"/>
  <c r="D14" i="6" s="1"/>
  <c r="D75" i="6"/>
  <c r="E74" i="6"/>
  <c r="D25" i="6"/>
  <c r="D30" i="6" s="1"/>
  <c r="E66" i="6"/>
  <c r="D94" i="6"/>
  <c r="E94" i="6" s="1"/>
  <c r="E71" i="6"/>
  <c r="D91" i="6"/>
  <c r="E91" i="6" s="1"/>
  <c r="E70" i="6"/>
  <c r="D90" i="6"/>
  <c r="E62" i="6"/>
  <c r="E82" i="6" s="1"/>
  <c r="D82" i="6"/>
  <c r="E72" i="6"/>
  <c r="D92" i="6"/>
  <c r="E92" i="6" s="1"/>
  <c r="D67" i="6"/>
  <c r="D13" i="6" s="1"/>
  <c r="D18" i="6" s="1"/>
  <c r="E51" i="1"/>
  <c r="F51" i="1" s="1"/>
  <c r="E58" i="1"/>
  <c r="F58" i="1" s="1"/>
  <c r="F38" i="1"/>
  <c r="E57" i="1"/>
  <c r="F57" i="1" s="1"/>
  <c r="F37" i="1"/>
  <c r="F12" i="1"/>
  <c r="E32" i="1"/>
  <c r="F16" i="1"/>
  <c r="E36" i="1"/>
  <c r="F15" i="1"/>
  <c r="E35" i="1"/>
  <c r="E42" i="1"/>
  <c r="F42" i="1" s="1"/>
  <c r="F27" i="1"/>
  <c r="F47" i="1" s="1"/>
  <c r="E47" i="1"/>
  <c r="E41" i="1"/>
  <c r="F41" i="1" s="1"/>
  <c r="F26" i="1"/>
  <c r="F46" i="1" s="1"/>
  <c r="E46" i="1"/>
  <c r="E43" i="1"/>
  <c r="F43" i="1" s="1"/>
  <c r="F14" i="1"/>
  <c r="E34" i="1"/>
  <c r="D35" i="6" l="1"/>
  <c r="D40" i="6" s="1"/>
  <c r="E63" i="1"/>
  <c r="F63" i="1" s="1"/>
  <c r="E34" i="6"/>
  <c r="E39" i="6"/>
  <c r="E36" i="6"/>
  <c r="E41" i="6" s="1"/>
  <c r="E38" i="6"/>
  <c r="E43" i="6" s="1"/>
  <c r="E37" i="6"/>
  <c r="E42" i="6" s="1"/>
  <c r="E35" i="6"/>
  <c r="E40" i="6"/>
  <c r="D93" i="6"/>
  <c r="E93" i="6" s="1"/>
  <c r="E75" i="6"/>
  <c r="D26" i="6"/>
  <c r="D31" i="6" s="1"/>
  <c r="E73" i="6"/>
  <c r="D24" i="6"/>
  <c r="D29" i="6" s="1"/>
  <c r="E76" i="6"/>
  <c r="D27" i="6"/>
  <c r="D32" i="6" s="1"/>
  <c r="D96" i="6"/>
  <c r="E96" i="6" s="1"/>
  <c r="E67" i="6"/>
  <c r="D87" i="6"/>
  <c r="E87" i="6" s="1"/>
  <c r="D77" i="6"/>
  <c r="E90" i="6"/>
  <c r="D95" i="6"/>
  <c r="E95" i="6" s="1"/>
  <c r="F35" i="1"/>
  <c r="E55" i="1"/>
  <c r="E40" i="1"/>
  <c r="F40" i="1" s="1"/>
  <c r="E56" i="1"/>
  <c r="F56" i="1" s="1"/>
  <c r="F36" i="1"/>
  <c r="F32" i="1"/>
  <c r="E52" i="1"/>
  <c r="F52" i="1" s="1"/>
  <c r="F34" i="1"/>
  <c r="E54" i="1"/>
  <c r="E39" i="1"/>
  <c r="F39" i="1" s="1"/>
  <c r="E52" i="6" l="1"/>
  <c r="E47" i="6"/>
  <c r="E53" i="6"/>
  <c r="E48" i="6"/>
  <c r="E46" i="6"/>
  <c r="E51" i="6" s="1"/>
  <c r="D45" i="6"/>
  <c r="D50" i="6" s="1"/>
  <c r="E61" i="1"/>
  <c r="F61" i="1" s="1"/>
  <c r="E44" i="6"/>
  <c r="E49" i="6"/>
  <c r="D36" i="6"/>
  <c r="D41" i="6"/>
  <c r="E45" i="6"/>
  <c r="E50" i="6" s="1"/>
  <c r="D37" i="6"/>
  <c r="D42" i="6" s="1"/>
  <c r="D34" i="6"/>
  <c r="D39" i="6"/>
  <c r="D97" i="6"/>
  <c r="E97" i="6" s="1"/>
  <c r="E77" i="6"/>
  <c r="D28" i="6"/>
  <c r="D33" i="6" s="1"/>
  <c r="E62" i="1"/>
  <c r="F62" i="1" s="1"/>
  <c r="F54" i="1"/>
  <c r="E59" i="1"/>
  <c r="F59" i="1" s="1"/>
  <c r="F55" i="1"/>
  <c r="E60" i="1"/>
  <c r="F60" i="1" s="1"/>
  <c r="D47" i="6" l="1"/>
  <c r="D52" i="6" s="1"/>
  <c r="D46" i="6"/>
  <c r="D51" i="6" s="1"/>
  <c r="D38" i="6"/>
  <c r="D43" i="6"/>
  <c r="D44" i="6"/>
  <c r="D49" i="6"/>
  <c r="D48" i="6" l="1"/>
  <c r="D53" i="6" s="1"/>
</calcChain>
</file>

<file path=xl/sharedStrings.xml><?xml version="1.0" encoding="utf-8"?>
<sst xmlns="http://schemas.openxmlformats.org/spreadsheetml/2006/main" count="715" uniqueCount="60">
  <si>
    <t>Subsidiary</t>
  </si>
  <si>
    <t>Fanta</t>
  </si>
  <si>
    <t>Sprite</t>
  </si>
  <si>
    <t>Schweppes</t>
  </si>
  <si>
    <t>Powerade</t>
  </si>
  <si>
    <t>Period</t>
  </si>
  <si>
    <t>Line Item</t>
  </si>
  <si>
    <t>Actuals</t>
  </si>
  <si>
    <t>Sales</t>
  </si>
  <si>
    <t>The Coca-Cola Company Data</t>
  </si>
  <si>
    <t>Coca-Cola</t>
  </si>
  <si>
    <t>Forecasts</t>
  </si>
  <si>
    <t>Other operating charges</t>
  </si>
  <si>
    <t>Cost of Goods Sold</t>
  </si>
  <si>
    <t>Selling, General &amp; Administrative expenses</t>
  </si>
  <si>
    <t>Gross Profit</t>
  </si>
  <si>
    <t>Net Income</t>
  </si>
  <si>
    <t>2021 Apple Data</t>
  </si>
  <si>
    <t>ID Number</t>
  </si>
  <si>
    <t>Region</t>
  </si>
  <si>
    <t>Product</t>
  </si>
  <si>
    <t>Sales Method</t>
  </si>
  <si>
    <t>Quantity Sold</t>
  </si>
  <si>
    <t>EMEA</t>
  </si>
  <si>
    <t>iphone</t>
  </si>
  <si>
    <t>In-store</t>
  </si>
  <si>
    <t>North America</t>
  </si>
  <si>
    <t>Third Party</t>
  </si>
  <si>
    <t>APAC</t>
  </si>
  <si>
    <t>macbook</t>
  </si>
  <si>
    <t>Online Store</t>
  </si>
  <si>
    <t>Latin America</t>
  </si>
  <si>
    <t>ipad</t>
  </si>
  <si>
    <t>Referral</t>
  </si>
  <si>
    <t>iwatch</t>
  </si>
  <si>
    <t>airpod</t>
  </si>
  <si>
    <t>Sales method</t>
  </si>
  <si>
    <t>Bottling type</t>
  </si>
  <si>
    <t>Sales person</t>
  </si>
  <si>
    <t>Revenues</t>
  </si>
  <si>
    <t>Cost of goods sold</t>
  </si>
  <si>
    <t>Selling, general &amp; administrative expenses</t>
  </si>
  <si>
    <t>Operating Income</t>
  </si>
  <si>
    <t>Interest expense</t>
  </si>
  <si>
    <t>Income Before Taxes</t>
  </si>
  <si>
    <t>Taxes</t>
  </si>
  <si>
    <t>Year</t>
  </si>
  <si>
    <t>Price per unit</t>
  </si>
  <si>
    <t>Cost per unit</t>
  </si>
  <si>
    <t>Expenses</t>
  </si>
  <si>
    <t>Sum of Quantity Sold</t>
  </si>
  <si>
    <t>Column Labels</t>
  </si>
  <si>
    <t>Grand Total</t>
  </si>
  <si>
    <t>Row Labels</t>
  </si>
  <si>
    <t>Average of Price per unit</t>
  </si>
  <si>
    <t xml:space="preserve">Revenues </t>
  </si>
  <si>
    <t xml:space="preserve">Expenses </t>
  </si>
  <si>
    <t xml:space="preserve">Profitability </t>
  </si>
  <si>
    <t xml:space="preserve">  </t>
  </si>
  <si>
    <t>Product Sales by Year and Method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</si>
</sst>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 #,##0.00_-;_-* &quot;-&quot;??_-;_-@_-"/>
    <numFmt numFmtId="165" formatCode="_-* #,##0.0_-;\-* #,##0.0_-;_-* &quot;-&quot;??_-;_-@_-"/>
    <numFmt numFmtId="166" formatCode="_-* #,##0_-;\-* #,##0_-;_-* &quot;-&quot;??_-;_-@_-"/>
    <numFmt numFmtId="167" formatCode="#,##0;\(#,##0\)"/>
    <numFmt numFmtId="168" formatCode="&quot;$&quot;#,##0.00"/>
    <numFmt numFmtId="169" formatCode="&quot;$&quot;#,##0"/>
  </numFmts>
  <fonts count="6" x14ac:knownFonts="1">
    <font>
      <sz val="12"/>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2"/>
      <color rgb="FF000000"/>
      <name val="Calibri"/>
      <family val="2"/>
      <scheme val="minor"/>
    </font>
    <font>
      <sz val="16"/>
      <color rgb="FF000000"/>
      <name val="Roboto"/>
    </font>
  </fonts>
  <fills count="5">
    <fill>
      <patternFill patternType="none"/>
    </fill>
    <fill>
      <patternFill patternType="gray125"/>
    </fill>
    <fill>
      <patternFill patternType="solid">
        <fgColor rgb="FF293D68"/>
        <bgColor indexed="64"/>
      </patternFill>
    </fill>
    <fill>
      <patternFill patternType="solid">
        <fgColor theme="4" tint="0.79998168889431442"/>
        <bgColor theme="4" tint="0.79998168889431442"/>
      </patternFill>
    </fill>
    <fill>
      <patternFill patternType="solid">
        <fgColor theme="4" tint="0.79998168889431442"/>
        <bgColor indexed="64"/>
      </patternFill>
    </fill>
  </fills>
  <borders count="3">
    <border>
      <left/>
      <right/>
      <top/>
      <bottom/>
      <diagonal/>
    </border>
    <border>
      <left/>
      <right/>
      <top/>
      <bottom style="thin">
        <color indexed="64"/>
      </bottom>
      <diagonal/>
    </border>
    <border>
      <left style="thin">
        <color indexed="64"/>
      </left>
      <right/>
      <top/>
      <bottom/>
      <diagonal/>
    </border>
  </borders>
  <cellStyleXfs count="2">
    <xf numFmtId="0" fontId="0" fillId="0" borderId="0"/>
    <xf numFmtId="164" fontId="1" fillId="0" borderId="0" applyFont="0" applyFill="0" applyBorder="0" applyAlignment="0" applyProtection="0"/>
  </cellStyleXfs>
  <cellXfs count="28">
    <xf numFmtId="0" fontId="0" fillId="0" borderId="0" xfId="0"/>
    <xf numFmtId="0" fontId="3" fillId="0" borderId="0" xfId="0" applyFont="1"/>
    <xf numFmtId="0" fontId="0" fillId="0" borderId="0" xfId="0" applyFont="1"/>
    <xf numFmtId="0" fontId="2" fillId="2" borderId="0" xfId="0" applyFont="1" applyFill="1"/>
    <xf numFmtId="0" fontId="0" fillId="0" borderId="0" xfId="0" applyAlignment="1">
      <alignment horizontal="center"/>
    </xf>
    <xf numFmtId="165" fontId="0" fillId="0" borderId="0" xfId="1" applyNumberFormat="1" applyFont="1"/>
    <xf numFmtId="166" fontId="0" fillId="0" borderId="0" xfId="1" applyNumberFormat="1" applyFont="1"/>
    <xf numFmtId="0" fontId="3" fillId="0" borderId="1" xfId="0" applyFont="1" applyBorder="1" applyAlignment="1">
      <alignment horizontal="center"/>
    </xf>
    <xf numFmtId="167" fontId="0" fillId="0" borderId="0" xfId="1" applyNumberFormat="1" applyFont="1" applyAlignment="1">
      <alignment horizontal="right"/>
    </xf>
    <xf numFmtId="0" fontId="4" fillId="0" borderId="0" xfId="0" applyFont="1"/>
    <xf numFmtId="165" fontId="0" fillId="0" borderId="0" xfId="0" applyNumberFormat="1" applyFont="1"/>
    <xf numFmtId="0" fontId="5" fillId="0" borderId="0" xfId="0" applyFont="1"/>
    <xf numFmtId="166" fontId="0" fillId="0" borderId="0" xfId="0" applyNumberFormat="1"/>
    <xf numFmtId="0" fontId="0" fillId="0" borderId="0" xfId="0" applyNumberFormat="1" applyAlignment="1">
      <alignment horizontal="center"/>
    </xf>
    <xf numFmtId="1" fontId="0" fillId="0" borderId="0" xfId="0" applyNumberFormat="1"/>
    <xf numFmtId="0" fontId="0" fillId="0" borderId="0" xfId="0" pivotButton="1"/>
    <xf numFmtId="0" fontId="0" fillId="0" borderId="0" xfId="0" applyAlignment="1">
      <alignment horizontal="left"/>
    </xf>
    <xf numFmtId="168" fontId="0" fillId="0" borderId="0" xfId="0" applyNumberFormat="1"/>
    <xf numFmtId="169" fontId="0" fillId="0" borderId="0" xfId="0" applyNumberFormat="1"/>
    <xf numFmtId="0" fontId="0" fillId="0" borderId="0" xfId="0" applyAlignment="1">
      <alignment horizontal="right"/>
    </xf>
    <xf numFmtId="0" fontId="2" fillId="2" borderId="2" xfId="0" applyFont="1" applyFill="1" applyBorder="1" applyAlignment="1">
      <alignment horizontal="center"/>
    </xf>
    <xf numFmtId="0" fontId="2" fillId="2" borderId="0" xfId="0" applyFont="1" applyFill="1" applyBorder="1" applyAlignment="1">
      <alignment horizontal="center"/>
    </xf>
    <xf numFmtId="0" fontId="2" fillId="2" borderId="0" xfId="0" applyFont="1" applyFill="1" applyAlignment="1">
      <alignment horizontal="center"/>
    </xf>
    <xf numFmtId="0" fontId="3" fillId="3" borderId="0" xfId="0" applyFont="1" applyFill="1"/>
    <xf numFmtId="0" fontId="0" fillId="0" borderId="0" xfId="0" applyNumberFormat="1"/>
    <xf numFmtId="0" fontId="0" fillId="0" borderId="0" xfId="0" applyFont="1" applyAlignment="1">
      <alignment horizontal="left"/>
    </xf>
    <xf numFmtId="0" fontId="0" fillId="0" borderId="0" xfId="0" applyAlignment="1">
      <alignment horizontal="left" indent="1"/>
    </xf>
    <xf numFmtId="0" fontId="0" fillId="4" borderId="0" xfId="0" applyFill="1"/>
  </cellXfs>
  <cellStyles count="2">
    <cellStyle name="Comma" xfId="1" builtinId="3"/>
    <cellStyle name="Normal" xfId="0" builtinId="0"/>
  </cellStyles>
  <dxfs count="99">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72" formatCode="&quot;$&quot;#,##0.0"/>
    </dxf>
    <dxf>
      <numFmt numFmtId="172" formatCode="&quot;$&quot;#,##0.0"/>
    </dxf>
    <dxf>
      <numFmt numFmtId="172" formatCode="&quot;$&quot;#,##0.0"/>
    </dxf>
    <dxf>
      <numFmt numFmtId="172" formatCode="&quot;$&quot;#,##0.0"/>
    </dxf>
    <dxf>
      <numFmt numFmtId="172" formatCode="&quot;$&quot;#,##0.0"/>
    </dxf>
    <dxf>
      <numFmt numFmtId="172" formatCode="&quot;$&quot;#,##0.0"/>
    </dxf>
    <dxf>
      <numFmt numFmtId="172" formatCode="&quot;$&quot;#,##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2" formatCode="&quot;$&quot;#,##0.0"/>
    </dxf>
    <dxf>
      <numFmt numFmtId="169" formatCode="&quot;$&quot;#,##0"/>
    </dxf>
    <dxf>
      <numFmt numFmtId="168" formatCode="&quot;$&quot;#,##0.00"/>
    </dxf>
    <dxf>
      <numFmt numFmtId="34" formatCode="_(&quot;$&quot;* #,##0.00_);_(&quot;$&quot;* \(#,##0.00\);_(&quot;$&quot;* &quot;-&quot;??_);_(@_)"/>
    </dxf>
    <dxf>
      <numFmt numFmtId="1" formatCode="0"/>
    </dxf>
    <dxf>
      <font>
        <sz val="12"/>
      </font>
    </dxf>
    <dxf>
      <numFmt numFmtId="168" formatCode="&quot;$&quot;#,##0.00"/>
    </dxf>
    <dxf>
      <numFmt numFmtId="168" formatCode="&quot;$&quot;#,##0.00"/>
    </dxf>
    <dxf>
      <alignment horizontal="right"/>
    </dxf>
    <dxf>
      <alignment horizontal="right"/>
    </dxf>
    <dxf>
      <numFmt numFmtId="169" formatCode="&quot;$&quot;#,##0"/>
    </dxf>
    <dxf>
      <fill>
        <patternFill patternType="solid">
          <bgColor rgb="FF293D68"/>
        </patternFill>
      </fill>
    </dxf>
  </dxfs>
  <tableStyles count="1" defaultTableStyle="TableStyleMedium2" defaultPivotStyle="PivotStyleLight16">
    <tableStyle name="PivotTable Style 1" table="0" count="2" xr9:uid="{7C53FFA2-891C-C746-965F-320A6AD6361A}">
      <tableStyleElement type="wholeTable" dxfId="98"/>
      <tableStyleElement type="firstColumnStripe" size="2"/>
    </tableStyle>
  </tableStyles>
  <colors>
    <mruColors>
      <color rgb="FF293D68"/>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and Slicer Project.xlsx]PROFITABILITY BY REGION !PivotTable2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'PROFITABILITY BY REGION '!$B$3</c:f>
              <c:strCache>
                <c:ptCount val="1"/>
                <c:pt idx="0">
                  <c:v>Revenues </c:v>
                </c:pt>
              </c:strCache>
            </c:strRef>
          </c:tx>
          <c:spPr>
            <a:solidFill>
              <a:schemeClr val="accent1"/>
            </a:solidFill>
            <a:ln>
              <a:noFill/>
            </a:ln>
            <a:effectLst/>
          </c:spPr>
          <c:invertIfNegative val="0"/>
          <c:cat>
            <c:strRef>
              <c:f>'PROFITABILITY BY REGION '!$A$4:$A$8</c:f>
              <c:strCache>
                <c:ptCount val="4"/>
                <c:pt idx="0">
                  <c:v>APAC</c:v>
                </c:pt>
                <c:pt idx="1">
                  <c:v>EMEA</c:v>
                </c:pt>
                <c:pt idx="2">
                  <c:v>Latin America</c:v>
                </c:pt>
                <c:pt idx="3">
                  <c:v>North America</c:v>
                </c:pt>
              </c:strCache>
            </c:strRef>
          </c:cat>
          <c:val>
            <c:numRef>
              <c:f>'PROFITABILITY BY REGION '!$B$4:$B$8</c:f>
              <c:numCache>
                <c:formatCode>"$"#,##0</c:formatCode>
                <c:ptCount val="4"/>
                <c:pt idx="0">
                  <c:v>7993215.2999999998</c:v>
                </c:pt>
                <c:pt idx="1">
                  <c:v>2431805.2000000002</c:v>
                </c:pt>
                <c:pt idx="2">
                  <c:v>4469492.6000000006</c:v>
                </c:pt>
                <c:pt idx="3">
                  <c:v>3919300.2000000007</c:v>
                </c:pt>
              </c:numCache>
            </c:numRef>
          </c:val>
          <c:extLst>
            <c:ext xmlns:c16="http://schemas.microsoft.com/office/drawing/2014/chart" uri="{C3380CC4-5D6E-409C-BE32-E72D297353CC}">
              <c16:uniqueId val="{00000000-E24C-45DF-8EE2-1B967BCBF249}"/>
            </c:ext>
          </c:extLst>
        </c:ser>
        <c:ser>
          <c:idx val="1"/>
          <c:order val="1"/>
          <c:tx>
            <c:strRef>
              <c:f>'PROFITABILITY BY REGION '!$C$3</c:f>
              <c:strCache>
                <c:ptCount val="1"/>
                <c:pt idx="0">
                  <c:v>Expenses </c:v>
                </c:pt>
              </c:strCache>
            </c:strRef>
          </c:tx>
          <c:spPr>
            <a:solidFill>
              <a:schemeClr val="accent2"/>
            </a:solidFill>
            <a:ln>
              <a:noFill/>
            </a:ln>
            <a:effectLst/>
          </c:spPr>
          <c:invertIfNegative val="0"/>
          <c:cat>
            <c:strRef>
              <c:f>'PROFITABILITY BY REGION '!$A$4:$A$8</c:f>
              <c:strCache>
                <c:ptCount val="4"/>
                <c:pt idx="0">
                  <c:v>APAC</c:v>
                </c:pt>
                <c:pt idx="1">
                  <c:v>EMEA</c:v>
                </c:pt>
                <c:pt idx="2">
                  <c:v>Latin America</c:v>
                </c:pt>
                <c:pt idx="3">
                  <c:v>North America</c:v>
                </c:pt>
              </c:strCache>
            </c:strRef>
          </c:cat>
          <c:val>
            <c:numRef>
              <c:f>'PROFITABILITY BY REGION '!$C$4:$C$8</c:f>
              <c:numCache>
                <c:formatCode>"$"#,##0</c:formatCode>
                <c:ptCount val="4"/>
                <c:pt idx="0">
                  <c:v>2778382.3000000007</c:v>
                </c:pt>
                <c:pt idx="1">
                  <c:v>751190.2</c:v>
                </c:pt>
                <c:pt idx="2">
                  <c:v>1526569.6</c:v>
                </c:pt>
                <c:pt idx="3">
                  <c:v>1251784.2</c:v>
                </c:pt>
              </c:numCache>
            </c:numRef>
          </c:val>
          <c:extLst>
            <c:ext xmlns:c16="http://schemas.microsoft.com/office/drawing/2014/chart" uri="{C3380CC4-5D6E-409C-BE32-E72D297353CC}">
              <c16:uniqueId val="{00000001-E24C-45DF-8EE2-1B967BCBF249}"/>
            </c:ext>
          </c:extLst>
        </c:ser>
        <c:ser>
          <c:idx val="2"/>
          <c:order val="2"/>
          <c:tx>
            <c:strRef>
              <c:f>'PROFITABILITY BY REGION '!$D$3</c:f>
              <c:strCache>
                <c:ptCount val="1"/>
                <c:pt idx="0">
                  <c:v>Profitability </c:v>
                </c:pt>
              </c:strCache>
            </c:strRef>
          </c:tx>
          <c:spPr>
            <a:solidFill>
              <a:schemeClr val="accent3"/>
            </a:solidFill>
            <a:ln>
              <a:noFill/>
            </a:ln>
            <a:effectLst/>
          </c:spPr>
          <c:invertIfNegative val="0"/>
          <c:cat>
            <c:strRef>
              <c:f>'PROFITABILITY BY REGION '!$A$4:$A$8</c:f>
              <c:strCache>
                <c:ptCount val="4"/>
                <c:pt idx="0">
                  <c:v>APAC</c:v>
                </c:pt>
                <c:pt idx="1">
                  <c:v>EMEA</c:v>
                </c:pt>
                <c:pt idx="2">
                  <c:v>Latin America</c:v>
                </c:pt>
                <c:pt idx="3">
                  <c:v>North America</c:v>
                </c:pt>
              </c:strCache>
            </c:strRef>
          </c:cat>
          <c:val>
            <c:numRef>
              <c:f>'PROFITABILITY BY REGION '!$D$4:$D$8</c:f>
              <c:numCache>
                <c:formatCode>"$"#,##0</c:formatCode>
                <c:ptCount val="4"/>
                <c:pt idx="0">
                  <c:v>5214832.9999999991</c:v>
                </c:pt>
                <c:pt idx="1">
                  <c:v>1680615.0000000002</c:v>
                </c:pt>
                <c:pt idx="2">
                  <c:v>2942923.0000000005</c:v>
                </c:pt>
                <c:pt idx="3">
                  <c:v>2667516.0000000009</c:v>
                </c:pt>
              </c:numCache>
            </c:numRef>
          </c:val>
          <c:extLst>
            <c:ext xmlns:c16="http://schemas.microsoft.com/office/drawing/2014/chart" uri="{C3380CC4-5D6E-409C-BE32-E72D297353CC}">
              <c16:uniqueId val="{00000002-E24C-45DF-8EE2-1B967BCBF249}"/>
            </c:ext>
          </c:extLst>
        </c:ser>
        <c:dLbls>
          <c:showLegendKey val="0"/>
          <c:showVal val="0"/>
          <c:showCatName val="0"/>
          <c:showSerName val="0"/>
          <c:showPercent val="0"/>
          <c:showBubbleSize val="0"/>
        </c:dLbls>
        <c:gapWidth val="219"/>
        <c:overlap val="-27"/>
        <c:axId val="550246400"/>
        <c:axId val="550248368"/>
      </c:barChart>
      <c:catAx>
        <c:axId val="550246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248368"/>
        <c:crosses val="autoZero"/>
        <c:auto val="1"/>
        <c:lblAlgn val="ctr"/>
        <c:lblOffset val="100"/>
        <c:noMultiLvlLbl val="0"/>
      </c:catAx>
      <c:valAx>
        <c:axId val="55024836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246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354537</xdr:colOff>
      <xdr:row>1</xdr:row>
      <xdr:rowOff>197909</xdr:rowOff>
    </xdr:from>
    <xdr:to>
      <xdr:col>9</xdr:col>
      <xdr:colOff>118529</xdr:colOff>
      <xdr:row>8</xdr:row>
      <xdr:rowOff>121709</xdr:rowOff>
    </xdr:to>
    <mc:AlternateContent xmlns:mc="http://schemas.openxmlformats.org/markup-compatibility/2006">
      <mc:Choice xmlns:a14="http://schemas.microsoft.com/office/drawing/2010/main" Requires="a14">
        <xdr:graphicFrame macro="">
          <xdr:nvGraphicFramePr>
            <xdr:cNvPr id="2" name="Year 1">
              <a:extLst>
                <a:ext uri="{FF2B5EF4-FFF2-40B4-BE49-F238E27FC236}">
                  <a16:creationId xmlns:a16="http://schemas.microsoft.com/office/drawing/2014/main" id="{3D92DD42-51FF-47EA-94A4-F7BB9221A2BB}"/>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5963704" y="398992"/>
              <a:ext cx="1827742" cy="13313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351362</xdr:colOff>
      <xdr:row>8</xdr:row>
      <xdr:rowOff>196850</xdr:rowOff>
    </xdr:from>
    <xdr:to>
      <xdr:col>9</xdr:col>
      <xdr:colOff>121704</xdr:colOff>
      <xdr:row>16</xdr:row>
      <xdr:rowOff>168275</xdr:rowOff>
    </xdr:to>
    <mc:AlternateContent xmlns:mc="http://schemas.openxmlformats.org/markup-compatibility/2006">
      <mc:Choice xmlns:a14="http://schemas.microsoft.com/office/drawing/2010/main" Requires="a14">
        <xdr:graphicFrame macro="">
          <xdr:nvGraphicFramePr>
            <xdr:cNvPr id="3" name="Region 1">
              <a:extLst>
                <a:ext uri="{FF2B5EF4-FFF2-40B4-BE49-F238E27FC236}">
                  <a16:creationId xmlns:a16="http://schemas.microsoft.com/office/drawing/2014/main" id="{43A73C3A-5748-415E-917E-0509CB1154CF}"/>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5960529" y="1805517"/>
              <a:ext cx="1834092" cy="15800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354537</xdr:colOff>
      <xdr:row>17</xdr:row>
      <xdr:rowOff>2116</xdr:rowOff>
    </xdr:from>
    <xdr:to>
      <xdr:col>9</xdr:col>
      <xdr:colOff>118529</xdr:colOff>
      <xdr:row>24</xdr:row>
      <xdr:rowOff>184150</xdr:rowOff>
    </xdr:to>
    <mc:AlternateContent xmlns:mc="http://schemas.openxmlformats.org/markup-compatibility/2006">
      <mc:Choice xmlns:a14="http://schemas.microsoft.com/office/drawing/2010/main" Requires="a14">
        <xdr:graphicFrame macro="">
          <xdr:nvGraphicFramePr>
            <xdr:cNvPr id="4" name="Sales Method 1">
              <a:extLst>
                <a:ext uri="{FF2B5EF4-FFF2-40B4-BE49-F238E27FC236}">
                  <a16:creationId xmlns:a16="http://schemas.microsoft.com/office/drawing/2014/main" id="{D0921425-DC04-4561-8280-A637E7C29376}"/>
                </a:ext>
              </a:extLst>
            </xdr:cNvPr>
            <xdr:cNvGraphicFramePr/>
          </xdr:nvGraphicFramePr>
          <xdr:xfrm>
            <a:off x="0" y="0"/>
            <a:ext cx="0" cy="0"/>
          </xdr:xfrm>
          <a:graphic>
            <a:graphicData uri="http://schemas.microsoft.com/office/drawing/2010/slicer">
              <sle:slicer xmlns:sle="http://schemas.microsoft.com/office/drawing/2010/slicer" name="Sales Method 1"/>
            </a:graphicData>
          </a:graphic>
        </xdr:graphicFrame>
      </mc:Choice>
      <mc:Fallback>
        <xdr:sp macro="" textlink="">
          <xdr:nvSpPr>
            <xdr:cNvPr id="0" name=""/>
            <xdr:cNvSpPr>
              <a:spLocks noTextEdit="1"/>
            </xdr:cNvSpPr>
          </xdr:nvSpPr>
          <xdr:spPr>
            <a:xfrm>
              <a:off x="5963704" y="3420533"/>
              <a:ext cx="1827742" cy="15896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354537</xdr:colOff>
      <xdr:row>1</xdr:row>
      <xdr:rowOff>197909</xdr:rowOff>
    </xdr:from>
    <xdr:to>
      <xdr:col>9</xdr:col>
      <xdr:colOff>118529</xdr:colOff>
      <xdr:row>8</xdr:row>
      <xdr:rowOff>121709</xdr:rowOff>
    </xdr:to>
    <mc:AlternateContent xmlns:mc="http://schemas.openxmlformats.org/markup-compatibility/2006">
      <mc:Choice xmlns:a14="http://schemas.microsoft.com/office/drawing/2010/main" Requires="a14">
        <xdr:graphicFrame macro="">
          <xdr:nvGraphicFramePr>
            <xdr:cNvPr id="2" name="Year">
              <a:extLst>
                <a:ext uri="{FF2B5EF4-FFF2-40B4-BE49-F238E27FC236}">
                  <a16:creationId xmlns:a16="http://schemas.microsoft.com/office/drawing/2014/main" id="{A664DF17-532D-4E18-A81D-F8889DCD07BA}"/>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5963704" y="398992"/>
              <a:ext cx="1827742" cy="13313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351362</xdr:colOff>
      <xdr:row>8</xdr:row>
      <xdr:rowOff>196850</xdr:rowOff>
    </xdr:from>
    <xdr:to>
      <xdr:col>9</xdr:col>
      <xdr:colOff>121704</xdr:colOff>
      <xdr:row>16</xdr:row>
      <xdr:rowOff>168275</xdr:rowOff>
    </xdr:to>
    <mc:AlternateContent xmlns:mc="http://schemas.openxmlformats.org/markup-compatibility/2006">
      <mc:Choice xmlns:a14="http://schemas.microsoft.com/office/drawing/2010/main" Requires="a14">
        <xdr:graphicFrame macro="">
          <xdr:nvGraphicFramePr>
            <xdr:cNvPr id="3" name="Region">
              <a:extLst>
                <a:ext uri="{FF2B5EF4-FFF2-40B4-BE49-F238E27FC236}">
                  <a16:creationId xmlns:a16="http://schemas.microsoft.com/office/drawing/2014/main" id="{0EA3EDC5-2DC3-4E60-9E11-5E8EFC9BF82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960529" y="1805517"/>
              <a:ext cx="1834092" cy="15800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354537</xdr:colOff>
      <xdr:row>17</xdr:row>
      <xdr:rowOff>2116</xdr:rowOff>
    </xdr:from>
    <xdr:to>
      <xdr:col>9</xdr:col>
      <xdr:colOff>118529</xdr:colOff>
      <xdr:row>24</xdr:row>
      <xdr:rowOff>184150</xdr:rowOff>
    </xdr:to>
    <mc:AlternateContent xmlns:mc="http://schemas.openxmlformats.org/markup-compatibility/2006">
      <mc:Choice xmlns:a14="http://schemas.microsoft.com/office/drawing/2010/main" Requires="a14">
        <xdr:graphicFrame macro="">
          <xdr:nvGraphicFramePr>
            <xdr:cNvPr id="4" name="Sales Method">
              <a:extLst>
                <a:ext uri="{FF2B5EF4-FFF2-40B4-BE49-F238E27FC236}">
                  <a16:creationId xmlns:a16="http://schemas.microsoft.com/office/drawing/2014/main" id="{9B732238-A433-42A3-9709-543E61C14D85}"/>
                </a:ext>
              </a:extLst>
            </xdr:cNvPr>
            <xdr:cNvGraphicFramePr/>
          </xdr:nvGraphicFramePr>
          <xdr:xfrm>
            <a:off x="0" y="0"/>
            <a:ext cx="0" cy="0"/>
          </xdr:xfrm>
          <a:graphic>
            <a:graphicData uri="http://schemas.microsoft.com/office/drawing/2010/slicer">
              <sle:slicer xmlns:sle="http://schemas.microsoft.com/office/drawing/2010/slicer" name="Sales Method"/>
            </a:graphicData>
          </a:graphic>
        </xdr:graphicFrame>
      </mc:Choice>
      <mc:Fallback>
        <xdr:sp macro="" textlink="">
          <xdr:nvSpPr>
            <xdr:cNvPr id="0" name=""/>
            <xdr:cNvSpPr>
              <a:spLocks noTextEdit="1"/>
            </xdr:cNvSpPr>
          </xdr:nvSpPr>
          <xdr:spPr>
            <a:xfrm>
              <a:off x="5963704" y="3420533"/>
              <a:ext cx="1827742" cy="15896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8</xdr:col>
      <xdr:colOff>138112</xdr:colOff>
      <xdr:row>0</xdr:row>
      <xdr:rowOff>176212</xdr:rowOff>
    </xdr:from>
    <xdr:to>
      <xdr:col>14</xdr:col>
      <xdr:colOff>304800</xdr:colOff>
      <xdr:row>16</xdr:row>
      <xdr:rowOff>76200</xdr:rowOff>
    </xdr:to>
    <xdr:graphicFrame macro="">
      <xdr:nvGraphicFramePr>
        <xdr:cNvPr id="2" name="Chart 1">
          <a:extLst>
            <a:ext uri="{FF2B5EF4-FFF2-40B4-BE49-F238E27FC236}">
              <a16:creationId xmlns:a16="http://schemas.microsoft.com/office/drawing/2014/main" id="{2D162329-D64C-4690-BC9D-F521F0F5DE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 Arnold" refreshedDate="44654.698471412034" createdVersion="7" refreshedVersion="7" minRefreshableVersion="3" recordCount="100" xr:uid="{4CE8F74A-2717-4D15-A183-811778E8297B}">
  <cacheSource type="worksheet">
    <worksheetSource ref="B3:K103" sheet="Data"/>
  </cacheSource>
  <cacheFields count="11">
    <cacheField name="ID Number" numFmtId="0">
      <sharedItems containsSemiMixedTypes="0" containsString="0" containsNumber="1" containsInteger="1" minValue="101" maxValue="200"/>
    </cacheField>
    <cacheField name="Year" numFmtId="0">
      <sharedItems containsSemiMixedTypes="0" containsString="0" containsNumber="1" containsInteger="1" minValue="2019" maxValue="2021" count="3">
        <n v="2019"/>
        <n v="2020"/>
        <n v="2021"/>
      </sharedItems>
    </cacheField>
    <cacheField name="Region" numFmtId="0">
      <sharedItems count="4">
        <s v="EMEA"/>
        <s v="North America"/>
        <s v="APAC"/>
        <s v="Latin America"/>
      </sharedItems>
    </cacheField>
    <cacheField name="Product" numFmtId="0">
      <sharedItems count="5">
        <s v="iphone"/>
        <s v="macbook"/>
        <s v="ipad"/>
        <s v="iwatch"/>
        <s v="airpod"/>
      </sharedItems>
    </cacheField>
    <cacheField name="Price per unit" numFmtId="0">
      <sharedItems containsSemiMixedTypes="0" containsString="0" containsNumber="1" containsInteger="1" minValue="199" maxValue="1299"/>
    </cacheField>
    <cacheField name="Cost per unit" numFmtId="166">
      <sharedItems containsSemiMixedTypes="0" containsString="0" containsNumber="1" containsInteger="1" minValue="39" maxValue="459"/>
    </cacheField>
    <cacheField name="Quantity Sold" numFmtId="1">
      <sharedItems containsSemiMixedTypes="0" containsString="0" containsNumber="1" minValue="106" maxValue="497.70000000000005" count="100">
        <n v="313.5"/>
        <n v="300.7"/>
        <n v="482.20000000000005"/>
        <n v="109"/>
        <n v="450.90000000000003"/>
        <n v="270.90000000000003"/>
        <n v="443.1"/>
        <n v="459.3"/>
        <n v="222.5"/>
        <n v="479.40000000000003"/>
        <n v="301.2"/>
        <n v="315.10000000000002"/>
        <n v="142.4"/>
        <n v="311"/>
        <n v="378.20000000000005"/>
        <n v="291.90000000000003"/>
        <n v="479.3"/>
        <n v="115.10000000000001"/>
        <n v="347.8"/>
        <n v="222.4"/>
        <n v="276.5"/>
        <n v="151.20000000000002"/>
        <n v="171.60000000000002"/>
        <n v="365.40000000000003"/>
        <n v="156.10000000000002"/>
        <n v="208.3"/>
        <n v="267.3"/>
        <n v="338.5"/>
        <n v="321.8"/>
        <n v="368.70000000000005"/>
        <n v="126.9"/>
        <n v="390"/>
        <n v="388.3"/>
        <n v="112"/>
        <n v="331.70000000000005"/>
        <n v="171"/>
        <n v="167.20000000000002"/>
        <n v="357.8"/>
        <n v="396.20000000000005"/>
        <n v="314.20000000000005"/>
        <n v="497.70000000000005"/>
        <n v="125.4"/>
        <n v="411.20000000000005"/>
        <n v="194.3"/>
        <n v="167.9"/>
        <n v="132.20000000000002"/>
        <n v="139.4"/>
        <n v="106"/>
        <n v="271.90000000000003"/>
        <n v="236"/>
        <n v="339.8"/>
        <n v="403.6"/>
        <n v="218.60000000000002"/>
        <n v="462.20000000000005"/>
        <n v="210.9"/>
        <n v="453.40000000000003"/>
        <n v="471.90000000000003"/>
        <n v="128.30000000000001"/>
        <n v="198.20000000000002"/>
        <n v="300.3"/>
        <n v="129.4"/>
        <n v="341.70000000000005"/>
        <n v="155.60000000000002"/>
        <n v="318.40000000000003"/>
        <n v="307.60000000000002"/>
        <n v="187.3"/>
        <n v="157.4"/>
        <n v="219.3"/>
        <n v="133"/>
        <n v="357.6"/>
        <n v="400.6"/>
        <n v="433.1"/>
        <n v="205.9"/>
        <n v="436"/>
        <n v="114.7"/>
        <n v="213.8"/>
        <n v="124"/>
        <n v="285.10000000000002"/>
        <n v="228.9"/>
        <n v="361"/>
        <n v="425.70000000000005"/>
        <n v="233.3"/>
        <n v="381.20000000000005"/>
        <n v="415.3"/>
        <n v="250.4"/>
        <n v="280.10000000000002"/>
        <n v="214.9"/>
        <n v="319.20000000000005"/>
        <n v="209.9"/>
        <n v="197.9"/>
        <n v="122.2"/>
        <n v="379.3"/>
        <n v="120.80000000000001"/>
        <n v="454.3"/>
        <n v="245.8"/>
        <n v="285.5"/>
        <n v="242.10000000000002"/>
        <n v="133.9"/>
        <n v="288.60000000000002"/>
        <n v="200.10000000000002"/>
      </sharedItems>
    </cacheField>
    <cacheField name="Revenues" numFmtId="166">
      <sharedItems containsSemiMixedTypes="0" containsString="0" containsNumber="1" minValue="26467" maxValue="626377.80000000005"/>
    </cacheField>
    <cacheField name="Expenses" numFmtId="166">
      <sharedItems containsSemiMixedTypes="0" containsString="0" containsNumber="1" minValue="5187" maxValue="221329.80000000002"/>
    </cacheField>
    <cacheField name="Sales Method" numFmtId="0">
      <sharedItems count="4">
        <s v="In-store"/>
        <s v="Third Party"/>
        <s v="Online Store"/>
        <s v="Referral"/>
      </sharedItems>
    </cacheField>
    <cacheField name="Profitability" numFmtId="0" formula="Revenues -Expenses" databaseField="0"/>
  </cacheFields>
  <extLst>
    <ext xmlns:x14="http://schemas.microsoft.com/office/spreadsheetml/2009/9/main" uri="{725AE2AE-9491-48be-B2B4-4EB974FC3084}">
      <x14:pivotCacheDefinition pivotCacheId="11979033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101"/>
    <x v="0"/>
    <x v="0"/>
    <x v="0"/>
    <n v="1099"/>
    <n v="289"/>
    <x v="0"/>
    <n v="344536.5"/>
    <n v="90601.5"/>
    <x v="0"/>
  </r>
  <r>
    <n v="102"/>
    <x v="0"/>
    <x v="1"/>
    <x v="0"/>
    <n v="1099"/>
    <n v="289"/>
    <x v="1"/>
    <n v="330469.3"/>
    <n v="86902.3"/>
    <x v="1"/>
  </r>
  <r>
    <n v="103"/>
    <x v="0"/>
    <x v="2"/>
    <x v="1"/>
    <n v="1299"/>
    <n v="459"/>
    <x v="2"/>
    <n v="626377.80000000005"/>
    <n v="221329.80000000002"/>
    <x v="2"/>
  </r>
  <r>
    <n v="104"/>
    <x v="0"/>
    <x v="3"/>
    <x v="2"/>
    <n v="599"/>
    <n v="299"/>
    <x v="3"/>
    <n v="65291"/>
    <n v="32591"/>
    <x v="3"/>
  </r>
  <r>
    <n v="105"/>
    <x v="0"/>
    <x v="3"/>
    <x v="3"/>
    <n v="449"/>
    <n v="159"/>
    <x v="4"/>
    <n v="202454.1"/>
    <n v="71693.100000000006"/>
    <x v="2"/>
  </r>
  <r>
    <n v="106"/>
    <x v="0"/>
    <x v="3"/>
    <x v="4"/>
    <n v="199"/>
    <n v="39"/>
    <x v="5"/>
    <n v="53909.100000000006"/>
    <n v="10565.100000000002"/>
    <x v="2"/>
  </r>
  <r>
    <n v="107"/>
    <x v="0"/>
    <x v="3"/>
    <x v="4"/>
    <n v="199"/>
    <n v="39"/>
    <x v="6"/>
    <n v="88176.900000000009"/>
    <n v="17280.900000000001"/>
    <x v="0"/>
  </r>
  <r>
    <n v="108"/>
    <x v="0"/>
    <x v="0"/>
    <x v="4"/>
    <n v="199"/>
    <n v="39"/>
    <x v="7"/>
    <n v="91400.7"/>
    <n v="17912.7"/>
    <x v="2"/>
  </r>
  <r>
    <n v="109"/>
    <x v="0"/>
    <x v="1"/>
    <x v="0"/>
    <n v="1099"/>
    <n v="289"/>
    <x v="8"/>
    <n v="244527.5"/>
    <n v="64302.5"/>
    <x v="2"/>
  </r>
  <r>
    <n v="110"/>
    <x v="0"/>
    <x v="2"/>
    <x v="1"/>
    <n v="1299"/>
    <n v="459"/>
    <x v="9"/>
    <n v="622740.60000000009"/>
    <n v="220044.6"/>
    <x v="0"/>
  </r>
  <r>
    <n v="111"/>
    <x v="0"/>
    <x v="2"/>
    <x v="1"/>
    <n v="1299"/>
    <n v="459"/>
    <x v="10"/>
    <n v="391258.8"/>
    <n v="138250.79999999999"/>
    <x v="0"/>
  </r>
  <r>
    <n v="112"/>
    <x v="0"/>
    <x v="2"/>
    <x v="4"/>
    <n v="199"/>
    <n v="39"/>
    <x v="11"/>
    <n v="62704.9"/>
    <n v="12288.900000000001"/>
    <x v="0"/>
  </r>
  <r>
    <n v="113"/>
    <x v="0"/>
    <x v="0"/>
    <x v="0"/>
    <n v="1099"/>
    <n v="289"/>
    <x v="12"/>
    <n v="156497.60000000001"/>
    <n v="41153.599999999999"/>
    <x v="0"/>
  </r>
  <r>
    <n v="114"/>
    <x v="0"/>
    <x v="1"/>
    <x v="3"/>
    <n v="449"/>
    <n v="159"/>
    <x v="13"/>
    <n v="139639"/>
    <n v="49449"/>
    <x v="0"/>
  </r>
  <r>
    <n v="115"/>
    <x v="0"/>
    <x v="2"/>
    <x v="2"/>
    <n v="599"/>
    <n v="299"/>
    <x v="14"/>
    <n v="226541.80000000002"/>
    <n v="113081.80000000002"/>
    <x v="0"/>
  </r>
  <r>
    <n v="116"/>
    <x v="0"/>
    <x v="2"/>
    <x v="3"/>
    <n v="449"/>
    <n v="159"/>
    <x v="15"/>
    <n v="131063.10000000002"/>
    <n v="46412.100000000006"/>
    <x v="3"/>
  </r>
  <r>
    <n v="117"/>
    <x v="0"/>
    <x v="2"/>
    <x v="0"/>
    <n v="1099"/>
    <n v="289"/>
    <x v="16"/>
    <n v="526750.70000000007"/>
    <n v="138517.70000000001"/>
    <x v="3"/>
  </r>
  <r>
    <n v="118"/>
    <x v="0"/>
    <x v="0"/>
    <x v="3"/>
    <n v="449"/>
    <n v="159"/>
    <x v="17"/>
    <n v="51679.9"/>
    <n v="18300.900000000001"/>
    <x v="1"/>
  </r>
  <r>
    <n v="119"/>
    <x v="0"/>
    <x v="2"/>
    <x v="0"/>
    <n v="1099"/>
    <n v="289"/>
    <x v="18"/>
    <n v="382232.2"/>
    <n v="100514.2"/>
    <x v="3"/>
  </r>
  <r>
    <n v="120"/>
    <x v="0"/>
    <x v="2"/>
    <x v="1"/>
    <n v="1299"/>
    <n v="459"/>
    <x v="19"/>
    <n v="288897.60000000003"/>
    <n v="102081.60000000001"/>
    <x v="3"/>
  </r>
  <r>
    <n v="121"/>
    <x v="0"/>
    <x v="2"/>
    <x v="0"/>
    <n v="1099"/>
    <n v="289"/>
    <x v="20"/>
    <n v="303873.5"/>
    <n v="79908.5"/>
    <x v="2"/>
  </r>
  <r>
    <n v="122"/>
    <x v="0"/>
    <x v="0"/>
    <x v="0"/>
    <n v="1099"/>
    <n v="289"/>
    <x v="21"/>
    <n v="166168.80000000002"/>
    <n v="43696.800000000003"/>
    <x v="2"/>
  </r>
  <r>
    <n v="123"/>
    <x v="0"/>
    <x v="0"/>
    <x v="4"/>
    <n v="199"/>
    <n v="39"/>
    <x v="22"/>
    <n v="34148.400000000001"/>
    <n v="6692.4000000000005"/>
    <x v="2"/>
  </r>
  <r>
    <n v="124"/>
    <x v="0"/>
    <x v="1"/>
    <x v="2"/>
    <n v="599"/>
    <n v="299"/>
    <x v="23"/>
    <n v="218874.60000000003"/>
    <n v="109254.6"/>
    <x v="2"/>
  </r>
  <r>
    <n v="125"/>
    <x v="0"/>
    <x v="1"/>
    <x v="1"/>
    <n v="1299"/>
    <n v="459"/>
    <x v="24"/>
    <n v="202773.90000000002"/>
    <n v="71649.900000000009"/>
    <x v="0"/>
  </r>
  <r>
    <n v="126"/>
    <x v="0"/>
    <x v="0"/>
    <x v="1"/>
    <n v="1299"/>
    <n v="459"/>
    <x v="25"/>
    <n v="270581.7"/>
    <n v="95609.700000000012"/>
    <x v="2"/>
  </r>
  <r>
    <n v="127"/>
    <x v="0"/>
    <x v="1"/>
    <x v="1"/>
    <n v="1299"/>
    <n v="459"/>
    <x v="26"/>
    <n v="347222.7"/>
    <n v="122690.70000000001"/>
    <x v="0"/>
  </r>
  <r>
    <n v="128"/>
    <x v="0"/>
    <x v="1"/>
    <x v="2"/>
    <n v="599"/>
    <n v="299"/>
    <x v="27"/>
    <n v="202761.5"/>
    <n v="101211.5"/>
    <x v="0"/>
  </r>
  <r>
    <n v="129"/>
    <x v="0"/>
    <x v="2"/>
    <x v="0"/>
    <n v="1099"/>
    <n v="289"/>
    <x v="28"/>
    <n v="353658.2"/>
    <n v="93000.2"/>
    <x v="2"/>
  </r>
  <r>
    <n v="130"/>
    <x v="0"/>
    <x v="1"/>
    <x v="4"/>
    <n v="199"/>
    <n v="39"/>
    <x v="29"/>
    <n v="73371.3"/>
    <n v="14379.300000000001"/>
    <x v="3"/>
  </r>
  <r>
    <n v="131"/>
    <x v="0"/>
    <x v="0"/>
    <x v="1"/>
    <n v="1299"/>
    <n v="459"/>
    <x v="30"/>
    <n v="164843.1"/>
    <n v="58247.100000000006"/>
    <x v="1"/>
  </r>
  <r>
    <n v="132"/>
    <x v="0"/>
    <x v="3"/>
    <x v="2"/>
    <n v="599"/>
    <n v="299"/>
    <x v="31"/>
    <n v="233610"/>
    <n v="116610"/>
    <x v="2"/>
  </r>
  <r>
    <n v="133"/>
    <x v="0"/>
    <x v="3"/>
    <x v="1"/>
    <n v="1299"/>
    <n v="459"/>
    <x v="32"/>
    <n v="504401.7"/>
    <n v="178229.7"/>
    <x v="1"/>
  </r>
  <r>
    <n v="134"/>
    <x v="1"/>
    <x v="3"/>
    <x v="1"/>
    <n v="1299"/>
    <n v="459"/>
    <x v="33"/>
    <n v="145488"/>
    <n v="51408"/>
    <x v="2"/>
  </r>
  <r>
    <n v="135"/>
    <x v="1"/>
    <x v="3"/>
    <x v="4"/>
    <n v="199"/>
    <n v="39"/>
    <x v="34"/>
    <n v="66008.3"/>
    <n v="12936.300000000001"/>
    <x v="0"/>
  </r>
  <r>
    <n v="136"/>
    <x v="1"/>
    <x v="1"/>
    <x v="4"/>
    <n v="199"/>
    <n v="39"/>
    <x v="35"/>
    <n v="34029"/>
    <n v="6669"/>
    <x v="0"/>
  </r>
  <r>
    <n v="137"/>
    <x v="1"/>
    <x v="3"/>
    <x v="1"/>
    <n v="1299"/>
    <n v="459"/>
    <x v="36"/>
    <n v="217192.80000000002"/>
    <n v="76744.800000000003"/>
    <x v="2"/>
  </r>
  <r>
    <n v="138"/>
    <x v="1"/>
    <x v="1"/>
    <x v="4"/>
    <n v="199"/>
    <n v="39"/>
    <x v="37"/>
    <n v="71202.2"/>
    <n v="13954.2"/>
    <x v="2"/>
  </r>
  <r>
    <n v="139"/>
    <x v="1"/>
    <x v="3"/>
    <x v="3"/>
    <n v="449"/>
    <n v="159"/>
    <x v="38"/>
    <n v="177893.80000000002"/>
    <n v="62995.80000000001"/>
    <x v="2"/>
  </r>
  <r>
    <n v="140"/>
    <x v="1"/>
    <x v="3"/>
    <x v="3"/>
    <n v="449"/>
    <n v="159"/>
    <x v="39"/>
    <n v="141075.80000000002"/>
    <n v="49957.80000000001"/>
    <x v="2"/>
  </r>
  <r>
    <n v="141"/>
    <x v="1"/>
    <x v="2"/>
    <x v="2"/>
    <n v="599"/>
    <n v="299"/>
    <x v="40"/>
    <n v="298122.30000000005"/>
    <n v="148812.30000000002"/>
    <x v="1"/>
  </r>
  <r>
    <n v="142"/>
    <x v="1"/>
    <x v="3"/>
    <x v="2"/>
    <n v="599"/>
    <n v="299"/>
    <x v="41"/>
    <n v="75114.600000000006"/>
    <n v="37494.6"/>
    <x v="3"/>
  </r>
  <r>
    <n v="143"/>
    <x v="1"/>
    <x v="1"/>
    <x v="4"/>
    <n v="199"/>
    <n v="39"/>
    <x v="42"/>
    <n v="81828.800000000003"/>
    <n v="16036.800000000001"/>
    <x v="3"/>
  </r>
  <r>
    <n v="144"/>
    <x v="1"/>
    <x v="1"/>
    <x v="4"/>
    <n v="199"/>
    <n v="39"/>
    <x v="43"/>
    <n v="38665.700000000004"/>
    <n v="7577.7000000000007"/>
    <x v="0"/>
  </r>
  <r>
    <n v="145"/>
    <x v="1"/>
    <x v="2"/>
    <x v="4"/>
    <n v="199"/>
    <n v="39"/>
    <x v="44"/>
    <n v="33412.1"/>
    <n v="6548.1"/>
    <x v="0"/>
  </r>
  <r>
    <n v="146"/>
    <x v="1"/>
    <x v="3"/>
    <x v="0"/>
    <n v="1099"/>
    <n v="289"/>
    <x v="45"/>
    <n v="145287.80000000002"/>
    <n v="38205.800000000003"/>
    <x v="0"/>
  </r>
  <r>
    <n v="147"/>
    <x v="1"/>
    <x v="2"/>
    <x v="0"/>
    <n v="1099"/>
    <n v="289"/>
    <x v="46"/>
    <n v="153200.6"/>
    <n v="40286.6"/>
    <x v="0"/>
  </r>
  <r>
    <n v="148"/>
    <x v="1"/>
    <x v="1"/>
    <x v="0"/>
    <n v="1099"/>
    <n v="289"/>
    <x v="47"/>
    <n v="116494"/>
    <n v="30634"/>
    <x v="0"/>
  </r>
  <r>
    <n v="149"/>
    <x v="1"/>
    <x v="2"/>
    <x v="2"/>
    <n v="599"/>
    <n v="299"/>
    <x v="48"/>
    <n v="162868.10000000003"/>
    <n v="81298.100000000006"/>
    <x v="3"/>
  </r>
  <r>
    <n v="150"/>
    <x v="1"/>
    <x v="1"/>
    <x v="4"/>
    <n v="199"/>
    <n v="39"/>
    <x v="49"/>
    <n v="46964"/>
    <n v="9204"/>
    <x v="1"/>
  </r>
  <r>
    <n v="151"/>
    <x v="1"/>
    <x v="2"/>
    <x v="1"/>
    <n v="1299"/>
    <n v="459"/>
    <x v="50"/>
    <n v="441400.2"/>
    <n v="155968.20000000001"/>
    <x v="1"/>
  </r>
  <r>
    <n v="152"/>
    <x v="1"/>
    <x v="2"/>
    <x v="2"/>
    <n v="599"/>
    <n v="299"/>
    <x v="51"/>
    <n v="241756.40000000002"/>
    <n v="120676.40000000001"/>
    <x v="2"/>
  </r>
  <r>
    <n v="153"/>
    <x v="1"/>
    <x v="3"/>
    <x v="1"/>
    <n v="1299"/>
    <n v="459"/>
    <x v="52"/>
    <n v="283961.40000000002"/>
    <n v="100337.40000000001"/>
    <x v="2"/>
  </r>
  <r>
    <n v="154"/>
    <x v="1"/>
    <x v="3"/>
    <x v="1"/>
    <n v="1299"/>
    <n v="459"/>
    <x v="53"/>
    <n v="600397.80000000005"/>
    <n v="212149.80000000002"/>
    <x v="1"/>
  </r>
  <r>
    <n v="155"/>
    <x v="1"/>
    <x v="1"/>
    <x v="3"/>
    <n v="449"/>
    <n v="159"/>
    <x v="54"/>
    <n v="94694.1"/>
    <n v="33533.1"/>
    <x v="2"/>
  </r>
  <r>
    <n v="156"/>
    <x v="1"/>
    <x v="2"/>
    <x v="3"/>
    <n v="449"/>
    <n v="159"/>
    <x v="55"/>
    <n v="203576.6"/>
    <n v="72090.600000000006"/>
    <x v="1"/>
  </r>
  <r>
    <n v="157"/>
    <x v="1"/>
    <x v="3"/>
    <x v="4"/>
    <n v="199"/>
    <n v="39"/>
    <x v="56"/>
    <n v="93908.1"/>
    <n v="18404.100000000002"/>
    <x v="1"/>
  </r>
  <r>
    <n v="158"/>
    <x v="1"/>
    <x v="2"/>
    <x v="3"/>
    <n v="449"/>
    <n v="159"/>
    <x v="57"/>
    <n v="57606.700000000004"/>
    <n v="20399.7"/>
    <x v="1"/>
  </r>
  <r>
    <n v="159"/>
    <x v="1"/>
    <x v="1"/>
    <x v="2"/>
    <n v="599"/>
    <n v="299"/>
    <x v="58"/>
    <n v="118721.80000000002"/>
    <n v="59261.8"/>
    <x v="1"/>
  </r>
  <r>
    <n v="160"/>
    <x v="1"/>
    <x v="2"/>
    <x v="2"/>
    <n v="599"/>
    <n v="299"/>
    <x v="59"/>
    <n v="179879.7"/>
    <n v="89789.7"/>
    <x v="1"/>
  </r>
  <r>
    <n v="161"/>
    <x v="1"/>
    <x v="3"/>
    <x v="0"/>
    <n v="1099"/>
    <n v="289"/>
    <x v="60"/>
    <n v="142210.6"/>
    <n v="37396.6"/>
    <x v="1"/>
  </r>
  <r>
    <n v="162"/>
    <x v="1"/>
    <x v="2"/>
    <x v="0"/>
    <n v="1099"/>
    <n v="289"/>
    <x v="61"/>
    <n v="375528.30000000005"/>
    <n v="98751.300000000017"/>
    <x v="1"/>
  </r>
  <r>
    <n v="163"/>
    <x v="1"/>
    <x v="1"/>
    <x v="2"/>
    <n v="599"/>
    <n v="299"/>
    <x v="62"/>
    <n v="93204.400000000009"/>
    <n v="46524.400000000009"/>
    <x v="0"/>
  </r>
  <r>
    <n v="164"/>
    <x v="1"/>
    <x v="2"/>
    <x v="1"/>
    <n v="1299"/>
    <n v="459"/>
    <x v="63"/>
    <n v="413601.60000000003"/>
    <n v="146145.60000000001"/>
    <x v="0"/>
  </r>
  <r>
    <n v="165"/>
    <x v="1"/>
    <x v="3"/>
    <x v="4"/>
    <n v="199"/>
    <n v="39"/>
    <x v="64"/>
    <n v="61212.4"/>
    <n v="11996.400000000001"/>
    <x v="0"/>
  </r>
  <r>
    <n v="166"/>
    <x v="1"/>
    <x v="2"/>
    <x v="1"/>
    <n v="1299"/>
    <n v="459"/>
    <x v="65"/>
    <n v="243302.7"/>
    <n v="85970.700000000012"/>
    <x v="0"/>
  </r>
  <r>
    <n v="167"/>
    <x v="1"/>
    <x v="1"/>
    <x v="4"/>
    <n v="199"/>
    <n v="39"/>
    <x v="66"/>
    <n v="31322.600000000002"/>
    <n v="6138.6"/>
    <x v="0"/>
  </r>
  <r>
    <n v="168"/>
    <x v="2"/>
    <x v="2"/>
    <x v="3"/>
    <n v="449"/>
    <n v="159"/>
    <x v="67"/>
    <n v="98465.700000000012"/>
    <n v="34868.700000000004"/>
    <x v="0"/>
  </r>
  <r>
    <n v="169"/>
    <x v="2"/>
    <x v="3"/>
    <x v="4"/>
    <n v="199"/>
    <n v="39"/>
    <x v="68"/>
    <n v="26467"/>
    <n v="5187"/>
    <x v="2"/>
  </r>
  <r>
    <n v="170"/>
    <x v="2"/>
    <x v="3"/>
    <x v="1"/>
    <n v="1299"/>
    <n v="459"/>
    <x v="69"/>
    <n v="464522.4"/>
    <n v="164138.40000000002"/>
    <x v="2"/>
  </r>
  <r>
    <n v="171"/>
    <x v="2"/>
    <x v="0"/>
    <x v="4"/>
    <n v="199"/>
    <n v="39"/>
    <x v="70"/>
    <n v="79719.400000000009"/>
    <n v="15623.400000000001"/>
    <x v="0"/>
  </r>
  <r>
    <n v="172"/>
    <x v="2"/>
    <x v="3"/>
    <x v="4"/>
    <n v="199"/>
    <n v="39"/>
    <x v="71"/>
    <n v="86186.900000000009"/>
    <n v="16890.900000000001"/>
    <x v="1"/>
  </r>
  <r>
    <n v="173"/>
    <x v="2"/>
    <x v="1"/>
    <x v="0"/>
    <n v="1099"/>
    <n v="289"/>
    <x v="72"/>
    <n v="226284.1"/>
    <n v="59505.1"/>
    <x v="1"/>
  </r>
  <r>
    <n v="174"/>
    <x v="2"/>
    <x v="1"/>
    <x v="4"/>
    <n v="199"/>
    <n v="39"/>
    <x v="73"/>
    <n v="86764"/>
    <n v="17004"/>
    <x v="1"/>
  </r>
  <r>
    <n v="175"/>
    <x v="2"/>
    <x v="0"/>
    <x v="2"/>
    <n v="599"/>
    <n v="299"/>
    <x v="74"/>
    <n v="68705.3"/>
    <n v="34295.300000000003"/>
    <x v="1"/>
  </r>
  <r>
    <n v="176"/>
    <x v="2"/>
    <x v="0"/>
    <x v="0"/>
    <n v="1099"/>
    <n v="289"/>
    <x v="75"/>
    <n v="234966.2"/>
    <n v="61788.200000000004"/>
    <x v="1"/>
  </r>
  <r>
    <n v="177"/>
    <x v="2"/>
    <x v="0"/>
    <x v="1"/>
    <n v="1299"/>
    <n v="459"/>
    <x v="76"/>
    <n v="161076"/>
    <n v="56916"/>
    <x v="1"/>
  </r>
  <r>
    <n v="178"/>
    <x v="2"/>
    <x v="1"/>
    <x v="4"/>
    <n v="199"/>
    <n v="39"/>
    <x v="77"/>
    <n v="56734.9"/>
    <n v="11118.900000000001"/>
    <x v="1"/>
  </r>
  <r>
    <n v="179"/>
    <x v="2"/>
    <x v="3"/>
    <x v="4"/>
    <n v="199"/>
    <n v="39"/>
    <x v="78"/>
    <n v="45551.1"/>
    <n v="8927.1"/>
    <x v="1"/>
  </r>
  <r>
    <n v="180"/>
    <x v="2"/>
    <x v="1"/>
    <x v="4"/>
    <n v="199"/>
    <n v="39"/>
    <x v="79"/>
    <n v="71839"/>
    <n v="14079"/>
    <x v="1"/>
  </r>
  <r>
    <n v="181"/>
    <x v="2"/>
    <x v="1"/>
    <x v="0"/>
    <n v="1099"/>
    <n v="289"/>
    <x v="80"/>
    <n v="467844.30000000005"/>
    <n v="123027.30000000002"/>
    <x v="0"/>
  </r>
  <r>
    <n v="182"/>
    <x v="2"/>
    <x v="1"/>
    <x v="4"/>
    <n v="199"/>
    <n v="39"/>
    <x v="81"/>
    <n v="46426.700000000004"/>
    <n v="9098.7000000000007"/>
    <x v="1"/>
  </r>
  <r>
    <n v="183"/>
    <x v="2"/>
    <x v="3"/>
    <x v="2"/>
    <n v="599"/>
    <n v="299"/>
    <x v="82"/>
    <n v="228338.80000000002"/>
    <n v="113978.80000000002"/>
    <x v="0"/>
  </r>
  <r>
    <n v="184"/>
    <x v="2"/>
    <x v="2"/>
    <x v="1"/>
    <n v="1299"/>
    <n v="459"/>
    <x v="83"/>
    <n v="539474.70000000007"/>
    <n v="190622.7"/>
    <x v="1"/>
  </r>
  <r>
    <n v="185"/>
    <x v="2"/>
    <x v="2"/>
    <x v="0"/>
    <n v="1099"/>
    <n v="289"/>
    <x v="84"/>
    <n v="275189.60000000003"/>
    <n v="72365.600000000006"/>
    <x v="2"/>
  </r>
  <r>
    <n v="186"/>
    <x v="2"/>
    <x v="2"/>
    <x v="3"/>
    <n v="449"/>
    <n v="159"/>
    <x v="85"/>
    <n v="125764.90000000001"/>
    <n v="44535.9"/>
    <x v="3"/>
  </r>
  <r>
    <n v="187"/>
    <x v="2"/>
    <x v="2"/>
    <x v="4"/>
    <n v="199"/>
    <n v="39"/>
    <x v="86"/>
    <n v="42765.1"/>
    <n v="8381.1"/>
    <x v="1"/>
  </r>
  <r>
    <n v="188"/>
    <x v="2"/>
    <x v="2"/>
    <x v="2"/>
    <n v="599"/>
    <n v="299"/>
    <x v="87"/>
    <n v="191200.80000000002"/>
    <n v="95440.800000000017"/>
    <x v="1"/>
  </r>
  <r>
    <n v="189"/>
    <x v="2"/>
    <x v="1"/>
    <x v="1"/>
    <n v="1299"/>
    <n v="459"/>
    <x v="88"/>
    <n v="272660.10000000003"/>
    <n v="96344.1"/>
    <x v="3"/>
  </r>
  <r>
    <n v="190"/>
    <x v="2"/>
    <x v="0"/>
    <x v="0"/>
    <n v="1099"/>
    <n v="289"/>
    <x v="89"/>
    <n v="217492.1"/>
    <n v="57193.1"/>
    <x v="1"/>
  </r>
  <r>
    <n v="191"/>
    <x v="2"/>
    <x v="3"/>
    <x v="0"/>
    <n v="1099"/>
    <n v="289"/>
    <x v="90"/>
    <n v="134297.80000000002"/>
    <n v="35315.800000000003"/>
    <x v="1"/>
  </r>
  <r>
    <n v="192"/>
    <x v="2"/>
    <x v="3"/>
    <x v="4"/>
    <n v="199"/>
    <n v="39"/>
    <x v="91"/>
    <n v="75480.7"/>
    <n v="14792.7"/>
    <x v="1"/>
  </r>
  <r>
    <n v="193"/>
    <x v="2"/>
    <x v="3"/>
    <x v="3"/>
    <n v="449"/>
    <n v="159"/>
    <x v="92"/>
    <n v="54239.200000000004"/>
    <n v="19207.2"/>
    <x v="3"/>
  </r>
  <r>
    <n v="194"/>
    <x v="2"/>
    <x v="1"/>
    <x v="3"/>
    <n v="449"/>
    <n v="159"/>
    <x v="93"/>
    <n v="203980.7"/>
    <n v="72233.7"/>
    <x v="1"/>
  </r>
  <r>
    <n v="195"/>
    <x v="2"/>
    <x v="0"/>
    <x v="4"/>
    <n v="199"/>
    <n v="39"/>
    <x v="94"/>
    <n v="48914.200000000004"/>
    <n v="9586.2000000000007"/>
    <x v="3"/>
  </r>
  <r>
    <n v="196"/>
    <x v="2"/>
    <x v="3"/>
    <x v="4"/>
    <n v="199"/>
    <n v="39"/>
    <x v="95"/>
    <n v="56814.5"/>
    <n v="11134.5"/>
    <x v="3"/>
  </r>
  <r>
    <n v="197"/>
    <x v="2"/>
    <x v="0"/>
    <x v="4"/>
    <n v="199"/>
    <n v="39"/>
    <x v="96"/>
    <n v="48177.9"/>
    <n v="9441.9000000000015"/>
    <x v="3"/>
  </r>
  <r>
    <n v="198"/>
    <x v="2"/>
    <x v="0"/>
    <x v="2"/>
    <n v="599"/>
    <n v="299"/>
    <x v="97"/>
    <n v="80206.100000000006"/>
    <n v="40036.1"/>
    <x v="2"/>
  </r>
  <r>
    <n v="199"/>
    <x v="2"/>
    <x v="0"/>
    <x v="2"/>
    <n v="599"/>
    <n v="299"/>
    <x v="98"/>
    <n v="172871.40000000002"/>
    <n v="86291.400000000009"/>
    <x v="2"/>
  </r>
  <r>
    <n v="200"/>
    <x v="2"/>
    <x v="0"/>
    <x v="4"/>
    <n v="199"/>
    <n v="39"/>
    <x v="99"/>
    <n v="39819.9"/>
    <n v="7803.9000000000005"/>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46DFC7-6F5A-4BD3-A835-B348E15293BE}" name="PivotTable3"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3:F29" firstHeaderRow="1" firstDataRow="2" firstDataCol="1"/>
  <pivotFields count="11">
    <pivotField showAll="0"/>
    <pivotField axis="axisCol" showAll="0">
      <items count="4">
        <item x="0"/>
        <item x="1"/>
        <item x="2"/>
        <item t="default"/>
      </items>
    </pivotField>
    <pivotField showAll="0">
      <items count="5">
        <item x="2"/>
        <item h="1" x="0"/>
        <item x="3"/>
        <item x="1"/>
        <item t="default"/>
      </items>
    </pivotField>
    <pivotField axis="axisRow" showAll="0">
      <items count="6">
        <item x="4"/>
        <item x="2"/>
        <item x="0"/>
        <item x="3"/>
        <item x="1"/>
        <item t="default"/>
      </items>
    </pivotField>
    <pivotField showAll="0"/>
    <pivotField numFmtId="166" showAll="0"/>
    <pivotField dataField="1" numFmtId="1" showAll="0"/>
    <pivotField numFmtId="166" showAll="0"/>
    <pivotField numFmtId="166" showAll="0"/>
    <pivotField axis="axisRow" showAll="0">
      <items count="5">
        <item x="0"/>
        <item x="2"/>
        <item x="3"/>
        <item x="1"/>
        <item t="default"/>
      </items>
    </pivotField>
    <pivotField dragToRow="0" dragToCol="0" dragToPage="0" showAll="0" defaultSubtotal="0"/>
  </pivotFields>
  <rowFields count="2">
    <field x="9"/>
    <field x="3"/>
  </rowFields>
  <rowItems count="25">
    <i>
      <x/>
    </i>
    <i r="1">
      <x/>
    </i>
    <i r="1">
      <x v="1"/>
    </i>
    <i r="1">
      <x v="2"/>
    </i>
    <i r="1">
      <x v="3"/>
    </i>
    <i r="1">
      <x v="4"/>
    </i>
    <i>
      <x v="1"/>
    </i>
    <i r="1">
      <x/>
    </i>
    <i r="1">
      <x v="1"/>
    </i>
    <i r="1">
      <x v="2"/>
    </i>
    <i r="1">
      <x v="3"/>
    </i>
    <i r="1">
      <x v="4"/>
    </i>
    <i>
      <x v="2"/>
    </i>
    <i r="1">
      <x/>
    </i>
    <i r="1">
      <x v="1"/>
    </i>
    <i r="1">
      <x v="2"/>
    </i>
    <i r="1">
      <x v="3"/>
    </i>
    <i r="1">
      <x v="4"/>
    </i>
    <i>
      <x v="3"/>
    </i>
    <i r="1">
      <x/>
    </i>
    <i r="1">
      <x v="1"/>
    </i>
    <i r="1">
      <x v="2"/>
    </i>
    <i r="1">
      <x v="3"/>
    </i>
    <i r="1">
      <x v="4"/>
    </i>
    <i t="grand">
      <x/>
    </i>
  </rowItems>
  <colFields count="1">
    <field x="1"/>
  </colFields>
  <colItems count="4">
    <i>
      <x/>
    </i>
    <i>
      <x v="1"/>
    </i>
    <i>
      <x v="2"/>
    </i>
    <i t="grand">
      <x/>
    </i>
  </colItems>
  <dataFields count="1">
    <dataField name="Sum of Quantity Sold" fld="6" baseField="0" baseItem="0"/>
  </dataFields>
  <formats count="7">
    <format dxfId="21">
      <pivotArea collapsedLevelsAreSubtotals="1" fieldPosition="0">
        <references count="1">
          <reference field="9" count="1">
            <x v="0"/>
          </reference>
        </references>
      </pivotArea>
    </format>
    <format dxfId="22">
      <pivotArea collapsedLevelsAreSubtotals="1" fieldPosition="0">
        <references count="2">
          <reference field="3" count="0"/>
          <reference field="9" count="1" selected="0">
            <x v="0"/>
          </reference>
        </references>
      </pivotArea>
    </format>
    <format dxfId="23">
      <pivotArea collapsedLevelsAreSubtotals="1" fieldPosition="0">
        <references count="1">
          <reference field="9" count="1">
            <x v="1"/>
          </reference>
        </references>
      </pivotArea>
    </format>
    <format dxfId="24">
      <pivotArea collapsedLevelsAreSubtotals="1" fieldPosition="0">
        <references count="2">
          <reference field="3" count="0"/>
          <reference field="9" count="1" selected="0">
            <x v="1"/>
          </reference>
        </references>
      </pivotArea>
    </format>
    <format dxfId="25">
      <pivotArea collapsedLevelsAreSubtotals="1" fieldPosition="0">
        <references count="1">
          <reference field="9" count="1">
            <x v="2"/>
          </reference>
        </references>
      </pivotArea>
    </format>
    <format dxfId="26">
      <pivotArea collapsedLevelsAreSubtotals="1" fieldPosition="0">
        <references count="2">
          <reference field="3" count="0"/>
          <reference field="9" count="1" selected="0">
            <x v="2"/>
          </reference>
        </references>
      </pivotArea>
    </format>
    <format dxfId="27">
      <pivotArea collapsedLevelsAreSubtotals="1" fieldPosition="0">
        <references count="1">
          <reference field="9"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AB3800-3A57-40F1-AB68-2A24DA9F1931}" name="PivotTable3"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3:F29" firstHeaderRow="1" firstDataRow="2" firstDataCol="1"/>
  <pivotFields count="11">
    <pivotField showAll="0"/>
    <pivotField axis="axisCol" showAll="0">
      <items count="4">
        <item x="0"/>
        <item x="1"/>
        <item x="2"/>
        <item t="default"/>
      </items>
    </pivotField>
    <pivotField showAll="0">
      <items count="5">
        <item x="2"/>
        <item h="1" x="0"/>
        <item x="3"/>
        <item x="1"/>
        <item t="default"/>
      </items>
    </pivotField>
    <pivotField axis="axisRow" showAll="0">
      <items count="6">
        <item x="4"/>
        <item x="2"/>
        <item x="0"/>
        <item x="3"/>
        <item x="1"/>
        <item t="default"/>
      </items>
    </pivotField>
    <pivotField showAll="0"/>
    <pivotField numFmtId="166" showAll="0"/>
    <pivotField dataField="1" numFmtId="1" showAll="0"/>
    <pivotField numFmtId="166" showAll="0"/>
    <pivotField numFmtId="166" showAll="0"/>
    <pivotField axis="axisRow" showAll="0">
      <items count="5">
        <item x="0"/>
        <item x="2"/>
        <item x="3"/>
        <item x="1"/>
        <item t="default"/>
      </items>
    </pivotField>
    <pivotField dragToRow="0" dragToCol="0" dragToPage="0" showAll="0" defaultSubtotal="0"/>
  </pivotFields>
  <rowFields count="2">
    <field x="9"/>
    <field x="3"/>
  </rowFields>
  <rowItems count="25">
    <i>
      <x/>
    </i>
    <i r="1">
      <x/>
    </i>
    <i r="1">
      <x v="1"/>
    </i>
    <i r="1">
      <x v="2"/>
    </i>
    <i r="1">
      <x v="3"/>
    </i>
    <i r="1">
      <x v="4"/>
    </i>
    <i>
      <x v="1"/>
    </i>
    <i r="1">
      <x/>
    </i>
    <i r="1">
      <x v="1"/>
    </i>
    <i r="1">
      <x v="2"/>
    </i>
    <i r="1">
      <x v="3"/>
    </i>
    <i r="1">
      <x v="4"/>
    </i>
    <i>
      <x v="2"/>
    </i>
    <i r="1">
      <x/>
    </i>
    <i r="1">
      <x v="1"/>
    </i>
    <i r="1">
      <x v="2"/>
    </i>
    <i r="1">
      <x v="3"/>
    </i>
    <i r="1">
      <x v="4"/>
    </i>
    <i>
      <x v="3"/>
    </i>
    <i r="1">
      <x/>
    </i>
    <i r="1">
      <x v="1"/>
    </i>
    <i r="1">
      <x v="2"/>
    </i>
    <i r="1">
      <x v="3"/>
    </i>
    <i r="1">
      <x v="4"/>
    </i>
    <i t="grand">
      <x/>
    </i>
  </rowItems>
  <colFields count="1">
    <field x="1"/>
  </colFields>
  <colItems count="4">
    <i>
      <x/>
    </i>
    <i>
      <x v="1"/>
    </i>
    <i>
      <x v="2"/>
    </i>
    <i t="grand">
      <x/>
    </i>
  </colItems>
  <dataFields count="1">
    <dataField name="  " fld="6" baseField="0" baseItem="0"/>
  </dataFields>
  <formats count="7">
    <format dxfId="7">
      <pivotArea collapsedLevelsAreSubtotals="1" fieldPosition="0">
        <references count="1">
          <reference field="9" count="1">
            <x v="0"/>
          </reference>
        </references>
      </pivotArea>
    </format>
    <format dxfId="8">
      <pivotArea collapsedLevelsAreSubtotals="1" fieldPosition="0">
        <references count="2">
          <reference field="3" count="0"/>
          <reference field="9" count="1" selected="0">
            <x v="0"/>
          </reference>
        </references>
      </pivotArea>
    </format>
    <format dxfId="9">
      <pivotArea collapsedLevelsAreSubtotals="1" fieldPosition="0">
        <references count="1">
          <reference field="9" count="1">
            <x v="1"/>
          </reference>
        </references>
      </pivotArea>
    </format>
    <format dxfId="10">
      <pivotArea collapsedLevelsAreSubtotals="1" fieldPosition="0">
        <references count="2">
          <reference field="3" count="0"/>
          <reference field="9" count="1" selected="0">
            <x v="1"/>
          </reference>
        </references>
      </pivotArea>
    </format>
    <format dxfId="11">
      <pivotArea collapsedLevelsAreSubtotals="1" fieldPosition="0">
        <references count="1">
          <reference field="9" count="1">
            <x v="2"/>
          </reference>
        </references>
      </pivotArea>
    </format>
    <format dxfId="12">
      <pivotArea collapsedLevelsAreSubtotals="1" fieldPosition="0">
        <references count="2">
          <reference field="3" count="0"/>
          <reference field="9" count="1" selected="0">
            <x v="2"/>
          </reference>
        </references>
      </pivotArea>
    </format>
    <format dxfId="13">
      <pivotArea collapsedLevelsAreSubtotals="1" fieldPosition="0">
        <references count="1">
          <reference field="9"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6448B9F-65D1-49FF-A24A-20433B2CE7C6}" name="PivotTable2"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D8" firstHeaderRow="0" firstDataRow="1" firstDataCol="1"/>
  <pivotFields count="11">
    <pivotField showAll="0"/>
    <pivotField showAll="0"/>
    <pivotField axis="axisRow" showAll="0">
      <items count="5">
        <item x="2"/>
        <item x="0"/>
        <item x="3"/>
        <item x="1"/>
        <item t="default"/>
      </items>
    </pivotField>
    <pivotField showAll="0"/>
    <pivotField showAll="0"/>
    <pivotField numFmtId="166" showAll="0"/>
    <pivotField numFmtId="1" showAll="0"/>
    <pivotField dataField="1" numFmtId="166" showAll="0"/>
    <pivotField dataField="1" numFmtId="166" showAll="0"/>
    <pivotField showAll="0"/>
    <pivotField dataField="1" dragToRow="0" dragToCol="0" dragToPage="0" showAll="0" defaultSubtotal="0"/>
  </pivotFields>
  <rowFields count="1">
    <field x="2"/>
  </rowFields>
  <rowItems count="5">
    <i>
      <x/>
    </i>
    <i>
      <x v="1"/>
    </i>
    <i>
      <x v="2"/>
    </i>
    <i>
      <x v="3"/>
    </i>
    <i t="grand">
      <x/>
    </i>
  </rowItems>
  <colFields count="1">
    <field x="-2"/>
  </colFields>
  <colItems count="3">
    <i>
      <x/>
    </i>
    <i i="1">
      <x v="1"/>
    </i>
    <i i="2">
      <x v="2"/>
    </i>
  </colItems>
  <dataFields count="3">
    <dataField name="Revenues " fld="7" baseField="2" baseItem="0"/>
    <dataField name="Expenses " fld="8" baseField="2" baseItem="0"/>
    <dataField name="Profitability " fld="10" baseField="2" baseItem="0" numFmtId="166"/>
  </dataFields>
  <formats count="1">
    <format dxfId="88">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57499BB-E6B8-404E-A4D1-BBA32747391E}" name="PivotTable1"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E9" firstHeaderRow="1" firstDataRow="2" firstDataCol="1"/>
  <pivotFields count="11">
    <pivotField showAll="0"/>
    <pivotField axis="axisCol" showAll="0">
      <items count="4">
        <item x="0"/>
        <item x="1"/>
        <item x="2"/>
        <item t="default"/>
      </items>
    </pivotField>
    <pivotField axis="axisRow" showAll="0">
      <items count="5">
        <item x="2"/>
        <item x="0"/>
        <item x="3"/>
        <item x="1"/>
        <item t="default"/>
      </items>
    </pivotField>
    <pivotField showAll="0"/>
    <pivotField showAll="0"/>
    <pivotField numFmtId="166" showAll="0"/>
    <pivotField dataField="1" numFmtId="1" showAll="0">
      <items count="101">
        <item x="47"/>
        <item x="3"/>
        <item x="33"/>
        <item x="74"/>
        <item x="17"/>
        <item x="92"/>
        <item x="90"/>
        <item x="76"/>
        <item x="41"/>
        <item x="30"/>
        <item x="57"/>
        <item x="60"/>
        <item x="45"/>
        <item x="68"/>
        <item x="97"/>
        <item x="46"/>
        <item x="12"/>
        <item x="21"/>
        <item x="62"/>
        <item x="24"/>
        <item x="66"/>
        <item x="36"/>
        <item x="44"/>
        <item x="35"/>
        <item x="22"/>
        <item x="65"/>
        <item x="43"/>
        <item x="89"/>
        <item x="58"/>
        <item x="99"/>
        <item x="72"/>
        <item x="25"/>
        <item x="88"/>
        <item x="54"/>
        <item x="75"/>
        <item x="86"/>
        <item x="52"/>
        <item x="67"/>
        <item x="19"/>
        <item x="8"/>
        <item x="78"/>
        <item x="81"/>
        <item x="49"/>
        <item x="96"/>
        <item x="94"/>
        <item x="84"/>
        <item x="26"/>
        <item x="5"/>
        <item x="48"/>
        <item x="20"/>
        <item x="85"/>
        <item x="77"/>
        <item x="95"/>
        <item x="98"/>
        <item x="15"/>
        <item x="59"/>
        <item x="1"/>
        <item x="10"/>
        <item x="64"/>
        <item x="13"/>
        <item x="0"/>
        <item x="39"/>
        <item x="11"/>
        <item x="63"/>
        <item x="87"/>
        <item x="28"/>
        <item x="34"/>
        <item x="27"/>
        <item x="50"/>
        <item x="61"/>
        <item x="18"/>
        <item x="69"/>
        <item x="37"/>
        <item x="79"/>
        <item x="23"/>
        <item x="29"/>
        <item x="14"/>
        <item x="91"/>
        <item x="82"/>
        <item x="32"/>
        <item x="31"/>
        <item x="38"/>
        <item x="70"/>
        <item x="51"/>
        <item x="42"/>
        <item x="83"/>
        <item x="80"/>
        <item x="71"/>
        <item x="73"/>
        <item x="6"/>
        <item x="4"/>
        <item x="55"/>
        <item x="93"/>
        <item x="7"/>
        <item x="53"/>
        <item x="56"/>
        <item x="16"/>
        <item x="9"/>
        <item x="2"/>
        <item x="40"/>
        <item t="default"/>
      </items>
    </pivotField>
    <pivotField numFmtId="166" showAll="0"/>
    <pivotField numFmtId="166" showAll="0"/>
    <pivotField showAll="0"/>
    <pivotField dragToRow="0" dragToCol="0" dragToPage="0" showAll="0" defaultSubtotal="0"/>
  </pivotFields>
  <rowFields count="1">
    <field x="2"/>
  </rowFields>
  <rowItems count="5">
    <i>
      <x/>
    </i>
    <i>
      <x v="1"/>
    </i>
    <i>
      <x v="2"/>
    </i>
    <i>
      <x v="3"/>
    </i>
    <i t="grand">
      <x/>
    </i>
  </rowItems>
  <colFields count="1">
    <field x="1"/>
  </colFields>
  <colItems count="4">
    <i>
      <x/>
    </i>
    <i>
      <x v="1"/>
    </i>
    <i>
      <x v="2"/>
    </i>
    <i t="grand">
      <x/>
    </i>
  </colItems>
  <dataFields count="1">
    <dataField name="Sum of Quantity Sold" fld="6" baseField="0" baseItem="0"/>
  </dataFields>
  <formats count="4">
    <format dxfId="97">
      <pivotArea collapsedLevelsAreSubtotals="1" fieldPosition="0">
        <references count="1">
          <reference field="2" count="0"/>
        </references>
      </pivotArea>
    </format>
    <format dxfId="96">
      <pivotArea dataOnly="0" labelOnly="1" fieldPosition="0">
        <references count="1">
          <reference field="1" count="0"/>
        </references>
      </pivotArea>
    </format>
    <format dxfId="95">
      <pivotArea dataOnly="0" labelOnly="1" grandCol="1" outline="0" fieldPosition="0"/>
    </format>
    <format dxfId="94">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3CD0CAE-724E-48E2-89C0-03276175DA12}" name="PivotTable1"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E10" firstHeaderRow="1" firstDataRow="2" firstDataCol="1"/>
  <pivotFields count="11">
    <pivotField showAll="0"/>
    <pivotField axis="axisCol" showAll="0">
      <items count="4">
        <item x="0"/>
        <item x="1"/>
        <item x="2"/>
        <item t="default"/>
      </items>
    </pivotField>
    <pivotField showAll="0"/>
    <pivotField axis="axisRow" showAll="0">
      <items count="6">
        <item x="4"/>
        <item x="2"/>
        <item x="0"/>
        <item x="3"/>
        <item x="1"/>
        <item t="default"/>
      </items>
    </pivotField>
    <pivotField dataField="1" showAll="0"/>
    <pivotField numFmtId="166" showAll="0"/>
    <pivotField numFmtId="1" showAll="0"/>
    <pivotField numFmtId="166" showAll="0"/>
    <pivotField numFmtId="166" showAll="0"/>
    <pivotField showAll="0"/>
    <pivotField dragToRow="0" dragToCol="0" dragToPage="0" showAll="0" defaultSubtotal="0"/>
  </pivotFields>
  <rowFields count="1">
    <field x="3"/>
  </rowFields>
  <rowItems count="6">
    <i>
      <x/>
    </i>
    <i>
      <x v="1"/>
    </i>
    <i>
      <x v="2"/>
    </i>
    <i>
      <x v="3"/>
    </i>
    <i>
      <x v="4"/>
    </i>
    <i t="grand">
      <x/>
    </i>
  </rowItems>
  <colFields count="1">
    <field x="1"/>
  </colFields>
  <colItems count="4">
    <i>
      <x/>
    </i>
    <i>
      <x v="1"/>
    </i>
    <i>
      <x v="2"/>
    </i>
    <i t="grand">
      <x/>
    </i>
  </colItems>
  <dataFields count="1">
    <dataField name="Average of Price per unit" fld="4" subtotal="average" baseField="0" baseItem="4" numFmtId="168"/>
  </dataFields>
  <formats count="2">
    <format dxfId="93">
      <pivotArea outline="0" collapsedLevelsAreSubtotals="1" fieldPosition="0"/>
    </format>
    <format dxfId="92">
      <pivotArea dataOnly="0" labelOnly="1" fieldPosition="0">
        <references count="1">
          <reference field="3"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23A648F-D6AD-4E0F-9A61-057458B34B1F}" sourceName="Year">
  <pivotTables>
    <pivotTable tabId="10" name="PivotTable3"/>
  </pivotTables>
  <data>
    <tabular pivotCacheId="1197903326">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111F028-BED8-4295-B451-4EBC120733BB}" sourceName="Region">
  <pivotTables>
    <pivotTable tabId="10" name="PivotTable3"/>
  </pivotTables>
  <data>
    <tabular pivotCacheId="1197903326">
      <items count="4">
        <i x="2" s="1"/>
        <i x="0"/>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Method" xr10:uid="{C2CE3695-8ECB-4C68-A33C-9EFC2A85739D}" sourceName="Sales Method">
  <pivotTables>
    <pivotTable tabId="10" name="PivotTable3"/>
  </pivotTables>
  <data>
    <tabular pivotCacheId="1197903326">
      <items count="4">
        <i x="0" s="1"/>
        <i x="2" s="1"/>
        <i x="3"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212D3E1D-5C07-4E9D-AC00-0ABA21C0AC93}" sourceName="Year">
  <pivotTables>
    <pivotTable tabId="12" name="PivotTable3"/>
  </pivotTables>
  <data>
    <tabular pivotCacheId="1197903326">
      <items count="3">
        <i x="0" s="1"/>
        <i x="1"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4CCD9B17-CEDC-46EB-A2EB-2DC4739E2FB3}" sourceName="Region">
  <pivotTables>
    <pivotTable tabId="12" name="PivotTable3"/>
  </pivotTables>
  <data>
    <tabular pivotCacheId="1197903326">
      <items count="4">
        <i x="2" s="1"/>
        <i x="0"/>
        <i x="3"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Method1" xr10:uid="{2F273141-AA93-410E-8727-E967A40D7042}" sourceName="Sales Method">
  <pivotTables>
    <pivotTable tabId="12" name="PivotTable3"/>
  </pivotTables>
  <data>
    <tabular pivotCacheId="1197903326">
      <items count="4">
        <i x="0" s="1"/>
        <i x="2"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25C30D86-659E-42C7-AB8F-1DD7391859B9}" cache="Slicer_Year1" caption="Select Year" rowHeight="257175"/>
  <slicer name="Region 1" xr10:uid="{1682A783-B354-4E69-B933-153E782E6D0D}" cache="Slicer_Region1" caption="Select Region" rowHeight="257175"/>
  <slicer name="Sales Method 1" xr10:uid="{E1832FE9-DB15-459B-98B0-9CC27AE12516}" cache="Slicer_Sales_Method1" caption="Select Method"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30BF75BC-B032-416B-93BF-C24A213DECAC}" cache="Slicer_Year" caption="Select Year" rowHeight="257175"/>
  <slicer name="Region" xr10:uid="{B42323AD-10DC-45E1-A170-A7256C4A6418}" cache="Slicer_Region" caption="Select Region" rowHeight="257175"/>
  <slicer name="Sales Method" xr10:uid="{EEBBD6A6-7F4B-4656-A344-3F2D34CABFC6}" cache="Slicer_Sales_Method" caption="Select Method"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E5243-BB99-40D4-858A-41A8C2EC6B53}">
  <dimension ref="B3:F29"/>
  <sheetViews>
    <sheetView showGridLines="0" zoomScale="90" zoomScaleNormal="90" workbookViewId="0">
      <selection activeCell="J2" sqref="J2"/>
    </sheetView>
  </sheetViews>
  <sheetFormatPr defaultRowHeight="15.75" x14ac:dyDescent="0.25"/>
  <cols>
    <col min="1" max="1" width="3.625" customWidth="1"/>
    <col min="2" max="2" width="19.5" bestFit="1" customWidth="1"/>
    <col min="3" max="6" width="12.625" customWidth="1"/>
  </cols>
  <sheetData>
    <row r="3" spans="2:6" x14ac:dyDescent="0.25">
      <c r="B3" t="s">
        <v>50</v>
      </c>
      <c r="C3" t="s">
        <v>51</v>
      </c>
    </row>
    <row r="4" spans="2:6" x14ac:dyDescent="0.25">
      <c r="B4" t="s">
        <v>53</v>
      </c>
      <c r="C4">
        <v>2019</v>
      </c>
      <c r="D4">
        <v>2020</v>
      </c>
      <c r="E4">
        <v>2021</v>
      </c>
      <c r="F4" t="s">
        <v>52</v>
      </c>
    </row>
    <row r="5" spans="2:6" x14ac:dyDescent="0.25">
      <c r="B5" s="16" t="s">
        <v>25</v>
      </c>
      <c r="C5" s="18">
        <v>2989.9</v>
      </c>
      <c r="D5" s="18">
        <v>2368.8000000000002</v>
      </c>
      <c r="E5" s="18">
        <v>1026.2</v>
      </c>
      <c r="F5" s="18">
        <v>6384.9000000000005</v>
      </c>
    </row>
    <row r="6" spans="2:6" x14ac:dyDescent="0.25">
      <c r="B6" s="26" t="s">
        <v>35</v>
      </c>
      <c r="C6" s="18">
        <v>758.2</v>
      </c>
      <c r="D6" s="18">
        <v>1329.9</v>
      </c>
      <c r="E6" s="18"/>
      <c r="F6" s="18">
        <v>2088.1000000000004</v>
      </c>
    </row>
    <row r="7" spans="2:6" x14ac:dyDescent="0.25">
      <c r="B7" s="26" t="s">
        <v>32</v>
      </c>
      <c r="C7" s="18">
        <v>716.7</v>
      </c>
      <c r="D7" s="18">
        <v>155.60000000000002</v>
      </c>
      <c r="E7" s="18">
        <v>381.20000000000005</v>
      </c>
      <c r="F7" s="18">
        <v>1253.5</v>
      </c>
    </row>
    <row r="8" spans="2:6" x14ac:dyDescent="0.25">
      <c r="B8" s="26" t="s">
        <v>24</v>
      </c>
      <c r="C8" s="18"/>
      <c r="D8" s="18">
        <v>377.6</v>
      </c>
      <c r="E8" s="18">
        <v>425.70000000000005</v>
      </c>
      <c r="F8" s="18">
        <v>803.30000000000007</v>
      </c>
    </row>
    <row r="9" spans="2:6" x14ac:dyDescent="0.25">
      <c r="B9" s="26" t="s">
        <v>34</v>
      </c>
      <c r="C9" s="18">
        <v>311</v>
      </c>
      <c r="D9" s="18"/>
      <c r="E9" s="18">
        <v>219.3</v>
      </c>
      <c r="F9" s="18">
        <v>530.29999999999995</v>
      </c>
    </row>
    <row r="10" spans="2:6" x14ac:dyDescent="0.25">
      <c r="B10" s="26" t="s">
        <v>29</v>
      </c>
      <c r="C10" s="18">
        <v>1204</v>
      </c>
      <c r="D10" s="18">
        <v>505.70000000000005</v>
      </c>
      <c r="E10" s="18"/>
      <c r="F10" s="18">
        <v>1709.7</v>
      </c>
    </row>
    <row r="11" spans="2:6" x14ac:dyDescent="0.25">
      <c r="B11" s="16" t="s">
        <v>30</v>
      </c>
      <c r="C11" s="18">
        <v>2780.2</v>
      </c>
      <c r="D11" s="18">
        <v>2180.5000000000005</v>
      </c>
      <c r="E11" s="18">
        <v>741</v>
      </c>
      <c r="F11" s="18">
        <v>5701.7000000000007</v>
      </c>
    </row>
    <row r="12" spans="2:6" x14ac:dyDescent="0.25">
      <c r="B12" s="26" t="s">
        <v>35</v>
      </c>
      <c r="C12" s="18">
        <v>270.90000000000003</v>
      </c>
      <c r="D12" s="18">
        <v>357.8</v>
      </c>
      <c r="E12" s="18">
        <v>133</v>
      </c>
      <c r="F12" s="18">
        <v>761.7</v>
      </c>
    </row>
    <row r="13" spans="2:6" x14ac:dyDescent="0.25">
      <c r="B13" s="26" t="s">
        <v>32</v>
      </c>
      <c r="C13" s="18">
        <v>755.40000000000009</v>
      </c>
      <c r="D13" s="18">
        <v>403.6</v>
      </c>
      <c r="E13" s="18"/>
      <c r="F13" s="18">
        <v>1159</v>
      </c>
    </row>
    <row r="14" spans="2:6" x14ac:dyDescent="0.25">
      <c r="B14" s="26" t="s">
        <v>24</v>
      </c>
      <c r="C14" s="18">
        <v>820.8</v>
      </c>
      <c r="D14" s="18"/>
      <c r="E14" s="18">
        <v>250.4</v>
      </c>
      <c r="F14" s="18">
        <v>1071.2</v>
      </c>
    </row>
    <row r="15" spans="2:6" x14ac:dyDescent="0.25">
      <c r="B15" s="26" t="s">
        <v>34</v>
      </c>
      <c r="C15" s="18">
        <v>450.90000000000003</v>
      </c>
      <c r="D15" s="18">
        <v>921.30000000000007</v>
      </c>
      <c r="E15" s="18"/>
      <c r="F15" s="18">
        <v>1372.2</v>
      </c>
    </row>
    <row r="16" spans="2:6" x14ac:dyDescent="0.25">
      <c r="B16" s="26" t="s">
        <v>29</v>
      </c>
      <c r="C16" s="18">
        <v>482.20000000000005</v>
      </c>
      <c r="D16" s="18">
        <v>497.80000000000007</v>
      </c>
      <c r="E16" s="18">
        <v>357.6</v>
      </c>
      <c r="F16" s="18">
        <v>1337.6000000000001</v>
      </c>
    </row>
    <row r="17" spans="2:6" x14ac:dyDescent="0.25">
      <c r="B17" s="16" t="s">
        <v>33</v>
      </c>
      <c r="C17" s="18">
        <v>1819.1000000000004</v>
      </c>
      <c r="D17" s="18">
        <v>808.50000000000011</v>
      </c>
      <c r="E17" s="18">
        <v>896.30000000000007</v>
      </c>
      <c r="F17" s="18">
        <v>3523.9000000000005</v>
      </c>
    </row>
    <row r="18" spans="2:6" x14ac:dyDescent="0.25">
      <c r="B18" s="26" t="s">
        <v>35</v>
      </c>
      <c r="C18" s="18">
        <v>368.70000000000005</v>
      </c>
      <c r="D18" s="18">
        <v>411.20000000000005</v>
      </c>
      <c r="E18" s="18">
        <v>285.5</v>
      </c>
      <c r="F18" s="18">
        <v>1065.4000000000001</v>
      </c>
    </row>
    <row r="19" spans="2:6" x14ac:dyDescent="0.25">
      <c r="B19" s="26" t="s">
        <v>32</v>
      </c>
      <c r="C19" s="18">
        <v>109</v>
      </c>
      <c r="D19" s="18">
        <v>397.30000000000007</v>
      </c>
      <c r="E19" s="18"/>
      <c r="F19" s="18">
        <v>506.30000000000007</v>
      </c>
    </row>
    <row r="20" spans="2:6" x14ac:dyDescent="0.25">
      <c r="B20" s="26" t="s">
        <v>24</v>
      </c>
      <c r="C20" s="18">
        <v>827.1</v>
      </c>
      <c r="D20" s="18"/>
      <c r="E20" s="18"/>
      <c r="F20" s="18">
        <v>827.1</v>
      </c>
    </row>
    <row r="21" spans="2:6" x14ac:dyDescent="0.25">
      <c r="B21" s="26" t="s">
        <v>34</v>
      </c>
      <c r="C21" s="18">
        <v>291.90000000000003</v>
      </c>
      <c r="D21" s="18"/>
      <c r="E21" s="18">
        <v>400.90000000000003</v>
      </c>
      <c r="F21" s="18">
        <v>692.80000000000007</v>
      </c>
    </row>
    <row r="22" spans="2:6" x14ac:dyDescent="0.25">
      <c r="B22" s="26" t="s">
        <v>29</v>
      </c>
      <c r="C22" s="18">
        <v>222.4</v>
      </c>
      <c r="D22" s="18"/>
      <c r="E22" s="18">
        <v>209.9</v>
      </c>
      <c r="F22" s="18">
        <v>432.3</v>
      </c>
    </row>
    <row r="23" spans="2:6" x14ac:dyDescent="0.25">
      <c r="B23" s="16" t="s">
        <v>27</v>
      </c>
      <c r="C23" s="18">
        <v>689</v>
      </c>
      <c r="D23" s="18">
        <v>3558.9000000000005</v>
      </c>
      <c r="E23" s="18">
        <v>4088.5000000000005</v>
      </c>
      <c r="F23" s="18">
        <v>8336.4000000000015</v>
      </c>
    </row>
    <row r="24" spans="2:6" x14ac:dyDescent="0.25">
      <c r="B24" s="26" t="s">
        <v>35</v>
      </c>
      <c r="C24" s="24"/>
      <c r="D24" s="24">
        <v>707.90000000000009</v>
      </c>
      <c r="E24" s="24">
        <v>2571.6000000000004</v>
      </c>
      <c r="F24" s="24">
        <v>3279.5000000000005</v>
      </c>
    </row>
    <row r="25" spans="2:6" x14ac:dyDescent="0.25">
      <c r="B25" s="26" t="s">
        <v>32</v>
      </c>
      <c r="C25" s="24"/>
      <c r="D25" s="24">
        <v>996.2</v>
      </c>
      <c r="E25" s="24">
        <v>319.20000000000005</v>
      </c>
      <c r="F25" s="24">
        <v>1315.4</v>
      </c>
    </row>
    <row r="26" spans="2:6" x14ac:dyDescent="0.25">
      <c r="B26" s="26" t="s">
        <v>24</v>
      </c>
      <c r="C26" s="24">
        <v>300.7</v>
      </c>
      <c r="D26" s="24">
        <v>471.1</v>
      </c>
      <c r="E26" s="24">
        <v>328.1</v>
      </c>
      <c r="F26" s="24">
        <v>1099.9000000000001</v>
      </c>
    </row>
    <row r="27" spans="2:6" x14ac:dyDescent="0.25">
      <c r="B27" s="26" t="s">
        <v>34</v>
      </c>
      <c r="C27" s="24"/>
      <c r="D27" s="24">
        <v>581.70000000000005</v>
      </c>
      <c r="E27" s="24">
        <v>454.3</v>
      </c>
      <c r="F27" s="24">
        <v>1036</v>
      </c>
    </row>
    <row r="28" spans="2:6" x14ac:dyDescent="0.25">
      <c r="B28" s="26" t="s">
        <v>29</v>
      </c>
      <c r="C28" s="24">
        <v>388.3</v>
      </c>
      <c r="D28" s="24">
        <v>802</v>
      </c>
      <c r="E28" s="24">
        <v>415.3</v>
      </c>
      <c r="F28" s="24">
        <v>1605.6</v>
      </c>
    </row>
    <row r="29" spans="2:6" x14ac:dyDescent="0.25">
      <c r="B29" s="16" t="s">
        <v>52</v>
      </c>
      <c r="C29" s="24">
        <v>8278.1999999999989</v>
      </c>
      <c r="D29" s="24">
        <v>8916.7000000000007</v>
      </c>
      <c r="E29" s="24">
        <v>6752.0000000000009</v>
      </c>
      <c r="F29" s="24">
        <v>23946.9</v>
      </c>
    </row>
  </sheetData>
  <pageMargins left="0.7" right="0.7" top="0.75" bottom="0.75" header="0.3" footer="0.3"/>
  <pageSetup orientation="landscape"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31CB2-F6F9-401D-9590-2681551F2557}">
  <dimension ref="B2:F29"/>
  <sheetViews>
    <sheetView showGridLines="0" tabSelected="1" zoomScale="90" zoomScaleNormal="90" workbookViewId="0">
      <selection activeCell="B2" sqref="B2"/>
    </sheetView>
  </sheetViews>
  <sheetFormatPr defaultRowHeight="15.75" x14ac:dyDescent="0.25"/>
  <cols>
    <col min="1" max="1" width="3.625" customWidth="1"/>
    <col min="2" max="2" width="19.5" bestFit="1" customWidth="1"/>
    <col min="3" max="6" width="12.625" customWidth="1"/>
  </cols>
  <sheetData>
    <row r="2" spans="2:6" x14ac:dyDescent="0.25">
      <c r="B2" s="23" t="s">
        <v>59</v>
      </c>
      <c r="C2" s="27"/>
      <c r="D2" s="27"/>
      <c r="E2" s="27"/>
      <c r="F2" s="27"/>
    </row>
    <row r="3" spans="2:6" x14ac:dyDescent="0.25">
      <c r="B3" s="15" t="s">
        <v>58</v>
      </c>
      <c r="C3" s="15" t="s">
        <v>51</v>
      </c>
    </row>
    <row r="4" spans="2:6" x14ac:dyDescent="0.25">
      <c r="B4" s="15" t="s">
        <v>53</v>
      </c>
      <c r="C4">
        <v>2019</v>
      </c>
      <c r="D4">
        <v>2020</v>
      </c>
      <c r="E4">
        <v>2021</v>
      </c>
      <c r="F4" t="s">
        <v>52</v>
      </c>
    </row>
    <row r="5" spans="2:6" x14ac:dyDescent="0.25">
      <c r="B5" s="16" t="s">
        <v>25</v>
      </c>
      <c r="C5" s="18">
        <v>2989.9</v>
      </c>
      <c r="D5" s="18">
        <v>2368.8000000000002</v>
      </c>
      <c r="E5" s="18">
        <v>1026.2</v>
      </c>
      <c r="F5" s="18">
        <v>6384.9000000000005</v>
      </c>
    </row>
    <row r="6" spans="2:6" x14ac:dyDescent="0.25">
      <c r="B6" s="26" t="s">
        <v>35</v>
      </c>
      <c r="C6" s="18">
        <v>758.2</v>
      </c>
      <c r="D6" s="18">
        <v>1329.9</v>
      </c>
      <c r="E6" s="18"/>
      <c r="F6" s="18">
        <v>2088.1000000000004</v>
      </c>
    </row>
    <row r="7" spans="2:6" x14ac:dyDescent="0.25">
      <c r="B7" s="26" t="s">
        <v>32</v>
      </c>
      <c r="C7" s="18">
        <v>716.7</v>
      </c>
      <c r="D7" s="18">
        <v>155.60000000000002</v>
      </c>
      <c r="E7" s="18">
        <v>381.20000000000005</v>
      </c>
      <c r="F7" s="18">
        <v>1253.5</v>
      </c>
    </row>
    <row r="8" spans="2:6" x14ac:dyDescent="0.25">
      <c r="B8" s="26" t="s">
        <v>24</v>
      </c>
      <c r="C8" s="18"/>
      <c r="D8" s="18">
        <v>377.6</v>
      </c>
      <c r="E8" s="18">
        <v>425.70000000000005</v>
      </c>
      <c r="F8" s="18">
        <v>803.30000000000007</v>
      </c>
    </row>
    <row r="9" spans="2:6" x14ac:dyDescent="0.25">
      <c r="B9" s="26" t="s">
        <v>34</v>
      </c>
      <c r="C9" s="18">
        <v>311</v>
      </c>
      <c r="D9" s="18"/>
      <c r="E9" s="18">
        <v>219.3</v>
      </c>
      <c r="F9" s="18">
        <v>530.29999999999995</v>
      </c>
    </row>
    <row r="10" spans="2:6" x14ac:dyDescent="0.25">
      <c r="B10" s="26" t="s">
        <v>29</v>
      </c>
      <c r="C10" s="18">
        <v>1204</v>
      </c>
      <c r="D10" s="18">
        <v>505.70000000000005</v>
      </c>
      <c r="E10" s="18"/>
      <c r="F10" s="18">
        <v>1709.7</v>
      </c>
    </row>
    <row r="11" spans="2:6" x14ac:dyDescent="0.25">
      <c r="B11" s="16" t="s">
        <v>30</v>
      </c>
      <c r="C11" s="18">
        <v>2780.2</v>
      </c>
      <c r="D11" s="18">
        <v>2180.5000000000005</v>
      </c>
      <c r="E11" s="18">
        <v>741</v>
      </c>
      <c r="F11" s="18">
        <v>5701.7000000000007</v>
      </c>
    </row>
    <row r="12" spans="2:6" x14ac:dyDescent="0.25">
      <c r="B12" s="26" t="s">
        <v>35</v>
      </c>
      <c r="C12" s="18">
        <v>270.90000000000003</v>
      </c>
      <c r="D12" s="18">
        <v>357.8</v>
      </c>
      <c r="E12" s="18">
        <v>133</v>
      </c>
      <c r="F12" s="18">
        <v>761.7</v>
      </c>
    </row>
    <row r="13" spans="2:6" x14ac:dyDescent="0.25">
      <c r="B13" s="26" t="s">
        <v>32</v>
      </c>
      <c r="C13" s="18">
        <v>755.40000000000009</v>
      </c>
      <c r="D13" s="18">
        <v>403.6</v>
      </c>
      <c r="E13" s="18"/>
      <c r="F13" s="18">
        <v>1159</v>
      </c>
    </row>
    <row r="14" spans="2:6" x14ac:dyDescent="0.25">
      <c r="B14" s="26" t="s">
        <v>24</v>
      </c>
      <c r="C14" s="18">
        <v>820.8</v>
      </c>
      <c r="D14" s="18"/>
      <c r="E14" s="18">
        <v>250.4</v>
      </c>
      <c r="F14" s="18">
        <v>1071.2</v>
      </c>
    </row>
    <row r="15" spans="2:6" x14ac:dyDescent="0.25">
      <c r="B15" s="26" t="s">
        <v>34</v>
      </c>
      <c r="C15" s="18">
        <v>450.90000000000003</v>
      </c>
      <c r="D15" s="18">
        <v>921.30000000000007</v>
      </c>
      <c r="E15" s="18"/>
      <c r="F15" s="18">
        <v>1372.2</v>
      </c>
    </row>
    <row r="16" spans="2:6" x14ac:dyDescent="0.25">
      <c r="B16" s="26" t="s">
        <v>29</v>
      </c>
      <c r="C16" s="18">
        <v>482.20000000000005</v>
      </c>
      <c r="D16" s="18">
        <v>497.80000000000007</v>
      </c>
      <c r="E16" s="18">
        <v>357.6</v>
      </c>
      <c r="F16" s="18">
        <v>1337.6000000000001</v>
      </c>
    </row>
    <row r="17" spans="2:6" x14ac:dyDescent="0.25">
      <c r="B17" s="16" t="s">
        <v>33</v>
      </c>
      <c r="C17" s="18">
        <v>1819.1000000000004</v>
      </c>
      <c r="D17" s="18">
        <v>808.50000000000011</v>
      </c>
      <c r="E17" s="18">
        <v>896.30000000000007</v>
      </c>
      <c r="F17" s="18">
        <v>3523.9000000000005</v>
      </c>
    </row>
    <row r="18" spans="2:6" x14ac:dyDescent="0.25">
      <c r="B18" s="26" t="s">
        <v>35</v>
      </c>
      <c r="C18" s="18">
        <v>368.70000000000005</v>
      </c>
      <c r="D18" s="18">
        <v>411.20000000000005</v>
      </c>
      <c r="E18" s="18">
        <v>285.5</v>
      </c>
      <c r="F18" s="18">
        <v>1065.4000000000001</v>
      </c>
    </row>
    <row r="19" spans="2:6" x14ac:dyDescent="0.25">
      <c r="B19" s="26" t="s">
        <v>32</v>
      </c>
      <c r="C19" s="18">
        <v>109</v>
      </c>
      <c r="D19" s="18">
        <v>397.30000000000007</v>
      </c>
      <c r="E19" s="18"/>
      <c r="F19" s="18">
        <v>506.30000000000007</v>
      </c>
    </row>
    <row r="20" spans="2:6" x14ac:dyDescent="0.25">
      <c r="B20" s="26" t="s">
        <v>24</v>
      </c>
      <c r="C20" s="18">
        <v>827.1</v>
      </c>
      <c r="D20" s="18"/>
      <c r="E20" s="18"/>
      <c r="F20" s="18">
        <v>827.1</v>
      </c>
    </row>
    <row r="21" spans="2:6" x14ac:dyDescent="0.25">
      <c r="B21" s="26" t="s">
        <v>34</v>
      </c>
      <c r="C21" s="18">
        <v>291.90000000000003</v>
      </c>
      <c r="D21" s="18"/>
      <c r="E21" s="18">
        <v>400.90000000000003</v>
      </c>
      <c r="F21" s="18">
        <v>692.80000000000007</v>
      </c>
    </row>
    <row r="22" spans="2:6" x14ac:dyDescent="0.25">
      <c r="B22" s="26" t="s">
        <v>29</v>
      </c>
      <c r="C22" s="18">
        <v>222.4</v>
      </c>
      <c r="D22" s="18"/>
      <c r="E22" s="18">
        <v>209.9</v>
      </c>
      <c r="F22" s="18">
        <v>432.3</v>
      </c>
    </row>
    <row r="23" spans="2:6" x14ac:dyDescent="0.25">
      <c r="B23" s="16" t="s">
        <v>27</v>
      </c>
      <c r="C23" s="18">
        <v>689</v>
      </c>
      <c r="D23" s="18">
        <v>3558.9000000000005</v>
      </c>
      <c r="E23" s="18">
        <v>4088.5000000000005</v>
      </c>
      <c r="F23" s="18">
        <v>8336.4000000000015</v>
      </c>
    </row>
    <row r="24" spans="2:6" x14ac:dyDescent="0.25">
      <c r="B24" s="26" t="s">
        <v>35</v>
      </c>
      <c r="C24" s="24"/>
      <c r="D24" s="24">
        <v>707.90000000000009</v>
      </c>
      <c r="E24" s="24">
        <v>2571.6000000000004</v>
      </c>
      <c r="F24" s="24">
        <v>3279.5000000000005</v>
      </c>
    </row>
    <row r="25" spans="2:6" x14ac:dyDescent="0.25">
      <c r="B25" s="26" t="s">
        <v>32</v>
      </c>
      <c r="C25" s="24"/>
      <c r="D25" s="24">
        <v>996.2</v>
      </c>
      <c r="E25" s="24">
        <v>319.20000000000005</v>
      </c>
      <c r="F25" s="24">
        <v>1315.4</v>
      </c>
    </row>
    <row r="26" spans="2:6" x14ac:dyDescent="0.25">
      <c r="B26" s="26" t="s">
        <v>24</v>
      </c>
      <c r="C26" s="24">
        <v>300.7</v>
      </c>
      <c r="D26" s="24">
        <v>471.1</v>
      </c>
      <c r="E26" s="24">
        <v>328.1</v>
      </c>
      <c r="F26" s="24">
        <v>1099.9000000000001</v>
      </c>
    </row>
    <row r="27" spans="2:6" x14ac:dyDescent="0.25">
      <c r="B27" s="26" t="s">
        <v>34</v>
      </c>
      <c r="C27" s="24"/>
      <c r="D27" s="24">
        <v>581.70000000000005</v>
      </c>
      <c r="E27" s="24">
        <v>454.3</v>
      </c>
      <c r="F27" s="24">
        <v>1036</v>
      </c>
    </row>
    <row r="28" spans="2:6" x14ac:dyDescent="0.25">
      <c r="B28" s="26" t="s">
        <v>29</v>
      </c>
      <c r="C28" s="24">
        <v>388.3</v>
      </c>
      <c r="D28" s="24">
        <v>802</v>
      </c>
      <c r="E28" s="24">
        <v>415.3</v>
      </c>
      <c r="F28" s="24">
        <v>1605.6</v>
      </c>
    </row>
    <row r="29" spans="2:6" x14ac:dyDescent="0.25">
      <c r="B29" s="16" t="s">
        <v>52</v>
      </c>
      <c r="C29" s="24">
        <v>8278.1999999999989</v>
      </c>
      <c r="D29" s="24">
        <v>8916.7000000000007</v>
      </c>
      <c r="E29" s="24">
        <v>6752.0000000000009</v>
      </c>
      <c r="F29" s="24">
        <v>23946.9</v>
      </c>
    </row>
  </sheetData>
  <pageMargins left="0.7" right="0.7" top="0.75" bottom="0.75" header="0.3" footer="0.3"/>
  <pageSetup orientation="landscape"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8792B-A701-504E-B551-2B90C8F4F85D}">
  <dimension ref="A1:X176"/>
  <sheetViews>
    <sheetView topLeftCell="B3" workbookViewId="0">
      <selection activeCell="G103" sqref="G103"/>
    </sheetView>
  </sheetViews>
  <sheetFormatPr defaultColWidth="11.125" defaultRowHeight="15.75" x14ac:dyDescent="0.25"/>
  <cols>
    <col min="2" max="2" width="10.125" bestFit="1" customWidth="1"/>
    <col min="3" max="3" width="15.875" customWidth="1"/>
    <col min="4" max="4" width="13" customWidth="1"/>
    <col min="5" max="5" width="8.5" bestFit="1" customWidth="1"/>
    <col min="6" max="7" width="11.625" bestFit="1" customWidth="1"/>
    <col min="8" max="8" width="15" customWidth="1"/>
    <col min="9" max="9" width="12.375" bestFit="1" customWidth="1"/>
  </cols>
  <sheetData>
    <row r="1" spans="1:24" x14ac:dyDescent="0.25">
      <c r="H1" s="1"/>
    </row>
    <row r="2" spans="1:24" x14ac:dyDescent="0.25">
      <c r="B2" s="20" t="s">
        <v>17</v>
      </c>
      <c r="C2" s="21"/>
      <c r="D2" s="21"/>
      <c r="E2" s="21"/>
      <c r="F2" s="21"/>
      <c r="G2" s="21"/>
      <c r="H2" s="21"/>
      <c r="I2" s="21"/>
      <c r="J2" s="21"/>
      <c r="K2" s="21"/>
    </row>
    <row r="3" spans="1:24" x14ac:dyDescent="0.25">
      <c r="A3" s="4"/>
      <c r="B3" s="7" t="s">
        <v>18</v>
      </c>
      <c r="C3" s="7" t="s">
        <v>46</v>
      </c>
      <c r="D3" s="7" t="s">
        <v>19</v>
      </c>
      <c r="E3" s="7" t="s">
        <v>20</v>
      </c>
      <c r="F3" s="7" t="s">
        <v>47</v>
      </c>
      <c r="G3" s="7" t="s">
        <v>48</v>
      </c>
      <c r="H3" s="7" t="s">
        <v>22</v>
      </c>
      <c r="I3" s="7" t="s">
        <v>39</v>
      </c>
      <c r="J3" s="7" t="s">
        <v>49</v>
      </c>
      <c r="K3" s="7" t="s">
        <v>21</v>
      </c>
    </row>
    <row r="4" spans="1:24" x14ac:dyDescent="0.25">
      <c r="B4">
        <v>101</v>
      </c>
      <c r="C4" s="13">
        <v>2019</v>
      </c>
      <c r="D4" t="s">
        <v>23</v>
      </c>
      <c r="E4" t="s">
        <v>24</v>
      </c>
      <c r="F4" s="8">
        <v>1099</v>
      </c>
      <c r="G4" s="6">
        <v>289</v>
      </c>
      <c r="H4" s="14">
        <v>313.5</v>
      </c>
      <c r="I4" s="12">
        <f>F4*H4</f>
        <v>344536.5</v>
      </c>
      <c r="J4" s="12">
        <f>G4*H4</f>
        <v>90601.5</v>
      </c>
      <c r="K4" t="s">
        <v>25</v>
      </c>
    </row>
    <row r="5" spans="1:24" x14ac:dyDescent="0.25">
      <c r="B5">
        <v>102</v>
      </c>
      <c r="C5" s="13">
        <v>2019</v>
      </c>
      <c r="D5" t="s">
        <v>26</v>
      </c>
      <c r="E5" t="s">
        <v>24</v>
      </c>
      <c r="F5" s="8">
        <v>1099</v>
      </c>
      <c r="G5" s="6">
        <v>289</v>
      </c>
      <c r="H5" s="14">
        <v>300.7</v>
      </c>
      <c r="I5" s="12">
        <f t="shared" ref="I5:I68" si="0">F5*H5</f>
        <v>330469.3</v>
      </c>
      <c r="J5" s="12">
        <f t="shared" ref="J5:J68" si="1">G5*H5</f>
        <v>86902.3</v>
      </c>
      <c r="K5" t="s">
        <v>27</v>
      </c>
    </row>
    <row r="6" spans="1:24" x14ac:dyDescent="0.25">
      <c r="B6">
        <v>103</v>
      </c>
      <c r="C6" s="13">
        <v>2019</v>
      </c>
      <c r="D6" t="s">
        <v>28</v>
      </c>
      <c r="E6" t="s">
        <v>29</v>
      </c>
      <c r="F6" s="8">
        <v>1299</v>
      </c>
      <c r="G6" s="6">
        <v>459</v>
      </c>
      <c r="H6" s="14">
        <v>482.20000000000005</v>
      </c>
      <c r="I6" s="12">
        <f t="shared" si="0"/>
        <v>626377.80000000005</v>
      </c>
      <c r="J6" s="12">
        <f t="shared" si="1"/>
        <v>221329.80000000002</v>
      </c>
      <c r="K6" t="s">
        <v>30</v>
      </c>
    </row>
    <row r="7" spans="1:24" x14ac:dyDescent="0.25">
      <c r="B7">
        <v>104</v>
      </c>
      <c r="C7" s="13">
        <v>2019</v>
      </c>
      <c r="D7" t="s">
        <v>31</v>
      </c>
      <c r="E7" t="s">
        <v>32</v>
      </c>
      <c r="F7" s="8">
        <v>599</v>
      </c>
      <c r="G7" s="6">
        <v>299</v>
      </c>
      <c r="H7" s="14">
        <v>109</v>
      </c>
      <c r="I7" s="12">
        <f t="shared" si="0"/>
        <v>65291</v>
      </c>
      <c r="J7" s="12">
        <f t="shared" si="1"/>
        <v>32591</v>
      </c>
      <c r="K7" t="s">
        <v>33</v>
      </c>
    </row>
    <row r="8" spans="1:24" x14ac:dyDescent="0.25">
      <c r="B8">
        <v>105</v>
      </c>
      <c r="C8" s="13">
        <v>2019</v>
      </c>
      <c r="D8" t="s">
        <v>31</v>
      </c>
      <c r="E8" t="s">
        <v>34</v>
      </c>
      <c r="F8" s="8">
        <v>449</v>
      </c>
      <c r="G8" s="6">
        <v>159</v>
      </c>
      <c r="H8" s="14">
        <v>450.90000000000003</v>
      </c>
      <c r="I8" s="12">
        <f t="shared" si="0"/>
        <v>202454.1</v>
      </c>
      <c r="J8" s="12">
        <f t="shared" si="1"/>
        <v>71693.100000000006</v>
      </c>
      <c r="K8" t="s">
        <v>30</v>
      </c>
    </row>
    <row r="9" spans="1:24" x14ac:dyDescent="0.25">
      <c r="B9">
        <v>106</v>
      </c>
      <c r="C9" s="13">
        <v>2019</v>
      </c>
      <c r="D9" t="s">
        <v>31</v>
      </c>
      <c r="E9" t="s">
        <v>35</v>
      </c>
      <c r="F9" s="8">
        <v>199</v>
      </c>
      <c r="G9" s="6">
        <v>39</v>
      </c>
      <c r="H9" s="14">
        <v>270.90000000000003</v>
      </c>
      <c r="I9" s="12">
        <f t="shared" si="0"/>
        <v>53909.100000000006</v>
      </c>
      <c r="J9" s="12">
        <f t="shared" si="1"/>
        <v>10565.100000000002</v>
      </c>
      <c r="K9" t="s">
        <v>30</v>
      </c>
    </row>
    <row r="10" spans="1:24" x14ac:dyDescent="0.25">
      <c r="B10">
        <v>107</v>
      </c>
      <c r="C10" s="13">
        <v>2019</v>
      </c>
      <c r="D10" t="s">
        <v>31</v>
      </c>
      <c r="E10" t="s">
        <v>35</v>
      </c>
      <c r="F10" s="8">
        <v>199</v>
      </c>
      <c r="G10" s="6">
        <v>39</v>
      </c>
      <c r="H10" s="14">
        <v>443.1</v>
      </c>
      <c r="I10" s="12">
        <f t="shared" si="0"/>
        <v>88176.900000000009</v>
      </c>
      <c r="J10" s="12">
        <f t="shared" si="1"/>
        <v>17280.900000000001</v>
      </c>
      <c r="K10" t="s">
        <v>25</v>
      </c>
    </row>
    <row r="11" spans="1:24" x14ac:dyDescent="0.25">
      <c r="B11">
        <v>108</v>
      </c>
      <c r="C11" s="13">
        <v>2019</v>
      </c>
      <c r="D11" t="s">
        <v>23</v>
      </c>
      <c r="E11" t="s">
        <v>35</v>
      </c>
      <c r="F11" s="8">
        <v>199</v>
      </c>
      <c r="G11" s="6">
        <v>39</v>
      </c>
      <c r="H11" s="14">
        <v>459.3</v>
      </c>
      <c r="I11" s="12">
        <f t="shared" si="0"/>
        <v>91400.7</v>
      </c>
      <c r="J11" s="12">
        <f t="shared" si="1"/>
        <v>17912.7</v>
      </c>
      <c r="K11" t="s">
        <v>30</v>
      </c>
    </row>
    <row r="12" spans="1:24" x14ac:dyDescent="0.25">
      <c r="B12">
        <v>109</v>
      </c>
      <c r="C12" s="13">
        <v>2019</v>
      </c>
      <c r="D12" t="s">
        <v>26</v>
      </c>
      <c r="E12" t="s">
        <v>24</v>
      </c>
      <c r="F12">
        <v>1099</v>
      </c>
      <c r="G12" s="6">
        <v>289</v>
      </c>
      <c r="H12" s="14">
        <v>222.5</v>
      </c>
      <c r="I12" s="12">
        <f t="shared" si="0"/>
        <v>244527.5</v>
      </c>
      <c r="J12" s="12">
        <f t="shared" si="1"/>
        <v>64302.5</v>
      </c>
      <c r="K12" t="s">
        <v>30</v>
      </c>
    </row>
    <row r="13" spans="1:24" x14ac:dyDescent="0.25">
      <c r="B13">
        <v>110</v>
      </c>
      <c r="C13" s="13">
        <v>2019</v>
      </c>
      <c r="D13" t="s">
        <v>28</v>
      </c>
      <c r="E13" t="s">
        <v>29</v>
      </c>
      <c r="F13" s="8">
        <v>1299</v>
      </c>
      <c r="G13" s="6">
        <v>459</v>
      </c>
      <c r="H13" s="14">
        <v>479.40000000000003</v>
      </c>
      <c r="I13" s="12">
        <f t="shared" si="0"/>
        <v>622740.60000000009</v>
      </c>
      <c r="J13" s="12">
        <f t="shared" si="1"/>
        <v>220044.6</v>
      </c>
      <c r="K13" s="9" t="s">
        <v>25</v>
      </c>
    </row>
    <row r="14" spans="1:24" x14ac:dyDescent="0.25">
      <c r="B14">
        <v>111</v>
      </c>
      <c r="C14" s="13">
        <v>2019</v>
      </c>
      <c r="D14" t="s">
        <v>28</v>
      </c>
      <c r="E14" t="s">
        <v>29</v>
      </c>
      <c r="F14" s="8">
        <v>1299</v>
      </c>
      <c r="G14" s="6">
        <v>459</v>
      </c>
      <c r="H14" s="14">
        <v>301.2</v>
      </c>
      <c r="I14" s="12">
        <f t="shared" si="0"/>
        <v>391258.8</v>
      </c>
      <c r="J14" s="12">
        <f t="shared" si="1"/>
        <v>138250.79999999999</v>
      </c>
      <c r="K14" s="9" t="s">
        <v>25</v>
      </c>
    </row>
    <row r="15" spans="1:24" x14ac:dyDescent="0.25">
      <c r="B15">
        <v>112</v>
      </c>
      <c r="C15" s="13">
        <v>2019</v>
      </c>
      <c r="D15" t="s">
        <v>28</v>
      </c>
      <c r="E15" t="s">
        <v>35</v>
      </c>
      <c r="F15" s="8">
        <v>199</v>
      </c>
      <c r="G15" s="6">
        <v>39</v>
      </c>
      <c r="H15" s="14">
        <v>315.10000000000002</v>
      </c>
      <c r="I15" s="12">
        <f t="shared" si="0"/>
        <v>62704.9</v>
      </c>
      <c r="J15" s="12">
        <f t="shared" si="1"/>
        <v>12288.900000000001</v>
      </c>
      <c r="K15" s="9" t="s">
        <v>25</v>
      </c>
    </row>
    <row r="16" spans="1:24" x14ac:dyDescent="0.25">
      <c r="B16">
        <v>113</v>
      </c>
      <c r="C16" s="13">
        <v>2019</v>
      </c>
      <c r="D16" t="s">
        <v>23</v>
      </c>
      <c r="E16" t="s">
        <v>24</v>
      </c>
      <c r="F16">
        <v>1099</v>
      </c>
      <c r="G16" s="6">
        <v>289</v>
      </c>
      <c r="H16" s="14">
        <v>142.4</v>
      </c>
      <c r="I16" s="12">
        <f t="shared" si="0"/>
        <v>156497.60000000001</v>
      </c>
      <c r="J16" s="12">
        <f t="shared" si="1"/>
        <v>41153.599999999999</v>
      </c>
      <c r="K16" s="9" t="s">
        <v>25</v>
      </c>
      <c r="L16" s="1"/>
      <c r="N16" s="1"/>
      <c r="O16" s="1"/>
      <c r="P16" s="1"/>
      <c r="Q16" s="1"/>
      <c r="R16" s="1"/>
      <c r="S16" s="1"/>
      <c r="W16" s="1"/>
      <c r="X16" s="1"/>
    </row>
    <row r="17" spans="2:11" x14ac:dyDescent="0.25">
      <c r="B17">
        <v>114</v>
      </c>
      <c r="C17" s="13">
        <v>2019</v>
      </c>
      <c r="D17" t="s">
        <v>26</v>
      </c>
      <c r="E17" t="s">
        <v>34</v>
      </c>
      <c r="F17" s="8">
        <v>449</v>
      </c>
      <c r="G17" s="6">
        <v>159</v>
      </c>
      <c r="H17" s="14">
        <v>311</v>
      </c>
      <c r="I17" s="12">
        <f t="shared" si="0"/>
        <v>139639</v>
      </c>
      <c r="J17" s="12">
        <f t="shared" si="1"/>
        <v>49449</v>
      </c>
      <c r="K17" s="9" t="s">
        <v>25</v>
      </c>
    </row>
    <row r="18" spans="2:11" x14ac:dyDescent="0.25">
      <c r="B18">
        <v>115</v>
      </c>
      <c r="C18" s="13">
        <v>2019</v>
      </c>
      <c r="D18" t="s">
        <v>28</v>
      </c>
      <c r="E18" t="s">
        <v>32</v>
      </c>
      <c r="F18" s="8">
        <v>599</v>
      </c>
      <c r="G18" s="6">
        <v>299</v>
      </c>
      <c r="H18" s="14">
        <v>378.20000000000005</v>
      </c>
      <c r="I18" s="12">
        <f t="shared" si="0"/>
        <v>226541.80000000002</v>
      </c>
      <c r="J18" s="12">
        <f t="shared" si="1"/>
        <v>113081.80000000002</v>
      </c>
      <c r="K18" s="9" t="s">
        <v>25</v>
      </c>
    </row>
    <row r="19" spans="2:11" x14ac:dyDescent="0.25">
      <c r="B19">
        <v>116</v>
      </c>
      <c r="C19" s="13">
        <v>2019</v>
      </c>
      <c r="D19" t="s">
        <v>28</v>
      </c>
      <c r="E19" t="s">
        <v>34</v>
      </c>
      <c r="F19" s="8">
        <v>449</v>
      </c>
      <c r="G19" s="6">
        <v>159</v>
      </c>
      <c r="H19" s="14">
        <v>291.90000000000003</v>
      </c>
      <c r="I19" s="12">
        <f t="shared" si="0"/>
        <v>131063.10000000002</v>
      </c>
      <c r="J19" s="12">
        <f t="shared" si="1"/>
        <v>46412.100000000006</v>
      </c>
      <c r="K19" t="s">
        <v>33</v>
      </c>
    </row>
    <row r="20" spans="2:11" x14ac:dyDescent="0.25">
      <c r="B20">
        <v>117</v>
      </c>
      <c r="C20" s="13">
        <v>2019</v>
      </c>
      <c r="D20" t="s">
        <v>28</v>
      </c>
      <c r="E20" t="s">
        <v>24</v>
      </c>
      <c r="F20">
        <v>1099</v>
      </c>
      <c r="G20" s="6">
        <v>289</v>
      </c>
      <c r="H20" s="14">
        <v>479.3</v>
      </c>
      <c r="I20" s="12">
        <f t="shared" si="0"/>
        <v>526750.70000000007</v>
      </c>
      <c r="J20" s="12">
        <f t="shared" si="1"/>
        <v>138517.70000000001</v>
      </c>
      <c r="K20" t="s">
        <v>33</v>
      </c>
    </row>
    <row r="21" spans="2:11" x14ac:dyDescent="0.25">
      <c r="B21">
        <v>118</v>
      </c>
      <c r="C21" s="13">
        <v>2019</v>
      </c>
      <c r="D21" t="s">
        <v>23</v>
      </c>
      <c r="E21" t="s">
        <v>34</v>
      </c>
      <c r="F21" s="8">
        <v>449</v>
      </c>
      <c r="G21" s="6">
        <v>159</v>
      </c>
      <c r="H21" s="14">
        <v>115.10000000000001</v>
      </c>
      <c r="I21" s="12">
        <f t="shared" si="0"/>
        <v>51679.9</v>
      </c>
      <c r="J21" s="12">
        <f t="shared" si="1"/>
        <v>18300.900000000001</v>
      </c>
      <c r="K21" t="s">
        <v>27</v>
      </c>
    </row>
    <row r="22" spans="2:11" x14ac:dyDescent="0.25">
      <c r="B22">
        <v>119</v>
      </c>
      <c r="C22" s="13">
        <v>2019</v>
      </c>
      <c r="D22" t="s">
        <v>28</v>
      </c>
      <c r="E22" t="s">
        <v>24</v>
      </c>
      <c r="F22">
        <v>1099</v>
      </c>
      <c r="G22" s="6">
        <v>289</v>
      </c>
      <c r="H22" s="14">
        <v>347.8</v>
      </c>
      <c r="I22" s="12">
        <f t="shared" si="0"/>
        <v>382232.2</v>
      </c>
      <c r="J22" s="12">
        <f t="shared" si="1"/>
        <v>100514.2</v>
      </c>
      <c r="K22" t="s">
        <v>33</v>
      </c>
    </row>
    <row r="23" spans="2:11" x14ac:dyDescent="0.25">
      <c r="B23">
        <v>120</v>
      </c>
      <c r="C23" s="13">
        <v>2019</v>
      </c>
      <c r="D23" t="s">
        <v>28</v>
      </c>
      <c r="E23" t="s">
        <v>29</v>
      </c>
      <c r="F23" s="8">
        <v>1299</v>
      </c>
      <c r="G23" s="6">
        <v>459</v>
      </c>
      <c r="H23" s="14">
        <v>222.4</v>
      </c>
      <c r="I23" s="12">
        <f t="shared" si="0"/>
        <v>288897.60000000003</v>
      </c>
      <c r="J23" s="12">
        <f t="shared" si="1"/>
        <v>102081.60000000001</v>
      </c>
      <c r="K23" t="s">
        <v>33</v>
      </c>
    </row>
    <row r="24" spans="2:11" x14ac:dyDescent="0.25">
      <c r="B24">
        <v>121</v>
      </c>
      <c r="C24" s="13">
        <v>2019</v>
      </c>
      <c r="D24" t="s">
        <v>28</v>
      </c>
      <c r="E24" t="s">
        <v>24</v>
      </c>
      <c r="F24">
        <v>1099</v>
      </c>
      <c r="G24" s="6">
        <v>289</v>
      </c>
      <c r="H24" s="14">
        <v>276.5</v>
      </c>
      <c r="I24" s="12">
        <f t="shared" si="0"/>
        <v>303873.5</v>
      </c>
      <c r="J24" s="12">
        <f t="shared" si="1"/>
        <v>79908.5</v>
      </c>
      <c r="K24" t="s">
        <v>30</v>
      </c>
    </row>
    <row r="25" spans="2:11" x14ac:dyDescent="0.25">
      <c r="B25">
        <v>122</v>
      </c>
      <c r="C25" s="13">
        <v>2019</v>
      </c>
      <c r="D25" t="s">
        <v>23</v>
      </c>
      <c r="E25" t="s">
        <v>24</v>
      </c>
      <c r="F25">
        <v>1099</v>
      </c>
      <c r="G25" s="6">
        <v>289</v>
      </c>
      <c r="H25" s="14">
        <v>151.20000000000002</v>
      </c>
      <c r="I25" s="12">
        <f t="shared" si="0"/>
        <v>166168.80000000002</v>
      </c>
      <c r="J25" s="12">
        <f t="shared" si="1"/>
        <v>43696.800000000003</v>
      </c>
      <c r="K25" t="s">
        <v>30</v>
      </c>
    </row>
    <row r="26" spans="2:11" x14ac:dyDescent="0.25">
      <c r="B26">
        <v>123</v>
      </c>
      <c r="C26" s="13">
        <v>2019</v>
      </c>
      <c r="D26" t="s">
        <v>23</v>
      </c>
      <c r="E26" t="s">
        <v>35</v>
      </c>
      <c r="F26" s="8">
        <v>199</v>
      </c>
      <c r="G26" s="6">
        <v>39</v>
      </c>
      <c r="H26" s="14">
        <v>171.60000000000002</v>
      </c>
      <c r="I26" s="12">
        <f t="shared" si="0"/>
        <v>34148.400000000001</v>
      </c>
      <c r="J26" s="12">
        <f t="shared" si="1"/>
        <v>6692.4000000000005</v>
      </c>
      <c r="K26" t="s">
        <v>30</v>
      </c>
    </row>
    <row r="27" spans="2:11" x14ac:dyDescent="0.25">
      <c r="B27">
        <v>124</v>
      </c>
      <c r="C27" s="13">
        <v>2019</v>
      </c>
      <c r="D27" t="s">
        <v>26</v>
      </c>
      <c r="E27" t="s">
        <v>32</v>
      </c>
      <c r="F27" s="8">
        <v>599</v>
      </c>
      <c r="G27" s="6">
        <v>299</v>
      </c>
      <c r="H27" s="14">
        <v>365.40000000000003</v>
      </c>
      <c r="I27" s="12">
        <f t="shared" si="0"/>
        <v>218874.60000000003</v>
      </c>
      <c r="J27" s="12">
        <f t="shared" si="1"/>
        <v>109254.6</v>
      </c>
      <c r="K27" t="s">
        <v>30</v>
      </c>
    </row>
    <row r="28" spans="2:11" x14ac:dyDescent="0.25">
      <c r="B28">
        <v>125</v>
      </c>
      <c r="C28" s="13">
        <v>2019</v>
      </c>
      <c r="D28" t="s">
        <v>26</v>
      </c>
      <c r="E28" t="s">
        <v>29</v>
      </c>
      <c r="F28" s="8">
        <v>1299</v>
      </c>
      <c r="G28" s="6">
        <v>459</v>
      </c>
      <c r="H28" s="14">
        <v>156.10000000000002</v>
      </c>
      <c r="I28" s="12">
        <f t="shared" si="0"/>
        <v>202773.90000000002</v>
      </c>
      <c r="J28" s="12">
        <f t="shared" si="1"/>
        <v>71649.900000000009</v>
      </c>
      <c r="K28" s="9" t="s">
        <v>25</v>
      </c>
    </row>
    <row r="29" spans="2:11" x14ac:dyDescent="0.25">
      <c r="B29">
        <v>126</v>
      </c>
      <c r="C29" s="13">
        <v>2019</v>
      </c>
      <c r="D29" t="s">
        <v>23</v>
      </c>
      <c r="E29" t="s">
        <v>29</v>
      </c>
      <c r="F29" s="8">
        <v>1299</v>
      </c>
      <c r="G29" s="6">
        <v>459</v>
      </c>
      <c r="H29" s="14">
        <v>208.3</v>
      </c>
      <c r="I29" s="12">
        <f t="shared" si="0"/>
        <v>270581.7</v>
      </c>
      <c r="J29" s="12">
        <f t="shared" si="1"/>
        <v>95609.700000000012</v>
      </c>
      <c r="K29" t="s">
        <v>30</v>
      </c>
    </row>
    <row r="30" spans="2:11" x14ac:dyDescent="0.25">
      <c r="B30">
        <v>127</v>
      </c>
      <c r="C30" s="13">
        <v>2019</v>
      </c>
      <c r="D30" t="s">
        <v>26</v>
      </c>
      <c r="E30" t="s">
        <v>29</v>
      </c>
      <c r="F30" s="8">
        <v>1299</v>
      </c>
      <c r="G30" s="6">
        <v>459</v>
      </c>
      <c r="H30" s="14">
        <v>267.3</v>
      </c>
      <c r="I30" s="12">
        <f t="shared" si="0"/>
        <v>347222.7</v>
      </c>
      <c r="J30" s="12">
        <f t="shared" si="1"/>
        <v>122690.70000000001</v>
      </c>
      <c r="K30" s="9" t="s">
        <v>25</v>
      </c>
    </row>
    <row r="31" spans="2:11" x14ac:dyDescent="0.25">
      <c r="B31">
        <v>128</v>
      </c>
      <c r="C31" s="13">
        <v>2019</v>
      </c>
      <c r="D31" t="s">
        <v>26</v>
      </c>
      <c r="E31" t="s">
        <v>32</v>
      </c>
      <c r="F31" s="8">
        <v>599</v>
      </c>
      <c r="G31" s="6">
        <v>299</v>
      </c>
      <c r="H31" s="14">
        <v>338.5</v>
      </c>
      <c r="I31" s="12">
        <f t="shared" si="0"/>
        <v>202761.5</v>
      </c>
      <c r="J31" s="12">
        <f t="shared" si="1"/>
        <v>101211.5</v>
      </c>
      <c r="K31" s="9" t="s">
        <v>25</v>
      </c>
    </row>
    <row r="32" spans="2:11" x14ac:dyDescent="0.25">
      <c r="B32">
        <v>129</v>
      </c>
      <c r="C32" s="13">
        <v>2019</v>
      </c>
      <c r="D32" t="s">
        <v>28</v>
      </c>
      <c r="E32" t="s">
        <v>24</v>
      </c>
      <c r="F32">
        <v>1099</v>
      </c>
      <c r="G32" s="6">
        <v>289</v>
      </c>
      <c r="H32" s="14">
        <v>321.8</v>
      </c>
      <c r="I32" s="12">
        <f t="shared" si="0"/>
        <v>353658.2</v>
      </c>
      <c r="J32" s="12">
        <f t="shared" si="1"/>
        <v>93000.2</v>
      </c>
      <c r="K32" t="s">
        <v>30</v>
      </c>
    </row>
    <row r="33" spans="2:11" x14ac:dyDescent="0.25">
      <c r="B33">
        <v>130</v>
      </c>
      <c r="C33" s="13">
        <v>2019</v>
      </c>
      <c r="D33" t="s">
        <v>26</v>
      </c>
      <c r="E33" t="s">
        <v>35</v>
      </c>
      <c r="F33" s="8">
        <v>199</v>
      </c>
      <c r="G33" s="6">
        <v>39</v>
      </c>
      <c r="H33" s="14">
        <v>368.70000000000005</v>
      </c>
      <c r="I33" s="12">
        <f t="shared" si="0"/>
        <v>73371.3</v>
      </c>
      <c r="J33" s="12">
        <f t="shared" si="1"/>
        <v>14379.300000000001</v>
      </c>
      <c r="K33" t="s">
        <v>33</v>
      </c>
    </row>
    <row r="34" spans="2:11" x14ac:dyDescent="0.25">
      <c r="B34">
        <v>131</v>
      </c>
      <c r="C34" s="13">
        <v>2019</v>
      </c>
      <c r="D34" t="s">
        <v>23</v>
      </c>
      <c r="E34" t="s">
        <v>29</v>
      </c>
      <c r="F34" s="8">
        <v>1299</v>
      </c>
      <c r="G34" s="6">
        <v>459</v>
      </c>
      <c r="H34" s="14">
        <v>126.9</v>
      </c>
      <c r="I34" s="12">
        <f t="shared" si="0"/>
        <v>164843.1</v>
      </c>
      <c r="J34" s="12">
        <f t="shared" si="1"/>
        <v>58247.100000000006</v>
      </c>
      <c r="K34" t="s">
        <v>27</v>
      </c>
    </row>
    <row r="35" spans="2:11" x14ac:dyDescent="0.25">
      <c r="B35">
        <v>132</v>
      </c>
      <c r="C35" s="13">
        <v>2019</v>
      </c>
      <c r="D35" t="s">
        <v>31</v>
      </c>
      <c r="E35" t="s">
        <v>32</v>
      </c>
      <c r="F35" s="8">
        <v>599</v>
      </c>
      <c r="G35" s="6">
        <v>299</v>
      </c>
      <c r="H35" s="14">
        <v>390</v>
      </c>
      <c r="I35" s="12">
        <f t="shared" si="0"/>
        <v>233610</v>
      </c>
      <c r="J35" s="12">
        <f t="shared" si="1"/>
        <v>116610</v>
      </c>
      <c r="K35" t="s">
        <v>30</v>
      </c>
    </row>
    <row r="36" spans="2:11" x14ac:dyDescent="0.25">
      <c r="B36">
        <v>133</v>
      </c>
      <c r="C36" s="13">
        <v>2019</v>
      </c>
      <c r="D36" t="s">
        <v>31</v>
      </c>
      <c r="E36" t="s">
        <v>29</v>
      </c>
      <c r="F36" s="8">
        <v>1299</v>
      </c>
      <c r="G36" s="6">
        <v>459</v>
      </c>
      <c r="H36" s="14">
        <v>388.3</v>
      </c>
      <c r="I36" s="12">
        <f t="shared" si="0"/>
        <v>504401.7</v>
      </c>
      <c r="J36" s="12">
        <f t="shared" si="1"/>
        <v>178229.7</v>
      </c>
      <c r="K36" t="s">
        <v>27</v>
      </c>
    </row>
    <row r="37" spans="2:11" x14ac:dyDescent="0.25">
      <c r="B37">
        <v>134</v>
      </c>
      <c r="C37" s="13">
        <v>2020</v>
      </c>
      <c r="D37" t="s">
        <v>31</v>
      </c>
      <c r="E37" t="s">
        <v>29</v>
      </c>
      <c r="F37" s="8">
        <v>1299</v>
      </c>
      <c r="G37" s="6">
        <v>459</v>
      </c>
      <c r="H37" s="14">
        <v>112</v>
      </c>
      <c r="I37" s="12">
        <f t="shared" si="0"/>
        <v>145488</v>
      </c>
      <c r="J37" s="12">
        <f t="shared" si="1"/>
        <v>51408</v>
      </c>
      <c r="K37" t="s">
        <v>30</v>
      </c>
    </row>
    <row r="38" spans="2:11" x14ac:dyDescent="0.25">
      <c r="B38">
        <v>135</v>
      </c>
      <c r="C38" s="13">
        <v>2020</v>
      </c>
      <c r="D38" t="s">
        <v>31</v>
      </c>
      <c r="E38" t="s">
        <v>35</v>
      </c>
      <c r="F38" s="8">
        <v>199</v>
      </c>
      <c r="G38" s="6">
        <v>39</v>
      </c>
      <c r="H38" s="14">
        <v>331.70000000000005</v>
      </c>
      <c r="I38" s="12">
        <f t="shared" si="0"/>
        <v>66008.3</v>
      </c>
      <c r="J38" s="12">
        <f t="shared" si="1"/>
        <v>12936.300000000001</v>
      </c>
      <c r="K38" s="9" t="s">
        <v>25</v>
      </c>
    </row>
    <row r="39" spans="2:11" x14ac:dyDescent="0.25">
      <c r="B39">
        <v>136</v>
      </c>
      <c r="C39" s="13">
        <v>2020</v>
      </c>
      <c r="D39" t="s">
        <v>26</v>
      </c>
      <c r="E39" t="s">
        <v>35</v>
      </c>
      <c r="F39" s="8">
        <v>199</v>
      </c>
      <c r="G39" s="6">
        <v>39</v>
      </c>
      <c r="H39" s="14">
        <v>171</v>
      </c>
      <c r="I39" s="12">
        <f t="shared" si="0"/>
        <v>34029</v>
      </c>
      <c r="J39" s="12">
        <f t="shared" si="1"/>
        <v>6669</v>
      </c>
      <c r="K39" s="9" t="s">
        <v>25</v>
      </c>
    </row>
    <row r="40" spans="2:11" x14ac:dyDescent="0.25">
      <c r="B40">
        <v>137</v>
      </c>
      <c r="C40" s="13">
        <v>2020</v>
      </c>
      <c r="D40" t="s">
        <v>31</v>
      </c>
      <c r="E40" t="s">
        <v>29</v>
      </c>
      <c r="F40" s="8">
        <v>1299</v>
      </c>
      <c r="G40" s="6">
        <v>459</v>
      </c>
      <c r="H40" s="14">
        <v>167.20000000000002</v>
      </c>
      <c r="I40" s="12">
        <f t="shared" si="0"/>
        <v>217192.80000000002</v>
      </c>
      <c r="J40" s="12">
        <f t="shared" si="1"/>
        <v>76744.800000000003</v>
      </c>
      <c r="K40" t="s">
        <v>30</v>
      </c>
    </row>
    <row r="41" spans="2:11" x14ac:dyDescent="0.25">
      <c r="B41">
        <v>138</v>
      </c>
      <c r="C41" s="13">
        <v>2020</v>
      </c>
      <c r="D41" t="s">
        <v>26</v>
      </c>
      <c r="E41" t="s">
        <v>35</v>
      </c>
      <c r="F41" s="8">
        <v>199</v>
      </c>
      <c r="G41" s="6">
        <v>39</v>
      </c>
      <c r="H41" s="14">
        <v>357.8</v>
      </c>
      <c r="I41" s="12">
        <f t="shared" si="0"/>
        <v>71202.2</v>
      </c>
      <c r="J41" s="12">
        <f t="shared" si="1"/>
        <v>13954.2</v>
      </c>
      <c r="K41" t="s">
        <v>30</v>
      </c>
    </row>
    <row r="42" spans="2:11" x14ac:dyDescent="0.25">
      <c r="B42">
        <v>139</v>
      </c>
      <c r="C42" s="13">
        <v>2020</v>
      </c>
      <c r="D42" t="s">
        <v>31</v>
      </c>
      <c r="E42" t="s">
        <v>34</v>
      </c>
      <c r="F42" s="8">
        <v>449</v>
      </c>
      <c r="G42" s="6">
        <v>159</v>
      </c>
      <c r="H42" s="14">
        <v>396.20000000000005</v>
      </c>
      <c r="I42" s="12">
        <f t="shared" si="0"/>
        <v>177893.80000000002</v>
      </c>
      <c r="J42" s="12">
        <f t="shared" si="1"/>
        <v>62995.80000000001</v>
      </c>
      <c r="K42" t="s">
        <v>30</v>
      </c>
    </row>
    <row r="43" spans="2:11" x14ac:dyDescent="0.25">
      <c r="B43">
        <v>140</v>
      </c>
      <c r="C43" s="13">
        <v>2020</v>
      </c>
      <c r="D43" t="s">
        <v>31</v>
      </c>
      <c r="E43" t="s">
        <v>34</v>
      </c>
      <c r="F43" s="8">
        <v>449</v>
      </c>
      <c r="G43" s="6">
        <v>159</v>
      </c>
      <c r="H43" s="14">
        <v>314.20000000000005</v>
      </c>
      <c r="I43" s="12">
        <f t="shared" si="0"/>
        <v>141075.80000000002</v>
      </c>
      <c r="J43" s="12">
        <f t="shared" si="1"/>
        <v>49957.80000000001</v>
      </c>
      <c r="K43" t="s">
        <v>30</v>
      </c>
    </row>
    <row r="44" spans="2:11" x14ac:dyDescent="0.25">
      <c r="B44">
        <v>141</v>
      </c>
      <c r="C44" s="13">
        <v>2020</v>
      </c>
      <c r="D44" t="s">
        <v>28</v>
      </c>
      <c r="E44" t="s">
        <v>32</v>
      </c>
      <c r="F44" s="8">
        <v>599</v>
      </c>
      <c r="G44" s="6">
        <v>299</v>
      </c>
      <c r="H44" s="14">
        <v>497.70000000000005</v>
      </c>
      <c r="I44" s="12">
        <f t="shared" si="0"/>
        <v>298122.30000000005</v>
      </c>
      <c r="J44" s="12">
        <f t="shared" si="1"/>
        <v>148812.30000000002</v>
      </c>
      <c r="K44" t="s">
        <v>27</v>
      </c>
    </row>
    <row r="45" spans="2:11" x14ac:dyDescent="0.25">
      <c r="B45">
        <v>142</v>
      </c>
      <c r="C45" s="13">
        <v>2020</v>
      </c>
      <c r="D45" t="s">
        <v>31</v>
      </c>
      <c r="E45" t="s">
        <v>32</v>
      </c>
      <c r="F45" s="8">
        <v>599</v>
      </c>
      <c r="G45" s="6">
        <v>299</v>
      </c>
      <c r="H45" s="14">
        <v>125.4</v>
      </c>
      <c r="I45" s="12">
        <f t="shared" si="0"/>
        <v>75114.600000000006</v>
      </c>
      <c r="J45" s="12">
        <f t="shared" si="1"/>
        <v>37494.6</v>
      </c>
      <c r="K45" t="s">
        <v>33</v>
      </c>
    </row>
    <row r="46" spans="2:11" x14ac:dyDescent="0.25">
      <c r="B46">
        <v>143</v>
      </c>
      <c r="C46" s="13">
        <v>2020</v>
      </c>
      <c r="D46" t="s">
        <v>26</v>
      </c>
      <c r="E46" t="s">
        <v>35</v>
      </c>
      <c r="F46" s="8">
        <v>199</v>
      </c>
      <c r="G46" s="6">
        <v>39</v>
      </c>
      <c r="H46" s="14">
        <v>411.20000000000005</v>
      </c>
      <c r="I46" s="12">
        <f t="shared" si="0"/>
        <v>81828.800000000003</v>
      </c>
      <c r="J46" s="12">
        <f t="shared" si="1"/>
        <v>16036.800000000001</v>
      </c>
      <c r="K46" t="s">
        <v>33</v>
      </c>
    </row>
    <row r="47" spans="2:11" x14ac:dyDescent="0.25">
      <c r="B47">
        <v>144</v>
      </c>
      <c r="C47" s="13">
        <v>2020</v>
      </c>
      <c r="D47" t="s">
        <v>26</v>
      </c>
      <c r="E47" t="s">
        <v>35</v>
      </c>
      <c r="F47" s="8">
        <v>199</v>
      </c>
      <c r="G47" s="6">
        <v>39</v>
      </c>
      <c r="H47" s="14">
        <v>194.3</v>
      </c>
      <c r="I47" s="12">
        <f t="shared" si="0"/>
        <v>38665.700000000004</v>
      </c>
      <c r="J47" s="12">
        <f t="shared" si="1"/>
        <v>7577.7000000000007</v>
      </c>
      <c r="K47" s="9" t="s">
        <v>25</v>
      </c>
    </row>
    <row r="48" spans="2:11" x14ac:dyDescent="0.25">
      <c r="B48">
        <v>145</v>
      </c>
      <c r="C48" s="13">
        <v>2020</v>
      </c>
      <c r="D48" t="s">
        <v>28</v>
      </c>
      <c r="E48" t="s">
        <v>35</v>
      </c>
      <c r="F48" s="8">
        <v>199</v>
      </c>
      <c r="G48" s="6">
        <v>39</v>
      </c>
      <c r="H48" s="14">
        <v>167.9</v>
      </c>
      <c r="I48" s="12">
        <f t="shared" si="0"/>
        <v>33412.1</v>
      </c>
      <c r="J48" s="12">
        <f t="shared" si="1"/>
        <v>6548.1</v>
      </c>
      <c r="K48" s="9" t="s">
        <v>25</v>
      </c>
    </row>
    <row r="49" spans="2:11" x14ac:dyDescent="0.25">
      <c r="B49">
        <v>146</v>
      </c>
      <c r="C49" s="13">
        <v>2020</v>
      </c>
      <c r="D49" t="s">
        <v>31</v>
      </c>
      <c r="E49" t="s">
        <v>24</v>
      </c>
      <c r="F49">
        <v>1099</v>
      </c>
      <c r="G49" s="6">
        <v>289</v>
      </c>
      <c r="H49" s="14">
        <v>132.20000000000002</v>
      </c>
      <c r="I49" s="12">
        <f t="shared" si="0"/>
        <v>145287.80000000002</v>
      </c>
      <c r="J49" s="12">
        <f t="shared" si="1"/>
        <v>38205.800000000003</v>
      </c>
      <c r="K49" s="9" t="s">
        <v>25</v>
      </c>
    </row>
    <row r="50" spans="2:11" x14ac:dyDescent="0.25">
      <c r="B50">
        <v>147</v>
      </c>
      <c r="C50" s="13">
        <v>2020</v>
      </c>
      <c r="D50" t="s">
        <v>28</v>
      </c>
      <c r="E50" t="s">
        <v>24</v>
      </c>
      <c r="F50">
        <v>1099</v>
      </c>
      <c r="G50" s="6">
        <v>289</v>
      </c>
      <c r="H50" s="14">
        <v>139.4</v>
      </c>
      <c r="I50" s="12">
        <f t="shared" si="0"/>
        <v>153200.6</v>
      </c>
      <c r="J50" s="12">
        <f t="shared" si="1"/>
        <v>40286.6</v>
      </c>
      <c r="K50" s="9" t="s">
        <v>25</v>
      </c>
    </row>
    <row r="51" spans="2:11" x14ac:dyDescent="0.25">
      <c r="B51">
        <v>148</v>
      </c>
      <c r="C51" s="13">
        <v>2020</v>
      </c>
      <c r="D51" t="s">
        <v>26</v>
      </c>
      <c r="E51" t="s">
        <v>24</v>
      </c>
      <c r="F51">
        <v>1099</v>
      </c>
      <c r="G51" s="6">
        <v>289</v>
      </c>
      <c r="H51" s="14">
        <v>106</v>
      </c>
      <c r="I51" s="12">
        <f t="shared" si="0"/>
        <v>116494</v>
      </c>
      <c r="J51" s="12">
        <f t="shared" si="1"/>
        <v>30634</v>
      </c>
      <c r="K51" s="9" t="s">
        <v>25</v>
      </c>
    </row>
    <row r="52" spans="2:11" x14ac:dyDescent="0.25">
      <c r="B52">
        <v>149</v>
      </c>
      <c r="C52" s="13">
        <v>2020</v>
      </c>
      <c r="D52" t="s">
        <v>28</v>
      </c>
      <c r="E52" t="s">
        <v>32</v>
      </c>
      <c r="F52" s="8">
        <v>599</v>
      </c>
      <c r="G52" s="6">
        <v>299</v>
      </c>
      <c r="H52" s="14">
        <v>271.90000000000003</v>
      </c>
      <c r="I52" s="12">
        <f t="shared" si="0"/>
        <v>162868.10000000003</v>
      </c>
      <c r="J52" s="12">
        <f t="shared" si="1"/>
        <v>81298.100000000006</v>
      </c>
      <c r="K52" t="s">
        <v>33</v>
      </c>
    </row>
    <row r="53" spans="2:11" x14ac:dyDescent="0.25">
      <c r="B53">
        <v>150</v>
      </c>
      <c r="C53" s="13">
        <v>2020</v>
      </c>
      <c r="D53" t="s">
        <v>26</v>
      </c>
      <c r="E53" t="s">
        <v>35</v>
      </c>
      <c r="F53" s="8">
        <v>199</v>
      </c>
      <c r="G53" s="6">
        <v>39</v>
      </c>
      <c r="H53" s="14">
        <v>236</v>
      </c>
      <c r="I53" s="12">
        <f t="shared" si="0"/>
        <v>46964</v>
      </c>
      <c r="J53" s="12">
        <f t="shared" si="1"/>
        <v>9204</v>
      </c>
      <c r="K53" t="s">
        <v>27</v>
      </c>
    </row>
    <row r="54" spans="2:11" x14ac:dyDescent="0.25">
      <c r="B54">
        <v>151</v>
      </c>
      <c r="C54" s="13">
        <v>2020</v>
      </c>
      <c r="D54" t="s">
        <v>28</v>
      </c>
      <c r="E54" t="s">
        <v>29</v>
      </c>
      <c r="F54" s="8">
        <v>1299</v>
      </c>
      <c r="G54" s="6">
        <v>459</v>
      </c>
      <c r="H54" s="14">
        <v>339.8</v>
      </c>
      <c r="I54" s="12">
        <f t="shared" si="0"/>
        <v>441400.2</v>
      </c>
      <c r="J54" s="12">
        <f t="shared" si="1"/>
        <v>155968.20000000001</v>
      </c>
      <c r="K54" t="s">
        <v>27</v>
      </c>
    </row>
    <row r="55" spans="2:11" x14ac:dyDescent="0.25">
      <c r="B55">
        <v>152</v>
      </c>
      <c r="C55" s="13">
        <v>2020</v>
      </c>
      <c r="D55" t="s">
        <v>28</v>
      </c>
      <c r="E55" t="s">
        <v>32</v>
      </c>
      <c r="F55" s="8">
        <v>599</v>
      </c>
      <c r="G55" s="6">
        <v>299</v>
      </c>
      <c r="H55" s="14">
        <v>403.6</v>
      </c>
      <c r="I55" s="12">
        <f t="shared" si="0"/>
        <v>241756.40000000002</v>
      </c>
      <c r="J55" s="12">
        <f t="shared" si="1"/>
        <v>120676.40000000001</v>
      </c>
      <c r="K55" t="s">
        <v>30</v>
      </c>
    </row>
    <row r="56" spans="2:11" x14ac:dyDescent="0.25">
      <c r="B56">
        <v>153</v>
      </c>
      <c r="C56" s="13">
        <v>2020</v>
      </c>
      <c r="D56" t="s">
        <v>31</v>
      </c>
      <c r="E56" t="s">
        <v>29</v>
      </c>
      <c r="F56" s="8">
        <v>1299</v>
      </c>
      <c r="G56" s="6">
        <v>459</v>
      </c>
      <c r="H56" s="14">
        <v>218.60000000000002</v>
      </c>
      <c r="I56" s="12">
        <f t="shared" si="0"/>
        <v>283961.40000000002</v>
      </c>
      <c r="J56" s="12">
        <f t="shared" si="1"/>
        <v>100337.40000000001</v>
      </c>
      <c r="K56" t="s">
        <v>30</v>
      </c>
    </row>
    <row r="57" spans="2:11" x14ac:dyDescent="0.25">
      <c r="B57">
        <v>154</v>
      </c>
      <c r="C57" s="13">
        <v>2020</v>
      </c>
      <c r="D57" t="s">
        <v>31</v>
      </c>
      <c r="E57" t="s">
        <v>29</v>
      </c>
      <c r="F57" s="8">
        <v>1299</v>
      </c>
      <c r="G57" s="6">
        <v>459</v>
      </c>
      <c r="H57" s="14">
        <v>462.20000000000005</v>
      </c>
      <c r="I57" s="12">
        <f t="shared" si="0"/>
        <v>600397.80000000005</v>
      </c>
      <c r="J57" s="12">
        <f t="shared" si="1"/>
        <v>212149.80000000002</v>
      </c>
      <c r="K57" t="s">
        <v>27</v>
      </c>
    </row>
    <row r="58" spans="2:11" x14ac:dyDescent="0.25">
      <c r="B58">
        <v>155</v>
      </c>
      <c r="C58" s="13">
        <v>2020</v>
      </c>
      <c r="D58" t="s">
        <v>26</v>
      </c>
      <c r="E58" t="s">
        <v>34</v>
      </c>
      <c r="F58" s="8">
        <v>449</v>
      </c>
      <c r="G58" s="6">
        <v>159</v>
      </c>
      <c r="H58" s="14">
        <v>210.9</v>
      </c>
      <c r="I58" s="12">
        <f t="shared" si="0"/>
        <v>94694.1</v>
      </c>
      <c r="J58" s="12">
        <f t="shared" si="1"/>
        <v>33533.1</v>
      </c>
      <c r="K58" t="s">
        <v>30</v>
      </c>
    </row>
    <row r="59" spans="2:11" x14ac:dyDescent="0.25">
      <c r="B59">
        <v>156</v>
      </c>
      <c r="C59" s="13">
        <v>2020</v>
      </c>
      <c r="D59" t="s">
        <v>28</v>
      </c>
      <c r="E59" t="s">
        <v>34</v>
      </c>
      <c r="F59" s="8">
        <v>449</v>
      </c>
      <c r="G59" s="6">
        <v>159</v>
      </c>
      <c r="H59" s="14">
        <v>453.40000000000003</v>
      </c>
      <c r="I59" s="12">
        <f t="shared" si="0"/>
        <v>203576.6</v>
      </c>
      <c r="J59" s="12">
        <f t="shared" si="1"/>
        <v>72090.600000000006</v>
      </c>
      <c r="K59" t="s">
        <v>27</v>
      </c>
    </row>
    <row r="60" spans="2:11" x14ac:dyDescent="0.25">
      <c r="B60">
        <v>157</v>
      </c>
      <c r="C60" s="13">
        <v>2020</v>
      </c>
      <c r="D60" t="s">
        <v>31</v>
      </c>
      <c r="E60" t="s">
        <v>35</v>
      </c>
      <c r="F60" s="8">
        <v>199</v>
      </c>
      <c r="G60" s="6">
        <v>39</v>
      </c>
      <c r="H60" s="14">
        <v>471.90000000000003</v>
      </c>
      <c r="I60" s="12">
        <f t="shared" si="0"/>
        <v>93908.1</v>
      </c>
      <c r="J60" s="12">
        <f t="shared" si="1"/>
        <v>18404.100000000002</v>
      </c>
      <c r="K60" t="s">
        <v>27</v>
      </c>
    </row>
    <row r="61" spans="2:11" x14ac:dyDescent="0.25">
      <c r="B61">
        <v>158</v>
      </c>
      <c r="C61" s="13">
        <v>2020</v>
      </c>
      <c r="D61" t="s">
        <v>28</v>
      </c>
      <c r="E61" t="s">
        <v>34</v>
      </c>
      <c r="F61" s="8">
        <v>449</v>
      </c>
      <c r="G61" s="6">
        <v>159</v>
      </c>
      <c r="H61" s="14">
        <v>128.30000000000001</v>
      </c>
      <c r="I61" s="12">
        <f t="shared" si="0"/>
        <v>57606.700000000004</v>
      </c>
      <c r="J61" s="12">
        <f t="shared" si="1"/>
        <v>20399.7</v>
      </c>
      <c r="K61" t="s">
        <v>27</v>
      </c>
    </row>
    <row r="62" spans="2:11" x14ac:dyDescent="0.25">
      <c r="B62">
        <v>159</v>
      </c>
      <c r="C62" s="13">
        <v>2020</v>
      </c>
      <c r="D62" t="s">
        <v>26</v>
      </c>
      <c r="E62" t="s">
        <v>32</v>
      </c>
      <c r="F62" s="8">
        <v>599</v>
      </c>
      <c r="G62" s="6">
        <v>299</v>
      </c>
      <c r="H62" s="14">
        <v>198.20000000000002</v>
      </c>
      <c r="I62" s="12">
        <f t="shared" si="0"/>
        <v>118721.80000000002</v>
      </c>
      <c r="J62" s="12">
        <f t="shared" si="1"/>
        <v>59261.8</v>
      </c>
      <c r="K62" t="s">
        <v>27</v>
      </c>
    </row>
    <row r="63" spans="2:11" x14ac:dyDescent="0.25">
      <c r="B63">
        <v>160</v>
      </c>
      <c r="C63" s="13">
        <v>2020</v>
      </c>
      <c r="D63" t="s">
        <v>28</v>
      </c>
      <c r="E63" t="s">
        <v>32</v>
      </c>
      <c r="F63" s="8">
        <v>599</v>
      </c>
      <c r="G63" s="6">
        <v>299</v>
      </c>
      <c r="H63" s="14">
        <v>300.3</v>
      </c>
      <c r="I63" s="12">
        <f t="shared" si="0"/>
        <v>179879.7</v>
      </c>
      <c r="J63" s="12">
        <f t="shared" si="1"/>
        <v>89789.7</v>
      </c>
      <c r="K63" t="s">
        <v>27</v>
      </c>
    </row>
    <row r="64" spans="2:11" x14ac:dyDescent="0.25">
      <c r="B64">
        <v>161</v>
      </c>
      <c r="C64" s="13">
        <v>2020</v>
      </c>
      <c r="D64" t="s">
        <v>31</v>
      </c>
      <c r="E64" t="s">
        <v>24</v>
      </c>
      <c r="F64">
        <v>1099</v>
      </c>
      <c r="G64" s="6">
        <v>289</v>
      </c>
      <c r="H64" s="14">
        <v>129.4</v>
      </c>
      <c r="I64" s="12">
        <f t="shared" si="0"/>
        <v>142210.6</v>
      </c>
      <c r="J64" s="12">
        <f t="shared" si="1"/>
        <v>37396.6</v>
      </c>
      <c r="K64" t="s">
        <v>27</v>
      </c>
    </row>
    <row r="65" spans="2:11" x14ac:dyDescent="0.25">
      <c r="B65">
        <v>162</v>
      </c>
      <c r="C65" s="13">
        <v>2020</v>
      </c>
      <c r="D65" t="s">
        <v>28</v>
      </c>
      <c r="E65" t="s">
        <v>24</v>
      </c>
      <c r="F65">
        <v>1099</v>
      </c>
      <c r="G65" s="6">
        <v>289</v>
      </c>
      <c r="H65" s="14">
        <v>341.70000000000005</v>
      </c>
      <c r="I65" s="12">
        <f t="shared" si="0"/>
        <v>375528.30000000005</v>
      </c>
      <c r="J65" s="12">
        <f t="shared" si="1"/>
        <v>98751.300000000017</v>
      </c>
      <c r="K65" t="s">
        <v>27</v>
      </c>
    </row>
    <row r="66" spans="2:11" x14ac:dyDescent="0.25">
      <c r="B66">
        <v>163</v>
      </c>
      <c r="C66" s="13">
        <v>2020</v>
      </c>
      <c r="D66" t="s">
        <v>26</v>
      </c>
      <c r="E66" t="s">
        <v>32</v>
      </c>
      <c r="F66" s="8">
        <v>599</v>
      </c>
      <c r="G66" s="6">
        <v>299</v>
      </c>
      <c r="H66" s="14">
        <v>155.60000000000002</v>
      </c>
      <c r="I66" s="12">
        <f t="shared" si="0"/>
        <v>93204.400000000009</v>
      </c>
      <c r="J66" s="12">
        <f t="shared" si="1"/>
        <v>46524.400000000009</v>
      </c>
      <c r="K66" s="9" t="s">
        <v>25</v>
      </c>
    </row>
    <row r="67" spans="2:11" x14ac:dyDescent="0.25">
      <c r="B67">
        <v>164</v>
      </c>
      <c r="C67" s="13">
        <v>2020</v>
      </c>
      <c r="D67" t="s">
        <v>28</v>
      </c>
      <c r="E67" t="s">
        <v>29</v>
      </c>
      <c r="F67" s="8">
        <v>1299</v>
      </c>
      <c r="G67" s="6">
        <v>459</v>
      </c>
      <c r="H67" s="14">
        <v>318.40000000000003</v>
      </c>
      <c r="I67" s="12">
        <f t="shared" si="0"/>
        <v>413601.60000000003</v>
      </c>
      <c r="J67" s="12">
        <f t="shared" si="1"/>
        <v>146145.60000000001</v>
      </c>
      <c r="K67" s="9" t="s">
        <v>25</v>
      </c>
    </row>
    <row r="68" spans="2:11" x14ac:dyDescent="0.25">
      <c r="B68">
        <v>165</v>
      </c>
      <c r="C68" s="13">
        <v>2020</v>
      </c>
      <c r="D68" t="s">
        <v>31</v>
      </c>
      <c r="E68" t="s">
        <v>35</v>
      </c>
      <c r="F68" s="8">
        <v>199</v>
      </c>
      <c r="G68" s="6">
        <v>39</v>
      </c>
      <c r="H68" s="14">
        <v>307.60000000000002</v>
      </c>
      <c r="I68" s="12">
        <f t="shared" si="0"/>
        <v>61212.4</v>
      </c>
      <c r="J68" s="12">
        <f t="shared" si="1"/>
        <v>11996.400000000001</v>
      </c>
      <c r="K68" s="9" t="s">
        <v>25</v>
      </c>
    </row>
    <row r="69" spans="2:11" x14ac:dyDescent="0.25">
      <c r="B69">
        <v>166</v>
      </c>
      <c r="C69" s="13">
        <v>2020</v>
      </c>
      <c r="D69" t="s">
        <v>28</v>
      </c>
      <c r="E69" t="s">
        <v>29</v>
      </c>
      <c r="F69" s="8">
        <v>1299</v>
      </c>
      <c r="G69" s="6">
        <v>459</v>
      </c>
      <c r="H69" s="14">
        <v>187.3</v>
      </c>
      <c r="I69" s="12">
        <f t="shared" ref="I69:I103" si="2">F69*H69</f>
        <v>243302.7</v>
      </c>
      <c r="J69" s="12">
        <f t="shared" ref="J69:J103" si="3">G69*H69</f>
        <v>85970.700000000012</v>
      </c>
      <c r="K69" s="9" t="s">
        <v>25</v>
      </c>
    </row>
    <row r="70" spans="2:11" x14ac:dyDescent="0.25">
      <c r="B70">
        <v>167</v>
      </c>
      <c r="C70" s="13">
        <v>2020</v>
      </c>
      <c r="D70" t="s">
        <v>26</v>
      </c>
      <c r="E70" t="s">
        <v>35</v>
      </c>
      <c r="F70" s="8">
        <v>199</v>
      </c>
      <c r="G70" s="6">
        <v>39</v>
      </c>
      <c r="H70" s="14">
        <v>157.4</v>
      </c>
      <c r="I70" s="12">
        <f t="shared" si="2"/>
        <v>31322.600000000002</v>
      </c>
      <c r="J70" s="12">
        <f t="shared" si="3"/>
        <v>6138.6</v>
      </c>
      <c r="K70" s="9" t="s">
        <v>25</v>
      </c>
    </row>
    <row r="71" spans="2:11" x14ac:dyDescent="0.25">
      <c r="B71">
        <v>168</v>
      </c>
      <c r="C71" s="13">
        <v>2021</v>
      </c>
      <c r="D71" t="s">
        <v>28</v>
      </c>
      <c r="E71" t="s">
        <v>34</v>
      </c>
      <c r="F71" s="8">
        <v>449</v>
      </c>
      <c r="G71" s="6">
        <v>159</v>
      </c>
      <c r="H71" s="14">
        <v>219.3</v>
      </c>
      <c r="I71" s="12">
        <f t="shared" si="2"/>
        <v>98465.700000000012</v>
      </c>
      <c r="J71" s="12">
        <f t="shared" si="3"/>
        <v>34868.700000000004</v>
      </c>
      <c r="K71" s="9" t="s">
        <v>25</v>
      </c>
    </row>
    <row r="72" spans="2:11" x14ac:dyDescent="0.25">
      <c r="B72">
        <v>169</v>
      </c>
      <c r="C72" s="13">
        <v>2021</v>
      </c>
      <c r="D72" t="s">
        <v>31</v>
      </c>
      <c r="E72" t="s">
        <v>35</v>
      </c>
      <c r="F72" s="8">
        <v>199</v>
      </c>
      <c r="G72" s="6">
        <v>39</v>
      </c>
      <c r="H72" s="14">
        <v>133</v>
      </c>
      <c r="I72" s="12">
        <f t="shared" si="2"/>
        <v>26467</v>
      </c>
      <c r="J72" s="12">
        <f t="shared" si="3"/>
        <v>5187</v>
      </c>
      <c r="K72" t="s">
        <v>30</v>
      </c>
    </row>
    <row r="73" spans="2:11" x14ac:dyDescent="0.25">
      <c r="B73">
        <v>170</v>
      </c>
      <c r="C73" s="13">
        <v>2021</v>
      </c>
      <c r="D73" t="s">
        <v>31</v>
      </c>
      <c r="E73" t="s">
        <v>29</v>
      </c>
      <c r="F73" s="8">
        <v>1299</v>
      </c>
      <c r="G73" s="6">
        <v>459</v>
      </c>
      <c r="H73" s="14">
        <v>357.6</v>
      </c>
      <c r="I73" s="12">
        <f t="shared" si="2"/>
        <v>464522.4</v>
      </c>
      <c r="J73" s="12">
        <f t="shared" si="3"/>
        <v>164138.40000000002</v>
      </c>
      <c r="K73" t="s">
        <v>30</v>
      </c>
    </row>
    <row r="74" spans="2:11" x14ac:dyDescent="0.25">
      <c r="B74">
        <v>171</v>
      </c>
      <c r="C74" s="13">
        <v>2021</v>
      </c>
      <c r="D74" t="s">
        <v>23</v>
      </c>
      <c r="E74" t="s">
        <v>35</v>
      </c>
      <c r="F74" s="8">
        <v>199</v>
      </c>
      <c r="G74" s="6">
        <v>39</v>
      </c>
      <c r="H74" s="14">
        <v>400.6</v>
      </c>
      <c r="I74" s="12">
        <f t="shared" si="2"/>
        <v>79719.400000000009</v>
      </c>
      <c r="J74" s="12">
        <f t="shared" si="3"/>
        <v>15623.400000000001</v>
      </c>
      <c r="K74" s="9" t="s">
        <v>25</v>
      </c>
    </row>
    <row r="75" spans="2:11" x14ac:dyDescent="0.25">
      <c r="B75">
        <v>172</v>
      </c>
      <c r="C75" s="13">
        <v>2021</v>
      </c>
      <c r="D75" t="s">
        <v>31</v>
      </c>
      <c r="E75" t="s">
        <v>35</v>
      </c>
      <c r="F75" s="8">
        <v>199</v>
      </c>
      <c r="G75" s="6">
        <v>39</v>
      </c>
      <c r="H75" s="14">
        <v>433.1</v>
      </c>
      <c r="I75" s="12">
        <f t="shared" si="2"/>
        <v>86186.900000000009</v>
      </c>
      <c r="J75" s="12">
        <f t="shared" si="3"/>
        <v>16890.900000000001</v>
      </c>
      <c r="K75" t="s">
        <v>27</v>
      </c>
    </row>
    <row r="76" spans="2:11" x14ac:dyDescent="0.25">
      <c r="B76">
        <v>173</v>
      </c>
      <c r="C76" s="13">
        <v>2021</v>
      </c>
      <c r="D76" t="s">
        <v>26</v>
      </c>
      <c r="E76" t="s">
        <v>24</v>
      </c>
      <c r="F76">
        <v>1099</v>
      </c>
      <c r="G76" s="6">
        <v>289</v>
      </c>
      <c r="H76" s="14">
        <v>205.9</v>
      </c>
      <c r="I76" s="12">
        <f t="shared" si="2"/>
        <v>226284.1</v>
      </c>
      <c r="J76" s="12">
        <f t="shared" si="3"/>
        <v>59505.1</v>
      </c>
      <c r="K76" t="s">
        <v>27</v>
      </c>
    </row>
    <row r="77" spans="2:11" x14ac:dyDescent="0.25">
      <c r="B77">
        <v>174</v>
      </c>
      <c r="C77" s="13">
        <v>2021</v>
      </c>
      <c r="D77" t="s">
        <v>26</v>
      </c>
      <c r="E77" t="s">
        <v>35</v>
      </c>
      <c r="F77" s="8">
        <v>199</v>
      </c>
      <c r="G77" s="6">
        <v>39</v>
      </c>
      <c r="H77" s="14">
        <v>436</v>
      </c>
      <c r="I77" s="12">
        <f t="shared" si="2"/>
        <v>86764</v>
      </c>
      <c r="J77" s="12">
        <f t="shared" si="3"/>
        <v>17004</v>
      </c>
      <c r="K77" t="s">
        <v>27</v>
      </c>
    </row>
    <row r="78" spans="2:11" x14ac:dyDescent="0.25">
      <c r="B78">
        <v>175</v>
      </c>
      <c r="C78" s="13">
        <v>2021</v>
      </c>
      <c r="D78" t="s">
        <v>23</v>
      </c>
      <c r="E78" t="s">
        <v>32</v>
      </c>
      <c r="F78" s="8">
        <v>599</v>
      </c>
      <c r="G78" s="6">
        <v>299</v>
      </c>
      <c r="H78" s="14">
        <v>114.7</v>
      </c>
      <c r="I78" s="12">
        <f t="shared" si="2"/>
        <v>68705.3</v>
      </c>
      <c r="J78" s="12">
        <f t="shared" si="3"/>
        <v>34295.300000000003</v>
      </c>
      <c r="K78" t="s">
        <v>27</v>
      </c>
    </row>
    <row r="79" spans="2:11" x14ac:dyDescent="0.25">
      <c r="B79">
        <v>176</v>
      </c>
      <c r="C79" s="13">
        <v>2021</v>
      </c>
      <c r="D79" t="s">
        <v>23</v>
      </c>
      <c r="E79" t="s">
        <v>24</v>
      </c>
      <c r="F79">
        <v>1099</v>
      </c>
      <c r="G79" s="6">
        <v>289</v>
      </c>
      <c r="H79" s="14">
        <v>213.8</v>
      </c>
      <c r="I79" s="12">
        <f t="shared" si="2"/>
        <v>234966.2</v>
      </c>
      <c r="J79" s="12">
        <f t="shared" si="3"/>
        <v>61788.200000000004</v>
      </c>
      <c r="K79" t="s">
        <v>27</v>
      </c>
    </row>
    <row r="80" spans="2:11" x14ac:dyDescent="0.25">
      <c r="B80">
        <v>177</v>
      </c>
      <c r="C80" s="13">
        <v>2021</v>
      </c>
      <c r="D80" t="s">
        <v>23</v>
      </c>
      <c r="E80" t="s">
        <v>29</v>
      </c>
      <c r="F80" s="8">
        <v>1299</v>
      </c>
      <c r="G80" s="6">
        <v>459</v>
      </c>
      <c r="H80" s="14">
        <v>124</v>
      </c>
      <c r="I80" s="12">
        <f t="shared" si="2"/>
        <v>161076</v>
      </c>
      <c r="J80" s="12">
        <f t="shared" si="3"/>
        <v>56916</v>
      </c>
      <c r="K80" t="s">
        <v>27</v>
      </c>
    </row>
    <row r="81" spans="2:11" x14ac:dyDescent="0.25">
      <c r="B81">
        <v>178</v>
      </c>
      <c r="C81" s="13">
        <v>2021</v>
      </c>
      <c r="D81" t="s">
        <v>26</v>
      </c>
      <c r="E81" t="s">
        <v>35</v>
      </c>
      <c r="F81" s="8">
        <v>199</v>
      </c>
      <c r="G81" s="6">
        <v>39</v>
      </c>
      <c r="H81" s="14">
        <v>285.10000000000002</v>
      </c>
      <c r="I81" s="12">
        <f t="shared" si="2"/>
        <v>56734.9</v>
      </c>
      <c r="J81" s="12">
        <f t="shared" si="3"/>
        <v>11118.900000000001</v>
      </c>
      <c r="K81" t="s">
        <v>27</v>
      </c>
    </row>
    <row r="82" spans="2:11" x14ac:dyDescent="0.25">
      <c r="B82">
        <v>179</v>
      </c>
      <c r="C82" s="13">
        <v>2021</v>
      </c>
      <c r="D82" t="s">
        <v>31</v>
      </c>
      <c r="E82" t="s">
        <v>35</v>
      </c>
      <c r="F82" s="8">
        <v>199</v>
      </c>
      <c r="G82" s="6">
        <v>39</v>
      </c>
      <c r="H82" s="14">
        <v>228.9</v>
      </c>
      <c r="I82" s="12">
        <f t="shared" si="2"/>
        <v>45551.1</v>
      </c>
      <c r="J82" s="12">
        <f t="shared" si="3"/>
        <v>8927.1</v>
      </c>
      <c r="K82" t="s">
        <v>27</v>
      </c>
    </row>
    <row r="83" spans="2:11" x14ac:dyDescent="0.25">
      <c r="B83">
        <v>180</v>
      </c>
      <c r="C83" s="13">
        <v>2021</v>
      </c>
      <c r="D83" t="s">
        <v>26</v>
      </c>
      <c r="E83" t="s">
        <v>35</v>
      </c>
      <c r="F83" s="8">
        <v>199</v>
      </c>
      <c r="G83" s="6">
        <v>39</v>
      </c>
      <c r="H83" s="14">
        <v>361</v>
      </c>
      <c r="I83" s="12">
        <f t="shared" si="2"/>
        <v>71839</v>
      </c>
      <c r="J83" s="12">
        <f t="shared" si="3"/>
        <v>14079</v>
      </c>
      <c r="K83" t="s">
        <v>27</v>
      </c>
    </row>
    <row r="84" spans="2:11" x14ac:dyDescent="0.25">
      <c r="B84">
        <v>181</v>
      </c>
      <c r="C84" s="13">
        <v>2021</v>
      </c>
      <c r="D84" t="s">
        <v>26</v>
      </c>
      <c r="E84" t="s">
        <v>24</v>
      </c>
      <c r="F84">
        <v>1099</v>
      </c>
      <c r="G84" s="6">
        <v>289</v>
      </c>
      <c r="H84" s="14">
        <v>425.70000000000005</v>
      </c>
      <c r="I84" s="12">
        <f t="shared" si="2"/>
        <v>467844.30000000005</v>
      </c>
      <c r="J84" s="12">
        <f t="shared" si="3"/>
        <v>123027.30000000002</v>
      </c>
      <c r="K84" s="9" t="s">
        <v>25</v>
      </c>
    </row>
    <row r="85" spans="2:11" x14ac:dyDescent="0.25">
      <c r="B85">
        <v>182</v>
      </c>
      <c r="C85" s="13">
        <v>2021</v>
      </c>
      <c r="D85" t="s">
        <v>26</v>
      </c>
      <c r="E85" t="s">
        <v>35</v>
      </c>
      <c r="F85" s="8">
        <v>199</v>
      </c>
      <c r="G85" s="6">
        <v>39</v>
      </c>
      <c r="H85" s="14">
        <v>233.3</v>
      </c>
      <c r="I85" s="12">
        <f t="shared" si="2"/>
        <v>46426.700000000004</v>
      </c>
      <c r="J85" s="12">
        <f t="shared" si="3"/>
        <v>9098.7000000000007</v>
      </c>
      <c r="K85" t="s">
        <v>27</v>
      </c>
    </row>
    <row r="86" spans="2:11" x14ac:dyDescent="0.25">
      <c r="B86">
        <v>183</v>
      </c>
      <c r="C86" s="13">
        <v>2021</v>
      </c>
      <c r="D86" t="s">
        <v>31</v>
      </c>
      <c r="E86" t="s">
        <v>32</v>
      </c>
      <c r="F86" s="8">
        <v>599</v>
      </c>
      <c r="G86" s="6">
        <v>299</v>
      </c>
      <c r="H86" s="14">
        <v>381.20000000000005</v>
      </c>
      <c r="I86" s="12">
        <f t="shared" si="2"/>
        <v>228338.80000000002</v>
      </c>
      <c r="J86" s="12">
        <f t="shared" si="3"/>
        <v>113978.80000000002</v>
      </c>
      <c r="K86" s="9" t="s">
        <v>25</v>
      </c>
    </row>
    <row r="87" spans="2:11" x14ac:dyDescent="0.25">
      <c r="B87">
        <v>184</v>
      </c>
      <c r="C87" s="13">
        <v>2021</v>
      </c>
      <c r="D87" s="9" t="s">
        <v>28</v>
      </c>
      <c r="E87" t="s">
        <v>29</v>
      </c>
      <c r="F87" s="8">
        <v>1299</v>
      </c>
      <c r="G87" s="6">
        <v>459</v>
      </c>
      <c r="H87" s="14">
        <v>415.3</v>
      </c>
      <c r="I87" s="12">
        <f t="shared" si="2"/>
        <v>539474.70000000007</v>
      </c>
      <c r="J87" s="12">
        <f t="shared" si="3"/>
        <v>190622.7</v>
      </c>
      <c r="K87" t="s">
        <v>27</v>
      </c>
    </row>
    <row r="88" spans="2:11" x14ac:dyDescent="0.25">
      <c r="B88">
        <v>185</v>
      </c>
      <c r="C88" s="13">
        <v>2021</v>
      </c>
      <c r="D88" s="9" t="s">
        <v>28</v>
      </c>
      <c r="E88" t="s">
        <v>24</v>
      </c>
      <c r="F88">
        <v>1099</v>
      </c>
      <c r="G88" s="6">
        <v>289</v>
      </c>
      <c r="H88" s="14">
        <v>250.4</v>
      </c>
      <c r="I88" s="12">
        <f t="shared" si="2"/>
        <v>275189.60000000003</v>
      </c>
      <c r="J88" s="12">
        <f t="shared" si="3"/>
        <v>72365.600000000006</v>
      </c>
      <c r="K88" t="s">
        <v>30</v>
      </c>
    </row>
    <row r="89" spans="2:11" x14ac:dyDescent="0.25">
      <c r="B89">
        <v>186</v>
      </c>
      <c r="C89" s="13">
        <v>2021</v>
      </c>
      <c r="D89" s="9" t="s">
        <v>28</v>
      </c>
      <c r="E89" t="s">
        <v>34</v>
      </c>
      <c r="F89" s="8">
        <v>449</v>
      </c>
      <c r="G89" s="6">
        <v>159</v>
      </c>
      <c r="H89" s="14">
        <v>280.10000000000002</v>
      </c>
      <c r="I89" s="12">
        <f t="shared" si="2"/>
        <v>125764.90000000001</v>
      </c>
      <c r="J89" s="12">
        <f t="shared" si="3"/>
        <v>44535.9</v>
      </c>
      <c r="K89" t="s">
        <v>33</v>
      </c>
    </row>
    <row r="90" spans="2:11" x14ac:dyDescent="0.25">
      <c r="B90">
        <v>187</v>
      </c>
      <c r="C90" s="13">
        <v>2021</v>
      </c>
      <c r="D90" s="9" t="s">
        <v>28</v>
      </c>
      <c r="E90" t="s">
        <v>35</v>
      </c>
      <c r="F90" s="8">
        <v>199</v>
      </c>
      <c r="G90" s="6">
        <v>39</v>
      </c>
      <c r="H90" s="14">
        <v>214.9</v>
      </c>
      <c r="I90" s="12">
        <f t="shared" si="2"/>
        <v>42765.1</v>
      </c>
      <c r="J90" s="12">
        <f t="shared" si="3"/>
        <v>8381.1</v>
      </c>
      <c r="K90" t="s">
        <v>27</v>
      </c>
    </row>
    <row r="91" spans="2:11" x14ac:dyDescent="0.25">
      <c r="B91">
        <v>188</v>
      </c>
      <c r="C91" s="13">
        <v>2021</v>
      </c>
      <c r="D91" s="9" t="s">
        <v>28</v>
      </c>
      <c r="E91" t="s">
        <v>32</v>
      </c>
      <c r="F91" s="8">
        <v>599</v>
      </c>
      <c r="G91" s="6">
        <v>299</v>
      </c>
      <c r="H91" s="14">
        <v>319.20000000000005</v>
      </c>
      <c r="I91" s="12">
        <f t="shared" si="2"/>
        <v>191200.80000000002</v>
      </c>
      <c r="J91" s="12">
        <f t="shared" si="3"/>
        <v>95440.800000000017</v>
      </c>
      <c r="K91" t="s">
        <v>27</v>
      </c>
    </row>
    <row r="92" spans="2:11" x14ac:dyDescent="0.25">
      <c r="B92">
        <v>189</v>
      </c>
      <c r="C92" s="13">
        <v>2021</v>
      </c>
      <c r="D92" t="s">
        <v>26</v>
      </c>
      <c r="E92" t="s">
        <v>29</v>
      </c>
      <c r="F92" s="8">
        <v>1299</v>
      </c>
      <c r="G92" s="6">
        <v>459</v>
      </c>
      <c r="H92" s="14">
        <v>209.9</v>
      </c>
      <c r="I92" s="12">
        <f t="shared" si="2"/>
        <v>272660.10000000003</v>
      </c>
      <c r="J92" s="12">
        <f t="shared" si="3"/>
        <v>96344.1</v>
      </c>
      <c r="K92" t="s">
        <v>33</v>
      </c>
    </row>
    <row r="93" spans="2:11" x14ac:dyDescent="0.25">
      <c r="B93">
        <v>190</v>
      </c>
      <c r="C93" s="13">
        <v>2021</v>
      </c>
      <c r="D93" s="9" t="s">
        <v>23</v>
      </c>
      <c r="E93" t="s">
        <v>24</v>
      </c>
      <c r="F93">
        <v>1099</v>
      </c>
      <c r="G93" s="6">
        <v>289</v>
      </c>
      <c r="H93" s="14">
        <v>197.9</v>
      </c>
      <c r="I93" s="12">
        <f t="shared" si="2"/>
        <v>217492.1</v>
      </c>
      <c r="J93" s="12">
        <f t="shared" si="3"/>
        <v>57193.1</v>
      </c>
      <c r="K93" t="s">
        <v>27</v>
      </c>
    </row>
    <row r="94" spans="2:11" x14ac:dyDescent="0.25">
      <c r="B94">
        <v>191</v>
      </c>
      <c r="C94" s="13">
        <v>2021</v>
      </c>
      <c r="D94" t="s">
        <v>31</v>
      </c>
      <c r="E94" t="s">
        <v>24</v>
      </c>
      <c r="F94">
        <v>1099</v>
      </c>
      <c r="G94" s="6">
        <v>289</v>
      </c>
      <c r="H94" s="14">
        <v>122.2</v>
      </c>
      <c r="I94" s="12">
        <f t="shared" si="2"/>
        <v>134297.80000000002</v>
      </c>
      <c r="J94" s="12">
        <f t="shared" si="3"/>
        <v>35315.800000000003</v>
      </c>
      <c r="K94" t="s">
        <v>27</v>
      </c>
    </row>
    <row r="95" spans="2:11" x14ac:dyDescent="0.25">
      <c r="B95">
        <v>192</v>
      </c>
      <c r="C95" s="13">
        <v>2021</v>
      </c>
      <c r="D95" t="s">
        <v>31</v>
      </c>
      <c r="E95" t="s">
        <v>35</v>
      </c>
      <c r="F95" s="8">
        <v>199</v>
      </c>
      <c r="G95" s="6">
        <v>39</v>
      </c>
      <c r="H95" s="14">
        <v>379.3</v>
      </c>
      <c r="I95" s="12">
        <f t="shared" si="2"/>
        <v>75480.7</v>
      </c>
      <c r="J95" s="12">
        <f t="shared" si="3"/>
        <v>14792.7</v>
      </c>
      <c r="K95" t="s">
        <v>27</v>
      </c>
    </row>
    <row r="96" spans="2:11" x14ac:dyDescent="0.25">
      <c r="B96">
        <v>193</v>
      </c>
      <c r="C96" s="13">
        <v>2021</v>
      </c>
      <c r="D96" t="s">
        <v>31</v>
      </c>
      <c r="E96" t="s">
        <v>34</v>
      </c>
      <c r="F96" s="8">
        <v>449</v>
      </c>
      <c r="G96" s="6">
        <v>159</v>
      </c>
      <c r="H96" s="14">
        <v>120.80000000000001</v>
      </c>
      <c r="I96" s="12">
        <f t="shared" si="2"/>
        <v>54239.200000000004</v>
      </c>
      <c r="J96" s="12">
        <f t="shared" si="3"/>
        <v>19207.2</v>
      </c>
      <c r="K96" t="s">
        <v>33</v>
      </c>
    </row>
    <row r="97" spans="2:11" x14ac:dyDescent="0.25">
      <c r="B97">
        <v>194</v>
      </c>
      <c r="C97" s="13">
        <v>2021</v>
      </c>
      <c r="D97" t="s">
        <v>26</v>
      </c>
      <c r="E97" t="s">
        <v>34</v>
      </c>
      <c r="F97" s="8">
        <v>449</v>
      </c>
      <c r="G97" s="6">
        <v>159</v>
      </c>
      <c r="H97" s="14">
        <v>454.3</v>
      </c>
      <c r="I97" s="12">
        <f t="shared" si="2"/>
        <v>203980.7</v>
      </c>
      <c r="J97" s="12">
        <f t="shared" si="3"/>
        <v>72233.7</v>
      </c>
      <c r="K97" t="s">
        <v>27</v>
      </c>
    </row>
    <row r="98" spans="2:11" x14ac:dyDescent="0.25">
      <c r="B98">
        <v>195</v>
      </c>
      <c r="C98" s="13">
        <v>2021</v>
      </c>
      <c r="D98" t="s">
        <v>23</v>
      </c>
      <c r="E98" t="s">
        <v>35</v>
      </c>
      <c r="F98" s="8">
        <v>199</v>
      </c>
      <c r="G98" s="6">
        <v>39</v>
      </c>
      <c r="H98" s="14">
        <v>245.8</v>
      </c>
      <c r="I98" s="12">
        <f t="shared" si="2"/>
        <v>48914.200000000004</v>
      </c>
      <c r="J98" s="12">
        <f t="shared" si="3"/>
        <v>9586.2000000000007</v>
      </c>
      <c r="K98" t="s">
        <v>33</v>
      </c>
    </row>
    <row r="99" spans="2:11" x14ac:dyDescent="0.25">
      <c r="B99">
        <v>196</v>
      </c>
      <c r="C99" s="13">
        <v>2021</v>
      </c>
      <c r="D99" t="s">
        <v>31</v>
      </c>
      <c r="E99" t="s">
        <v>35</v>
      </c>
      <c r="F99" s="8">
        <v>199</v>
      </c>
      <c r="G99" s="6">
        <v>39</v>
      </c>
      <c r="H99" s="14">
        <v>285.5</v>
      </c>
      <c r="I99" s="12">
        <f t="shared" si="2"/>
        <v>56814.5</v>
      </c>
      <c r="J99" s="12">
        <f t="shared" si="3"/>
        <v>11134.5</v>
      </c>
      <c r="K99" t="s">
        <v>33</v>
      </c>
    </row>
    <row r="100" spans="2:11" x14ac:dyDescent="0.25">
      <c r="B100">
        <v>197</v>
      </c>
      <c r="C100" s="13">
        <v>2021</v>
      </c>
      <c r="D100" t="s">
        <v>23</v>
      </c>
      <c r="E100" t="s">
        <v>35</v>
      </c>
      <c r="F100" s="8">
        <v>199</v>
      </c>
      <c r="G100" s="6">
        <v>39</v>
      </c>
      <c r="H100" s="14">
        <v>242.10000000000002</v>
      </c>
      <c r="I100" s="12">
        <f t="shared" si="2"/>
        <v>48177.9</v>
      </c>
      <c r="J100" s="12">
        <f t="shared" si="3"/>
        <v>9441.9000000000015</v>
      </c>
      <c r="K100" t="s">
        <v>33</v>
      </c>
    </row>
    <row r="101" spans="2:11" x14ac:dyDescent="0.25">
      <c r="B101">
        <v>198</v>
      </c>
      <c r="C101" s="13">
        <v>2021</v>
      </c>
      <c r="D101" t="s">
        <v>23</v>
      </c>
      <c r="E101" t="s">
        <v>32</v>
      </c>
      <c r="F101" s="8">
        <v>599</v>
      </c>
      <c r="G101" s="6">
        <v>299</v>
      </c>
      <c r="H101" s="14">
        <v>133.9</v>
      </c>
      <c r="I101" s="12">
        <f t="shared" si="2"/>
        <v>80206.100000000006</v>
      </c>
      <c r="J101" s="12">
        <f t="shared" si="3"/>
        <v>40036.1</v>
      </c>
      <c r="K101" s="9" t="s">
        <v>30</v>
      </c>
    </row>
    <row r="102" spans="2:11" x14ac:dyDescent="0.25">
      <c r="B102">
        <v>199</v>
      </c>
      <c r="C102" s="13">
        <v>2021</v>
      </c>
      <c r="D102" t="s">
        <v>23</v>
      </c>
      <c r="E102" t="s">
        <v>32</v>
      </c>
      <c r="F102" s="8">
        <v>599</v>
      </c>
      <c r="G102" s="6">
        <v>299</v>
      </c>
      <c r="H102" s="14">
        <v>288.60000000000002</v>
      </c>
      <c r="I102" s="12">
        <f t="shared" si="2"/>
        <v>172871.40000000002</v>
      </c>
      <c r="J102" s="12">
        <f t="shared" si="3"/>
        <v>86291.400000000009</v>
      </c>
      <c r="K102" s="9" t="s">
        <v>30</v>
      </c>
    </row>
    <row r="103" spans="2:11" x14ac:dyDescent="0.25">
      <c r="B103">
        <v>200</v>
      </c>
      <c r="C103" s="13">
        <v>2021</v>
      </c>
      <c r="D103" t="s">
        <v>23</v>
      </c>
      <c r="E103" t="s">
        <v>35</v>
      </c>
      <c r="F103" s="8">
        <v>199</v>
      </c>
      <c r="G103" s="6">
        <v>39</v>
      </c>
      <c r="H103" s="14">
        <v>200.10000000000002</v>
      </c>
      <c r="I103" s="12">
        <f t="shared" si="2"/>
        <v>39819.9</v>
      </c>
      <c r="J103" s="12">
        <f t="shared" si="3"/>
        <v>7803.9000000000005</v>
      </c>
      <c r="K103" t="s">
        <v>33</v>
      </c>
    </row>
    <row r="107" spans="2:11" ht="20.25" x14ac:dyDescent="0.3">
      <c r="C107" s="11"/>
    </row>
    <row r="108" spans="2:11" ht="20.25" x14ac:dyDescent="0.3">
      <c r="C108" s="11"/>
    </row>
    <row r="109" spans="2:11" ht="20.25" x14ac:dyDescent="0.3">
      <c r="C109" s="11"/>
    </row>
    <row r="110" spans="2:11" ht="20.25" x14ac:dyDescent="0.3">
      <c r="C110" s="11"/>
    </row>
    <row r="111" spans="2:11" ht="20.25" x14ac:dyDescent="0.3">
      <c r="C111" s="11"/>
    </row>
    <row r="112" spans="2:11" ht="20.25" x14ac:dyDescent="0.3">
      <c r="C112" s="11"/>
    </row>
    <row r="113" spans="3:3" ht="20.25" x14ac:dyDescent="0.3">
      <c r="C113" s="11"/>
    </row>
    <row r="114" spans="3:3" ht="20.25" x14ac:dyDescent="0.3">
      <c r="C114" s="11"/>
    </row>
    <row r="115" spans="3:3" ht="20.25" x14ac:dyDescent="0.3">
      <c r="C115" s="11"/>
    </row>
    <row r="116" spans="3:3" ht="20.25" x14ac:dyDescent="0.3">
      <c r="C116" s="11"/>
    </row>
    <row r="117" spans="3:3" ht="20.25" x14ac:dyDescent="0.3">
      <c r="C117" s="11"/>
    </row>
    <row r="118" spans="3:3" ht="20.25" x14ac:dyDescent="0.3">
      <c r="C118" s="11"/>
    </row>
    <row r="119" spans="3:3" ht="20.25" x14ac:dyDescent="0.3">
      <c r="C119" s="11"/>
    </row>
    <row r="120" spans="3:3" ht="20.25" x14ac:dyDescent="0.3">
      <c r="C120" s="11"/>
    </row>
    <row r="121" spans="3:3" ht="20.25" x14ac:dyDescent="0.3">
      <c r="C121" s="11"/>
    </row>
    <row r="122" spans="3:3" ht="20.25" x14ac:dyDescent="0.3">
      <c r="C122" s="11"/>
    </row>
    <row r="123" spans="3:3" ht="20.25" x14ac:dyDescent="0.3">
      <c r="C123" s="11"/>
    </row>
    <row r="124" spans="3:3" ht="20.25" x14ac:dyDescent="0.3">
      <c r="C124" s="11"/>
    </row>
    <row r="125" spans="3:3" ht="20.25" x14ac:dyDescent="0.3">
      <c r="C125" s="11"/>
    </row>
    <row r="126" spans="3:3" ht="20.25" x14ac:dyDescent="0.3">
      <c r="C126" s="11"/>
    </row>
    <row r="127" spans="3:3" ht="20.25" x14ac:dyDescent="0.3">
      <c r="C127" s="11"/>
    </row>
    <row r="128" spans="3:3" ht="20.25" x14ac:dyDescent="0.3">
      <c r="C128" s="11"/>
    </row>
    <row r="129" spans="3:3" ht="20.25" x14ac:dyDescent="0.3">
      <c r="C129" s="11"/>
    </row>
    <row r="130" spans="3:3" ht="20.25" x14ac:dyDescent="0.3">
      <c r="C130" s="11"/>
    </row>
    <row r="131" spans="3:3" ht="20.25" x14ac:dyDescent="0.3">
      <c r="C131" s="11"/>
    </row>
    <row r="132" spans="3:3" ht="20.25" x14ac:dyDescent="0.3">
      <c r="C132" s="11"/>
    </row>
    <row r="133" spans="3:3" ht="20.25" x14ac:dyDescent="0.3">
      <c r="C133" s="11"/>
    </row>
    <row r="134" spans="3:3" ht="20.25" x14ac:dyDescent="0.3">
      <c r="C134" s="11"/>
    </row>
    <row r="135" spans="3:3" ht="20.25" x14ac:dyDescent="0.3">
      <c r="C135" s="11"/>
    </row>
    <row r="136" spans="3:3" ht="20.25" x14ac:dyDescent="0.3">
      <c r="C136" s="11"/>
    </row>
    <row r="137" spans="3:3" ht="20.25" x14ac:dyDescent="0.3">
      <c r="C137" s="11"/>
    </row>
    <row r="138" spans="3:3" ht="20.25" x14ac:dyDescent="0.3">
      <c r="C138" s="11"/>
    </row>
    <row r="139" spans="3:3" ht="20.25" x14ac:dyDescent="0.3">
      <c r="C139" s="11"/>
    </row>
    <row r="140" spans="3:3" ht="20.25" x14ac:dyDescent="0.3">
      <c r="C140" s="11"/>
    </row>
    <row r="141" spans="3:3" ht="20.25" x14ac:dyDescent="0.3">
      <c r="C141" s="11"/>
    </row>
    <row r="142" spans="3:3" ht="20.25" x14ac:dyDescent="0.3">
      <c r="C142" s="11"/>
    </row>
    <row r="143" spans="3:3" ht="20.25" x14ac:dyDescent="0.3">
      <c r="C143" s="11"/>
    </row>
    <row r="144" spans="3:3" ht="20.25" x14ac:dyDescent="0.3">
      <c r="C144" s="11"/>
    </row>
    <row r="145" spans="3:3" ht="20.25" x14ac:dyDescent="0.3">
      <c r="C145" s="11"/>
    </row>
    <row r="146" spans="3:3" ht="20.25" x14ac:dyDescent="0.3">
      <c r="C146" s="11"/>
    </row>
    <row r="147" spans="3:3" ht="20.25" x14ac:dyDescent="0.3">
      <c r="C147" s="11"/>
    </row>
    <row r="148" spans="3:3" ht="20.25" x14ac:dyDescent="0.3">
      <c r="C148" s="11"/>
    </row>
    <row r="149" spans="3:3" ht="20.25" x14ac:dyDescent="0.3">
      <c r="C149" s="11"/>
    </row>
    <row r="150" spans="3:3" ht="20.25" x14ac:dyDescent="0.3">
      <c r="C150" s="11"/>
    </row>
    <row r="151" spans="3:3" ht="20.25" x14ac:dyDescent="0.3">
      <c r="C151" s="11"/>
    </row>
    <row r="152" spans="3:3" ht="20.25" x14ac:dyDescent="0.3">
      <c r="C152" s="11"/>
    </row>
    <row r="153" spans="3:3" ht="20.25" x14ac:dyDescent="0.3">
      <c r="C153" s="11"/>
    </row>
    <row r="154" spans="3:3" ht="20.25" x14ac:dyDescent="0.3">
      <c r="C154" s="11"/>
    </row>
    <row r="155" spans="3:3" ht="20.25" x14ac:dyDescent="0.3">
      <c r="C155" s="11"/>
    </row>
    <row r="156" spans="3:3" ht="20.25" x14ac:dyDescent="0.3">
      <c r="C156" s="11"/>
    </row>
    <row r="157" spans="3:3" ht="20.25" x14ac:dyDescent="0.3">
      <c r="C157" s="11"/>
    </row>
    <row r="158" spans="3:3" ht="20.25" x14ac:dyDescent="0.3">
      <c r="C158" s="11"/>
    </row>
    <row r="159" spans="3:3" ht="20.25" x14ac:dyDescent="0.3">
      <c r="C159" s="11"/>
    </row>
    <row r="160" spans="3:3" ht="20.25" x14ac:dyDescent="0.3">
      <c r="C160" s="11"/>
    </row>
    <row r="161" spans="3:3" ht="20.25" x14ac:dyDescent="0.3">
      <c r="C161" s="11"/>
    </row>
    <row r="162" spans="3:3" ht="20.25" x14ac:dyDescent="0.3">
      <c r="C162" s="11"/>
    </row>
    <row r="163" spans="3:3" ht="20.25" x14ac:dyDescent="0.3">
      <c r="C163" s="11"/>
    </row>
    <row r="164" spans="3:3" ht="20.25" x14ac:dyDescent="0.3">
      <c r="C164" s="11"/>
    </row>
    <row r="165" spans="3:3" ht="20.25" x14ac:dyDescent="0.3">
      <c r="C165" s="11"/>
    </row>
    <row r="166" spans="3:3" ht="20.25" x14ac:dyDescent="0.3">
      <c r="C166" s="11"/>
    </row>
    <row r="167" spans="3:3" ht="20.25" x14ac:dyDescent="0.3">
      <c r="C167" s="11"/>
    </row>
    <row r="168" spans="3:3" ht="20.25" x14ac:dyDescent="0.3">
      <c r="C168" s="11"/>
    </row>
    <row r="169" spans="3:3" ht="20.25" x14ac:dyDescent="0.3">
      <c r="C169" s="11"/>
    </row>
    <row r="170" spans="3:3" ht="20.25" x14ac:dyDescent="0.3">
      <c r="C170" s="11"/>
    </row>
    <row r="171" spans="3:3" ht="20.25" x14ac:dyDescent="0.3">
      <c r="C171" s="11"/>
    </row>
    <row r="172" spans="3:3" ht="20.25" x14ac:dyDescent="0.3">
      <c r="C172" s="11"/>
    </row>
    <row r="173" spans="3:3" ht="20.25" x14ac:dyDescent="0.3">
      <c r="C173" s="11"/>
    </row>
    <row r="174" spans="3:3" ht="20.25" x14ac:dyDescent="0.3">
      <c r="C174" s="11"/>
    </row>
    <row r="175" spans="3:3" ht="20.25" x14ac:dyDescent="0.3">
      <c r="C175" s="11"/>
    </row>
    <row r="176" spans="3:3" ht="20.25" x14ac:dyDescent="0.3">
      <c r="C176" s="11"/>
    </row>
  </sheetData>
  <mergeCells count="1">
    <mergeCell ref="B2:K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A47A2-BD7E-473C-B1A5-99E5D69411A2}">
  <dimension ref="A3:D8"/>
  <sheetViews>
    <sheetView workbookViewId="0">
      <selection activeCell="E12" sqref="E12"/>
    </sheetView>
  </sheetViews>
  <sheetFormatPr defaultRowHeight="15.75" x14ac:dyDescent="0.25"/>
  <cols>
    <col min="1" max="1" width="12.5" bestFit="1" customWidth="1"/>
    <col min="2" max="2" width="10.875" bestFit="1" customWidth="1"/>
    <col min="3" max="3" width="9.875" bestFit="1" customWidth="1"/>
    <col min="4" max="4" width="11.625" bestFit="1" customWidth="1"/>
  </cols>
  <sheetData>
    <row r="3" spans="1:4" x14ac:dyDescent="0.25">
      <c r="A3" s="15" t="s">
        <v>53</v>
      </c>
      <c r="B3" t="s">
        <v>55</v>
      </c>
      <c r="C3" t="s">
        <v>56</v>
      </c>
      <c r="D3" t="s">
        <v>57</v>
      </c>
    </row>
    <row r="4" spans="1:4" x14ac:dyDescent="0.25">
      <c r="A4" s="16" t="s">
        <v>28</v>
      </c>
      <c r="B4" s="18">
        <v>7993215.2999999998</v>
      </c>
      <c r="C4" s="18">
        <v>2778382.3000000007</v>
      </c>
      <c r="D4" s="18">
        <v>5214832.9999999991</v>
      </c>
    </row>
    <row r="5" spans="1:4" x14ac:dyDescent="0.25">
      <c r="A5" s="16" t="s">
        <v>23</v>
      </c>
      <c r="B5" s="18">
        <v>2431805.2000000002</v>
      </c>
      <c r="C5" s="18">
        <v>751190.2</v>
      </c>
      <c r="D5" s="18">
        <v>1680615.0000000002</v>
      </c>
    </row>
    <row r="6" spans="1:4" x14ac:dyDescent="0.25">
      <c r="A6" s="16" t="s">
        <v>31</v>
      </c>
      <c r="B6" s="18">
        <v>4469492.6000000006</v>
      </c>
      <c r="C6" s="18">
        <v>1526569.6</v>
      </c>
      <c r="D6" s="18">
        <v>2942923.0000000005</v>
      </c>
    </row>
    <row r="7" spans="1:4" x14ac:dyDescent="0.25">
      <c r="A7" s="16" t="s">
        <v>26</v>
      </c>
      <c r="B7" s="18">
        <v>3919300.2000000007</v>
      </c>
      <c r="C7" s="18">
        <v>1251784.2</v>
      </c>
      <c r="D7" s="18">
        <v>2667516.0000000009</v>
      </c>
    </row>
    <row r="8" spans="1:4" x14ac:dyDescent="0.25">
      <c r="A8" s="16" t="s">
        <v>52</v>
      </c>
      <c r="B8" s="18">
        <v>18813813.300000001</v>
      </c>
      <c r="C8" s="18">
        <v>6307926.3000000017</v>
      </c>
      <c r="D8" s="18">
        <v>12505887.000000004</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F86B6-5513-4037-8EF7-9FBDFF69D51C}">
  <dimension ref="A3:E9"/>
  <sheetViews>
    <sheetView workbookViewId="0">
      <selection activeCell="A3" sqref="A3:E9"/>
    </sheetView>
  </sheetViews>
  <sheetFormatPr defaultRowHeight="15.75" x14ac:dyDescent="0.25"/>
  <cols>
    <col min="1" max="1" width="19.5" bestFit="1" customWidth="1"/>
    <col min="2" max="2" width="15.25" bestFit="1" customWidth="1"/>
    <col min="3" max="4" width="8.875" bestFit="1" customWidth="1"/>
    <col min="5" max="5" width="11" bestFit="1" customWidth="1"/>
  </cols>
  <sheetData>
    <row r="3" spans="1:5" x14ac:dyDescent="0.25">
      <c r="A3" s="15" t="s">
        <v>50</v>
      </c>
      <c r="B3" s="15" t="s">
        <v>51</v>
      </c>
    </row>
    <row r="4" spans="1:5" x14ac:dyDescent="0.25">
      <c r="A4" s="15" t="s">
        <v>53</v>
      </c>
      <c r="B4" s="19">
        <v>2019</v>
      </c>
      <c r="C4" s="19">
        <v>2020</v>
      </c>
      <c r="D4" s="19">
        <v>2021</v>
      </c>
      <c r="E4" s="19" t="s">
        <v>52</v>
      </c>
    </row>
    <row r="5" spans="1:5" x14ac:dyDescent="0.25">
      <c r="A5" s="16" t="s">
        <v>28</v>
      </c>
      <c r="B5" s="18">
        <v>3895.8000000000006</v>
      </c>
      <c r="C5" s="18">
        <v>3549.7000000000012</v>
      </c>
      <c r="D5" s="18">
        <v>1699.2</v>
      </c>
      <c r="E5" s="18">
        <v>9144.7000000000025</v>
      </c>
    </row>
    <row r="6" spans="1:5" x14ac:dyDescent="0.25">
      <c r="A6" s="16" t="s">
        <v>23</v>
      </c>
      <c r="B6" s="18">
        <v>1688.3</v>
      </c>
      <c r="C6" s="18"/>
      <c r="D6" s="18">
        <v>2161.5</v>
      </c>
      <c r="E6" s="18">
        <v>3849.8</v>
      </c>
    </row>
    <row r="7" spans="1:5" x14ac:dyDescent="0.25">
      <c r="A7" s="16" t="s">
        <v>31</v>
      </c>
      <c r="B7" s="18">
        <v>2052.2000000000003</v>
      </c>
      <c r="C7" s="18">
        <v>3168.6000000000008</v>
      </c>
      <c r="D7" s="18">
        <v>2441.6000000000004</v>
      </c>
      <c r="E7" s="18">
        <v>7662.4000000000015</v>
      </c>
    </row>
    <row r="8" spans="1:5" x14ac:dyDescent="0.25">
      <c r="A8" s="16" t="s">
        <v>26</v>
      </c>
      <c r="B8" s="18">
        <v>2330.2000000000003</v>
      </c>
      <c r="C8" s="18">
        <v>2198.4</v>
      </c>
      <c r="D8" s="18">
        <v>2611.2000000000003</v>
      </c>
      <c r="E8" s="18">
        <v>7139.8000000000011</v>
      </c>
    </row>
    <row r="9" spans="1:5" x14ac:dyDescent="0.25">
      <c r="A9" s="16" t="s">
        <v>52</v>
      </c>
      <c r="B9" s="17">
        <v>9966.5000000000018</v>
      </c>
      <c r="C9" s="17">
        <v>8916.7000000000025</v>
      </c>
      <c r="D9" s="17">
        <v>8913.5</v>
      </c>
      <c r="E9" s="17">
        <v>27796.700000000004</v>
      </c>
    </row>
  </sheetData>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62E14-EDD8-4FDD-959E-32AD731471C3}">
  <dimension ref="A3:E19"/>
  <sheetViews>
    <sheetView workbookViewId="0">
      <selection activeCell="A5" sqref="A5:E5"/>
      <pivotSelection pane="bottomRight" showHeader="1" extendable="1" axis="axisRow" max="6" activeRow="4" previousRow="4" click="1" r:id="rId1">
        <pivotArea dataOnly="0" fieldPosition="0">
          <references count="1">
            <reference field="3" count="1">
              <x v="0"/>
            </reference>
          </references>
        </pivotArea>
      </pivotSelection>
    </sheetView>
  </sheetViews>
  <sheetFormatPr defaultRowHeight="15.75" x14ac:dyDescent="0.25"/>
  <cols>
    <col min="1" max="1" width="22.625" bestFit="1" customWidth="1"/>
    <col min="2" max="2" width="15.25" bestFit="1" customWidth="1"/>
    <col min="3" max="4" width="8.875" bestFit="1" customWidth="1"/>
    <col min="5" max="5" width="11" bestFit="1" customWidth="1"/>
  </cols>
  <sheetData>
    <row r="3" spans="1:5" x14ac:dyDescent="0.25">
      <c r="A3" s="15" t="s">
        <v>54</v>
      </c>
      <c r="B3" s="15" t="s">
        <v>51</v>
      </c>
    </row>
    <row r="4" spans="1:5" x14ac:dyDescent="0.25">
      <c r="A4" s="15" t="s">
        <v>53</v>
      </c>
      <c r="B4">
        <v>2019</v>
      </c>
      <c r="C4">
        <v>2020</v>
      </c>
      <c r="D4">
        <v>2021</v>
      </c>
      <c r="E4" t="s">
        <v>52</v>
      </c>
    </row>
    <row r="5" spans="1:5" x14ac:dyDescent="0.25">
      <c r="A5" s="25" t="s">
        <v>35</v>
      </c>
      <c r="B5" s="17">
        <v>199</v>
      </c>
      <c r="C5" s="17">
        <v>199</v>
      </c>
      <c r="D5" s="17">
        <v>199</v>
      </c>
      <c r="E5" s="17">
        <v>199</v>
      </c>
    </row>
    <row r="6" spans="1:5" x14ac:dyDescent="0.25">
      <c r="A6" s="25" t="s">
        <v>32</v>
      </c>
      <c r="B6" s="17">
        <v>599</v>
      </c>
      <c r="C6" s="17">
        <v>599</v>
      </c>
      <c r="D6" s="17">
        <v>599</v>
      </c>
      <c r="E6" s="17">
        <v>599</v>
      </c>
    </row>
    <row r="7" spans="1:5" x14ac:dyDescent="0.25">
      <c r="A7" s="25" t="s">
        <v>24</v>
      </c>
      <c r="B7" s="17">
        <v>1099</v>
      </c>
      <c r="C7" s="17">
        <v>1099</v>
      </c>
      <c r="D7" s="17">
        <v>1099</v>
      </c>
      <c r="E7" s="17">
        <v>1099</v>
      </c>
    </row>
    <row r="8" spans="1:5" x14ac:dyDescent="0.25">
      <c r="A8" s="25" t="s">
        <v>34</v>
      </c>
      <c r="B8" s="17">
        <v>449</v>
      </c>
      <c r="C8" s="17">
        <v>449</v>
      </c>
      <c r="D8" s="17">
        <v>449</v>
      </c>
      <c r="E8" s="17">
        <v>449</v>
      </c>
    </row>
    <row r="9" spans="1:5" x14ac:dyDescent="0.25">
      <c r="A9" s="25" t="s">
        <v>29</v>
      </c>
      <c r="B9" s="17">
        <v>1299</v>
      </c>
      <c r="C9" s="17">
        <v>1299</v>
      </c>
      <c r="D9" s="17">
        <v>1299</v>
      </c>
      <c r="E9" s="17">
        <v>1299</v>
      </c>
    </row>
    <row r="10" spans="1:5" x14ac:dyDescent="0.25">
      <c r="A10" s="16" t="s">
        <v>52</v>
      </c>
      <c r="B10" s="17">
        <v>835.36363636363637</v>
      </c>
      <c r="C10" s="17">
        <v>676.94117647058829</v>
      </c>
      <c r="D10" s="17">
        <v>586.87878787878788</v>
      </c>
      <c r="E10" s="17">
        <v>699.5</v>
      </c>
    </row>
    <row r="19" spans="1:1" x14ac:dyDescent="0.25">
      <c r="A19" t="str">
        <f t="shared" ref="A19" si="0">PROPER(A11)</f>
        <v/>
      </c>
    </row>
  </sheetData>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3A480-1C18-6B48-82C7-54CA8DA5460C}">
  <dimension ref="B2:N63"/>
  <sheetViews>
    <sheetView showGridLines="0" workbookViewId="0">
      <selection activeCell="A3" sqref="A3"/>
    </sheetView>
  </sheetViews>
  <sheetFormatPr defaultColWidth="11.125" defaultRowHeight="15.75" x14ac:dyDescent="0.25"/>
  <cols>
    <col min="4" max="4" width="37.375" bestFit="1" customWidth="1"/>
    <col min="11" max="11" width="11.625" bestFit="1" customWidth="1"/>
  </cols>
  <sheetData>
    <row r="2" spans="2:14" x14ac:dyDescent="0.25">
      <c r="B2" s="22" t="s">
        <v>9</v>
      </c>
      <c r="C2" s="22"/>
      <c r="D2" s="22"/>
      <c r="E2" s="22"/>
      <c r="F2" s="22"/>
    </row>
    <row r="3" spans="2:14" x14ac:dyDescent="0.25">
      <c r="B3" s="3" t="s">
        <v>0</v>
      </c>
      <c r="C3" s="3" t="s">
        <v>5</v>
      </c>
      <c r="D3" s="3" t="s">
        <v>6</v>
      </c>
      <c r="E3" s="3" t="s">
        <v>7</v>
      </c>
      <c r="F3" s="3" t="s">
        <v>11</v>
      </c>
      <c r="K3" s="1" t="s">
        <v>37</v>
      </c>
      <c r="L3" s="1" t="s">
        <v>36</v>
      </c>
      <c r="M3" s="1" t="s">
        <v>38</v>
      </c>
      <c r="N3" s="1" t="s">
        <v>19</v>
      </c>
    </row>
    <row r="4" spans="2:14" s="2" customFormat="1" x14ac:dyDescent="0.25">
      <c r="B4" s="2" t="s">
        <v>10</v>
      </c>
      <c r="C4">
        <v>2021</v>
      </c>
      <c r="D4" t="s">
        <v>8</v>
      </c>
      <c r="E4" s="5">
        <f t="shared" ref="E4:E23" si="0">I4*2.5</f>
        <v>2537.5</v>
      </c>
      <c r="F4" s="5">
        <f>E4*1.01</f>
        <v>2562.875</v>
      </c>
      <c r="I4" s="6">
        <v>1015</v>
      </c>
    </row>
    <row r="5" spans="2:14" x14ac:dyDescent="0.25">
      <c r="B5" t="s">
        <v>1</v>
      </c>
      <c r="C5">
        <v>2021</v>
      </c>
      <c r="D5" t="s">
        <v>8</v>
      </c>
      <c r="E5" s="5">
        <f t="shared" si="0"/>
        <v>1255</v>
      </c>
      <c r="F5" s="5">
        <f>E5*1.04</f>
        <v>1305.2</v>
      </c>
      <c r="I5" s="6">
        <v>502</v>
      </c>
    </row>
    <row r="6" spans="2:14" x14ac:dyDescent="0.25">
      <c r="B6" t="s">
        <v>2</v>
      </c>
      <c r="C6">
        <v>2021</v>
      </c>
      <c r="D6" t="s">
        <v>8</v>
      </c>
      <c r="E6" s="5">
        <f t="shared" si="0"/>
        <v>855</v>
      </c>
      <c r="F6" s="5">
        <f>E6*1.01</f>
        <v>863.55</v>
      </c>
      <c r="I6" s="6">
        <v>342</v>
      </c>
    </row>
    <row r="7" spans="2:14" x14ac:dyDescent="0.25">
      <c r="B7" t="s">
        <v>3</v>
      </c>
      <c r="C7">
        <v>2021</v>
      </c>
      <c r="D7" t="s">
        <v>8</v>
      </c>
      <c r="E7" s="5">
        <f t="shared" si="0"/>
        <v>547.5</v>
      </c>
      <c r="F7" s="5">
        <f>E7*1.07</f>
        <v>585.82500000000005</v>
      </c>
      <c r="I7" s="6">
        <v>219</v>
      </c>
    </row>
    <row r="8" spans="2:14" x14ac:dyDescent="0.25">
      <c r="B8" t="s">
        <v>4</v>
      </c>
      <c r="C8">
        <v>2021</v>
      </c>
      <c r="D8" t="s">
        <v>8</v>
      </c>
      <c r="E8" s="5">
        <f t="shared" si="0"/>
        <v>248.55</v>
      </c>
      <c r="F8" s="5">
        <f>E8*0.91</f>
        <v>226.18050000000002</v>
      </c>
      <c r="I8" s="6">
        <v>99.42</v>
      </c>
    </row>
    <row r="9" spans="2:14" x14ac:dyDescent="0.25">
      <c r="B9" s="2" t="s">
        <v>10</v>
      </c>
      <c r="C9">
        <v>2021</v>
      </c>
      <c r="D9" t="s">
        <v>13</v>
      </c>
      <c r="E9" s="5">
        <f t="shared" si="0"/>
        <v>1141.875</v>
      </c>
      <c r="F9" s="5">
        <f>E9*1.03</f>
        <v>1176.1312500000001</v>
      </c>
      <c r="I9" s="6">
        <f>I4*0.45</f>
        <v>456.75</v>
      </c>
    </row>
    <row r="10" spans="2:14" x14ac:dyDescent="0.25">
      <c r="B10" t="s">
        <v>1</v>
      </c>
      <c r="C10">
        <v>2021</v>
      </c>
      <c r="D10" t="s">
        <v>13</v>
      </c>
      <c r="E10" s="5">
        <f t="shared" si="0"/>
        <v>602.4</v>
      </c>
      <c r="F10" s="5">
        <f>E10*1.1</f>
        <v>662.64</v>
      </c>
      <c r="I10" s="6">
        <f>I5*0.48</f>
        <v>240.95999999999998</v>
      </c>
    </row>
    <row r="11" spans="2:14" x14ac:dyDescent="0.25">
      <c r="B11" t="s">
        <v>2</v>
      </c>
      <c r="C11">
        <v>2021</v>
      </c>
      <c r="D11" t="s">
        <v>13</v>
      </c>
      <c r="E11" s="5">
        <f t="shared" si="0"/>
        <v>350.55</v>
      </c>
      <c r="F11" s="5">
        <f>E11*0.98</f>
        <v>343.53899999999999</v>
      </c>
      <c r="I11" s="6">
        <f>I6*0.41</f>
        <v>140.22</v>
      </c>
    </row>
    <row r="12" spans="2:14" x14ac:dyDescent="0.25">
      <c r="B12" t="s">
        <v>3</v>
      </c>
      <c r="C12">
        <v>2021</v>
      </c>
      <c r="D12" t="s">
        <v>13</v>
      </c>
      <c r="E12" s="5">
        <f t="shared" si="0"/>
        <v>197.10000000000002</v>
      </c>
      <c r="F12" s="5">
        <f>E12*0.75</f>
        <v>147.82500000000002</v>
      </c>
      <c r="I12" s="6">
        <f>I7*0.36</f>
        <v>78.84</v>
      </c>
    </row>
    <row r="13" spans="2:14" x14ac:dyDescent="0.25">
      <c r="B13" t="s">
        <v>4</v>
      </c>
      <c r="C13">
        <v>2021</v>
      </c>
      <c r="D13" t="s">
        <v>13</v>
      </c>
      <c r="E13" s="5">
        <f t="shared" si="0"/>
        <v>129.24600000000001</v>
      </c>
      <c r="F13" s="5">
        <f>E13*0.9</f>
        <v>116.32140000000001</v>
      </c>
      <c r="I13" s="6">
        <f>I8*0.52</f>
        <v>51.698399999999999</v>
      </c>
    </row>
    <row r="14" spans="2:14" x14ac:dyDescent="0.25">
      <c r="B14" s="2" t="s">
        <v>10</v>
      </c>
      <c r="C14">
        <v>2021</v>
      </c>
      <c r="D14" t="s">
        <v>14</v>
      </c>
      <c r="E14" s="5">
        <f t="shared" si="0"/>
        <v>532.875</v>
      </c>
      <c r="F14" s="5">
        <f>E14*1</f>
        <v>532.875</v>
      </c>
      <c r="I14" s="6">
        <f>I4*0.21</f>
        <v>213.15</v>
      </c>
    </row>
    <row r="15" spans="2:14" x14ac:dyDescent="0.25">
      <c r="B15" t="s">
        <v>1</v>
      </c>
      <c r="C15">
        <v>2021</v>
      </c>
      <c r="D15" t="s">
        <v>14</v>
      </c>
      <c r="E15" s="5">
        <f t="shared" si="0"/>
        <v>263.55</v>
      </c>
      <c r="F15" s="5">
        <f>E15*1.1</f>
        <v>289.90500000000003</v>
      </c>
      <c r="I15" s="6">
        <f>I5*0.21</f>
        <v>105.42</v>
      </c>
    </row>
    <row r="16" spans="2:14" x14ac:dyDescent="0.25">
      <c r="B16" t="s">
        <v>2</v>
      </c>
      <c r="C16">
        <v>2021</v>
      </c>
      <c r="D16" t="s">
        <v>14</v>
      </c>
      <c r="E16" s="5">
        <f t="shared" si="0"/>
        <v>205.2</v>
      </c>
      <c r="F16" s="5">
        <f>E16*1.14</f>
        <v>233.92799999999997</v>
      </c>
      <c r="I16" s="6">
        <f>I6*0.24</f>
        <v>82.08</v>
      </c>
    </row>
    <row r="17" spans="2:9" x14ac:dyDescent="0.25">
      <c r="B17" t="s">
        <v>3</v>
      </c>
      <c r="C17">
        <v>2021</v>
      </c>
      <c r="D17" t="s">
        <v>14</v>
      </c>
      <c r="E17" s="5">
        <f t="shared" si="0"/>
        <v>98.550000000000011</v>
      </c>
      <c r="F17" s="5">
        <f>E17*1.08</f>
        <v>106.43400000000003</v>
      </c>
      <c r="I17" s="6">
        <f>I7*0.18</f>
        <v>39.42</v>
      </c>
    </row>
    <row r="18" spans="2:9" x14ac:dyDescent="0.25">
      <c r="B18" t="s">
        <v>4</v>
      </c>
      <c r="C18">
        <v>2021</v>
      </c>
      <c r="D18" t="s">
        <v>14</v>
      </c>
      <c r="E18" s="5">
        <f t="shared" si="0"/>
        <v>64.623000000000005</v>
      </c>
      <c r="F18" s="5">
        <f>E18*1.04</f>
        <v>67.207920000000001</v>
      </c>
      <c r="I18" s="6">
        <f>I8*0.26</f>
        <v>25.8492</v>
      </c>
    </row>
    <row r="19" spans="2:9" x14ac:dyDescent="0.25">
      <c r="B19" s="2" t="s">
        <v>10</v>
      </c>
      <c r="C19">
        <v>2021</v>
      </c>
      <c r="D19" t="s">
        <v>12</v>
      </c>
      <c r="E19" s="5">
        <f t="shared" si="0"/>
        <v>155.29500000000002</v>
      </c>
      <c r="F19" s="5">
        <f>E19*1.01</f>
        <v>156.84795000000003</v>
      </c>
      <c r="I19" s="6">
        <f>(I4-I9-I14)*0.18</f>
        <v>62.118000000000002</v>
      </c>
    </row>
    <row r="20" spans="2:9" x14ac:dyDescent="0.25">
      <c r="B20" t="s">
        <v>1</v>
      </c>
      <c r="C20">
        <v>2021</v>
      </c>
      <c r="D20" t="s">
        <v>12</v>
      </c>
      <c r="E20" s="5">
        <f t="shared" si="0"/>
        <v>70.028999999999996</v>
      </c>
      <c r="F20" s="5">
        <f>E20*1.201</f>
        <v>84.104828999999995</v>
      </c>
      <c r="I20" s="6">
        <f t="shared" ref="I20:I23" si="1">(I5-I10-I15)*0.18</f>
        <v>28.011600000000001</v>
      </c>
    </row>
    <row r="21" spans="2:9" x14ac:dyDescent="0.25">
      <c r="B21" t="s">
        <v>2</v>
      </c>
      <c r="C21">
        <v>2021</v>
      </c>
      <c r="D21" t="s">
        <v>12</v>
      </c>
      <c r="E21" s="5">
        <f t="shared" si="0"/>
        <v>53.864999999999995</v>
      </c>
      <c r="F21" s="5">
        <f>E21*1.17</f>
        <v>63.022049999999993</v>
      </c>
      <c r="I21" s="6">
        <f t="shared" si="1"/>
        <v>21.545999999999999</v>
      </c>
    </row>
    <row r="22" spans="2:9" x14ac:dyDescent="0.25">
      <c r="B22" t="s">
        <v>3</v>
      </c>
      <c r="C22">
        <v>2021</v>
      </c>
      <c r="D22" t="s">
        <v>12</v>
      </c>
      <c r="E22" s="5">
        <f t="shared" si="0"/>
        <v>45.332999999999998</v>
      </c>
      <c r="F22" s="5">
        <f>E22*0.89</f>
        <v>40.34637</v>
      </c>
      <c r="I22" s="6">
        <f t="shared" si="1"/>
        <v>18.133199999999999</v>
      </c>
    </row>
    <row r="23" spans="2:9" x14ac:dyDescent="0.25">
      <c r="B23" t="s">
        <v>4</v>
      </c>
      <c r="C23">
        <v>2021</v>
      </c>
      <c r="D23" t="s">
        <v>12</v>
      </c>
      <c r="E23" s="5">
        <f t="shared" si="0"/>
        <v>9.8425800000000017</v>
      </c>
      <c r="F23" s="5">
        <f>E23*0.96</f>
        <v>9.4488768000000007</v>
      </c>
      <c r="I23" s="6">
        <f t="shared" si="1"/>
        <v>3.9370320000000003</v>
      </c>
    </row>
    <row r="24" spans="2:9" x14ac:dyDescent="0.25">
      <c r="B24" s="2" t="s">
        <v>10</v>
      </c>
      <c r="C24">
        <v>2020</v>
      </c>
      <c r="D24" t="s">
        <v>8</v>
      </c>
      <c r="E24" s="5">
        <f>E4*0.95</f>
        <v>2410.625</v>
      </c>
      <c r="F24" s="5">
        <f>E24*1.1</f>
        <v>2651.6875</v>
      </c>
    </row>
    <row r="25" spans="2:9" x14ac:dyDescent="0.25">
      <c r="B25" t="s">
        <v>1</v>
      </c>
      <c r="C25">
        <v>2020</v>
      </c>
      <c r="D25" t="s">
        <v>8</v>
      </c>
      <c r="E25" s="5">
        <f>E5*0.8</f>
        <v>1004</v>
      </c>
      <c r="F25" s="5">
        <f>E25*1.13</f>
        <v>1134.52</v>
      </c>
    </row>
    <row r="26" spans="2:9" x14ac:dyDescent="0.25">
      <c r="B26" t="s">
        <v>2</v>
      </c>
      <c r="C26">
        <v>2020</v>
      </c>
      <c r="D26" t="s">
        <v>8</v>
      </c>
      <c r="E26" s="5">
        <f>E6*0.85</f>
        <v>726.75</v>
      </c>
      <c r="F26" s="5">
        <f>E26*1.2</f>
        <v>872.1</v>
      </c>
    </row>
    <row r="27" spans="2:9" x14ac:dyDescent="0.25">
      <c r="B27" t="s">
        <v>3</v>
      </c>
      <c r="C27">
        <v>2020</v>
      </c>
      <c r="D27" t="s">
        <v>8</v>
      </c>
      <c r="E27" s="5">
        <f>E7*0.85</f>
        <v>465.375</v>
      </c>
      <c r="F27" s="5">
        <f>E27*1.01</f>
        <v>470.02875</v>
      </c>
    </row>
    <row r="28" spans="2:9" x14ac:dyDescent="0.25">
      <c r="B28" t="s">
        <v>4</v>
      </c>
      <c r="C28">
        <v>2020</v>
      </c>
      <c r="D28" t="s">
        <v>8</v>
      </c>
      <c r="E28" s="5">
        <f>E8*1.12</f>
        <v>278.37600000000003</v>
      </c>
      <c r="F28" s="5">
        <f>E28*0.8</f>
        <v>222.70080000000004</v>
      </c>
    </row>
    <row r="29" spans="2:9" x14ac:dyDescent="0.25">
      <c r="B29" s="2" t="s">
        <v>10</v>
      </c>
      <c r="C29">
        <v>2020</v>
      </c>
      <c r="D29" t="s">
        <v>13</v>
      </c>
      <c r="E29" s="5">
        <f>E9*1.18</f>
        <v>1347.4124999999999</v>
      </c>
      <c r="F29" s="5">
        <f>E29*0.9</f>
        <v>1212.6712499999999</v>
      </c>
    </row>
    <row r="30" spans="2:9" x14ac:dyDescent="0.25">
      <c r="B30" t="s">
        <v>1</v>
      </c>
      <c r="C30">
        <v>2020</v>
      </c>
      <c r="D30" t="s">
        <v>13</v>
      </c>
      <c r="E30" s="5">
        <f>E10*1.14</f>
        <v>686.73599999999988</v>
      </c>
      <c r="F30" s="5">
        <f>E30*0.78</f>
        <v>535.65407999999991</v>
      </c>
    </row>
    <row r="31" spans="2:9" x14ac:dyDescent="0.25">
      <c r="B31" t="s">
        <v>2</v>
      </c>
      <c r="C31">
        <v>2020</v>
      </c>
      <c r="D31" t="s">
        <v>13</v>
      </c>
      <c r="E31" s="5">
        <f>E11*1.04</f>
        <v>364.572</v>
      </c>
      <c r="F31" s="5">
        <f>E31*0.89</f>
        <v>324.46908000000002</v>
      </c>
    </row>
    <row r="32" spans="2:9" x14ac:dyDescent="0.25">
      <c r="B32" t="s">
        <v>3</v>
      </c>
      <c r="C32">
        <v>2020</v>
      </c>
      <c r="D32" t="s">
        <v>13</v>
      </c>
      <c r="E32" s="5">
        <f>E12*1.1</f>
        <v>216.81000000000003</v>
      </c>
      <c r="F32" s="5">
        <f>E32*0.89</f>
        <v>192.96090000000004</v>
      </c>
    </row>
    <row r="33" spans="2:6" x14ac:dyDescent="0.25">
      <c r="B33" t="s">
        <v>4</v>
      </c>
      <c r="C33">
        <v>2020</v>
      </c>
      <c r="D33" t="s">
        <v>13</v>
      </c>
      <c r="E33" s="5">
        <f>E13*1.08</f>
        <v>139.58568000000002</v>
      </c>
      <c r="F33" s="5">
        <f>E33*1.01</f>
        <v>140.98153680000001</v>
      </c>
    </row>
    <row r="34" spans="2:6" x14ac:dyDescent="0.25">
      <c r="B34" s="2" t="s">
        <v>10</v>
      </c>
      <c r="C34">
        <v>2020</v>
      </c>
      <c r="D34" t="s">
        <v>14</v>
      </c>
      <c r="E34" s="5">
        <f>E14*0.9</f>
        <v>479.58750000000003</v>
      </c>
      <c r="F34" s="5">
        <f>E34*1.1</f>
        <v>527.5462500000001</v>
      </c>
    </row>
    <row r="35" spans="2:6" x14ac:dyDescent="0.25">
      <c r="B35" t="s">
        <v>1</v>
      </c>
      <c r="C35">
        <v>2020</v>
      </c>
      <c r="D35" t="s">
        <v>14</v>
      </c>
      <c r="E35" s="5">
        <f>E15*0.99</f>
        <v>260.91450000000003</v>
      </c>
      <c r="F35" s="5">
        <f>E35*1.01</f>
        <v>263.52364500000004</v>
      </c>
    </row>
    <row r="36" spans="2:6" x14ac:dyDescent="0.25">
      <c r="B36" t="s">
        <v>2</v>
      </c>
      <c r="C36">
        <v>2020</v>
      </c>
      <c r="D36" t="s">
        <v>14</v>
      </c>
      <c r="E36" s="5">
        <f>E16*0.995</f>
        <v>204.17399999999998</v>
      </c>
      <c r="F36" s="5">
        <f>E36*1</f>
        <v>204.17399999999998</v>
      </c>
    </row>
    <row r="37" spans="2:6" x14ac:dyDescent="0.25">
      <c r="B37" t="s">
        <v>3</v>
      </c>
      <c r="C37">
        <v>2020</v>
      </c>
      <c r="D37" t="s">
        <v>14</v>
      </c>
      <c r="E37" s="5">
        <f>E17*0.7</f>
        <v>68.984999999999999</v>
      </c>
      <c r="F37" s="5">
        <f>E37*0.98</f>
        <v>67.6053</v>
      </c>
    </row>
    <row r="38" spans="2:6" x14ac:dyDescent="0.25">
      <c r="B38" t="s">
        <v>4</v>
      </c>
      <c r="C38">
        <v>2020</v>
      </c>
      <c r="D38" t="s">
        <v>14</v>
      </c>
      <c r="E38" s="5">
        <f>E18*0.84</f>
        <v>54.283320000000003</v>
      </c>
      <c r="F38" s="5">
        <f>E38*0.85</f>
        <v>46.140822</v>
      </c>
    </row>
    <row r="39" spans="2:6" x14ac:dyDescent="0.25">
      <c r="B39" s="2" t="s">
        <v>10</v>
      </c>
      <c r="C39">
        <v>2020</v>
      </c>
      <c r="D39" t="s">
        <v>12</v>
      </c>
      <c r="E39" s="5">
        <f>(E24-E29-E34)*0.18</f>
        <v>105.05249999999999</v>
      </c>
      <c r="F39" s="5">
        <f>E39*1.1</f>
        <v>115.55775</v>
      </c>
    </row>
    <row r="40" spans="2:6" x14ac:dyDescent="0.25">
      <c r="B40" t="s">
        <v>1</v>
      </c>
      <c r="C40">
        <v>2020</v>
      </c>
      <c r="D40" t="s">
        <v>12</v>
      </c>
      <c r="E40" s="5">
        <f t="shared" ref="E40:E43" si="2">(E25-E30-E35)*0.18</f>
        <v>10.142910000000017</v>
      </c>
      <c r="F40" s="5">
        <f>E40*1.03</f>
        <v>10.447197300000017</v>
      </c>
    </row>
    <row r="41" spans="2:6" x14ac:dyDescent="0.25">
      <c r="B41" t="s">
        <v>2</v>
      </c>
      <c r="C41">
        <v>2020</v>
      </c>
      <c r="D41" t="s">
        <v>12</v>
      </c>
      <c r="E41" s="5">
        <f t="shared" si="2"/>
        <v>28.440720000000002</v>
      </c>
      <c r="F41" s="5">
        <f>E41*1.12</f>
        <v>31.853606400000007</v>
      </c>
    </row>
    <row r="42" spans="2:6" x14ac:dyDescent="0.25">
      <c r="B42" t="s">
        <v>3</v>
      </c>
      <c r="C42">
        <v>2020</v>
      </c>
      <c r="D42" t="s">
        <v>12</v>
      </c>
      <c r="E42" s="5">
        <f t="shared" si="2"/>
        <v>32.324399999999997</v>
      </c>
      <c r="F42" s="5">
        <f>E42*1.07</f>
        <v>34.587108000000001</v>
      </c>
    </row>
    <row r="43" spans="2:6" x14ac:dyDescent="0.25">
      <c r="B43" t="s">
        <v>4</v>
      </c>
      <c r="C43">
        <v>2020</v>
      </c>
      <c r="D43" t="s">
        <v>12</v>
      </c>
      <c r="E43" s="5">
        <f t="shared" si="2"/>
        <v>15.211260000000001</v>
      </c>
      <c r="F43" s="5">
        <f>E43*0.9</f>
        <v>13.690134</v>
      </c>
    </row>
    <row r="44" spans="2:6" x14ac:dyDescent="0.25">
      <c r="B44" s="2" t="s">
        <v>10</v>
      </c>
      <c r="C44">
        <v>2019</v>
      </c>
      <c r="D44" t="s">
        <v>8</v>
      </c>
      <c r="E44" s="5">
        <f>E24*1.05</f>
        <v>2531.15625</v>
      </c>
      <c r="F44" s="5">
        <f>F24*1.12</f>
        <v>2969.8900000000003</v>
      </c>
    </row>
    <row r="45" spans="2:6" x14ac:dyDescent="0.25">
      <c r="B45" t="s">
        <v>1</v>
      </c>
      <c r="C45">
        <v>2019</v>
      </c>
      <c r="D45" t="s">
        <v>8</v>
      </c>
      <c r="E45" s="5">
        <f t="shared" ref="E45:E48" si="3">E25*1.05</f>
        <v>1054.2</v>
      </c>
      <c r="F45" s="5">
        <f>F25*1.14</f>
        <v>1293.3527999999999</v>
      </c>
    </row>
    <row r="46" spans="2:6" x14ac:dyDescent="0.25">
      <c r="B46" t="s">
        <v>2</v>
      </c>
      <c r="C46">
        <v>2019</v>
      </c>
      <c r="D46" t="s">
        <v>8</v>
      </c>
      <c r="E46" s="5">
        <f t="shared" si="3"/>
        <v>763.08749999999998</v>
      </c>
      <c r="F46" s="5">
        <f>F26*1.08</f>
        <v>941.86800000000005</v>
      </c>
    </row>
    <row r="47" spans="2:6" x14ac:dyDescent="0.25">
      <c r="B47" t="s">
        <v>3</v>
      </c>
      <c r="C47">
        <v>2019</v>
      </c>
      <c r="D47" t="s">
        <v>8</v>
      </c>
      <c r="E47" s="5">
        <f t="shared" si="3"/>
        <v>488.64375000000001</v>
      </c>
      <c r="F47" s="5">
        <f>F27*1.02</f>
        <v>479.42932500000001</v>
      </c>
    </row>
    <row r="48" spans="2:6" x14ac:dyDescent="0.25">
      <c r="B48" t="s">
        <v>4</v>
      </c>
      <c r="C48">
        <v>2019</v>
      </c>
      <c r="D48" t="s">
        <v>8</v>
      </c>
      <c r="E48" s="5">
        <f t="shared" si="3"/>
        <v>292.29480000000007</v>
      </c>
      <c r="F48" s="5">
        <f>F28*0.878</f>
        <v>195.53130240000004</v>
      </c>
    </row>
    <row r="49" spans="2:6" x14ac:dyDescent="0.25">
      <c r="B49" s="2" t="s">
        <v>10</v>
      </c>
      <c r="C49">
        <v>2019</v>
      </c>
      <c r="D49" t="s">
        <v>13</v>
      </c>
      <c r="E49" s="5">
        <f>E29*0.9</f>
        <v>1212.6712499999999</v>
      </c>
      <c r="F49" s="5">
        <f>E49*1.1</f>
        <v>1333.938375</v>
      </c>
    </row>
    <row r="50" spans="2:6" x14ac:dyDescent="0.25">
      <c r="B50" t="s">
        <v>1</v>
      </c>
      <c r="C50">
        <v>2019</v>
      </c>
      <c r="D50" t="s">
        <v>13</v>
      </c>
      <c r="E50" s="5">
        <f t="shared" ref="E50:E53" si="4">E30*0.9</f>
        <v>618.06239999999991</v>
      </c>
      <c r="F50" s="5">
        <f>E50*1.02</f>
        <v>630.42364799999996</v>
      </c>
    </row>
    <row r="51" spans="2:6" x14ac:dyDescent="0.25">
      <c r="B51" t="s">
        <v>2</v>
      </c>
      <c r="C51">
        <v>2019</v>
      </c>
      <c r="D51" t="s">
        <v>13</v>
      </c>
      <c r="E51" s="5">
        <f t="shared" si="4"/>
        <v>328.1148</v>
      </c>
      <c r="F51" s="5">
        <f>E51*1.01</f>
        <v>331.39594800000003</v>
      </c>
    </row>
    <row r="52" spans="2:6" x14ac:dyDescent="0.25">
      <c r="B52" t="s">
        <v>3</v>
      </c>
      <c r="C52">
        <v>2019</v>
      </c>
      <c r="D52" t="s">
        <v>13</v>
      </c>
      <c r="E52" s="5">
        <f t="shared" si="4"/>
        <v>195.12900000000002</v>
      </c>
      <c r="F52" s="5">
        <f>E52*0.97</f>
        <v>189.27513000000002</v>
      </c>
    </row>
    <row r="53" spans="2:6" x14ac:dyDescent="0.25">
      <c r="B53" t="s">
        <v>4</v>
      </c>
      <c r="C53">
        <v>2019</v>
      </c>
      <c r="D53" t="s">
        <v>13</v>
      </c>
      <c r="E53" s="5">
        <f t="shared" si="4"/>
        <v>125.62711200000003</v>
      </c>
      <c r="F53" s="5">
        <f>E53*1</f>
        <v>125.62711200000003</v>
      </c>
    </row>
    <row r="54" spans="2:6" x14ac:dyDescent="0.25">
      <c r="B54" s="2" t="s">
        <v>10</v>
      </c>
      <c r="C54">
        <v>2019</v>
      </c>
      <c r="D54" t="s">
        <v>14</v>
      </c>
      <c r="E54" s="5">
        <f>E34*1.1</f>
        <v>527.5462500000001</v>
      </c>
      <c r="F54" s="5">
        <f>E54*1.01</f>
        <v>532.8217125000001</v>
      </c>
    </row>
    <row r="55" spans="2:6" x14ac:dyDescent="0.25">
      <c r="B55" t="s">
        <v>1</v>
      </c>
      <c r="C55">
        <v>2019</v>
      </c>
      <c r="D55" t="s">
        <v>14</v>
      </c>
      <c r="E55" s="5">
        <f t="shared" ref="E55:E58" si="5">E35*1.1</f>
        <v>287.00595000000004</v>
      </c>
      <c r="F55" s="5">
        <f>E55*1.09</f>
        <v>312.83648550000009</v>
      </c>
    </row>
    <row r="56" spans="2:6" x14ac:dyDescent="0.25">
      <c r="B56" t="s">
        <v>2</v>
      </c>
      <c r="C56">
        <v>2019</v>
      </c>
      <c r="D56" t="s">
        <v>14</v>
      </c>
      <c r="E56" s="5">
        <f t="shared" si="5"/>
        <v>224.59139999999999</v>
      </c>
      <c r="F56" s="5">
        <f>E56*1.07</f>
        <v>240.31279800000002</v>
      </c>
    </row>
    <row r="57" spans="2:6" x14ac:dyDescent="0.25">
      <c r="B57" t="s">
        <v>3</v>
      </c>
      <c r="C57">
        <v>2019</v>
      </c>
      <c r="D57" t="s">
        <v>14</v>
      </c>
      <c r="E57" s="5">
        <f t="shared" si="5"/>
        <v>75.883500000000012</v>
      </c>
      <c r="F57" s="5">
        <f>E57*1.07</f>
        <v>81.195345000000017</v>
      </c>
    </row>
    <row r="58" spans="2:6" x14ac:dyDescent="0.25">
      <c r="B58" t="s">
        <v>4</v>
      </c>
      <c r="C58">
        <v>2019</v>
      </c>
      <c r="D58" t="s">
        <v>14</v>
      </c>
      <c r="E58" s="5">
        <f t="shared" si="5"/>
        <v>59.711652000000008</v>
      </c>
      <c r="F58" s="5">
        <f>E58*1.07</f>
        <v>63.891467640000009</v>
      </c>
    </row>
    <row r="59" spans="2:6" x14ac:dyDescent="0.25">
      <c r="B59" s="2" t="s">
        <v>10</v>
      </c>
      <c r="C59">
        <v>2019</v>
      </c>
      <c r="D59" t="s">
        <v>12</v>
      </c>
      <c r="E59" s="5">
        <f>(E44-E49-E54)*0.18</f>
        <v>142.36897500000001</v>
      </c>
      <c r="F59" s="5">
        <f>E59*1.08</f>
        <v>153.75849300000002</v>
      </c>
    </row>
    <row r="60" spans="2:6" x14ac:dyDescent="0.25">
      <c r="B60" t="s">
        <v>1</v>
      </c>
      <c r="C60">
        <v>2019</v>
      </c>
      <c r="D60" t="s">
        <v>12</v>
      </c>
      <c r="E60" s="5">
        <f t="shared" ref="E60:E63" si="6">(E45-E50-E55)*0.18</f>
        <v>26.843697000000017</v>
      </c>
      <c r="F60" s="5">
        <f>E60*1.1</f>
        <v>29.528066700000021</v>
      </c>
    </row>
    <row r="61" spans="2:6" x14ac:dyDescent="0.25">
      <c r="B61" t="s">
        <v>2</v>
      </c>
      <c r="C61">
        <v>2019</v>
      </c>
      <c r="D61" t="s">
        <v>12</v>
      </c>
      <c r="E61" s="5">
        <f t="shared" si="6"/>
        <v>37.868633999999993</v>
      </c>
      <c r="F61" s="5">
        <f>E61*1.1</f>
        <v>41.655497399999994</v>
      </c>
    </row>
    <row r="62" spans="2:6" x14ac:dyDescent="0.25">
      <c r="B62" t="s">
        <v>3</v>
      </c>
      <c r="C62">
        <v>2019</v>
      </c>
      <c r="D62" t="s">
        <v>12</v>
      </c>
      <c r="E62" s="5">
        <f t="shared" si="6"/>
        <v>39.173624999999994</v>
      </c>
      <c r="F62" s="5">
        <f>E62*1.14</f>
        <v>44.657932499999987</v>
      </c>
    </row>
    <row r="63" spans="2:6" x14ac:dyDescent="0.25">
      <c r="B63" t="s">
        <v>4</v>
      </c>
      <c r="C63">
        <v>2019</v>
      </c>
      <c r="D63" t="s">
        <v>12</v>
      </c>
      <c r="E63" s="5">
        <f t="shared" si="6"/>
        <v>19.252086480000006</v>
      </c>
      <c r="F63" s="5">
        <f>E63*1.02</f>
        <v>19.637128209600007</v>
      </c>
    </row>
  </sheetData>
  <mergeCells count="1">
    <mergeCell ref="B2:F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63B7B-C17C-FF4E-B283-50371C544CF1}">
  <dimension ref="B2:M97"/>
  <sheetViews>
    <sheetView showGridLines="0" workbookViewId="0">
      <selection activeCell="A3" sqref="A3"/>
    </sheetView>
  </sheetViews>
  <sheetFormatPr defaultColWidth="11.125" defaultRowHeight="15.75" x14ac:dyDescent="0.25"/>
  <cols>
    <col min="3" max="3" width="37.375" bestFit="1" customWidth="1"/>
    <col min="10" max="10" width="11.625" bestFit="1" customWidth="1"/>
  </cols>
  <sheetData>
    <row r="2" spans="2:13" x14ac:dyDescent="0.25">
      <c r="B2" s="22" t="s">
        <v>9</v>
      </c>
      <c r="C2" s="22"/>
      <c r="D2" s="22"/>
      <c r="E2" s="22"/>
    </row>
    <row r="3" spans="2:13" x14ac:dyDescent="0.25">
      <c r="B3" s="3" t="s">
        <v>0</v>
      </c>
      <c r="C3" s="3" t="s">
        <v>6</v>
      </c>
      <c r="D3" s="3">
        <v>2020</v>
      </c>
      <c r="E3" s="3">
        <v>2021</v>
      </c>
      <c r="J3" s="1" t="s">
        <v>37</v>
      </c>
      <c r="K3" s="1" t="s">
        <v>36</v>
      </c>
      <c r="L3" s="1" t="s">
        <v>38</v>
      </c>
      <c r="M3" s="1" t="s">
        <v>19</v>
      </c>
    </row>
    <row r="4" spans="2:13" s="2" customFormat="1" x14ac:dyDescent="0.25">
      <c r="B4" s="2" t="s">
        <v>10</v>
      </c>
      <c r="C4" t="s">
        <v>39</v>
      </c>
      <c r="D4" s="10">
        <f t="shared" ref="D4:D13" si="0">D58</f>
        <v>2410.625</v>
      </c>
      <c r="E4" s="5">
        <f t="shared" ref="E4:E13" si="1">H4*2.5</f>
        <v>2537.5</v>
      </c>
      <c r="H4" s="6">
        <v>1015</v>
      </c>
    </row>
    <row r="5" spans="2:13" x14ac:dyDescent="0.25">
      <c r="B5" t="s">
        <v>1</v>
      </c>
      <c r="C5" t="s">
        <v>39</v>
      </c>
      <c r="D5" s="10">
        <f t="shared" si="0"/>
        <v>1004</v>
      </c>
      <c r="E5" s="5">
        <f t="shared" si="1"/>
        <v>1255</v>
      </c>
      <c r="H5" s="6">
        <v>502</v>
      </c>
    </row>
    <row r="6" spans="2:13" x14ac:dyDescent="0.25">
      <c r="B6" t="s">
        <v>2</v>
      </c>
      <c r="C6" t="s">
        <v>39</v>
      </c>
      <c r="D6" s="10">
        <f t="shared" si="0"/>
        <v>726.75</v>
      </c>
      <c r="E6" s="5">
        <f t="shared" si="1"/>
        <v>855</v>
      </c>
      <c r="H6" s="6">
        <v>342</v>
      </c>
    </row>
    <row r="7" spans="2:13" x14ac:dyDescent="0.25">
      <c r="B7" t="s">
        <v>3</v>
      </c>
      <c r="C7" t="s">
        <v>39</v>
      </c>
      <c r="D7" s="10">
        <f t="shared" si="0"/>
        <v>465.375</v>
      </c>
      <c r="E7" s="5">
        <f t="shared" si="1"/>
        <v>547.5</v>
      </c>
      <c r="H7" s="6">
        <v>219</v>
      </c>
    </row>
    <row r="8" spans="2:13" x14ac:dyDescent="0.25">
      <c r="B8" t="s">
        <v>4</v>
      </c>
      <c r="C8" t="s">
        <v>39</v>
      </c>
      <c r="D8" s="10">
        <f t="shared" si="0"/>
        <v>278.37600000000003</v>
      </c>
      <c r="E8" s="5">
        <f t="shared" si="1"/>
        <v>248.55</v>
      </c>
      <c r="H8" s="6">
        <v>99.42</v>
      </c>
    </row>
    <row r="9" spans="2:13" x14ac:dyDescent="0.25">
      <c r="B9" s="2" t="s">
        <v>10</v>
      </c>
      <c r="C9" t="s">
        <v>40</v>
      </c>
      <c r="D9" s="10">
        <f t="shared" si="0"/>
        <v>1347.4124999999999</v>
      </c>
      <c r="E9" s="5">
        <f t="shared" si="1"/>
        <v>1141.875</v>
      </c>
      <c r="H9" s="6">
        <f>H4*0.45</f>
        <v>456.75</v>
      </c>
    </row>
    <row r="10" spans="2:13" x14ac:dyDescent="0.25">
      <c r="B10" t="s">
        <v>1</v>
      </c>
      <c r="C10" t="s">
        <v>40</v>
      </c>
      <c r="D10" s="10">
        <f t="shared" si="0"/>
        <v>686.73599999999988</v>
      </c>
      <c r="E10" s="5">
        <f t="shared" si="1"/>
        <v>602.4</v>
      </c>
      <c r="H10" s="6">
        <f>H5*0.48</f>
        <v>240.95999999999998</v>
      </c>
    </row>
    <row r="11" spans="2:13" x14ac:dyDescent="0.25">
      <c r="B11" t="s">
        <v>2</v>
      </c>
      <c r="C11" t="s">
        <v>40</v>
      </c>
      <c r="D11" s="10">
        <f t="shared" si="0"/>
        <v>364.572</v>
      </c>
      <c r="E11" s="5">
        <f t="shared" si="1"/>
        <v>350.55</v>
      </c>
      <c r="H11" s="6">
        <f>H6*0.41</f>
        <v>140.22</v>
      </c>
    </row>
    <row r="12" spans="2:13" x14ac:dyDescent="0.25">
      <c r="B12" t="s">
        <v>3</v>
      </c>
      <c r="C12" t="s">
        <v>40</v>
      </c>
      <c r="D12" s="10">
        <f t="shared" si="0"/>
        <v>216.81000000000003</v>
      </c>
      <c r="E12" s="5">
        <f t="shared" si="1"/>
        <v>197.10000000000002</v>
      </c>
      <c r="H12" s="6">
        <f>H7*0.36</f>
        <v>78.84</v>
      </c>
    </row>
    <row r="13" spans="2:13" x14ac:dyDescent="0.25">
      <c r="B13" t="s">
        <v>4</v>
      </c>
      <c r="C13" t="s">
        <v>40</v>
      </c>
      <c r="D13" s="10">
        <f t="shared" si="0"/>
        <v>139.58568000000002</v>
      </c>
      <c r="E13" s="5">
        <f t="shared" si="1"/>
        <v>129.24600000000001</v>
      </c>
      <c r="H13" s="6">
        <f>H8*0.52</f>
        <v>51.698399999999999</v>
      </c>
    </row>
    <row r="14" spans="2:13" x14ac:dyDescent="0.25">
      <c r="B14" s="2" t="s">
        <v>10</v>
      </c>
      <c r="C14" t="s">
        <v>15</v>
      </c>
      <c r="D14" s="10">
        <f>D4-D9</f>
        <v>1063.2125000000001</v>
      </c>
      <c r="E14" s="10">
        <f t="shared" ref="E14:E18" si="2">E4-E9</f>
        <v>1395.625</v>
      </c>
      <c r="H14" s="6"/>
    </row>
    <row r="15" spans="2:13" x14ac:dyDescent="0.25">
      <c r="B15" t="s">
        <v>1</v>
      </c>
      <c r="C15" t="s">
        <v>15</v>
      </c>
      <c r="D15" s="10">
        <f t="shared" ref="D15" si="3">D5-D10</f>
        <v>317.26400000000012</v>
      </c>
      <c r="E15" s="10">
        <f t="shared" si="2"/>
        <v>652.6</v>
      </c>
      <c r="H15" s="6"/>
    </row>
    <row r="16" spans="2:13" x14ac:dyDescent="0.25">
      <c r="B16" t="s">
        <v>2</v>
      </c>
      <c r="C16" t="s">
        <v>15</v>
      </c>
      <c r="D16" s="10">
        <f t="shared" ref="D16" si="4">D6-D11</f>
        <v>362.178</v>
      </c>
      <c r="E16" s="10">
        <f t="shared" si="2"/>
        <v>504.45</v>
      </c>
      <c r="H16" s="6"/>
    </row>
    <row r="17" spans="2:8" x14ac:dyDescent="0.25">
      <c r="B17" t="s">
        <v>3</v>
      </c>
      <c r="C17" t="s">
        <v>15</v>
      </c>
      <c r="D17" s="10">
        <f t="shared" ref="D17" si="5">D7-D12</f>
        <v>248.56499999999997</v>
      </c>
      <c r="E17" s="10">
        <f t="shared" si="2"/>
        <v>350.4</v>
      </c>
      <c r="H17" s="6"/>
    </row>
    <row r="18" spans="2:8" x14ac:dyDescent="0.25">
      <c r="B18" t="s">
        <v>4</v>
      </c>
      <c r="C18" t="s">
        <v>15</v>
      </c>
      <c r="D18" s="10">
        <f t="shared" ref="D18" si="6">D8-D13</f>
        <v>138.79032000000001</v>
      </c>
      <c r="E18" s="10">
        <f t="shared" si="2"/>
        <v>119.304</v>
      </c>
      <c r="H18" s="6"/>
    </row>
    <row r="19" spans="2:8" x14ac:dyDescent="0.25">
      <c r="B19" s="2" t="s">
        <v>10</v>
      </c>
      <c r="C19" t="s">
        <v>41</v>
      </c>
      <c r="D19" s="10">
        <f t="shared" ref="D19:D28" si="7">D68</f>
        <v>479.58750000000003</v>
      </c>
      <c r="E19" s="5">
        <f t="shared" ref="E19:E28" si="8">H19*2.5</f>
        <v>532.875</v>
      </c>
      <c r="H19" s="6">
        <f>H4*0.21</f>
        <v>213.15</v>
      </c>
    </row>
    <row r="20" spans="2:8" x14ac:dyDescent="0.25">
      <c r="B20" t="s">
        <v>1</v>
      </c>
      <c r="C20" t="s">
        <v>41</v>
      </c>
      <c r="D20" s="10">
        <f t="shared" si="7"/>
        <v>260.91450000000003</v>
      </c>
      <c r="E20" s="5">
        <f t="shared" si="8"/>
        <v>263.55</v>
      </c>
      <c r="H20" s="6">
        <f>H5*0.21</f>
        <v>105.42</v>
      </c>
    </row>
    <row r="21" spans="2:8" x14ac:dyDescent="0.25">
      <c r="B21" t="s">
        <v>2</v>
      </c>
      <c r="C21" t="s">
        <v>41</v>
      </c>
      <c r="D21" s="10">
        <f t="shared" si="7"/>
        <v>204.17399999999998</v>
      </c>
      <c r="E21" s="5">
        <f t="shared" si="8"/>
        <v>205.2</v>
      </c>
      <c r="H21" s="6">
        <f>H6*0.24</f>
        <v>82.08</v>
      </c>
    </row>
    <row r="22" spans="2:8" x14ac:dyDescent="0.25">
      <c r="B22" t="s">
        <v>3</v>
      </c>
      <c r="C22" t="s">
        <v>41</v>
      </c>
      <c r="D22" s="10">
        <f t="shared" si="7"/>
        <v>68.984999999999999</v>
      </c>
      <c r="E22" s="5">
        <f t="shared" si="8"/>
        <v>98.550000000000011</v>
      </c>
      <c r="H22" s="6">
        <f>H7*0.18</f>
        <v>39.42</v>
      </c>
    </row>
    <row r="23" spans="2:8" x14ac:dyDescent="0.25">
      <c r="B23" t="s">
        <v>4</v>
      </c>
      <c r="C23" t="s">
        <v>41</v>
      </c>
      <c r="D23" s="10">
        <f t="shared" si="7"/>
        <v>54.283320000000003</v>
      </c>
      <c r="E23" s="5">
        <f t="shared" si="8"/>
        <v>64.623000000000005</v>
      </c>
      <c r="H23" s="6">
        <f>H8*0.26</f>
        <v>25.8492</v>
      </c>
    </row>
    <row r="24" spans="2:8" x14ac:dyDescent="0.25">
      <c r="B24" s="2" t="s">
        <v>10</v>
      </c>
      <c r="C24" t="s">
        <v>12</v>
      </c>
      <c r="D24" s="10">
        <f t="shared" si="7"/>
        <v>105.05249999999999</v>
      </c>
      <c r="E24" s="5">
        <f t="shared" si="8"/>
        <v>155.29500000000002</v>
      </c>
      <c r="H24" s="6">
        <f>(H4-H9-H19)*0.18</f>
        <v>62.118000000000002</v>
      </c>
    </row>
    <row r="25" spans="2:8" x14ac:dyDescent="0.25">
      <c r="B25" t="s">
        <v>1</v>
      </c>
      <c r="C25" t="s">
        <v>12</v>
      </c>
      <c r="D25" s="10">
        <f t="shared" si="7"/>
        <v>10.142910000000017</v>
      </c>
      <c r="E25" s="5">
        <f t="shared" si="8"/>
        <v>70.028999999999996</v>
      </c>
      <c r="H25" s="6">
        <f>(H5-H10-H20)*0.18</f>
        <v>28.011600000000001</v>
      </c>
    </row>
    <row r="26" spans="2:8" x14ac:dyDescent="0.25">
      <c r="B26" t="s">
        <v>2</v>
      </c>
      <c r="C26" t="s">
        <v>12</v>
      </c>
      <c r="D26" s="10">
        <f t="shared" si="7"/>
        <v>28.440720000000002</v>
      </c>
      <c r="E26" s="5">
        <f t="shared" si="8"/>
        <v>53.864999999999995</v>
      </c>
      <c r="H26" s="6">
        <f>(H6-H11-H21)*0.18</f>
        <v>21.545999999999999</v>
      </c>
    </row>
    <row r="27" spans="2:8" x14ac:dyDescent="0.25">
      <c r="B27" t="s">
        <v>3</v>
      </c>
      <c r="C27" t="s">
        <v>12</v>
      </c>
      <c r="D27" s="10">
        <f t="shared" si="7"/>
        <v>32.324399999999997</v>
      </c>
      <c r="E27" s="5">
        <f t="shared" si="8"/>
        <v>45.332999999999998</v>
      </c>
      <c r="H27" s="6">
        <f>(H7-H12-H22)*0.18</f>
        <v>18.133199999999999</v>
      </c>
    </row>
    <row r="28" spans="2:8" x14ac:dyDescent="0.25">
      <c r="B28" t="s">
        <v>4</v>
      </c>
      <c r="C28" t="s">
        <v>12</v>
      </c>
      <c r="D28" s="10">
        <f t="shared" si="7"/>
        <v>15.211260000000001</v>
      </c>
      <c r="E28" s="5">
        <f t="shared" si="8"/>
        <v>9.8425800000000017</v>
      </c>
      <c r="H28" s="6">
        <f>(H8-H13-H23)*0.18</f>
        <v>3.9370320000000003</v>
      </c>
    </row>
    <row r="29" spans="2:8" x14ac:dyDescent="0.25">
      <c r="B29" s="2" t="s">
        <v>10</v>
      </c>
      <c r="C29" t="s">
        <v>42</v>
      </c>
      <c r="D29" s="10">
        <f>D14-D19-D24</f>
        <v>478.57249999999999</v>
      </c>
      <c r="E29" s="10">
        <f t="shared" ref="E29:E33" si="9">E14-E19-E24</f>
        <v>707.45499999999993</v>
      </c>
      <c r="H29" s="6"/>
    </row>
    <row r="30" spans="2:8" x14ac:dyDescent="0.25">
      <c r="B30" t="s">
        <v>1</v>
      </c>
      <c r="C30" t="s">
        <v>42</v>
      </c>
      <c r="D30" s="10">
        <f t="shared" ref="D30" si="10">D15-D20-D25</f>
        <v>46.206590000000077</v>
      </c>
      <c r="E30" s="10">
        <f t="shared" si="9"/>
        <v>319.02100000000002</v>
      </c>
      <c r="H30" s="6"/>
    </row>
    <row r="31" spans="2:8" x14ac:dyDescent="0.25">
      <c r="B31" t="s">
        <v>2</v>
      </c>
      <c r="C31" t="s">
        <v>42</v>
      </c>
      <c r="D31" s="10">
        <f t="shared" ref="D31" si="11">D16-D21-D26</f>
        <v>129.56328000000002</v>
      </c>
      <c r="E31" s="10">
        <f t="shared" si="9"/>
        <v>245.38499999999999</v>
      </c>
      <c r="H31" s="6"/>
    </row>
    <row r="32" spans="2:8" x14ac:dyDescent="0.25">
      <c r="B32" t="s">
        <v>3</v>
      </c>
      <c r="C32" t="s">
        <v>42</v>
      </c>
      <c r="D32" s="10">
        <f t="shared" ref="D32" si="12">D17-D22-D27</f>
        <v>147.25559999999999</v>
      </c>
      <c r="E32" s="10">
        <f t="shared" si="9"/>
        <v>206.51699999999997</v>
      </c>
      <c r="H32" s="6"/>
    </row>
    <row r="33" spans="2:8" x14ac:dyDescent="0.25">
      <c r="B33" t="s">
        <v>4</v>
      </c>
      <c r="C33" t="s">
        <v>42</v>
      </c>
      <c r="D33" s="10">
        <f t="shared" ref="D33" si="13">D18-D23-D28</f>
        <v>69.295740000000009</v>
      </c>
      <c r="E33" s="10">
        <f t="shared" si="9"/>
        <v>44.838419999999999</v>
      </c>
      <c r="H33" s="6"/>
    </row>
    <row r="34" spans="2:8" x14ac:dyDescent="0.25">
      <c r="B34" s="2" t="s">
        <v>10</v>
      </c>
      <c r="C34" t="s">
        <v>43</v>
      </c>
      <c r="D34" s="10">
        <f>D29*0.35</f>
        <v>167.50037499999999</v>
      </c>
      <c r="E34" s="10">
        <f>E29*0.24</f>
        <v>169.78919999999997</v>
      </c>
      <c r="H34" s="6"/>
    </row>
    <row r="35" spans="2:8" x14ac:dyDescent="0.25">
      <c r="B35" t="s">
        <v>1</v>
      </c>
      <c r="C35" t="s">
        <v>43</v>
      </c>
      <c r="D35" s="10">
        <f>D30*0.3</f>
        <v>13.861977000000023</v>
      </c>
      <c r="E35" s="10">
        <f>E30*0.29</f>
        <v>92.516089999999991</v>
      </c>
      <c r="H35" s="6"/>
    </row>
    <row r="36" spans="2:8" x14ac:dyDescent="0.25">
      <c r="B36" t="s">
        <v>2</v>
      </c>
      <c r="C36" t="s">
        <v>43</v>
      </c>
      <c r="D36" s="10">
        <f>D31*0.39</f>
        <v>50.529679200000011</v>
      </c>
      <c r="E36" s="10">
        <f>E31*0.35</f>
        <v>85.884749999999997</v>
      </c>
      <c r="H36" s="6"/>
    </row>
    <row r="37" spans="2:8" x14ac:dyDescent="0.25">
      <c r="B37" t="s">
        <v>3</v>
      </c>
      <c r="C37" t="s">
        <v>43</v>
      </c>
      <c r="D37" s="10">
        <f>D32*0.4</f>
        <v>58.902239999999999</v>
      </c>
      <c r="E37" s="10">
        <f>E32*0.38</f>
        <v>78.476459999999989</v>
      </c>
      <c r="H37" s="6"/>
    </row>
    <row r="38" spans="2:8" x14ac:dyDescent="0.25">
      <c r="B38" t="s">
        <v>4</v>
      </c>
      <c r="C38" t="s">
        <v>43</v>
      </c>
      <c r="D38" s="10">
        <f>D33*0.26</f>
        <v>18.016892400000003</v>
      </c>
      <c r="E38" s="10">
        <f>E33*0.32</f>
        <v>14.3482944</v>
      </c>
      <c r="H38" s="6"/>
    </row>
    <row r="39" spans="2:8" x14ac:dyDescent="0.25">
      <c r="B39" s="2" t="s">
        <v>10</v>
      </c>
      <c r="C39" t="s">
        <v>44</v>
      </c>
      <c r="D39" s="10">
        <f>D29-D34</f>
        <v>311.07212500000003</v>
      </c>
      <c r="E39" s="10">
        <f t="shared" ref="E39:E43" si="14">E29-E34</f>
        <v>537.66579999999999</v>
      </c>
      <c r="H39" s="6"/>
    </row>
    <row r="40" spans="2:8" x14ac:dyDescent="0.25">
      <c r="B40" t="s">
        <v>1</v>
      </c>
      <c r="C40" t="s">
        <v>44</v>
      </c>
      <c r="D40" s="10">
        <f t="shared" ref="D40" si="15">D30-D35</f>
        <v>32.344613000000052</v>
      </c>
      <c r="E40" s="10">
        <f t="shared" si="14"/>
        <v>226.50491000000002</v>
      </c>
      <c r="H40" s="6"/>
    </row>
    <row r="41" spans="2:8" x14ac:dyDescent="0.25">
      <c r="B41" t="s">
        <v>2</v>
      </c>
      <c r="C41" t="s">
        <v>44</v>
      </c>
      <c r="D41" s="10">
        <f t="shared" ref="D41" si="16">D31-D36</f>
        <v>79.033600800000016</v>
      </c>
      <c r="E41" s="10">
        <f t="shared" si="14"/>
        <v>159.50024999999999</v>
      </c>
      <c r="H41" s="6"/>
    </row>
    <row r="42" spans="2:8" x14ac:dyDescent="0.25">
      <c r="B42" t="s">
        <v>3</v>
      </c>
      <c r="C42" t="s">
        <v>44</v>
      </c>
      <c r="D42" s="10">
        <f t="shared" ref="D42" si="17">D32-D37</f>
        <v>88.353359999999981</v>
      </c>
      <c r="E42" s="10">
        <f t="shared" si="14"/>
        <v>128.04053999999996</v>
      </c>
      <c r="H42" s="6"/>
    </row>
    <row r="43" spans="2:8" x14ac:dyDescent="0.25">
      <c r="B43" t="s">
        <v>4</v>
      </c>
      <c r="C43" t="s">
        <v>44</v>
      </c>
      <c r="D43" s="10">
        <f t="shared" ref="D43" si="18">D33-D38</f>
        <v>51.278847600000006</v>
      </c>
      <c r="E43" s="10">
        <f t="shared" si="14"/>
        <v>30.490125599999999</v>
      </c>
      <c r="H43" s="6"/>
    </row>
    <row r="44" spans="2:8" x14ac:dyDescent="0.25">
      <c r="B44" s="2" t="s">
        <v>10</v>
      </c>
      <c r="C44" t="s">
        <v>45</v>
      </c>
      <c r="D44" s="10">
        <f>D39*0.2</f>
        <v>62.214425000000006</v>
      </c>
      <c r="E44" s="10">
        <f t="shared" ref="E44:E48" si="19">E39*0.2</f>
        <v>107.53316000000001</v>
      </c>
      <c r="H44" s="6"/>
    </row>
    <row r="45" spans="2:8" x14ac:dyDescent="0.25">
      <c r="B45" t="s">
        <v>1</v>
      </c>
      <c r="C45" t="s">
        <v>45</v>
      </c>
      <c r="D45" s="10">
        <f t="shared" ref="D45" si="20">D40*0.2</f>
        <v>6.4689226000000106</v>
      </c>
      <c r="E45" s="10">
        <f t="shared" si="19"/>
        <v>45.300982000000005</v>
      </c>
      <c r="H45" s="6"/>
    </row>
    <row r="46" spans="2:8" x14ac:dyDescent="0.25">
      <c r="B46" t="s">
        <v>2</v>
      </c>
      <c r="C46" t="s">
        <v>45</v>
      </c>
      <c r="D46" s="10">
        <f t="shared" ref="D46" si="21">D41*0.2</f>
        <v>15.806720160000005</v>
      </c>
      <c r="E46" s="10">
        <f t="shared" si="19"/>
        <v>31.90005</v>
      </c>
      <c r="H46" s="6"/>
    </row>
    <row r="47" spans="2:8" x14ac:dyDescent="0.25">
      <c r="B47" t="s">
        <v>3</v>
      </c>
      <c r="C47" t="s">
        <v>45</v>
      </c>
      <c r="D47" s="10">
        <f t="shared" ref="D47" si="22">D42*0.2</f>
        <v>17.670671999999996</v>
      </c>
      <c r="E47" s="10">
        <f t="shared" si="19"/>
        <v>25.608107999999994</v>
      </c>
      <c r="H47" s="6"/>
    </row>
    <row r="48" spans="2:8" x14ac:dyDescent="0.25">
      <c r="B48" t="s">
        <v>4</v>
      </c>
      <c r="C48" t="s">
        <v>45</v>
      </c>
      <c r="D48" s="10">
        <f t="shared" ref="D48" si="23">D43*0.2</f>
        <v>10.255769520000001</v>
      </c>
      <c r="E48" s="10">
        <f t="shared" si="19"/>
        <v>6.09802512</v>
      </c>
      <c r="H48" s="6"/>
    </row>
    <row r="49" spans="2:8" x14ac:dyDescent="0.25">
      <c r="B49" s="2" t="s">
        <v>10</v>
      </c>
      <c r="C49" t="s">
        <v>16</v>
      </c>
      <c r="D49" s="10">
        <f>D39-D44</f>
        <v>248.85770000000002</v>
      </c>
      <c r="E49" s="10">
        <f t="shared" ref="E49:E53" si="24">E39-E44</f>
        <v>430.13263999999998</v>
      </c>
      <c r="H49" s="6"/>
    </row>
    <row r="50" spans="2:8" x14ac:dyDescent="0.25">
      <c r="B50" t="s">
        <v>1</v>
      </c>
      <c r="C50" t="s">
        <v>16</v>
      </c>
      <c r="D50" s="10">
        <f t="shared" ref="D50" si="25">D40-D45</f>
        <v>25.875690400000043</v>
      </c>
      <c r="E50" s="10">
        <f t="shared" si="24"/>
        <v>181.20392800000002</v>
      </c>
      <c r="H50" s="6"/>
    </row>
    <row r="51" spans="2:8" x14ac:dyDescent="0.25">
      <c r="B51" t="s">
        <v>2</v>
      </c>
      <c r="C51" t="s">
        <v>16</v>
      </c>
      <c r="D51" s="10">
        <f t="shared" ref="D51" si="26">D41-D46</f>
        <v>63.226880640000012</v>
      </c>
      <c r="E51" s="10">
        <f t="shared" si="24"/>
        <v>127.6002</v>
      </c>
      <c r="H51" s="6"/>
    </row>
    <row r="52" spans="2:8" x14ac:dyDescent="0.25">
      <c r="B52" t="s">
        <v>3</v>
      </c>
      <c r="C52" t="s">
        <v>16</v>
      </c>
      <c r="D52" s="10">
        <f t="shared" ref="D52" si="27">D42-D47</f>
        <v>70.682687999999985</v>
      </c>
      <c r="E52" s="10">
        <f t="shared" si="24"/>
        <v>102.43243199999998</v>
      </c>
      <c r="H52" s="6"/>
    </row>
    <row r="53" spans="2:8" x14ac:dyDescent="0.25">
      <c r="B53" t="s">
        <v>4</v>
      </c>
      <c r="C53" t="s">
        <v>16</v>
      </c>
      <c r="D53" s="10">
        <f t="shared" ref="D53" si="28">D43-D48</f>
        <v>41.023078080000005</v>
      </c>
      <c r="E53" s="10">
        <f t="shared" si="24"/>
        <v>24.39210048</v>
      </c>
      <c r="H53" s="6"/>
    </row>
    <row r="54" spans="2:8" x14ac:dyDescent="0.25">
      <c r="D54" s="10"/>
      <c r="E54" s="5"/>
      <c r="H54" s="6"/>
    </row>
    <row r="55" spans="2:8" x14ac:dyDescent="0.25">
      <c r="D55" s="10"/>
      <c r="E55" s="5"/>
      <c r="H55" s="6"/>
    </row>
    <row r="56" spans="2:8" x14ac:dyDescent="0.25">
      <c r="D56" s="10"/>
      <c r="E56" s="5"/>
      <c r="H56" s="6"/>
    </row>
    <row r="57" spans="2:8" x14ac:dyDescent="0.25">
      <c r="D57" s="5"/>
      <c r="E57" s="5"/>
      <c r="H57" s="6"/>
    </row>
    <row r="58" spans="2:8" x14ac:dyDescent="0.25">
      <c r="B58" s="2" t="s">
        <v>10</v>
      </c>
      <c r="C58" t="s">
        <v>8</v>
      </c>
      <c r="D58" s="5">
        <f>E4*0.95</f>
        <v>2410.625</v>
      </c>
      <c r="E58" s="5">
        <f>D58*1.1</f>
        <v>2651.6875</v>
      </c>
    </row>
    <row r="59" spans="2:8" x14ac:dyDescent="0.25">
      <c r="B59" t="s">
        <v>1</v>
      </c>
      <c r="C59" t="s">
        <v>8</v>
      </c>
      <c r="D59" s="5">
        <f>E5*0.8</f>
        <v>1004</v>
      </c>
      <c r="E59" s="5">
        <f>D59*1.13</f>
        <v>1134.52</v>
      </c>
    </row>
    <row r="60" spans="2:8" x14ac:dyDescent="0.25">
      <c r="B60" t="s">
        <v>2</v>
      </c>
      <c r="C60" t="s">
        <v>8</v>
      </c>
      <c r="D60" s="5">
        <f>E6*0.85</f>
        <v>726.75</v>
      </c>
      <c r="E60" s="5">
        <f>D60*1.2</f>
        <v>872.1</v>
      </c>
    </row>
    <row r="61" spans="2:8" x14ac:dyDescent="0.25">
      <c r="B61" t="s">
        <v>3</v>
      </c>
      <c r="C61" t="s">
        <v>8</v>
      </c>
      <c r="D61" s="5">
        <f>E7*0.85</f>
        <v>465.375</v>
      </c>
      <c r="E61" s="5">
        <f>D61*1.01</f>
        <v>470.02875</v>
      </c>
    </row>
    <row r="62" spans="2:8" x14ac:dyDescent="0.25">
      <c r="B62" t="s">
        <v>4</v>
      </c>
      <c r="C62" t="s">
        <v>8</v>
      </c>
      <c r="D62" s="5">
        <f>E8*1.12</f>
        <v>278.37600000000003</v>
      </c>
      <c r="E62" s="5">
        <f>D62*0.8</f>
        <v>222.70080000000004</v>
      </c>
    </row>
    <row r="63" spans="2:8" x14ac:dyDescent="0.25">
      <c r="B63" s="2" t="s">
        <v>10</v>
      </c>
      <c r="C63" t="s">
        <v>13</v>
      </c>
      <c r="D63" s="5">
        <f>E9*1.18</f>
        <v>1347.4124999999999</v>
      </c>
      <c r="E63" s="5">
        <f>D63*0.9</f>
        <v>1212.6712499999999</v>
      </c>
    </row>
    <row r="64" spans="2:8" x14ac:dyDescent="0.25">
      <c r="B64" t="s">
        <v>1</v>
      </c>
      <c r="C64" t="s">
        <v>13</v>
      </c>
      <c r="D64" s="5">
        <f>E10*1.14</f>
        <v>686.73599999999988</v>
      </c>
      <c r="E64" s="5">
        <f>D64*0.78</f>
        <v>535.65407999999991</v>
      </c>
    </row>
    <row r="65" spans="2:5" x14ac:dyDescent="0.25">
      <c r="B65" t="s">
        <v>2</v>
      </c>
      <c r="C65" t="s">
        <v>13</v>
      </c>
      <c r="D65" s="5">
        <f>E11*1.04</f>
        <v>364.572</v>
      </c>
      <c r="E65" s="5">
        <f>D65*0.89</f>
        <v>324.46908000000002</v>
      </c>
    </row>
    <row r="66" spans="2:5" x14ac:dyDescent="0.25">
      <c r="B66" t="s">
        <v>3</v>
      </c>
      <c r="C66" t="s">
        <v>13</v>
      </c>
      <c r="D66" s="5">
        <f>E12*1.1</f>
        <v>216.81000000000003</v>
      </c>
      <c r="E66" s="5">
        <f>D66*0.89</f>
        <v>192.96090000000004</v>
      </c>
    </row>
    <row r="67" spans="2:5" x14ac:dyDescent="0.25">
      <c r="B67" t="s">
        <v>4</v>
      </c>
      <c r="C67" t="s">
        <v>13</v>
      </c>
      <c r="D67" s="5">
        <f>E13*1.08</f>
        <v>139.58568000000002</v>
      </c>
      <c r="E67" s="5">
        <f>D67*1.01</f>
        <v>140.98153680000001</v>
      </c>
    </row>
    <row r="68" spans="2:5" x14ac:dyDescent="0.25">
      <c r="B68" s="2" t="s">
        <v>10</v>
      </c>
      <c r="C68" t="s">
        <v>14</v>
      </c>
      <c r="D68" s="5">
        <f>E19*0.9</f>
        <v>479.58750000000003</v>
      </c>
      <c r="E68" s="5">
        <f>D68*1.1</f>
        <v>527.5462500000001</v>
      </c>
    </row>
    <row r="69" spans="2:5" x14ac:dyDescent="0.25">
      <c r="B69" t="s">
        <v>1</v>
      </c>
      <c r="C69" t="s">
        <v>14</v>
      </c>
      <c r="D69" s="5">
        <f>E20*0.99</f>
        <v>260.91450000000003</v>
      </c>
      <c r="E69" s="5">
        <f>D69*1.01</f>
        <v>263.52364500000004</v>
      </c>
    </row>
    <row r="70" spans="2:5" x14ac:dyDescent="0.25">
      <c r="B70" t="s">
        <v>2</v>
      </c>
      <c r="C70" t="s">
        <v>14</v>
      </c>
      <c r="D70" s="5">
        <f>E21*0.995</f>
        <v>204.17399999999998</v>
      </c>
      <c r="E70" s="5">
        <f>D70*1</f>
        <v>204.17399999999998</v>
      </c>
    </row>
    <row r="71" spans="2:5" x14ac:dyDescent="0.25">
      <c r="B71" t="s">
        <v>3</v>
      </c>
      <c r="C71" t="s">
        <v>14</v>
      </c>
      <c r="D71" s="5">
        <f>E22*0.7</f>
        <v>68.984999999999999</v>
      </c>
      <c r="E71" s="5">
        <f>D71*0.98</f>
        <v>67.6053</v>
      </c>
    </row>
    <row r="72" spans="2:5" x14ac:dyDescent="0.25">
      <c r="B72" t="s">
        <v>4</v>
      </c>
      <c r="C72" t="s">
        <v>14</v>
      </c>
      <c r="D72" s="5">
        <f>E23*0.84</f>
        <v>54.283320000000003</v>
      </c>
      <c r="E72" s="5">
        <f>D72*0.85</f>
        <v>46.140822</v>
      </c>
    </row>
    <row r="73" spans="2:5" x14ac:dyDescent="0.25">
      <c r="B73" s="2" t="s">
        <v>10</v>
      </c>
      <c r="C73" t="s">
        <v>12</v>
      </c>
      <c r="D73" s="5">
        <f>(D58-D63-D68)*0.18</f>
        <v>105.05249999999999</v>
      </c>
      <c r="E73" s="5">
        <f>D73*1.1</f>
        <v>115.55775</v>
      </c>
    </row>
    <row r="74" spans="2:5" x14ac:dyDescent="0.25">
      <c r="B74" t="s">
        <v>1</v>
      </c>
      <c r="C74" t="s">
        <v>12</v>
      </c>
      <c r="D74" s="5">
        <f t="shared" ref="D74:D77" si="29">(D59-D64-D69)*0.18</f>
        <v>10.142910000000017</v>
      </c>
      <c r="E74" s="5">
        <f>D74*1.03</f>
        <v>10.447197300000017</v>
      </c>
    </row>
    <row r="75" spans="2:5" x14ac:dyDescent="0.25">
      <c r="B75" t="s">
        <v>2</v>
      </c>
      <c r="C75" t="s">
        <v>12</v>
      </c>
      <c r="D75" s="5">
        <f t="shared" si="29"/>
        <v>28.440720000000002</v>
      </c>
      <c r="E75" s="5">
        <f>D75*1.12</f>
        <v>31.853606400000007</v>
      </c>
    </row>
    <row r="76" spans="2:5" x14ac:dyDescent="0.25">
      <c r="B76" t="s">
        <v>3</v>
      </c>
      <c r="C76" t="s">
        <v>12</v>
      </c>
      <c r="D76" s="5">
        <f t="shared" si="29"/>
        <v>32.324399999999997</v>
      </c>
      <c r="E76" s="5">
        <f>D76*1.07</f>
        <v>34.587108000000001</v>
      </c>
    </row>
    <row r="77" spans="2:5" x14ac:dyDescent="0.25">
      <c r="B77" t="s">
        <v>4</v>
      </c>
      <c r="C77" t="s">
        <v>12</v>
      </c>
      <c r="D77" s="5">
        <f t="shared" si="29"/>
        <v>15.211260000000001</v>
      </c>
      <c r="E77" s="5">
        <f>D77*0.9</f>
        <v>13.690134</v>
      </c>
    </row>
    <row r="78" spans="2:5" x14ac:dyDescent="0.25">
      <c r="B78" s="2" t="s">
        <v>10</v>
      </c>
      <c r="C78" t="s">
        <v>8</v>
      </c>
      <c r="D78" s="5">
        <f>D58*1.05</f>
        <v>2531.15625</v>
      </c>
      <c r="E78" s="5">
        <f>E58*1.12</f>
        <v>2969.8900000000003</v>
      </c>
    </row>
    <row r="79" spans="2:5" x14ac:dyDescent="0.25">
      <c r="B79" t="s">
        <v>1</v>
      </c>
      <c r="C79" t="s">
        <v>8</v>
      </c>
      <c r="D79" s="5">
        <f t="shared" ref="D79:D82" si="30">D59*1.05</f>
        <v>1054.2</v>
      </c>
      <c r="E79" s="5">
        <f>E59*1.14</f>
        <v>1293.3527999999999</v>
      </c>
    </row>
    <row r="80" spans="2:5" x14ac:dyDescent="0.25">
      <c r="B80" t="s">
        <v>2</v>
      </c>
      <c r="C80" t="s">
        <v>8</v>
      </c>
      <c r="D80" s="5">
        <f t="shared" si="30"/>
        <v>763.08749999999998</v>
      </c>
      <c r="E80" s="5">
        <f>E60*1.08</f>
        <v>941.86800000000005</v>
      </c>
    </row>
    <row r="81" spans="2:5" x14ac:dyDescent="0.25">
      <c r="B81" t="s">
        <v>3</v>
      </c>
      <c r="C81" t="s">
        <v>8</v>
      </c>
      <c r="D81" s="5">
        <f t="shared" si="30"/>
        <v>488.64375000000001</v>
      </c>
      <c r="E81" s="5">
        <f>E61*1.02</f>
        <v>479.42932500000001</v>
      </c>
    </row>
    <row r="82" spans="2:5" x14ac:dyDescent="0.25">
      <c r="B82" t="s">
        <v>4</v>
      </c>
      <c r="C82" t="s">
        <v>8</v>
      </c>
      <c r="D82" s="5">
        <f t="shared" si="30"/>
        <v>292.29480000000007</v>
      </c>
      <c r="E82" s="5">
        <f>E62*0.878</f>
        <v>195.53130240000004</v>
      </c>
    </row>
    <row r="83" spans="2:5" x14ac:dyDescent="0.25">
      <c r="B83" s="2" t="s">
        <v>10</v>
      </c>
      <c r="C83" t="s">
        <v>13</v>
      </c>
      <c r="D83" s="5">
        <f>D63*0.9</f>
        <v>1212.6712499999999</v>
      </c>
      <c r="E83" s="5">
        <f>D83*1.1</f>
        <v>1333.938375</v>
      </c>
    </row>
    <row r="84" spans="2:5" x14ac:dyDescent="0.25">
      <c r="B84" t="s">
        <v>1</v>
      </c>
      <c r="C84" t="s">
        <v>13</v>
      </c>
      <c r="D84" s="5">
        <f t="shared" ref="D84:D87" si="31">D64*0.9</f>
        <v>618.06239999999991</v>
      </c>
      <c r="E84" s="5">
        <f>D84*1.02</f>
        <v>630.42364799999996</v>
      </c>
    </row>
    <row r="85" spans="2:5" x14ac:dyDescent="0.25">
      <c r="B85" t="s">
        <v>2</v>
      </c>
      <c r="C85" t="s">
        <v>13</v>
      </c>
      <c r="D85" s="5">
        <f t="shared" si="31"/>
        <v>328.1148</v>
      </c>
      <c r="E85" s="5">
        <f>D85*1.01</f>
        <v>331.39594800000003</v>
      </c>
    </row>
    <row r="86" spans="2:5" x14ac:dyDescent="0.25">
      <c r="B86" t="s">
        <v>3</v>
      </c>
      <c r="C86" t="s">
        <v>13</v>
      </c>
      <c r="D86" s="5">
        <f t="shared" si="31"/>
        <v>195.12900000000002</v>
      </c>
      <c r="E86" s="5">
        <f>D86*0.97</f>
        <v>189.27513000000002</v>
      </c>
    </row>
    <row r="87" spans="2:5" x14ac:dyDescent="0.25">
      <c r="B87" t="s">
        <v>4</v>
      </c>
      <c r="C87" t="s">
        <v>13</v>
      </c>
      <c r="D87" s="5">
        <f t="shared" si="31"/>
        <v>125.62711200000003</v>
      </c>
      <c r="E87" s="5">
        <f>D87*1</f>
        <v>125.62711200000003</v>
      </c>
    </row>
    <row r="88" spans="2:5" x14ac:dyDescent="0.25">
      <c r="B88" s="2" t="s">
        <v>10</v>
      </c>
      <c r="C88" t="s">
        <v>14</v>
      </c>
      <c r="D88" s="5">
        <f>D68*1.1</f>
        <v>527.5462500000001</v>
      </c>
      <c r="E88" s="5">
        <f>D88*1.01</f>
        <v>532.8217125000001</v>
      </c>
    </row>
    <row r="89" spans="2:5" x14ac:dyDescent="0.25">
      <c r="B89" t="s">
        <v>1</v>
      </c>
      <c r="C89" t="s">
        <v>14</v>
      </c>
      <c r="D89" s="5">
        <f t="shared" ref="D89:D92" si="32">D69*1.1</f>
        <v>287.00595000000004</v>
      </c>
      <c r="E89" s="5">
        <f>D89*1.09</f>
        <v>312.83648550000009</v>
      </c>
    </row>
    <row r="90" spans="2:5" x14ac:dyDescent="0.25">
      <c r="B90" t="s">
        <v>2</v>
      </c>
      <c r="C90" t="s">
        <v>14</v>
      </c>
      <c r="D90" s="5">
        <f t="shared" si="32"/>
        <v>224.59139999999999</v>
      </c>
      <c r="E90" s="5">
        <f>D90*1.07</f>
        <v>240.31279800000002</v>
      </c>
    </row>
    <row r="91" spans="2:5" x14ac:dyDescent="0.25">
      <c r="B91" t="s">
        <v>3</v>
      </c>
      <c r="C91" t="s">
        <v>14</v>
      </c>
      <c r="D91" s="5">
        <f t="shared" si="32"/>
        <v>75.883500000000012</v>
      </c>
      <c r="E91" s="5">
        <f>D91*1.07</f>
        <v>81.195345000000017</v>
      </c>
    </row>
    <row r="92" spans="2:5" x14ac:dyDescent="0.25">
      <c r="B92" t="s">
        <v>4</v>
      </c>
      <c r="C92" t="s">
        <v>14</v>
      </c>
      <c r="D92" s="5">
        <f t="shared" si="32"/>
        <v>59.711652000000008</v>
      </c>
      <c r="E92" s="5">
        <f>D92*1.07</f>
        <v>63.891467640000009</v>
      </c>
    </row>
    <row r="93" spans="2:5" x14ac:dyDescent="0.25">
      <c r="B93" s="2" t="s">
        <v>10</v>
      </c>
      <c r="C93" t="s">
        <v>12</v>
      </c>
      <c r="D93" s="5">
        <f>(D78-D83-D88)*0.18</f>
        <v>142.36897500000001</v>
      </c>
      <c r="E93" s="5">
        <f>D93*1.08</f>
        <v>153.75849300000002</v>
      </c>
    </row>
    <row r="94" spans="2:5" x14ac:dyDescent="0.25">
      <c r="B94" t="s">
        <v>1</v>
      </c>
      <c r="C94" t="s">
        <v>12</v>
      </c>
      <c r="D94" s="5">
        <f t="shared" ref="D94:D97" si="33">(D79-D84-D89)*0.18</f>
        <v>26.843697000000017</v>
      </c>
      <c r="E94" s="5">
        <f>D94*1.1</f>
        <v>29.528066700000021</v>
      </c>
    </row>
    <row r="95" spans="2:5" x14ac:dyDescent="0.25">
      <c r="B95" t="s">
        <v>2</v>
      </c>
      <c r="C95" t="s">
        <v>12</v>
      </c>
      <c r="D95" s="5">
        <f t="shared" si="33"/>
        <v>37.868633999999993</v>
      </c>
      <c r="E95" s="5">
        <f>D95*1.1</f>
        <v>41.655497399999994</v>
      </c>
    </row>
    <row r="96" spans="2:5" x14ac:dyDescent="0.25">
      <c r="B96" t="s">
        <v>3</v>
      </c>
      <c r="C96" t="s">
        <v>12</v>
      </c>
      <c r="D96" s="5">
        <f t="shared" si="33"/>
        <v>39.173624999999994</v>
      </c>
      <c r="E96" s="5">
        <f>D96*1.14</f>
        <v>44.657932499999987</v>
      </c>
    </row>
    <row r="97" spans="2:5" x14ac:dyDescent="0.25">
      <c r="B97" t="s">
        <v>4</v>
      </c>
      <c r="C97" t="s">
        <v>12</v>
      </c>
      <c r="D97" s="5">
        <f t="shared" si="33"/>
        <v>19.252086480000006</v>
      </c>
      <c r="E97" s="5">
        <f>D97*1.02</f>
        <v>19.637128209600007</v>
      </c>
    </row>
  </sheetData>
  <mergeCells count="1">
    <mergeCell ref="B2:E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 Sharable Slic</vt:lpstr>
      <vt:lpstr>Sales by Product and Year</vt:lpstr>
      <vt:lpstr>Data</vt:lpstr>
      <vt:lpstr>PROFITABILITY BY REGION </vt:lpstr>
      <vt:lpstr>Sum of Quantity Sold</vt:lpstr>
      <vt:lpstr>Average of Price per unit</vt:lpstr>
      <vt:lpstr>Coca Cola</vt:lpstr>
      <vt:lpstr>Coca Cola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Microsoft Office User</dc:creator>
  <cp:lastModifiedBy>John Arnold</cp:lastModifiedBy>
  <cp:lastPrinted>2022-04-03T22:02:40Z</cp:lastPrinted>
  <dcterms:created xsi:type="dcterms:W3CDTF">2022-03-14T09:41:07Z</dcterms:created>
  <dcterms:modified xsi:type="dcterms:W3CDTF">2022-04-03T22:04:18Z</dcterms:modified>
</cp:coreProperties>
</file>