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showInkAnnotation="0"/>
  <xr:revisionPtr revIDLastSave="0" documentId="13_ncr:1_{B0366249-0913-4667-B336-06236ADA1B50}" xr6:coauthVersionLast="47" xr6:coauthVersionMax="47" xr10:uidLastSave="{00000000-0000-0000-0000-000000000000}"/>
  <bookViews>
    <workbookView xWindow="28680" yWindow="-120" windowWidth="29040" windowHeight="15720" tabRatio="721" activeTab="3" xr2:uid="{00000000-000D-0000-FFFF-FFFF00000000}"/>
  </bookViews>
  <sheets>
    <sheet name="Hinweise" sheetId="1" r:id="rId1"/>
    <sheet name="Parameter" sheetId="2" r:id="rId2"/>
    <sheet name="AfA" sheetId="14" r:id="rId3"/>
    <sheet name="Cash &amp; Assets" sheetId="3" r:id="rId4"/>
    <sheet name="Kennzahlen" sheetId="11" r:id="rId5"/>
    <sheet name="Graphiken" sheetId="12" r:id="rId6"/>
  </sheets>
  <definedNames>
    <definedName name="Abschreibung_in_Prozent">Parameter!#REF!</definedName>
    <definedName name="AfA_Art">Parameter!$B$19</definedName>
    <definedName name="AfA_Tabelle">AfA!$A$16:$F$46</definedName>
    <definedName name="AFABasis">Parameter!$B$20</definedName>
    <definedName name="Annuität_Kredit_1_p.a.">Parameter!$B$66</definedName>
    <definedName name="Annuität_Kredit_2_p.a.">Parameter!$B$75</definedName>
    <definedName name="Anschlusskredit">Parameter!$B$70</definedName>
    <definedName name="AuszahungKredit1">Parameter!$B$63</definedName>
    <definedName name="Baukostensteigerung_p.a">Parameter!$B$25</definedName>
    <definedName name="Bemessungsgrundlage">Parameter!#REF!</definedName>
    <definedName name="Deg5Lin2">AfA!$C$15</definedName>
    <definedName name="Deg5Lin3">AfA!$B$15</definedName>
    <definedName name="Disagio">Parameter!$B$62</definedName>
    <definedName name="Disagio_in_Prozent">Parameter!$B$61</definedName>
    <definedName name="Eigenkapital">Parameter!$B$51</definedName>
    <definedName name="Finanzbedarf">Parameter!$B$53</definedName>
    <definedName name="FinZeitraum">Parameter!$B$54</definedName>
    <definedName name="FittingUp">Parameter!$B$14</definedName>
    <definedName name="Gebäude">Parameter!$B$6</definedName>
    <definedName name="Grenzsteuersatz">Parameter!$B$47</definedName>
    <definedName name="Grundbuchamt">Parameter!$B$10</definedName>
    <definedName name="Grunderwerbsteuer">Parameter!$B$8</definedName>
    <definedName name="Grundstück">Parameter!$B$5</definedName>
    <definedName name="Instanhaltungskosten_am_Anfang">Parameter!$B$15</definedName>
    <definedName name="Investment">Parameter!$B$52</definedName>
    <definedName name="Kreditbedarf">Parameter!$B$59</definedName>
    <definedName name="Kreditzins1">Parameter!$B$64</definedName>
    <definedName name="Kreditzins2">Parameter!$B$71</definedName>
    <definedName name="LaufzeitKredit1">Parameter!$B$57</definedName>
    <definedName name="Lebensdauer">Parameter!$B$18</definedName>
    <definedName name="Linear2">AfA!$E$15</definedName>
    <definedName name="Linear3">AfA!$D$15</definedName>
    <definedName name="LinearX">AfA!$F$15</definedName>
    <definedName name="Maklergebühren">Parameter!$B$9</definedName>
    <definedName name="Mietpreissteigerung_p.a.">Parameter!$B$44</definedName>
    <definedName name="Notargebühren">Parameter!$B$11</definedName>
    <definedName name="RBWnach6Jahren">'Cash &amp; Assets'!$R$13</definedName>
    <definedName name="Restlaufzeit">Parameter!$B$73</definedName>
    <definedName name="Start">Parameter!$D$3</definedName>
    <definedName name="Startjahr">Parameter!$B$3</definedName>
    <definedName name="Unterhaltskosten_p.a.">Parameter!$B$33</definedName>
    <definedName name="Unterhaltskostensteigerung">Parameter!$B$34</definedName>
    <definedName name="Verkaufsjahr">Parameter!#REF!</definedName>
    <definedName name="Wertverlust_des_Gebäudes_p.a.">Parameter!$B$23</definedName>
    <definedName name="Wertzuwachst_des_Grundstücks_p.a.">Parameter!$B$24</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8" i="2" l="1"/>
  <c r="AN7" i="3"/>
  <c r="AL7" i="3"/>
  <c r="J39" i="2" l="1"/>
  <c r="B4" i="2"/>
  <c r="AD7" i="3"/>
  <c r="B80" i="2" l="1"/>
  <c r="B81" i="2" s="1"/>
  <c r="Y6" i="3" s="1"/>
  <c r="D54" i="2"/>
  <c r="N3" i="3"/>
  <c r="F17" i="14"/>
  <c r="N9" i="3" s="1"/>
  <c r="F18" i="14"/>
  <c r="N10" i="3" s="1"/>
  <c r="F19" i="14"/>
  <c r="N11" i="3" s="1"/>
  <c r="F20" i="14"/>
  <c r="N12" i="3" s="1"/>
  <c r="F21" i="14"/>
  <c r="N13" i="3" s="1"/>
  <c r="F22" i="14"/>
  <c r="N14" i="3" s="1"/>
  <c r="F23" i="14"/>
  <c r="N15" i="3" s="1"/>
  <c r="F24" i="14"/>
  <c r="N16" i="3" s="1"/>
  <c r="F25" i="14"/>
  <c r="N17" i="3" s="1"/>
  <c r="F26" i="14"/>
  <c r="N18" i="3" s="1"/>
  <c r="F27" i="14"/>
  <c r="N19" i="3" s="1"/>
  <c r="F28" i="14"/>
  <c r="N20" i="3" s="1"/>
  <c r="F29" i="14"/>
  <c r="N21" i="3" s="1"/>
  <c r="F30" i="14"/>
  <c r="N22" i="3" s="1"/>
  <c r="F31" i="14"/>
  <c r="N23" i="3" s="1"/>
  <c r="F32" i="14"/>
  <c r="N24" i="3" s="1"/>
  <c r="F33" i="14"/>
  <c r="N25" i="3" s="1"/>
  <c r="F34" i="14"/>
  <c r="N26" i="3" s="1"/>
  <c r="F35" i="14"/>
  <c r="N27" i="3" s="1"/>
  <c r="F36" i="14"/>
  <c r="N28" i="3" s="1"/>
  <c r="F37" i="14"/>
  <c r="N29" i="3" s="1"/>
  <c r="F38" i="14"/>
  <c r="N30" i="3" s="1"/>
  <c r="F39" i="14"/>
  <c r="N31" i="3" s="1"/>
  <c r="F40" i="14"/>
  <c r="N32" i="3" s="1"/>
  <c r="F41" i="14"/>
  <c r="N33" i="3" s="1"/>
  <c r="F42" i="14"/>
  <c r="N34" i="3" s="1"/>
  <c r="F43" i="14"/>
  <c r="N35" i="3" s="1"/>
  <c r="F44" i="14"/>
  <c r="N36" i="3" s="1"/>
  <c r="F45" i="14"/>
  <c r="N37" i="3" s="1"/>
  <c r="F46" i="14"/>
  <c r="N38" i="3" s="1"/>
  <c r="F16" i="14"/>
  <c r="N8" i="3" s="1"/>
  <c r="AA6" i="3" l="1"/>
  <c r="AH7" i="3"/>
  <c r="Y54" i="3"/>
  <c r="AA54" i="3" s="1"/>
  <c r="AF22" i="11" l="1"/>
  <c r="C7" i="3" l="1"/>
  <c r="AD8" i="3"/>
  <c r="AD9" i="3" s="1"/>
  <c r="AD10" i="3" s="1"/>
  <c r="AD11" i="3" s="1"/>
  <c r="AD12" i="3" s="1"/>
  <c r="AD13" i="3" s="1"/>
  <c r="AD14" i="3" s="1"/>
  <c r="AD15" i="3" s="1"/>
  <c r="AD16" i="3" s="1"/>
  <c r="AD17" i="3" s="1"/>
  <c r="AD18" i="3" s="1"/>
  <c r="AD19" i="3" s="1"/>
  <c r="AD20" i="3" s="1"/>
  <c r="AD21" i="3" s="1"/>
  <c r="AD22" i="3" s="1"/>
  <c r="AD23" i="3" s="1"/>
  <c r="AD24" i="3" s="1"/>
  <c r="AD25" i="3" s="1"/>
  <c r="AD26" i="3" s="1"/>
  <c r="AD27" i="3" s="1"/>
  <c r="AD28" i="3" s="1"/>
  <c r="AD29" i="3" s="1"/>
  <c r="AD30" i="3" s="1"/>
  <c r="AD31" i="3" s="1"/>
  <c r="AD32" i="3" s="1"/>
  <c r="AD33" i="3" s="1"/>
  <c r="AD34" i="3" s="1"/>
  <c r="AD35" i="3" s="1"/>
  <c r="AD36" i="3" s="1"/>
  <c r="AD37" i="3" s="1"/>
  <c r="AD38" i="3" s="1"/>
  <c r="AC7" i="3"/>
  <c r="AC8" i="3" l="1"/>
  <c r="AC9" i="3" s="1"/>
  <c r="AC10" i="3" s="1"/>
  <c r="AC11" i="3" s="1"/>
  <c r="AC12" i="3" s="1"/>
  <c r="AC13" i="3" s="1"/>
  <c r="AC14" i="3" s="1"/>
  <c r="AC15" i="3" s="1"/>
  <c r="AC16" i="3" s="1"/>
  <c r="AC17" i="3" s="1"/>
  <c r="AC18" i="3" s="1"/>
  <c r="AC19" i="3" s="1"/>
  <c r="AC20" i="3" s="1"/>
  <c r="AC21" i="3" s="1"/>
  <c r="AC22" i="3" s="1"/>
  <c r="AC23" i="3" s="1"/>
  <c r="AC24" i="3" s="1"/>
  <c r="AC25" i="3" s="1"/>
  <c r="AC26" i="3" s="1"/>
  <c r="AC27" i="3" s="1"/>
  <c r="AC28" i="3" s="1"/>
  <c r="AC29" i="3" s="1"/>
  <c r="AC30" i="3" s="1"/>
  <c r="AC31" i="3" s="1"/>
  <c r="AC32" i="3" s="1"/>
  <c r="AC33" i="3" s="1"/>
  <c r="AC34" i="3" s="1"/>
  <c r="AC35" i="3" s="1"/>
  <c r="AC36" i="3" s="1"/>
  <c r="AC37" i="3" s="1"/>
  <c r="AC38" i="3" s="1"/>
  <c r="AE38" i="3" s="1"/>
  <c r="AE7" i="3"/>
  <c r="AE8" i="3" l="1"/>
  <c r="AE9" i="3"/>
  <c r="B72" i="2"/>
  <c r="C7" i="11" l="1"/>
  <c r="AE10" i="3"/>
  <c r="M28" i="11"/>
  <c r="AE11" i="3" l="1"/>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7"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8" i="3"/>
  <c r="AE12" i="3" l="1"/>
  <c r="AE13" i="3" l="1"/>
  <c r="AE14" i="3" l="1"/>
  <c r="G3" i="2"/>
  <c r="AE15" i="3" l="1"/>
  <c r="B31" i="2"/>
  <c r="B32" i="2"/>
  <c r="AE16" i="3" l="1"/>
  <c r="B33" i="2"/>
  <c r="L8" i="3" s="1"/>
  <c r="E4" i="12"/>
  <c r="C2" i="12"/>
  <c r="L9" i="3" l="1"/>
  <c r="L10" i="3" s="1"/>
  <c r="L11" i="3" s="1"/>
  <c r="L12" i="3" s="1"/>
  <c r="L13" i="3" s="1"/>
  <c r="L14" i="3" s="1"/>
  <c r="L15" i="3" s="1"/>
  <c r="L16" i="3" s="1"/>
  <c r="L17" i="3" s="1"/>
  <c r="AE17" i="3"/>
  <c r="H5" i="2"/>
  <c r="O30" i="11"/>
  <c r="M30" i="11"/>
  <c r="D1" i="11"/>
  <c r="E1" i="11" s="1"/>
  <c r="F1" i="11" s="1"/>
  <c r="G1" i="11" s="1"/>
  <c r="H1" i="11" s="1"/>
  <c r="I1" i="11" s="1"/>
  <c r="J1" i="11" s="1"/>
  <c r="K1" i="11" s="1"/>
  <c r="L1" i="11" s="1"/>
  <c r="M1" i="11" s="1"/>
  <c r="N1" i="11" s="1"/>
  <c r="L18" i="3" l="1"/>
  <c r="L19" i="3" s="1"/>
  <c r="L20" i="3" s="1"/>
  <c r="AE18" i="3"/>
  <c r="C4" i="12"/>
  <c r="C37" i="2"/>
  <c r="B40" i="2"/>
  <c r="B10" i="2"/>
  <c r="M7" i="11" l="1"/>
  <c r="L21" i="3"/>
  <c r="L22" i="3" s="1"/>
  <c r="L23" i="3" s="1"/>
  <c r="L24" i="3" s="1"/>
  <c r="L25" i="3" s="1"/>
  <c r="L26" i="3" s="1"/>
  <c r="L27" i="3" s="1"/>
  <c r="L28" i="3" s="1"/>
  <c r="L29" i="3" s="1"/>
  <c r="L30" i="3" s="1"/>
  <c r="L31" i="3" s="1"/>
  <c r="L32" i="3" s="1"/>
  <c r="L33" i="3" s="1"/>
  <c r="L34" i="3" s="1"/>
  <c r="L35" i="3" s="1"/>
  <c r="L36" i="3" s="1"/>
  <c r="L37" i="3" s="1"/>
  <c r="L38" i="3" s="1"/>
  <c r="AE19" i="3"/>
  <c r="B8" i="2"/>
  <c r="B11" i="2"/>
  <c r="B60" i="2"/>
  <c r="B73" i="2"/>
  <c r="D69" i="2"/>
  <c r="B43" i="2"/>
  <c r="B65" i="2"/>
  <c r="A7" i="3"/>
  <c r="B58" i="2"/>
  <c r="B7" i="3"/>
  <c r="C3" i="11" s="1"/>
  <c r="B9" i="2" l="1"/>
  <c r="B13" i="2" s="1"/>
  <c r="B16" i="2" s="1"/>
  <c r="C13" i="2"/>
  <c r="C5" i="2"/>
  <c r="C6" i="2"/>
  <c r="AO7" i="3"/>
  <c r="AE20" i="3"/>
  <c r="B8" i="3"/>
  <c r="B74" i="2"/>
  <c r="C7" i="2"/>
  <c r="C4" i="2" l="1"/>
  <c r="B52" i="2"/>
  <c r="AG7" i="3" s="1"/>
  <c r="B20" i="2"/>
  <c r="AE21" i="3"/>
  <c r="B9" i="3"/>
  <c r="AO8" i="3"/>
  <c r="AI51" i="3" l="1"/>
  <c r="AI5" i="3"/>
  <c r="AK7" i="3"/>
  <c r="AM7" i="3" s="1"/>
  <c r="R7" i="3"/>
  <c r="O8" i="3"/>
  <c r="O29" i="11"/>
  <c r="E3" i="12"/>
  <c r="AE22" i="3"/>
  <c r="B10" i="3"/>
  <c r="AO9" i="3"/>
  <c r="B53" i="2"/>
  <c r="C6" i="11"/>
  <c r="C13" i="11"/>
  <c r="D13" i="11" s="1"/>
  <c r="E13" i="11" s="1"/>
  <c r="F13" i="11" s="1"/>
  <c r="G13" i="11" s="1"/>
  <c r="H13" i="11" s="1"/>
  <c r="I13" i="11" s="1"/>
  <c r="J13" i="11" s="1"/>
  <c r="K13" i="11" s="1"/>
  <c r="L13" i="11" s="1"/>
  <c r="M13" i="11" s="1"/>
  <c r="N13" i="11" s="1"/>
  <c r="D3" i="11"/>
  <c r="E3" i="11" s="1"/>
  <c r="F3" i="11" s="1"/>
  <c r="G3" i="11" s="1"/>
  <c r="H3" i="11" s="1"/>
  <c r="I3" i="11" s="1"/>
  <c r="J3" i="11" s="1"/>
  <c r="K3" i="11" s="1"/>
  <c r="L3" i="11" s="1"/>
  <c r="M3" i="11" s="1"/>
  <c r="N3" i="11" s="1"/>
  <c r="AI7" i="3" l="1"/>
  <c r="AJ7" i="3"/>
  <c r="AE23" i="3"/>
  <c r="B59" i="2"/>
  <c r="V7" i="3" s="1"/>
  <c r="W7" i="3"/>
  <c r="B11" i="3"/>
  <c r="AO10" i="3"/>
  <c r="B63" i="2"/>
  <c r="D7" i="3" s="1"/>
  <c r="AF7" i="3" s="1"/>
  <c r="C18" i="11"/>
  <c r="D6" i="11"/>
  <c r="AE24" i="3" l="1"/>
  <c r="D7" i="11"/>
  <c r="D8" i="3"/>
  <c r="B12" i="3"/>
  <c r="AO11" i="3"/>
  <c r="B62" i="2"/>
  <c r="B66" i="2"/>
  <c r="D18" i="11"/>
  <c r="E6" i="11"/>
  <c r="C8" i="11" l="1"/>
  <c r="C9" i="11" s="1"/>
  <c r="AF8" i="3"/>
  <c r="AE25" i="3"/>
  <c r="F7" i="11"/>
  <c r="E7" i="11"/>
  <c r="B67" i="2"/>
  <c r="F8" i="3"/>
  <c r="F17" i="3"/>
  <c r="F12" i="3"/>
  <c r="F14" i="3"/>
  <c r="F13" i="3"/>
  <c r="F15" i="3"/>
  <c r="F16" i="3"/>
  <c r="F9" i="3"/>
  <c r="F10" i="3"/>
  <c r="F11" i="3"/>
  <c r="G8" i="3"/>
  <c r="B13" i="3"/>
  <c r="AO12" i="3"/>
  <c r="C19" i="11"/>
  <c r="F6" i="11"/>
  <c r="E18" i="11"/>
  <c r="I8" i="3" l="1"/>
  <c r="L24" i="11"/>
  <c r="AE26" i="3"/>
  <c r="B14" i="3"/>
  <c r="AO13" i="3"/>
  <c r="C23" i="11"/>
  <c r="C24" i="11"/>
  <c r="F18" i="11"/>
  <c r="G6" i="11"/>
  <c r="AE27" i="3" l="1"/>
  <c r="G7" i="11"/>
  <c r="J8" i="3"/>
  <c r="K8" i="3"/>
  <c r="B55" i="2" s="1"/>
  <c r="D9" i="3"/>
  <c r="B15" i="3"/>
  <c r="AO14" i="3"/>
  <c r="AE53" i="3"/>
  <c r="T119" i="12" s="1"/>
  <c r="G18" i="11"/>
  <c r="H6" i="11"/>
  <c r="D8" i="11" l="1"/>
  <c r="AF9" i="3"/>
  <c r="AE28" i="3"/>
  <c r="H7" i="11"/>
  <c r="G9" i="3"/>
  <c r="B16" i="3"/>
  <c r="AO15" i="3"/>
  <c r="C20" i="11"/>
  <c r="H18" i="11"/>
  <c r="I6" i="11"/>
  <c r="I9" i="3" l="1"/>
  <c r="J9" i="3" s="1"/>
  <c r="AE29" i="3"/>
  <c r="I7" i="11"/>
  <c r="B17" i="3"/>
  <c r="AO16" i="3"/>
  <c r="D9" i="11"/>
  <c r="C21" i="11"/>
  <c r="D19" i="11"/>
  <c r="C22" i="11" s="1"/>
  <c r="I18" i="11"/>
  <c r="J6" i="11"/>
  <c r="K9" i="3" l="1"/>
  <c r="AE30" i="3"/>
  <c r="J7" i="11"/>
  <c r="B18" i="3"/>
  <c r="AO17" i="3"/>
  <c r="D23" i="11"/>
  <c r="J18" i="11"/>
  <c r="K6" i="11"/>
  <c r="AE31" i="3" l="1"/>
  <c r="K7" i="11"/>
  <c r="B19" i="3"/>
  <c r="AO18" i="3"/>
  <c r="D24" i="11"/>
  <c r="K18" i="11"/>
  <c r="L6" i="11"/>
  <c r="AE32" i="3" l="1"/>
  <c r="L7" i="11"/>
  <c r="B20" i="3"/>
  <c r="AO19" i="3"/>
  <c r="D10" i="3"/>
  <c r="AF10" i="3" s="1"/>
  <c r="AE54" i="3"/>
  <c r="T120" i="12" s="1"/>
  <c r="D20" i="11"/>
  <c r="D21" i="11"/>
  <c r="L18" i="11"/>
  <c r="M6" i="11"/>
  <c r="AE33" i="3" l="1"/>
  <c r="B21" i="3"/>
  <c r="AO20" i="3"/>
  <c r="G10" i="3"/>
  <c r="N6" i="11"/>
  <c r="M18" i="11"/>
  <c r="E19" i="11"/>
  <c r="D22" i="11" s="1"/>
  <c r="E8" i="11"/>
  <c r="E9" i="11" s="1"/>
  <c r="E24" i="11"/>
  <c r="I10" i="3" l="1"/>
  <c r="AE34" i="3"/>
  <c r="N7" i="11"/>
  <c r="B22" i="3"/>
  <c r="AO21" i="3"/>
  <c r="E23" i="11"/>
  <c r="K10" i="3" l="1"/>
  <c r="J10" i="3"/>
  <c r="AE35" i="3"/>
  <c r="O7" i="11"/>
  <c r="B23" i="3"/>
  <c r="AO22" i="3"/>
  <c r="D11" i="3"/>
  <c r="AF11" i="3" s="1"/>
  <c r="E20" i="11"/>
  <c r="E21" i="11" l="1"/>
  <c r="AE36" i="3"/>
  <c r="P7" i="11"/>
  <c r="B24" i="3"/>
  <c r="AO23" i="3"/>
  <c r="G11" i="3"/>
  <c r="F8" i="11"/>
  <c r="F9" i="11" s="1"/>
  <c r="F19" i="11"/>
  <c r="E22" i="11" s="1"/>
  <c r="I11" i="3" l="1"/>
  <c r="J11" i="3" s="1"/>
  <c r="AE37" i="3"/>
  <c r="Q7" i="11"/>
  <c r="B25" i="3"/>
  <c r="AO24" i="3"/>
  <c r="AE55" i="3"/>
  <c r="T121" i="12" s="1"/>
  <c r="F23" i="11"/>
  <c r="K11" i="3" l="1"/>
  <c r="R7" i="11"/>
  <c r="B26" i="3"/>
  <c r="AO25" i="3"/>
  <c r="D12" i="3"/>
  <c r="AF12" i="3" s="1"/>
  <c r="F24" i="11"/>
  <c r="F20" i="11"/>
  <c r="S7" i="11" l="1"/>
  <c r="B27" i="3"/>
  <c r="AO26" i="3"/>
  <c r="AF53" i="3"/>
  <c r="T44" i="12" s="1"/>
  <c r="F21" i="11"/>
  <c r="T7" i="11" l="1"/>
  <c r="B28" i="3"/>
  <c r="AO27" i="3"/>
  <c r="G12" i="3"/>
  <c r="G8" i="11"/>
  <c r="G9" i="11" s="1"/>
  <c r="G19" i="11"/>
  <c r="F22" i="11" s="1"/>
  <c r="I12" i="3" l="1"/>
  <c r="U7" i="11"/>
  <c r="B29" i="3"/>
  <c r="AO28" i="3"/>
  <c r="G23" i="11"/>
  <c r="K12" i="3" l="1"/>
  <c r="J12" i="3"/>
  <c r="V7" i="11"/>
  <c r="B30" i="3"/>
  <c r="AO29" i="3"/>
  <c r="AE56" i="3"/>
  <c r="T122" i="12" s="1"/>
  <c r="G24" i="11"/>
  <c r="W7" i="11" l="1"/>
  <c r="B31" i="3"/>
  <c r="AO30" i="3"/>
  <c r="D13" i="3"/>
  <c r="AF13" i="3" s="1"/>
  <c r="G20" i="11"/>
  <c r="X7" i="11" l="1"/>
  <c r="B32" i="3"/>
  <c r="AO31" i="3"/>
  <c r="G13" i="3"/>
  <c r="H8" i="11"/>
  <c r="H9" i="11" s="1"/>
  <c r="H19" i="11"/>
  <c r="G22" i="11" s="1"/>
  <c r="G21" i="11"/>
  <c r="I13" i="3" l="1"/>
  <c r="J13" i="3" s="1"/>
  <c r="Y7" i="11"/>
  <c r="B33" i="3"/>
  <c r="AO32" i="3"/>
  <c r="H23" i="11"/>
  <c r="H24" i="11"/>
  <c r="D14" i="3" l="1"/>
  <c r="AF14" i="3" s="1"/>
  <c r="K13" i="3"/>
  <c r="Z7" i="11"/>
  <c r="B34" i="3"/>
  <c r="AO33" i="3"/>
  <c r="H20" i="11"/>
  <c r="H21" i="11"/>
  <c r="AA7" i="11" l="1"/>
  <c r="B35" i="3"/>
  <c r="AO34" i="3"/>
  <c r="AE57" i="3"/>
  <c r="T123" i="12" s="1"/>
  <c r="G14" i="3"/>
  <c r="I8" i="11"/>
  <c r="I9" i="11" s="1"/>
  <c r="I19" i="11"/>
  <c r="H22" i="11" s="1"/>
  <c r="I14" i="3" l="1"/>
  <c r="J14" i="3" s="1"/>
  <c r="AB7" i="11"/>
  <c r="B36" i="3"/>
  <c r="AO35" i="3"/>
  <c r="I23" i="11"/>
  <c r="K14" i="3" l="1"/>
  <c r="AC7" i="11"/>
  <c r="B37" i="3"/>
  <c r="AO36" i="3"/>
  <c r="D15" i="3"/>
  <c r="AF15" i="3" s="1"/>
  <c r="I24" i="11"/>
  <c r="AD7" i="11" l="1"/>
  <c r="B38" i="3"/>
  <c r="AO38" i="3" s="1"/>
  <c r="AO37" i="3"/>
  <c r="I20" i="11"/>
  <c r="I21" i="11"/>
  <c r="AE7" i="11" l="1"/>
  <c r="G15" i="3"/>
  <c r="J8" i="11"/>
  <c r="J9" i="11" s="1"/>
  <c r="J19" i="11"/>
  <c r="I22" i="11" s="1"/>
  <c r="I15" i="3" l="1"/>
  <c r="J15" i="3" s="1"/>
  <c r="AF7" i="11"/>
  <c r="AE58" i="3"/>
  <c r="T124" i="12" s="1"/>
  <c r="J23" i="11"/>
  <c r="K15" i="3" l="1"/>
  <c r="D16" i="3"/>
  <c r="AF16" i="3" s="1"/>
  <c r="J21" i="11"/>
  <c r="J24" i="11"/>
  <c r="K8" i="11" l="1"/>
  <c r="K9" i="11" s="1"/>
  <c r="J20" i="11"/>
  <c r="G16" i="3" l="1"/>
  <c r="K19" i="11"/>
  <c r="J22" i="11" s="1"/>
  <c r="I16" i="3" l="1"/>
  <c r="J16" i="3" s="1"/>
  <c r="K23" i="11"/>
  <c r="K16" i="3" l="1"/>
  <c r="D17" i="3"/>
  <c r="K21" i="11"/>
  <c r="K24" i="11"/>
  <c r="K20" i="11"/>
  <c r="L19" i="11" l="1"/>
  <c r="K22" i="11" s="1"/>
  <c r="AF17" i="3"/>
  <c r="AF54" i="3" s="1"/>
  <c r="T45" i="12" s="1"/>
  <c r="L8" i="11"/>
  <c r="L9" i="11" s="1"/>
  <c r="G17" i="3"/>
  <c r="I17" i="3" l="1"/>
  <c r="L23" i="11"/>
  <c r="K17" i="3" l="1"/>
  <c r="J17" i="3"/>
  <c r="L20" i="11"/>
  <c r="D18" i="3"/>
  <c r="L21" i="11" l="1"/>
  <c r="M19" i="11"/>
  <c r="L22" i="11" s="1"/>
  <c r="AF18" i="3"/>
  <c r="M8" i="11"/>
  <c r="M9" i="11" s="1"/>
  <c r="G18" i="3"/>
  <c r="M23" i="11" l="1"/>
  <c r="C33" i="2"/>
  <c r="B41" i="2"/>
  <c r="M8" i="3" l="1"/>
  <c r="V8" i="3" s="1"/>
  <c r="B42" i="2"/>
  <c r="C42" i="2" s="1"/>
  <c r="M9" i="3" l="1"/>
  <c r="V9" i="3" s="1"/>
  <c r="C4" i="11"/>
  <c r="M10" i="3" l="1"/>
  <c r="V10" i="3" s="1"/>
  <c r="D4" i="11"/>
  <c r="M11" i="3" l="1"/>
  <c r="E4" i="11"/>
  <c r="V11" i="3" l="1"/>
  <c r="M12" i="3"/>
  <c r="V12" i="3" s="1"/>
  <c r="F4" i="11"/>
  <c r="G4" i="11" l="1"/>
  <c r="M13" i="3"/>
  <c r="V13" i="3" s="1"/>
  <c r="M14" i="3" l="1"/>
  <c r="V14" i="3" s="1"/>
  <c r="H4" i="11"/>
  <c r="I4" i="11" l="1"/>
  <c r="M15" i="3"/>
  <c r="V15" i="3" s="1"/>
  <c r="M16" i="3" l="1"/>
  <c r="V16" i="3" s="1"/>
  <c r="J4" i="11"/>
  <c r="K4" i="11" l="1"/>
  <c r="M17" i="3"/>
  <c r="V17" i="3" s="1"/>
  <c r="M18" i="3" l="1"/>
  <c r="M19" i="3" s="1"/>
  <c r="N4" i="11" s="1"/>
  <c r="L4" i="11"/>
  <c r="M20" i="3" l="1"/>
  <c r="O4" i="11" s="1"/>
  <c r="M4" i="11"/>
  <c r="M21" i="3" l="1"/>
  <c r="M22" i="3" s="1"/>
  <c r="P4" i="11" l="1"/>
  <c r="M23" i="3"/>
  <c r="Q4" i="11"/>
  <c r="R4" i="11" l="1"/>
  <c r="M24" i="3"/>
  <c r="M25" i="3" l="1"/>
  <c r="S4" i="11"/>
  <c r="T4" i="11" l="1"/>
  <c r="M26" i="3"/>
  <c r="U4" i="11" l="1"/>
  <c r="M27" i="3"/>
  <c r="V4" i="11" l="1"/>
  <c r="M28" i="3"/>
  <c r="W4" i="11" l="1"/>
  <c r="M29" i="3"/>
  <c r="M30" i="3" l="1"/>
  <c r="X4" i="11"/>
  <c r="M31" i="3" l="1"/>
  <c r="Y4" i="11"/>
  <c r="Z4" i="11" l="1"/>
  <c r="M32" i="3"/>
  <c r="AA4" i="11" l="1"/>
  <c r="M33" i="3"/>
  <c r="M34" i="3" l="1"/>
  <c r="AB4" i="11"/>
  <c r="AC4" i="11" l="1"/>
  <c r="M35" i="3"/>
  <c r="M36" i="3" l="1"/>
  <c r="AD4" i="11"/>
  <c r="AE4" i="11" l="1"/>
  <c r="M37" i="3"/>
  <c r="AF4" i="11" l="1"/>
  <c r="M38" i="3"/>
  <c r="N18" i="11" l="1"/>
  <c r="O6" i="11"/>
  <c r="O18" i="11" s="1"/>
  <c r="O13" i="11"/>
  <c r="P13" i="11" s="1"/>
  <c r="Q13" i="11" s="1"/>
  <c r="R13" i="11" s="1"/>
  <c r="S13" i="11" s="1"/>
  <c r="T13" i="11" s="1"/>
  <c r="U13" i="11" s="1"/>
  <c r="V13" i="11" s="1"/>
  <c r="W13" i="11" s="1"/>
  <c r="X13" i="11" s="1"/>
  <c r="Y13" i="11" s="1"/>
  <c r="Z13" i="11" s="1"/>
  <c r="AA13" i="11" s="1"/>
  <c r="AB13" i="11" s="1"/>
  <c r="AC13" i="11" s="1"/>
  <c r="AD13" i="11" s="1"/>
  <c r="AE13" i="11" s="1"/>
  <c r="AF13" i="11" s="1"/>
  <c r="O1" i="11"/>
  <c r="P1" i="11"/>
  <c r="Q1" i="11" s="1"/>
  <c r="R1" i="11" s="1"/>
  <c r="S1" i="11" s="1"/>
  <c r="T1" i="11" s="1"/>
  <c r="U1" i="11" s="1"/>
  <c r="V1" i="11" s="1"/>
  <c r="W1" i="11" s="1"/>
  <c r="X1" i="11" s="1"/>
  <c r="Y1" i="11" s="1"/>
  <c r="Z1" i="11" s="1"/>
  <c r="AA1" i="11" s="1"/>
  <c r="AB1" i="11" s="1"/>
  <c r="AC1" i="11" s="1"/>
  <c r="AD1" i="11" s="1"/>
  <c r="AE1" i="11" s="1"/>
  <c r="AF1" i="11" s="1"/>
  <c r="O3" i="11"/>
  <c r="P3" i="11" s="1"/>
  <c r="Q3" i="11" s="1"/>
  <c r="R3" i="11" s="1"/>
  <c r="S3" i="11" s="1"/>
  <c r="T3" i="11" s="1"/>
  <c r="U3" i="11" s="1"/>
  <c r="V3" i="11" s="1"/>
  <c r="W3" i="11" s="1"/>
  <c r="X3" i="11" s="1"/>
  <c r="Y3" i="11" s="1"/>
  <c r="Z3" i="11" s="1"/>
  <c r="AA3" i="11" s="1"/>
  <c r="AB3" i="11" s="1"/>
  <c r="AC3" i="11" s="1"/>
  <c r="AD3" i="11" s="1"/>
  <c r="AE3" i="11" s="1"/>
  <c r="AF3" i="11" s="1"/>
  <c r="P6" i="11" l="1"/>
  <c r="Q6" i="11" s="1"/>
  <c r="R6" i="11" s="1"/>
  <c r="P18" i="11" l="1"/>
  <c r="Q18" i="11"/>
  <c r="S6" i="11"/>
  <c r="R18" i="11"/>
  <c r="S18" i="11" l="1"/>
  <c r="T6" i="11"/>
  <c r="T18" i="11" l="1"/>
  <c r="U6" i="11"/>
  <c r="U18" i="11" l="1"/>
  <c r="V6" i="11"/>
  <c r="V18" i="11" l="1"/>
  <c r="W6" i="11"/>
  <c r="W18" i="11" l="1"/>
  <c r="X6" i="11"/>
  <c r="Y6" i="11" l="1"/>
  <c r="X18" i="11"/>
  <c r="Y18" i="11" l="1"/>
  <c r="Z6" i="11"/>
  <c r="AA6" i="11" l="1"/>
  <c r="Z18" i="11"/>
  <c r="AB6" i="11" l="1"/>
  <c r="AA18" i="11"/>
  <c r="AC6" i="11" l="1"/>
  <c r="AB18" i="11"/>
  <c r="AC18" i="11" l="1"/>
  <c r="AD6" i="11"/>
  <c r="AE6" i="11" l="1"/>
  <c r="AD18" i="11"/>
  <c r="AE18" i="11" l="1"/>
  <c r="AF6" i="11"/>
  <c r="AF18" i="11" s="1"/>
  <c r="B70" i="2" l="1"/>
  <c r="B75" i="2" s="1"/>
  <c r="F35" i="3" l="1"/>
  <c r="AD24" i="11" s="1"/>
  <c r="F38" i="3"/>
  <c r="F34" i="3"/>
  <c r="AC24" i="11" s="1"/>
  <c r="F36" i="3"/>
  <c r="AE24" i="11" s="1"/>
  <c r="F33" i="3"/>
  <c r="AB24" i="11" s="1"/>
  <c r="F37" i="3"/>
  <c r="AF24" i="11" s="1"/>
  <c r="F20" i="3"/>
  <c r="F22" i="3"/>
  <c r="F24" i="3"/>
  <c r="F26" i="3"/>
  <c r="F28" i="3"/>
  <c r="F30" i="3"/>
  <c r="F32" i="3"/>
  <c r="F18" i="3"/>
  <c r="I18" i="3" s="1"/>
  <c r="V18" i="3" s="1"/>
  <c r="B76" i="2"/>
  <c r="F19" i="3"/>
  <c r="F21" i="3"/>
  <c r="F23" i="3"/>
  <c r="F25" i="3"/>
  <c r="F27" i="3"/>
  <c r="F29" i="3"/>
  <c r="F31" i="3"/>
  <c r="M24" i="11" l="1"/>
  <c r="Z24" i="11"/>
  <c r="V24" i="11"/>
  <c r="Y24" i="11"/>
  <c r="T24" i="11"/>
  <c r="W24" i="11"/>
  <c r="U24" i="11"/>
  <c r="AA24" i="11"/>
  <c r="P24" i="11"/>
  <c r="S24" i="11"/>
  <c r="X24" i="11"/>
  <c r="N24" i="11"/>
  <c r="Q24" i="11"/>
  <c r="R24" i="11"/>
  <c r="O24" i="11"/>
  <c r="M20" i="11" l="1"/>
  <c r="K18" i="3"/>
  <c r="D19" i="3"/>
  <c r="J18" i="3"/>
  <c r="G19" i="3" l="1"/>
  <c r="N8" i="11"/>
  <c r="N9" i="11" s="1"/>
  <c r="AF19" i="3"/>
  <c r="N19" i="11"/>
  <c r="M22" i="11" s="1"/>
  <c r="M21" i="11"/>
  <c r="I19" i="3" l="1"/>
  <c r="V19" i="3" s="1"/>
  <c r="N23" i="11"/>
  <c r="N20" i="11" l="1"/>
  <c r="K19" i="3"/>
  <c r="J19" i="3"/>
  <c r="D20" i="3"/>
  <c r="G20" i="3" l="1"/>
  <c r="AF20" i="3"/>
  <c r="O8" i="11"/>
  <c r="O9" i="11" s="1"/>
  <c r="O19" i="11"/>
  <c r="N22" i="11" s="1"/>
  <c r="N21" i="11"/>
  <c r="I20" i="3" l="1"/>
  <c r="V20" i="3" s="1"/>
  <c r="O23" i="11"/>
  <c r="O20" i="11" l="1"/>
  <c r="J20" i="3"/>
  <c r="D21" i="3"/>
  <c r="K20" i="3"/>
  <c r="P8" i="11" l="1"/>
  <c r="P9" i="11" s="1"/>
  <c r="P19" i="11"/>
  <c r="O22" i="11" s="1"/>
  <c r="G21" i="3"/>
  <c r="AF21" i="3"/>
  <c r="O21" i="11"/>
  <c r="I21" i="3" l="1"/>
  <c r="V21" i="3" s="1"/>
  <c r="P23" i="11"/>
  <c r="P20" i="11" l="1"/>
  <c r="J21" i="3"/>
  <c r="K21" i="3"/>
  <c r="D22" i="3"/>
  <c r="P21" i="11" l="1"/>
  <c r="Q19" i="11"/>
  <c r="P22" i="11" s="1"/>
  <c r="G22" i="3"/>
  <c r="Q8" i="11"/>
  <c r="Q9" i="11" s="1"/>
  <c r="AF22" i="3"/>
  <c r="AF55" i="3" s="1"/>
  <c r="T46" i="12" s="1"/>
  <c r="I22" i="3" l="1"/>
  <c r="V22" i="3" s="1"/>
  <c r="Q23" i="11"/>
  <c r="Q20" i="11" l="1"/>
  <c r="J22" i="3"/>
  <c r="D23" i="3"/>
  <c r="K22" i="3"/>
  <c r="Q21" i="11" l="1"/>
  <c r="R19" i="11"/>
  <c r="Q22" i="11" s="1"/>
  <c r="R8" i="11"/>
  <c r="R9" i="11" s="1"/>
  <c r="AF23" i="3"/>
  <c r="G23" i="3"/>
  <c r="I23" i="3" l="1"/>
  <c r="V23" i="3" s="1"/>
  <c r="R23" i="11"/>
  <c r="R20" i="11" l="1"/>
  <c r="J23" i="3"/>
  <c r="D24" i="3"/>
  <c r="K23" i="3"/>
  <c r="R21" i="11" l="1"/>
  <c r="S19" i="11"/>
  <c r="R22" i="11" s="1"/>
  <c r="G24" i="3"/>
  <c r="S8" i="11"/>
  <c r="S9" i="11" s="1"/>
  <c r="AF24" i="3"/>
  <c r="I24" i="3" l="1"/>
  <c r="V24" i="3" s="1"/>
  <c r="S23" i="11"/>
  <c r="S20" i="11" l="1"/>
  <c r="D25" i="3"/>
  <c r="J24" i="3"/>
  <c r="K24" i="3"/>
  <c r="S21" i="11" l="1"/>
  <c r="T8" i="11"/>
  <c r="T9" i="11" s="1"/>
  <c r="T19" i="11"/>
  <c r="S22" i="11" s="1"/>
  <c r="AF25" i="3"/>
  <c r="G25" i="3"/>
  <c r="I25" i="3" l="1"/>
  <c r="V25" i="3" s="1"/>
  <c r="T23" i="11"/>
  <c r="T20" i="11" l="1"/>
  <c r="K25" i="3"/>
  <c r="D26" i="3"/>
  <c r="J25" i="3"/>
  <c r="T21" i="11" l="1"/>
  <c r="U19" i="11"/>
  <c r="T22" i="11" s="1"/>
  <c r="G26" i="3"/>
  <c r="U8" i="11"/>
  <c r="U9" i="11" s="1"/>
  <c r="AF26" i="3"/>
  <c r="I26" i="3" l="1"/>
  <c r="V26" i="3" s="1"/>
  <c r="U23" i="11"/>
  <c r="U20" i="11" l="1"/>
  <c r="D27" i="3"/>
  <c r="J26" i="3"/>
  <c r="K26" i="3"/>
  <c r="U21" i="11" l="1"/>
  <c r="V8" i="11"/>
  <c r="V9" i="11" s="1"/>
  <c r="AF27" i="3"/>
  <c r="AF56" i="3" s="1"/>
  <c r="T47" i="12" s="1"/>
  <c r="G27" i="3"/>
  <c r="V19" i="11"/>
  <c r="U22" i="11" s="1"/>
  <c r="I27" i="3" l="1"/>
  <c r="V27" i="3" s="1"/>
  <c r="V23" i="11"/>
  <c r="V20" i="11" l="1"/>
  <c r="J27" i="3"/>
  <c r="D28" i="3"/>
  <c r="K27" i="3"/>
  <c r="G28" i="3" l="1"/>
  <c r="W8" i="11"/>
  <c r="W9" i="11" s="1"/>
  <c r="AF28" i="3"/>
  <c r="W19" i="11"/>
  <c r="V22" i="11" s="1"/>
  <c r="V21" i="11"/>
  <c r="I28" i="3" l="1"/>
  <c r="V28" i="3" s="1"/>
  <c r="W23" i="11"/>
  <c r="W20" i="11" l="1"/>
  <c r="D29" i="3"/>
  <c r="K28" i="3"/>
  <c r="J28" i="3"/>
  <c r="W21" i="11" l="1"/>
  <c r="AF29" i="3"/>
  <c r="X8" i="11"/>
  <c r="X9" i="11" s="1"/>
  <c r="G29" i="3"/>
  <c r="X19" i="11"/>
  <c r="W22" i="11" s="1"/>
  <c r="I29" i="3" l="1"/>
  <c r="V29" i="3" s="1"/>
  <c r="X23" i="11"/>
  <c r="X20" i="11" l="1"/>
  <c r="J29" i="3"/>
  <c r="K29" i="3"/>
  <c r="D30" i="3"/>
  <c r="Y8" i="11" l="1"/>
  <c r="Y9" i="11" s="1"/>
  <c r="G30" i="3"/>
  <c r="AF30" i="3"/>
  <c r="Y19" i="11"/>
  <c r="X22" i="11" s="1"/>
  <c r="X21" i="11"/>
  <c r="I30" i="3" l="1"/>
  <c r="V30" i="3" s="1"/>
  <c r="Y23" i="11"/>
  <c r="Y20" i="11" l="1"/>
  <c r="K30" i="3"/>
  <c r="J30" i="3"/>
  <c r="D31" i="3"/>
  <c r="AF31" i="3" l="1"/>
  <c r="G31" i="3"/>
  <c r="Z19" i="11"/>
  <c r="Y22" i="11" s="1"/>
  <c r="Z8" i="11"/>
  <c r="Z9" i="11" s="1"/>
  <c r="Y21" i="11"/>
  <c r="I31" i="3" l="1"/>
  <c r="V31" i="3" s="1"/>
  <c r="Z23" i="11"/>
  <c r="Z20" i="11" l="1"/>
  <c r="D32" i="3"/>
  <c r="J31" i="3"/>
  <c r="K31" i="3"/>
  <c r="G32" i="3" l="1"/>
  <c r="AA19" i="11"/>
  <c r="Z22" i="11" s="1"/>
  <c r="AA8" i="11"/>
  <c r="AA9" i="11" s="1"/>
  <c r="AF32" i="3"/>
  <c r="AF57" i="3" s="1"/>
  <c r="T48" i="12" s="1"/>
  <c r="Z21" i="11"/>
  <c r="I32" i="3" l="1"/>
  <c r="V32" i="3" s="1"/>
  <c r="AA23" i="11"/>
  <c r="AA20" i="11" l="1"/>
  <c r="J32" i="3"/>
  <c r="K32" i="3"/>
  <c r="D33" i="3"/>
  <c r="AF33" i="3" l="1"/>
  <c r="G33" i="3"/>
  <c r="AB8" i="11"/>
  <c r="AB9" i="11" s="1"/>
  <c r="AB19" i="11"/>
  <c r="AA22" i="11" s="1"/>
  <c r="AA21" i="11"/>
  <c r="I33" i="3" l="1"/>
  <c r="AB23" i="11"/>
  <c r="V33" i="3" l="1"/>
  <c r="K33" i="3"/>
  <c r="AB20" i="11"/>
  <c r="D34" i="3"/>
  <c r="J33" i="3"/>
  <c r="AC19" i="11" l="1"/>
  <c r="AB22" i="11" s="1"/>
  <c r="AF34" i="3"/>
  <c r="G34" i="3"/>
  <c r="AC8" i="11"/>
  <c r="AC9" i="11" s="1"/>
  <c r="AB21" i="11"/>
  <c r="I34" i="3" l="1"/>
  <c r="AC23" i="11"/>
  <c r="V34" i="3" l="1"/>
  <c r="K34" i="3"/>
  <c r="AC20" i="11"/>
  <c r="D35" i="3"/>
  <c r="J34" i="3"/>
  <c r="AF35" i="3" l="1"/>
  <c r="G35" i="3"/>
  <c r="AD8" i="11"/>
  <c r="AD9" i="11" s="1"/>
  <c r="AD19" i="11"/>
  <c r="AC22" i="11" s="1"/>
  <c r="AC21" i="11"/>
  <c r="I35" i="3" l="1"/>
  <c r="D36" i="3" s="1"/>
  <c r="AD23" i="11"/>
  <c r="V35" i="3" l="1"/>
  <c r="K35" i="3"/>
  <c r="AD20" i="11"/>
  <c r="J35" i="3"/>
  <c r="AD21" i="11" l="1"/>
  <c r="AE8" i="11"/>
  <c r="AE9" i="11" s="1"/>
  <c r="G36" i="3"/>
  <c r="AE19" i="11"/>
  <c r="AD22" i="11" s="1"/>
  <c r="AF36" i="3"/>
  <c r="I36" i="3" l="1"/>
  <c r="AE23" i="11"/>
  <c r="V36" i="3" l="1"/>
  <c r="K36" i="3"/>
  <c r="AE20" i="11"/>
  <c r="J36" i="3"/>
  <c r="D37" i="3"/>
  <c r="AE21" i="11" l="1"/>
  <c r="G37" i="3"/>
  <c r="AF37" i="3"/>
  <c r="AF58" i="3" s="1"/>
  <c r="T49" i="12" s="1"/>
  <c r="AF19" i="11"/>
  <c r="AE22" i="11" s="1"/>
  <c r="AF8" i="11"/>
  <c r="AF9" i="11" s="1"/>
  <c r="I37" i="3" l="1"/>
  <c r="AF23" i="11"/>
  <c r="V37" i="3" l="1"/>
  <c r="K37" i="3"/>
  <c r="AF20" i="11"/>
  <c r="J37" i="3"/>
  <c r="D38" i="3"/>
  <c r="G38" i="3" l="1"/>
  <c r="AF38" i="3"/>
  <c r="AF21" i="11"/>
  <c r="I38" i="3" l="1"/>
  <c r="V38" i="3" s="1"/>
  <c r="K38" i="3" l="1"/>
  <c r="J38" i="3"/>
  <c r="Q8" i="3" l="1"/>
  <c r="S8" i="3" s="1"/>
  <c r="U8" i="3" s="1"/>
  <c r="W8" i="3" l="1"/>
  <c r="Y8" i="3" s="1"/>
  <c r="AH8" i="3" s="1"/>
  <c r="AL8" i="3" s="1"/>
  <c r="AN8" i="3" s="1"/>
  <c r="R8" i="3"/>
  <c r="O9" i="3"/>
  <c r="X8" i="3" l="1"/>
  <c r="Z8" i="3" s="1"/>
  <c r="AA8" i="3"/>
  <c r="C14" i="11"/>
  <c r="Q9" i="3"/>
  <c r="S9" i="3" s="1"/>
  <c r="C15" i="11" l="1"/>
  <c r="R9" i="3"/>
  <c r="O10" i="3" s="1"/>
  <c r="U9" i="3"/>
  <c r="W9" i="3" s="1"/>
  <c r="AG8" i="3"/>
  <c r="C11" i="11"/>
  <c r="X9" i="3" l="1"/>
  <c r="Z9" i="3" s="1"/>
  <c r="Y9" i="3"/>
  <c r="AH9" i="3" s="1"/>
  <c r="AL9" i="3" s="1"/>
  <c r="AN9" i="3" s="1"/>
  <c r="D14" i="11"/>
  <c r="Q10" i="3"/>
  <c r="S10" i="3" s="1"/>
  <c r="C10" i="11"/>
  <c r="C16" i="11" s="1"/>
  <c r="AI8" i="3"/>
  <c r="AJ8" i="3" s="1"/>
  <c r="AK8" i="3"/>
  <c r="AM8" i="3" s="1"/>
  <c r="U10" i="3" l="1"/>
  <c r="W10" i="3" s="1"/>
  <c r="X10" i="3" s="1"/>
  <c r="R10" i="3"/>
  <c r="D11" i="11"/>
  <c r="O11" i="3"/>
  <c r="AA9" i="3" l="1"/>
  <c r="Y10" i="3"/>
  <c r="D15" i="11"/>
  <c r="AG9" i="3"/>
  <c r="AK9" i="3" s="1"/>
  <c r="AM9" i="3" s="1"/>
  <c r="Q11" i="3"/>
  <c r="S11" i="3" s="1"/>
  <c r="E14" i="11"/>
  <c r="AA10" i="3" l="1"/>
  <c r="AH10" i="3"/>
  <c r="AL10" i="3" s="1"/>
  <c r="AN10" i="3" s="1"/>
  <c r="R11" i="3"/>
  <c r="D10" i="11"/>
  <c r="D16" i="11" s="1"/>
  <c r="AI9" i="3"/>
  <c r="AJ9" i="3" s="1"/>
  <c r="U11" i="3"/>
  <c r="W11" i="3" s="1"/>
  <c r="X11" i="3" s="1"/>
  <c r="O12" i="3"/>
  <c r="Z10" i="3"/>
  <c r="E15" i="11"/>
  <c r="Y11" i="3" l="1"/>
  <c r="Q12" i="3"/>
  <c r="S12" i="3" s="1"/>
  <c r="AG10" i="3"/>
  <c r="E11" i="11"/>
  <c r="AA11" i="3" l="1"/>
  <c r="AH11" i="3"/>
  <c r="AL11" i="3" s="1"/>
  <c r="AN11" i="3" s="1"/>
  <c r="R12" i="3"/>
  <c r="O13" i="3" s="1"/>
  <c r="Z11" i="3"/>
  <c r="F14" i="11"/>
  <c r="U12" i="3"/>
  <c r="W12" i="3" s="1"/>
  <c r="X12" i="3" s="1"/>
  <c r="AK10" i="3"/>
  <c r="AM10" i="3" s="1"/>
  <c r="AI10" i="3"/>
  <c r="AJ10" i="3" s="1"/>
  <c r="E10" i="11"/>
  <c r="E16" i="11" s="1"/>
  <c r="F15" i="11" l="1"/>
  <c r="F11" i="11"/>
  <c r="AG11" i="3"/>
  <c r="G14" i="11"/>
  <c r="Y12" i="3"/>
  <c r="Q13" i="3"/>
  <c r="S13" i="3" s="1"/>
  <c r="AA12" i="3" l="1"/>
  <c r="AA56" i="3" s="1"/>
  <c r="AH12" i="3"/>
  <c r="AL12" i="3" s="1"/>
  <c r="AN12" i="3" s="1"/>
  <c r="R13" i="3"/>
  <c r="Z12" i="3"/>
  <c r="X56" i="3"/>
  <c r="Q119" i="12" s="1"/>
  <c r="G15" i="11"/>
  <c r="Y56" i="3"/>
  <c r="AK11" i="3"/>
  <c r="AM11" i="3" s="1"/>
  <c r="AI11" i="3"/>
  <c r="AJ11" i="3" s="1"/>
  <c r="F10" i="11"/>
  <c r="F16" i="11" s="1"/>
  <c r="U13" i="3"/>
  <c r="W13" i="3" s="1"/>
  <c r="X13" i="3" s="1"/>
  <c r="O19" i="3" l="1"/>
  <c r="O27" i="3"/>
  <c r="O35" i="3"/>
  <c r="Q35" i="3" s="1"/>
  <c r="S35" i="3" s="1"/>
  <c r="O34" i="3"/>
  <c r="O20" i="3"/>
  <c r="O28" i="3"/>
  <c r="O36" i="3"/>
  <c r="O21" i="3"/>
  <c r="O29" i="3"/>
  <c r="O37" i="3"/>
  <c r="O22" i="3"/>
  <c r="O30" i="3"/>
  <c r="O38" i="3"/>
  <c r="O14" i="3"/>
  <c r="Q14" i="3" s="1"/>
  <c r="S14" i="3" s="1"/>
  <c r="O15" i="3"/>
  <c r="O23" i="3"/>
  <c r="O31" i="3"/>
  <c r="O16" i="3"/>
  <c r="O24" i="3"/>
  <c r="O32" i="3"/>
  <c r="O26" i="3"/>
  <c r="O17" i="3"/>
  <c r="O25" i="3"/>
  <c r="O33" i="3"/>
  <c r="O18" i="3"/>
  <c r="AG12" i="3"/>
  <c r="Z56" i="3"/>
  <c r="G11" i="11"/>
  <c r="U14" i="3" l="1"/>
  <c r="W14" i="3" s="1"/>
  <c r="X14" i="3" s="1"/>
  <c r="R14" i="3"/>
  <c r="H14" i="11"/>
  <c r="Y13" i="3"/>
  <c r="H15" i="11"/>
  <c r="Z13" i="3"/>
  <c r="H11" i="11" s="1"/>
  <c r="R44" i="12"/>
  <c r="R119" i="12"/>
  <c r="G10" i="11"/>
  <c r="G16" i="11" s="1"/>
  <c r="AI12" i="3"/>
  <c r="AG53" i="3"/>
  <c r="AK12" i="3"/>
  <c r="AM12" i="3" s="1"/>
  <c r="AM53" i="3" s="1"/>
  <c r="Q15" i="3"/>
  <c r="S15" i="3" s="1"/>
  <c r="AA13" i="3" l="1"/>
  <c r="AH13" i="3"/>
  <c r="AL13" i="3" s="1"/>
  <c r="AN13" i="3" s="1"/>
  <c r="R15" i="3"/>
  <c r="AG13" i="3"/>
  <c r="H10" i="11" s="1"/>
  <c r="H16" i="11" s="1"/>
  <c r="S44" i="12"/>
  <c r="S119" i="12"/>
  <c r="AI53" i="3"/>
  <c r="AJ12" i="3"/>
  <c r="AJ53" i="3" s="1"/>
  <c r="U15" i="3"/>
  <c r="I14" i="11"/>
  <c r="Y14" i="3"/>
  <c r="AA14" i="3" l="1"/>
  <c r="AH14" i="3"/>
  <c r="AL14" i="3" s="1"/>
  <c r="AN14" i="3" s="1"/>
  <c r="W15" i="3"/>
  <c r="X15" i="3" s="1"/>
  <c r="AK13" i="3"/>
  <c r="AM13" i="3" s="1"/>
  <c r="AI13" i="3"/>
  <c r="AJ13" i="3" s="1"/>
  <c r="I15" i="11"/>
  <c r="Z14" i="3"/>
  <c r="Q16" i="3"/>
  <c r="S16" i="3" s="1"/>
  <c r="J14" i="11" l="1"/>
  <c r="Y15" i="3"/>
  <c r="Z15" i="3"/>
  <c r="J11" i="11" s="1"/>
  <c r="J15" i="11"/>
  <c r="R16" i="3"/>
  <c r="AG14" i="3"/>
  <c r="I11" i="11"/>
  <c r="U16" i="3"/>
  <c r="W16" i="3" s="1"/>
  <c r="X16" i="3" s="1"/>
  <c r="AA15" i="3" l="1"/>
  <c r="AH15" i="3"/>
  <c r="AL15" i="3" s="1"/>
  <c r="AN15" i="3" s="1"/>
  <c r="AG15" i="3"/>
  <c r="J10" i="11" s="1"/>
  <c r="J16" i="11" s="1"/>
  <c r="Y16" i="3"/>
  <c r="AI14" i="3"/>
  <c r="AJ14" i="3" s="1"/>
  <c r="AK14" i="3"/>
  <c r="AM14" i="3" s="1"/>
  <c r="I10" i="11"/>
  <c r="I16" i="11" s="1"/>
  <c r="Q17" i="3"/>
  <c r="S17" i="3" s="1"/>
  <c r="AA16" i="3" l="1"/>
  <c r="AH16" i="3"/>
  <c r="AL16" i="3" s="1"/>
  <c r="AN16" i="3" s="1"/>
  <c r="AK15" i="3"/>
  <c r="AM15" i="3" s="1"/>
  <c r="AI15" i="3"/>
  <c r="AJ15" i="3" s="1"/>
  <c r="R17" i="3"/>
  <c r="K14" i="11"/>
  <c r="U17" i="3"/>
  <c r="W17" i="3" l="1"/>
  <c r="X17" i="3" s="1"/>
  <c r="X57" i="3" s="1"/>
  <c r="Q120" i="12" s="1"/>
  <c r="Z16" i="3"/>
  <c r="K15" i="11"/>
  <c r="Q18" i="3"/>
  <c r="S18" i="3" s="1"/>
  <c r="L14" i="11" l="1"/>
  <c r="Y17" i="3"/>
  <c r="R18" i="3"/>
  <c r="AG16" i="3"/>
  <c r="K11" i="11"/>
  <c r="L15" i="11"/>
  <c r="Z17" i="3"/>
  <c r="AG17" i="3" s="1"/>
  <c r="AA17" i="3" l="1"/>
  <c r="AA57" i="3" s="1"/>
  <c r="AH17" i="3"/>
  <c r="AL17" i="3" s="1"/>
  <c r="AN17" i="3" s="1"/>
  <c r="Y57" i="3"/>
  <c r="L11" i="11"/>
  <c r="Z57" i="3"/>
  <c r="R120" i="12" s="1"/>
  <c r="AI16" i="3"/>
  <c r="AJ16" i="3" s="1"/>
  <c r="K10" i="11"/>
  <c r="K16" i="11" s="1"/>
  <c r="AK16" i="3"/>
  <c r="AM16" i="3" s="1"/>
  <c r="AI17" i="3"/>
  <c r="L10" i="11"/>
  <c r="L16" i="11" s="1"/>
  <c r="AK17" i="3"/>
  <c r="AM17" i="3" s="1"/>
  <c r="AM54" i="3" s="1"/>
  <c r="AG54" i="3"/>
  <c r="Q19" i="3"/>
  <c r="S19" i="3" s="1"/>
  <c r="R19" i="3" l="1"/>
  <c r="R45" i="12"/>
  <c r="U19" i="3"/>
  <c r="W19" i="3" s="1"/>
  <c r="S45" i="12"/>
  <c r="S120" i="12"/>
  <c r="AI54" i="3"/>
  <c r="AJ17" i="3"/>
  <c r="AJ54" i="3" s="1"/>
  <c r="N14" i="11" l="1"/>
  <c r="Q20" i="3"/>
  <c r="S20" i="3" s="1"/>
  <c r="R20" i="3" l="1"/>
  <c r="U20" i="3"/>
  <c r="W20" i="3" s="1"/>
  <c r="O14" i="11" l="1"/>
  <c r="Q21" i="3"/>
  <c r="S21" i="3" s="1"/>
  <c r="R21" i="3" l="1"/>
  <c r="U21" i="3"/>
  <c r="W21" i="3" s="1"/>
  <c r="P14" i="11" l="1"/>
  <c r="Q22" i="3"/>
  <c r="S22" i="3" s="1"/>
  <c r="R22" i="3" l="1"/>
  <c r="U22" i="3"/>
  <c r="W22" i="3" s="1"/>
  <c r="Q14" i="11" l="1"/>
  <c r="Q23" i="3"/>
  <c r="S23" i="3" s="1"/>
  <c r="R23" i="3" l="1"/>
  <c r="U23" i="3"/>
  <c r="W23" i="3" s="1"/>
  <c r="R14" i="11" l="1"/>
  <c r="Q24" i="3"/>
  <c r="S24" i="3" s="1"/>
  <c r="R24" i="3" l="1"/>
  <c r="U24" i="3"/>
  <c r="W24" i="3" s="1"/>
  <c r="S14" i="11" l="1"/>
  <c r="Q25" i="3"/>
  <c r="S25" i="3" s="1"/>
  <c r="U25" i="3" l="1"/>
  <c r="W25" i="3" s="1"/>
  <c r="R25" i="3"/>
  <c r="T14" i="11" l="1"/>
  <c r="Q26" i="3"/>
  <c r="S26" i="3" s="1"/>
  <c r="R26" i="3" l="1"/>
  <c r="U26" i="3"/>
  <c r="W26" i="3" s="1"/>
  <c r="U14" i="11" l="1"/>
  <c r="Q27" i="3"/>
  <c r="S27" i="3" s="1"/>
  <c r="U27" i="3" l="1"/>
  <c r="W27" i="3" s="1"/>
  <c r="R27" i="3"/>
  <c r="V14" i="11" l="1"/>
  <c r="Q28" i="3"/>
  <c r="S28" i="3" s="1"/>
  <c r="R28" i="3" l="1"/>
  <c r="U28" i="3"/>
  <c r="W28" i="3" s="1"/>
  <c r="W14" i="11" l="1"/>
  <c r="Q29" i="3"/>
  <c r="S29" i="3" s="1"/>
  <c r="R29" i="3" l="1"/>
  <c r="U29" i="3"/>
  <c r="W29" i="3" s="1"/>
  <c r="X14" i="11" l="1"/>
  <c r="Q30" i="3"/>
  <c r="S30" i="3" s="1"/>
  <c r="R30" i="3" l="1"/>
  <c r="U30" i="3"/>
  <c r="W30" i="3" s="1"/>
  <c r="Y14" i="11" l="1"/>
  <c r="Q31" i="3"/>
  <c r="S31" i="3" s="1"/>
  <c r="U31" i="3" l="1"/>
  <c r="W31" i="3" s="1"/>
  <c r="R31" i="3"/>
  <c r="Z14" i="11" l="1"/>
  <c r="Q32" i="3"/>
  <c r="S32" i="3" s="1"/>
  <c r="R32" i="3" l="1"/>
  <c r="U32" i="3"/>
  <c r="W32" i="3" s="1"/>
  <c r="AA14" i="11" l="1"/>
  <c r="Q33" i="3"/>
  <c r="S33" i="3" s="1"/>
  <c r="U33" i="3" l="1"/>
  <c r="W33" i="3" s="1"/>
  <c r="R33" i="3"/>
  <c r="AB14" i="11" l="1"/>
  <c r="Q34" i="3"/>
  <c r="S34" i="3" s="1"/>
  <c r="R34" i="3" l="1"/>
  <c r="R35" i="3" s="1"/>
  <c r="U34" i="3"/>
  <c r="W34" i="3" s="1"/>
  <c r="AC14" i="11" l="1"/>
  <c r="U35" i="3" l="1"/>
  <c r="W35" i="3" s="1"/>
  <c r="AD14" i="11" l="1"/>
  <c r="Q36" i="3"/>
  <c r="S36" i="3" s="1"/>
  <c r="U36" i="3" l="1"/>
  <c r="W36" i="3" s="1"/>
  <c r="R36" i="3"/>
  <c r="AE14" i="11" l="1"/>
  <c r="Q37" i="3"/>
  <c r="S37" i="3" s="1"/>
  <c r="R37" i="3" l="1"/>
  <c r="U37" i="3"/>
  <c r="W37" i="3" s="1"/>
  <c r="AF14" i="11" l="1"/>
  <c r="Q38" i="3"/>
  <c r="S38" i="3" s="1"/>
  <c r="U18" i="3"/>
  <c r="W18" i="3" s="1"/>
  <c r="X18" i="3" s="1"/>
  <c r="X19" i="3" l="1"/>
  <c r="Z18" i="3"/>
  <c r="R38" i="3"/>
  <c r="U38" i="3"/>
  <c r="W38" i="3" s="1"/>
  <c r="M14" i="11"/>
  <c r="Y18" i="3"/>
  <c r="M15" i="11"/>
  <c r="AA18" i="3" l="1"/>
  <c r="AH18" i="3"/>
  <c r="AL18" i="3" s="1"/>
  <c r="AN18" i="3" s="1"/>
  <c r="AG18" i="3"/>
  <c r="AI18" i="3" s="1"/>
  <c r="Z19" i="3"/>
  <c r="Y19" i="3"/>
  <c r="AH19" i="3" s="1"/>
  <c r="AL19" i="3" s="1"/>
  <c r="AN19" i="3" s="1"/>
  <c r="Y20" i="3" l="1"/>
  <c r="AA19" i="3"/>
  <c r="M11" i="11"/>
  <c r="X20" i="3"/>
  <c r="X21" i="3" s="1"/>
  <c r="N15" i="11"/>
  <c r="M10" i="11"/>
  <c r="AK18" i="3"/>
  <c r="AM18" i="3" s="1"/>
  <c r="AJ18" i="3"/>
  <c r="N11" i="11"/>
  <c r="AG19" i="3"/>
  <c r="AA20" i="3" l="1"/>
  <c r="AH20" i="3"/>
  <c r="AL20" i="3" s="1"/>
  <c r="AN20" i="3" s="1"/>
  <c r="Y21" i="3"/>
  <c r="O15" i="11"/>
  <c r="Z20" i="3"/>
  <c r="O11" i="11" s="1"/>
  <c r="P15" i="11"/>
  <c r="X22" i="3"/>
  <c r="Z21" i="3"/>
  <c r="M16" i="11"/>
  <c r="AK19" i="3"/>
  <c r="AM19" i="3" s="1"/>
  <c r="AI19" i="3"/>
  <c r="AJ19" i="3" s="1"/>
  <c r="N10" i="11"/>
  <c r="N16" i="11" s="1"/>
  <c r="AA21" i="3" l="1"/>
  <c r="AH21" i="3"/>
  <c r="AL21" i="3" s="1"/>
  <c r="AN21" i="3" s="1"/>
  <c r="Y22" i="3"/>
  <c r="AG20" i="3"/>
  <c r="O10" i="11" s="1"/>
  <c r="O16" i="11" s="1"/>
  <c r="AG21" i="3"/>
  <c r="P11" i="11"/>
  <c r="X23" i="3"/>
  <c r="Z22" i="3"/>
  <c r="Q15" i="11"/>
  <c r="X58" i="3"/>
  <c r="Q121" i="12" s="1"/>
  <c r="AA22" i="3" l="1"/>
  <c r="AA58" i="3" s="1"/>
  <c r="AH22" i="3"/>
  <c r="AL22" i="3" s="1"/>
  <c r="AN22" i="3" s="1"/>
  <c r="Y23" i="3"/>
  <c r="Y58" i="3"/>
  <c r="AK20" i="3"/>
  <c r="AM20" i="3" s="1"/>
  <c r="AI20" i="3"/>
  <c r="AJ20" i="3" s="1"/>
  <c r="R15" i="11"/>
  <c r="X24" i="3"/>
  <c r="Z23" i="3"/>
  <c r="AI21" i="3"/>
  <c r="AJ21" i="3" s="1"/>
  <c r="P10" i="11"/>
  <c r="P16" i="11" s="1"/>
  <c r="AK21" i="3"/>
  <c r="AM21" i="3" s="1"/>
  <c r="AG22" i="3"/>
  <c r="Q11" i="11"/>
  <c r="Z58" i="3"/>
  <c r="AA23" i="3" l="1"/>
  <c r="AH23" i="3"/>
  <c r="AL23" i="3" s="1"/>
  <c r="AN23" i="3" s="1"/>
  <c r="Y24" i="3"/>
  <c r="AI22" i="3"/>
  <c r="AG55" i="3"/>
  <c r="Q10" i="11"/>
  <c r="Q16" i="11" s="1"/>
  <c r="AK22" i="3"/>
  <c r="AM22" i="3" s="1"/>
  <c r="AM55" i="3" s="1"/>
  <c r="AG23" i="3"/>
  <c r="R11" i="11"/>
  <c r="Z24" i="3"/>
  <c r="X25" i="3"/>
  <c r="S15" i="11"/>
  <c r="R121" i="12"/>
  <c r="R46" i="12"/>
  <c r="AA24" i="3" l="1"/>
  <c r="AH24" i="3"/>
  <c r="AL24" i="3" s="1"/>
  <c r="AN24" i="3" s="1"/>
  <c r="Y25" i="3"/>
  <c r="R10" i="11"/>
  <c r="R16" i="11" s="1"/>
  <c r="AI23" i="3"/>
  <c r="AJ23" i="3" s="1"/>
  <c r="AK23" i="3"/>
  <c r="AM23" i="3" s="1"/>
  <c r="Z25" i="3"/>
  <c r="X26" i="3"/>
  <c r="T15" i="11"/>
  <c r="S121" i="12"/>
  <c r="S46" i="12"/>
  <c r="S11" i="11"/>
  <c r="AG24" i="3"/>
  <c r="AJ22" i="3"/>
  <c r="AJ55" i="3" s="1"/>
  <c r="AI55" i="3"/>
  <c r="AA25" i="3" l="1"/>
  <c r="AH25" i="3"/>
  <c r="AL25" i="3" s="1"/>
  <c r="AN25" i="3" s="1"/>
  <c r="Y26" i="3"/>
  <c r="X27" i="3"/>
  <c r="Z26" i="3"/>
  <c r="U15" i="11"/>
  <c r="AG25" i="3"/>
  <c r="T11" i="11"/>
  <c r="AK24" i="3"/>
  <c r="AM24" i="3" s="1"/>
  <c r="S10" i="11"/>
  <c r="S16" i="11" s="1"/>
  <c r="AI24" i="3"/>
  <c r="AJ24" i="3" s="1"/>
  <c r="AA26" i="3" l="1"/>
  <c r="AH26" i="3"/>
  <c r="AL26" i="3" s="1"/>
  <c r="AN26" i="3" s="1"/>
  <c r="Y27" i="3"/>
  <c r="T10" i="11"/>
  <c r="T16" i="11" s="1"/>
  <c r="AK25" i="3"/>
  <c r="AM25" i="3" s="1"/>
  <c r="AI25" i="3"/>
  <c r="AJ25" i="3" s="1"/>
  <c r="AG26" i="3"/>
  <c r="U11" i="11"/>
  <c r="X59" i="3"/>
  <c r="Q122" i="12" s="1"/>
  <c r="X28" i="3"/>
  <c r="V15" i="11"/>
  <c r="Z27" i="3"/>
  <c r="AA27" i="3" l="1"/>
  <c r="AA59" i="3" s="1"/>
  <c r="AH27" i="3"/>
  <c r="AL27" i="3" s="1"/>
  <c r="AN27" i="3" s="1"/>
  <c r="Y59" i="3"/>
  <c r="Y28" i="3"/>
  <c r="AG27" i="3"/>
  <c r="Z59" i="3"/>
  <c r="V11" i="11"/>
  <c r="U10" i="11"/>
  <c r="U16" i="11" s="1"/>
  <c r="AI26" i="3"/>
  <c r="AJ26" i="3" s="1"/>
  <c r="AK26" i="3"/>
  <c r="AM26" i="3" s="1"/>
  <c r="Z28" i="3"/>
  <c r="W15" i="11"/>
  <c r="X29" i="3"/>
  <c r="AA28" i="3" l="1"/>
  <c r="AH28" i="3"/>
  <c r="AL28" i="3" s="1"/>
  <c r="AN28" i="3" s="1"/>
  <c r="Y29" i="3"/>
  <c r="X30" i="3"/>
  <c r="X15" i="11"/>
  <c r="Z29" i="3"/>
  <c r="R47" i="12"/>
  <c r="R122" i="12"/>
  <c r="V10" i="11"/>
  <c r="V16" i="11" s="1"/>
  <c r="AG56" i="3"/>
  <c r="AK27" i="3"/>
  <c r="AM27" i="3" s="1"/>
  <c r="AM56" i="3" s="1"/>
  <c r="AI27" i="3"/>
  <c r="W11" i="11"/>
  <c r="AG28" i="3"/>
  <c r="AI28" i="3" s="1"/>
  <c r="AA29" i="3" l="1"/>
  <c r="AH29" i="3"/>
  <c r="AL29" i="3" s="1"/>
  <c r="AN29" i="3" s="1"/>
  <c r="Y30" i="3"/>
  <c r="W10" i="11"/>
  <c r="W16" i="11" s="1"/>
  <c r="AK28" i="3"/>
  <c r="AM28" i="3" s="1"/>
  <c r="AJ28" i="3"/>
  <c r="S122" i="12"/>
  <c r="S47" i="12"/>
  <c r="X11" i="11"/>
  <c r="AG29" i="3"/>
  <c r="AI56" i="3"/>
  <c r="AJ27" i="3"/>
  <c r="AJ56" i="3" s="1"/>
  <c r="Y15" i="11"/>
  <c r="X31" i="3"/>
  <c r="Z30" i="3"/>
  <c r="AA30" i="3" l="1"/>
  <c r="AH30" i="3"/>
  <c r="AL30" i="3" s="1"/>
  <c r="AN30" i="3" s="1"/>
  <c r="Y31" i="3"/>
  <c r="AG30" i="3"/>
  <c r="Y11" i="11"/>
  <c r="X32" i="3"/>
  <c r="Z31" i="3"/>
  <c r="Z15" i="11"/>
  <c r="AI29" i="3"/>
  <c r="AJ29" i="3" s="1"/>
  <c r="X10" i="11"/>
  <c r="X16" i="11" s="1"/>
  <c r="AK29" i="3"/>
  <c r="AM29" i="3" s="1"/>
  <c r="AA31" i="3" l="1"/>
  <c r="AH31" i="3"/>
  <c r="AL31" i="3" s="1"/>
  <c r="AN31" i="3" s="1"/>
  <c r="Y32" i="3"/>
  <c r="Z32" i="3"/>
  <c r="AA15" i="11"/>
  <c r="X33" i="3"/>
  <c r="X60" i="3"/>
  <c r="Q123" i="12" s="1"/>
  <c r="Z11" i="11"/>
  <c r="AG31" i="3"/>
  <c r="AK30" i="3"/>
  <c r="AM30" i="3" s="1"/>
  <c r="AI30" i="3"/>
  <c r="AJ30" i="3" s="1"/>
  <c r="Y10" i="11"/>
  <c r="Y16" i="11" s="1"/>
  <c r="AA32" i="3" l="1"/>
  <c r="AA60" i="3" s="1"/>
  <c r="AH32" i="3"/>
  <c r="AL32" i="3" s="1"/>
  <c r="AN32" i="3" s="1"/>
  <c r="Y33" i="3"/>
  <c r="Y60" i="3"/>
  <c r="Z10" i="11"/>
  <c r="Z16" i="11" s="1"/>
  <c r="AK31" i="3"/>
  <c r="AM31" i="3" s="1"/>
  <c r="AI31" i="3"/>
  <c r="AJ31" i="3" s="1"/>
  <c r="X34" i="3"/>
  <c r="Z33" i="3"/>
  <c r="AB15" i="11"/>
  <c r="AA11" i="11"/>
  <c r="AG32" i="3"/>
  <c r="AK32" i="3" s="1"/>
  <c r="Z60" i="3"/>
  <c r="AA33" i="3" l="1"/>
  <c r="AH33" i="3"/>
  <c r="AL33" i="3" s="1"/>
  <c r="AN33" i="3" s="1"/>
  <c r="Y34" i="3"/>
  <c r="AG33" i="3"/>
  <c r="AB11" i="11"/>
  <c r="R123" i="12"/>
  <c r="R48" i="12"/>
  <c r="AI32" i="3"/>
  <c r="AA10" i="11"/>
  <c r="AA16" i="11" s="1"/>
  <c r="AM32" i="3"/>
  <c r="AM57" i="3" s="1"/>
  <c r="AG57" i="3"/>
  <c r="X35" i="3"/>
  <c r="AC15" i="11"/>
  <c r="Z34" i="3"/>
  <c r="AA34" i="3" l="1"/>
  <c r="AH34" i="3"/>
  <c r="AL34" i="3" s="1"/>
  <c r="AN34" i="3" s="1"/>
  <c r="Y35" i="3"/>
  <c r="AJ32" i="3"/>
  <c r="AJ57" i="3" s="1"/>
  <c r="AI57" i="3"/>
  <c r="AG34" i="3"/>
  <c r="AC11" i="11"/>
  <c r="AK33" i="3"/>
  <c r="AM33" i="3" s="1"/>
  <c r="AB10" i="11"/>
  <c r="AB16" i="11" s="1"/>
  <c r="AI33" i="3"/>
  <c r="AJ33" i="3" s="1"/>
  <c r="Z35" i="3"/>
  <c r="AG35" i="3" s="1"/>
  <c r="AD15" i="11"/>
  <c r="X36" i="3"/>
  <c r="S123" i="12"/>
  <c r="S48" i="12"/>
  <c r="AA35" i="3" l="1"/>
  <c r="AH35" i="3"/>
  <c r="AL35" i="3" s="1"/>
  <c r="AN35" i="3" s="1"/>
  <c r="Y36" i="3"/>
  <c r="AD11" i="11"/>
  <c r="AI34" i="3"/>
  <c r="AJ34" i="3" s="1"/>
  <c r="AK34" i="3"/>
  <c r="AM34" i="3" s="1"/>
  <c r="AC10" i="11"/>
  <c r="AC16" i="11" s="1"/>
  <c r="X37" i="3"/>
  <c r="Z37" i="3" s="1"/>
  <c r="Z36" i="3"/>
  <c r="AE15" i="11"/>
  <c r="AA36" i="3" l="1"/>
  <c r="AH36" i="3"/>
  <c r="AL36" i="3" s="1"/>
  <c r="AN36" i="3" s="1"/>
  <c r="Y37" i="3"/>
  <c r="X61" i="3"/>
  <c r="Q124" i="12" s="1"/>
  <c r="X38" i="3"/>
  <c r="Z38" i="3" s="1"/>
  <c r="AG38" i="3" s="1"/>
  <c r="AK38" i="3" s="1"/>
  <c r="AF15" i="11"/>
  <c r="AD10" i="11"/>
  <c r="AD16" i="11" s="1"/>
  <c r="AK35" i="3"/>
  <c r="AM35" i="3" s="1"/>
  <c r="AI35" i="3"/>
  <c r="AJ35" i="3" s="1"/>
  <c r="AG36" i="3"/>
  <c r="AE11" i="11"/>
  <c r="AA37" i="3" l="1"/>
  <c r="AA61" i="3" s="1"/>
  <c r="AH37" i="3"/>
  <c r="AL37" i="3" s="1"/>
  <c r="AN37" i="3" s="1"/>
  <c r="Y61" i="3"/>
  <c r="Y38" i="3"/>
  <c r="AI38" i="3"/>
  <c r="AJ38" i="3" s="1"/>
  <c r="AM38" i="3"/>
  <c r="AF11" i="11"/>
  <c r="Z61" i="3"/>
  <c r="AG37" i="3"/>
  <c r="AK36" i="3"/>
  <c r="AM36" i="3" s="1"/>
  <c r="AE10" i="11"/>
  <c r="AE16" i="11" s="1"/>
  <c r="AI36" i="3"/>
  <c r="AJ36" i="3" s="1"/>
  <c r="AA38" i="3" l="1"/>
  <c r="AH38" i="3"/>
  <c r="AL38" i="3" s="1"/>
  <c r="AN38" i="3" s="1"/>
  <c r="AF10" i="11"/>
  <c r="AF16" i="11" s="1"/>
  <c r="AG58" i="3"/>
  <c r="AK37" i="3"/>
  <c r="AM37" i="3" s="1"/>
  <c r="AM58" i="3" s="1"/>
  <c r="AI37" i="3"/>
  <c r="R124" i="12"/>
  <c r="R49" i="12"/>
  <c r="S49" i="12" l="1"/>
  <c r="S124" i="12"/>
  <c r="AJ37" i="3"/>
  <c r="AJ58" i="3" s="1"/>
  <c r="AI5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3" authorId="0" shapeId="0" xr:uid="{00000000-0006-0000-0100-000001000000}">
      <text>
        <r>
          <rPr>
            <b/>
            <sz val="9"/>
            <color indexed="81"/>
            <rFont val="Segoe UI"/>
            <family val="2"/>
          </rPr>
          <t>Author:</t>
        </r>
        <r>
          <rPr>
            <sz val="9"/>
            <color indexed="81"/>
            <rFont val="Segoe UI"/>
            <family val="2"/>
          </rPr>
          <t xml:space="preserve">
Mithilfe der Alterswertminderung wird ermittelt, wie weit die Immobilie seit ihrer Entstehung an Wert verloren hat. Hierfür wird das Alter mit dem Wert (z.B. 0,01  für 1,0 % p.a.) multipliziert. Das Ergebnis ist der Prozentsatz, um den sich die reinen Baukosten mindern.
Baukosten bisher – Alterswertminderung = Gebäudesachwert.
beim Verkauf kommt dann noch der Grundstückspreis dazu!</t>
        </r>
      </text>
    </comment>
    <comment ref="A33" authorId="0" shapeId="0" xr:uid="{00000000-0006-0000-0100-000002000000}">
      <text>
        <r>
          <rPr>
            <sz val="9"/>
            <color indexed="81"/>
            <rFont val="Segoe UI"/>
            <family val="2"/>
          </rPr>
          <t xml:space="preserve">In diese Rubrik gehören also alle Kosten, die über die ohnehin notwendige, laufende Instandhaltung hinaus gehen. Eine Faustformel für Gebraucht-Immobilien besagt, dass im Jahresdurchschnitt 0,8 bis ein Prozent der reinen Herstellungskosten für das Gebäude an Instandhaltungsbedarf entstehen. </t>
        </r>
      </text>
    </comment>
    <comment ref="B39" authorId="0" shapeId="0" xr:uid="{00000000-0006-0000-0100-000003000000}">
      <text>
        <r>
          <rPr>
            <b/>
            <sz val="9"/>
            <color indexed="81"/>
            <rFont val="Segoe UI"/>
            <family val="2"/>
          </rPr>
          <t>Author:</t>
        </r>
        <r>
          <rPr>
            <sz val="9"/>
            <color indexed="81"/>
            <rFont val="Segoe UI"/>
            <family val="2"/>
          </rPr>
          <t xml:space="preserve">
hängt von der Art der Immobilie und Lage ab.
Risiko bei Gewerbe-Immob.  Ist meist höher (4% - 6% und mehr) als bei Wohnimmoblien!
</t>
        </r>
      </text>
    </comment>
    <comment ref="A55" authorId="0" shapeId="0" xr:uid="{8CD9D017-3CBB-4B5A-9668-C516C2341050}">
      <text>
        <r>
          <rPr>
            <sz val="9"/>
            <color indexed="81"/>
            <rFont val="Segoe UI"/>
            <charset val="1"/>
          </rPr>
          <t>siehe Blatt 
 "Hinweise"
ab Zeile 92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5" authorId="0" shapeId="0" xr:uid="{AC9C5E70-5C62-4E85-832E-47F957B0B32A}">
      <text>
        <r>
          <rPr>
            <b/>
            <sz val="9"/>
            <color indexed="81"/>
            <rFont val="Segoe UI"/>
            <charset val="1"/>
          </rPr>
          <t xml:space="preserve">https://www.faz.net/aktuell/finanzen/immobilien-zuegig-abschreiben-18599959.html?GEPC=s9&amp;premium=0x7494819a022a81a9f4a3f62686ef14c0561c950eb4a44415571570d2646fe373
</t>
        </r>
        <r>
          <rPr>
            <sz val="9"/>
            <color indexed="81"/>
            <rFont val="Segoe UI"/>
            <charset val="1"/>
          </rPr>
          <t xml:space="preserve">
Regelmäßig beträgt bei einer Wohnimmobilie die jährliche Abschreibung 2 Prozent der Gebäudekosten. Damit unterstellt der Gesetzgeber eine Nutzungsdauer von 50 Jahren. Dies gilt zunächst auch für eine 90 Jahre alte unrenovierte Immobilie, die zum Beispiel im Jahr 2023 erworben wird. Auch hier unterstellt das Gesetz eine pauschale Restnutzungsdauer des Gebäudes von 50 Jahren. Da dies aber in manchen Fällen nicht der Realität entspricht, sieht das Einkommensteuergesetz eine Ausnahmeregelung vor. Beträgt nämlich die tatsächliche Nutzungsdauer eines Wohngebäudes weniger als 50 Jahre, so kann diese zum Ansatz gebracht werden.</t>
        </r>
      </text>
    </comment>
    <comment ref="F53" authorId="0" shapeId="0" xr:uid="{1EFC1BEF-C26B-4BB1-9635-B4F3B21F18E4}">
      <text>
        <r>
          <rPr>
            <b/>
            <sz val="9"/>
            <color indexed="81"/>
            <rFont val="Segoe UI"/>
            <charset val="1"/>
          </rPr>
          <t xml:space="preserve">https://www.faz.net/aktuell/finanzen/immobilien-zuegig-abschreiben-18599959.html?GEPC=s9&amp;premium=0x7494819a022a81a9f4a3f62686ef14c0561c950eb4a44415571570d2646fe373
</t>
        </r>
        <r>
          <rPr>
            <sz val="9"/>
            <color indexed="81"/>
            <rFont val="Segoe UI"/>
            <family val="2"/>
          </rPr>
          <t xml:space="preserve">
Regelmäßig beträgt bei einer Wohnimmobilie die jährliche Abschreibung 2 Prozent der Gebäudekosten. Damit unterstellt der Gesetzgeber eine Nutzungsdauer von 50 Jahren. Dies gilt zunächst auch für eine 90 Jahre alte unrenovierte Immobilie, die zum Beispiel im Jahr 2023 erworben wird. Auch hier unterstellt das Gesetz eine pauschale Restnutzungsdauer des Gebäudes von 50 Jahren. Da dies aber in manchen Fällen nicht der Realität entspricht, sieht das Einkommensteuergesetz eine Ausnahmeregelung vor. Beträgt nämlich die tatsächliche Nutzungsdauer eines Wohngebäudes weniger als 50 Jahre, so kann diese zum Ansatz gebracht werden.</t>
        </r>
        <r>
          <rPr>
            <sz val="9"/>
            <color indexed="81"/>
            <rFont val="Segoe UI"/>
            <charset val="1"/>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tc={1B2A4234-D3CE-4CFD-9F0B-F558A3633912}</author>
  </authors>
  <commentList>
    <comment ref="AG2" authorId="0" shapeId="0" xr:uid="{00000000-0006-0000-0200-000001000000}">
      <text>
        <r>
          <rPr>
            <b/>
            <sz val="9"/>
            <color indexed="81"/>
            <rFont val="Tahoma"/>
            <family val="2"/>
          </rPr>
          <t xml:space="preserve">Überschuss aus Verkauf =
+ Verkaufspreis
+/- kumul. Mittel-zu/abfluss nach Steuern 
+ Tilgungen
- Investment (=Eigenkapital +Kreditbedarf)
</t>
        </r>
        <r>
          <rPr>
            <b/>
            <u/>
            <sz val="9"/>
            <color indexed="81"/>
            <rFont val="Tahoma"/>
            <family val="2"/>
          </rPr>
          <t>oder anders gerechnet</t>
        </r>
        <r>
          <rPr>
            <b/>
            <sz val="9"/>
            <color indexed="81"/>
            <rFont val="Tahoma"/>
            <family val="2"/>
          </rPr>
          <t xml:space="preserve">: 
+ Verkehrswert
+/- kumul. Cash Flow (Einnahmen-/Ausgaben-Überschuss)
- Eigenkapital
- Restl. Schulden
</t>
        </r>
        <r>
          <rPr>
            <sz val="9"/>
            <color indexed="81"/>
            <rFont val="Tahoma"/>
            <family val="2"/>
          </rPr>
          <t xml:space="preserve">
ein positiver Wert (+) steht für einen Überschuss
ein negativer (-) Wert steht für eine Unterdeckung! 
</t>
        </r>
      </text>
    </comment>
    <comment ref="AH2" authorId="0" shapeId="0" xr:uid="{E9190C47-5F0B-47D1-9C8F-7703C7ECF66F}">
      <text>
        <r>
          <rPr>
            <b/>
            <sz val="9"/>
            <color indexed="81"/>
            <rFont val="Tahoma"/>
            <family val="2"/>
          </rPr>
          <t xml:space="preserve">Überschuss aus Verkauf =
+ Verkaufspreis
+/- kumul. Mittel-zu/abfluss nach Steuern 
+ Tilgungen
- Investment (=Eigenkapital +Kreditbedarf)
</t>
        </r>
        <r>
          <rPr>
            <b/>
            <u/>
            <sz val="9"/>
            <color indexed="81"/>
            <rFont val="Tahoma"/>
            <family val="2"/>
          </rPr>
          <t>oder anders gerechnet</t>
        </r>
        <r>
          <rPr>
            <b/>
            <sz val="9"/>
            <color indexed="81"/>
            <rFont val="Tahoma"/>
            <family val="2"/>
          </rPr>
          <t xml:space="preserve">: 
+ Verkehrswert
+/- kumul. Cash Flow (Einnahmen-/Ausgaben-Überschuss)
- Eigenkapital
- Restl. Schulden
</t>
        </r>
        <r>
          <rPr>
            <sz val="9"/>
            <color indexed="81"/>
            <rFont val="Tahoma"/>
            <family val="2"/>
          </rPr>
          <t xml:space="preserve">
ein positiver Wert (+) steht für einen Überschuss
ein negativer (-) Wert steht für eine Unterdeckung! 
</t>
        </r>
      </text>
    </comment>
    <comment ref="AE3" authorId="0" shapeId="0" xr:uid="{00000000-0006-0000-0200-000002000000}">
      <text>
        <r>
          <rPr>
            <b/>
            <sz val="9"/>
            <color indexed="81"/>
            <rFont val="Tahoma"/>
            <family val="2"/>
          </rPr>
          <t>Verkehrswert:</t>
        </r>
        <r>
          <rPr>
            <sz val="9"/>
            <color indexed="81"/>
            <rFont val="Tahoma"/>
            <family val="2"/>
          </rPr>
          <t xml:space="preserve">
unter Berücksichtigung 
# des jährlichen Wertverlustest des Gebäudes sowie der Baukostensteigerung und 
# der jährlichen Wertsteigerung des Grundstücks</t>
        </r>
      </text>
    </comment>
    <comment ref="AF3" authorId="0" shapeId="0" xr:uid="{00000000-0006-0000-0200-000003000000}">
      <text>
        <r>
          <rPr>
            <b/>
            <sz val="9"/>
            <color indexed="81"/>
            <rFont val="Tahoma"/>
            <family val="2"/>
          </rPr>
          <t>Verkehrswert:</t>
        </r>
        <r>
          <rPr>
            <sz val="9"/>
            <color indexed="81"/>
            <rFont val="Tahoma"/>
            <family val="2"/>
          </rPr>
          <t xml:space="preserve">
unter Berücksichtigung 
# des jährlichen Wertverlustest des Gebäudes sowie der Baukostensteigerung und 
# der jährlichen Wertsteigerung des Grundstücks</t>
        </r>
      </text>
    </comment>
    <comment ref="H4" authorId="0" shapeId="0" xr:uid="{6D9D8E7F-9B0D-4202-930F-92AFAE520499}">
      <text>
        <r>
          <rPr>
            <b/>
            <sz val="9"/>
            <color indexed="81"/>
            <rFont val="Segoe UI"/>
            <family val="2"/>
          </rPr>
          <t xml:space="preserve">Achtung:
- Sondertilgung mit (-) Negativerwert eintragen, 
</t>
        </r>
        <r>
          <rPr>
            <sz val="9"/>
            <color indexed="81"/>
            <rFont val="Segoe UI"/>
            <family val="2"/>
          </rPr>
          <t xml:space="preserve">da es sich um eine Ausgabe bzw. Mittelabfluss (-) handelt!
</t>
        </r>
      </text>
    </comment>
    <comment ref="V4" authorId="0" shapeId="0" xr:uid="{00000000-0006-0000-0200-000004000000}">
      <text>
        <r>
          <rPr>
            <b/>
            <sz val="9"/>
            <color indexed="81"/>
            <rFont val="Tahoma"/>
            <family val="2"/>
          </rPr>
          <t>Mittelfluss vor Steuer =</t>
        </r>
        <r>
          <rPr>
            <sz val="9"/>
            <color indexed="81"/>
            <rFont val="Tahoma"/>
            <family val="2"/>
          </rPr>
          <t xml:space="preserve">
+ Miete 
- Annuität (Zins &amp; Tilgung) 
- Sondertilgung
- Unterhaltskosten
 </t>
        </r>
      </text>
    </comment>
    <comment ref="W4" authorId="0" shapeId="0" xr:uid="{00000000-0006-0000-0200-000005000000}">
      <text>
        <r>
          <rPr>
            <b/>
            <sz val="9"/>
            <color indexed="81"/>
            <rFont val="Tahoma"/>
            <family val="2"/>
          </rPr>
          <t>Mittelfluss nach Steuer =</t>
        </r>
        <r>
          <rPr>
            <sz val="9"/>
            <color indexed="81"/>
            <rFont val="Tahoma"/>
            <family val="2"/>
          </rPr>
          <t xml:space="preserve">
+ Miete 
- Annuität (Zins &amp; Tilgung) 
- Sondertilgung
- Unterhaltskosten
+ Steuerersparnis bzw.
 -  Steuerzahlung </t>
        </r>
      </text>
    </comment>
    <comment ref="AC4" authorId="0" shapeId="0" xr:uid="{00000000-0006-0000-0200-000006000000}">
      <text>
        <r>
          <rPr>
            <b/>
            <sz val="9"/>
            <color indexed="81"/>
            <rFont val="Segoe UI"/>
            <family val="2"/>
          </rPr>
          <t>Marktwert:
enthält keine anteiligen Nebenerwerbskosten</t>
        </r>
        <r>
          <rPr>
            <sz val="9"/>
            <color indexed="81"/>
            <rFont val="Segoe UI"/>
            <family val="2"/>
          </rPr>
          <t xml:space="preserve">
</t>
        </r>
      </text>
    </comment>
    <comment ref="AD4" authorId="0" shapeId="0" xr:uid="{00000000-0006-0000-0200-000007000000}">
      <text>
        <r>
          <rPr>
            <b/>
            <sz val="9"/>
            <color indexed="81"/>
            <rFont val="Segoe UI"/>
            <family val="2"/>
          </rPr>
          <t>Marktwert:
enthält keine anteiligen Nebenerwerbskosten</t>
        </r>
        <r>
          <rPr>
            <sz val="9"/>
            <color indexed="81"/>
            <rFont val="Segoe UI"/>
            <family val="2"/>
          </rPr>
          <t xml:space="preserve">
</t>
        </r>
      </text>
    </comment>
    <comment ref="AI4" authorId="0" shapeId="0" xr:uid="{00000000-0006-0000-0200-000008000000}">
      <text>
        <r>
          <rPr>
            <b/>
            <sz val="9"/>
            <color indexed="81"/>
            <rFont val="Tahoma"/>
            <family val="2"/>
          </rPr>
          <t>Gesamte Anschaffungskosten:</t>
        </r>
        <r>
          <rPr>
            <sz val="9"/>
            <color indexed="81"/>
            <rFont val="Tahoma"/>
            <family val="2"/>
          </rPr>
          <t xml:space="preserve">
Immobilienpreis plus Grunderwerbssteuer plus Notargebühr plus evtl. Maklergebühr</t>
        </r>
      </text>
    </comment>
    <comment ref="S5" authorId="0" shapeId="0" xr:uid="{00000000-0006-0000-0200-000009000000}">
      <text>
        <r>
          <rPr>
            <b/>
            <sz val="9"/>
            <color indexed="81"/>
            <rFont val="Tahoma"/>
            <family val="2"/>
          </rPr>
          <t xml:space="preserve">Zu versteuernder Gewinn= </t>
        </r>
        <r>
          <rPr>
            <sz val="9"/>
            <color indexed="81"/>
            <rFont val="Tahoma"/>
            <family val="2"/>
          </rPr>
          <t xml:space="preserve">
Einnahmen aus Vermietung und Verpachtung
- Gebäude AFA
- Unterhalts- u. Betriebskosten 
- Zinsen
- Disagio im 1. Jahr
</t>
        </r>
      </text>
    </comment>
    <comment ref="AD5" authorId="0" shapeId="0" xr:uid="{00000000-0006-0000-0200-00000A000000}">
      <text>
        <r>
          <rPr>
            <b/>
            <sz val="9"/>
            <color indexed="81"/>
            <rFont val="Segoe UI"/>
            <family val="2"/>
          </rPr>
          <t>Aufgepasst:</t>
        </r>
        <r>
          <rPr>
            <sz val="9"/>
            <color indexed="81"/>
            <rFont val="Segoe UI"/>
            <family val="2"/>
          </rPr>
          <t xml:space="preserve">
Marktwert ist nicht identisch mit der AfA-Basis für das Gebäude!</t>
        </r>
      </text>
    </comment>
    <comment ref="M6" authorId="0" shapeId="0" xr:uid="{00000000-0006-0000-0200-00000B000000}">
      <text>
        <r>
          <rPr>
            <sz val="12"/>
            <rFont val="Arial"/>
            <family val="2"/>
          </rPr>
          <t xml:space="preserve">Unter Berücksichtigung der unterstellen jährlichen Mietpreissteigerungen und Leerstandsrisiko
</t>
        </r>
      </text>
    </comment>
    <comment ref="Y6" authorId="0" shapeId="0" xr:uid="{08300A2D-4789-4FFA-AE1B-1A7E9DCE61CF}">
      <text>
        <r>
          <rPr>
            <b/>
            <sz val="9"/>
            <color indexed="81"/>
            <rFont val="Segoe UI"/>
            <family val="2"/>
          </rPr>
          <t>Author:</t>
        </r>
        <r>
          <rPr>
            <sz val="9"/>
            <color indexed="81"/>
            <rFont val="Segoe UI"/>
            <family val="2"/>
          </rPr>
          <t xml:space="preserve">
Verzinsung nach Steuer
</t>
        </r>
      </text>
    </comment>
    <comment ref="AA6" authorId="0" shapeId="0" xr:uid="{7646E008-8390-4BB3-B38E-7961133E8205}">
      <text>
        <r>
          <rPr>
            <b/>
            <sz val="9"/>
            <color indexed="81"/>
            <rFont val="Segoe UI"/>
            <family val="2"/>
          </rPr>
          <t>Author:</t>
        </r>
        <r>
          <rPr>
            <sz val="9"/>
            <color indexed="81"/>
            <rFont val="Segoe UI"/>
            <family val="2"/>
          </rPr>
          <t xml:space="preserve">
Verzinsung nach Steuer
</t>
        </r>
      </text>
    </comment>
    <comment ref="H7" authorId="0" shapeId="0" xr:uid="{98D118B6-0669-46EB-B890-B606735AD7E1}">
      <text>
        <r>
          <rPr>
            <b/>
            <sz val="9"/>
            <color indexed="81"/>
            <rFont val="Segoe UI"/>
            <family val="2"/>
          </rPr>
          <t xml:space="preserve">Achtung:
Sondertilgung mit (-) 
</t>
        </r>
        <r>
          <rPr>
            <sz val="9"/>
            <color indexed="81"/>
            <rFont val="Segoe UI"/>
            <family val="2"/>
          </rPr>
          <t xml:space="preserve">Negativer Wert </t>
        </r>
        <r>
          <rPr>
            <b/>
            <sz val="9"/>
            <color indexed="81"/>
            <rFont val="Segoe UI"/>
            <family val="2"/>
          </rPr>
          <t xml:space="preserve">eintragen, </t>
        </r>
        <r>
          <rPr>
            <sz val="9"/>
            <color indexed="81"/>
            <rFont val="Segoe UI"/>
            <family val="2"/>
          </rPr>
          <t xml:space="preserve">
</t>
        </r>
        <r>
          <rPr>
            <b/>
            <sz val="9"/>
            <color indexed="81"/>
            <rFont val="Segoe UI"/>
            <family val="2"/>
          </rPr>
          <t>da</t>
        </r>
        <r>
          <rPr>
            <sz val="9"/>
            <color indexed="81"/>
            <rFont val="Segoe UI"/>
            <family val="2"/>
          </rPr>
          <t xml:space="preserve"> es sich um eine Ausgabe bzw. </t>
        </r>
        <r>
          <rPr>
            <b/>
            <sz val="9"/>
            <color indexed="81"/>
            <rFont val="Segoe UI"/>
            <family val="2"/>
          </rPr>
          <t xml:space="preserve">Mittelabfluss (-) </t>
        </r>
        <r>
          <rPr>
            <sz val="9"/>
            <color indexed="81"/>
            <rFont val="Segoe UI"/>
            <family val="2"/>
          </rPr>
          <t>handelt!</t>
        </r>
      </text>
    </comment>
    <comment ref="P7" authorId="0" shapeId="0" xr:uid="{2674AB38-647E-46E0-B124-0994861C467B}">
      <text>
        <r>
          <rPr>
            <b/>
            <sz val="9"/>
            <color indexed="81"/>
            <rFont val="Segoe UI"/>
            <family val="2"/>
          </rPr>
          <t xml:space="preserve">Sonder-AfA in Euro:
</t>
        </r>
        <r>
          <rPr>
            <sz val="9"/>
            <color indexed="81"/>
            <rFont val="Segoe UI"/>
            <family val="2"/>
          </rPr>
          <t xml:space="preserve">Bitte manuell  als </t>
        </r>
        <r>
          <rPr>
            <b/>
            <sz val="9"/>
            <color indexed="81"/>
            <rFont val="Segoe UI"/>
            <family val="2"/>
          </rPr>
          <t xml:space="preserve">negativer Wert (-) eintragen,  da </t>
        </r>
        <r>
          <rPr>
            <sz val="9"/>
            <color indexed="81"/>
            <rFont val="Segoe UI"/>
            <family val="2"/>
          </rPr>
          <t xml:space="preserve">es sich um einen 
</t>
        </r>
        <r>
          <rPr>
            <b/>
            <sz val="9"/>
            <color indexed="81"/>
            <rFont val="Segoe UI"/>
            <family val="2"/>
          </rPr>
          <t>kalkulatorischen  Aufwand</t>
        </r>
        <r>
          <rPr>
            <sz val="9"/>
            <color indexed="81"/>
            <rFont val="Segoe UI"/>
            <family val="2"/>
          </rPr>
          <t xml:space="preserve"> </t>
        </r>
        <r>
          <rPr>
            <b/>
            <sz val="9"/>
            <color indexed="81"/>
            <rFont val="Segoe UI"/>
            <family val="2"/>
          </rPr>
          <t>(-)</t>
        </r>
        <r>
          <rPr>
            <sz val="9"/>
            <color indexed="81"/>
            <rFont val="Segoe UI"/>
            <family val="2"/>
          </rPr>
          <t xml:space="preserve"> handelt!</t>
        </r>
      </text>
    </comment>
    <comment ref="R7" authorId="0" shapeId="0" xr:uid="{EE45E686-66B6-4B07-94A2-D4074E82FD17}">
      <text>
        <r>
          <rPr>
            <b/>
            <sz val="9"/>
            <color indexed="81"/>
            <rFont val="Segoe UI"/>
            <family val="2"/>
          </rPr>
          <t>AfA Basis entspricht:</t>
        </r>
        <r>
          <rPr>
            <sz val="9"/>
            <color indexed="81"/>
            <rFont val="Segoe UI"/>
            <family val="2"/>
          </rPr>
          <t xml:space="preserve">
 Gebäudewert bei Kauf
 + Fittiing up 
 + anteilige Erwerbsnebenkosten (ENK)
</t>
        </r>
      </text>
    </comment>
    <comment ref="V7" authorId="0" shapeId="0" xr:uid="{00000000-0006-0000-0200-00000D000000}">
      <text>
        <r>
          <rPr>
            <b/>
            <sz val="9"/>
            <color indexed="81"/>
            <rFont val="Tahoma"/>
            <family val="2"/>
          </rPr>
          <t>Zufluss:
ausgezahlter Kreditbetrag</t>
        </r>
      </text>
    </comment>
    <comment ref="W7" authorId="0" shapeId="0" xr:uid="{00000000-0006-0000-0200-00000E000000}">
      <text>
        <r>
          <rPr>
            <b/>
            <sz val="9"/>
            <color indexed="81"/>
            <rFont val="Tahoma"/>
            <family val="2"/>
          </rPr>
          <t xml:space="preserve">Abfluss = 
</t>
        </r>
        <r>
          <rPr>
            <sz val="9"/>
            <color indexed="81"/>
            <rFont val="Tahoma"/>
            <family val="2"/>
          </rPr>
          <t xml:space="preserve">Investment 
plus
eingesetzes Eigenkapital
</t>
        </r>
      </text>
    </comment>
    <comment ref="AD7" authorId="0" shapeId="0" xr:uid="{00000000-0006-0000-0200-00000F000000}">
      <text>
        <r>
          <rPr>
            <b/>
            <sz val="9"/>
            <color indexed="81"/>
            <rFont val="Tahoma"/>
            <family val="2"/>
          </rPr>
          <t xml:space="preserve">Annahmen:
</t>
        </r>
        <r>
          <rPr>
            <sz val="9"/>
            <color indexed="81"/>
            <rFont val="Tahoma"/>
            <family val="2"/>
          </rPr>
          <t>Der Gebäudewert erhöht sich: 
um die Kosten des anfängl. Fitting Up,
nicht aber um die anteiligen Nebenerwerbskosten (NEK)
und ersten Instandhaltungen.</t>
        </r>
      </text>
    </comment>
    <comment ref="AE7" authorId="0" shapeId="0" xr:uid="{00000000-0006-0000-0200-000010000000}">
      <text>
        <r>
          <rPr>
            <b/>
            <sz val="9"/>
            <color indexed="81"/>
            <rFont val="Tahoma"/>
            <family val="2"/>
          </rPr>
          <t>Annahme:
Das Objekt steigt im 1. Jahr im Wert um die  anfänglichen Fitting up Kosten.</t>
        </r>
        <r>
          <rPr>
            <sz val="9"/>
            <color indexed="81"/>
            <rFont val="Tahoma"/>
            <family val="2"/>
          </rPr>
          <t xml:space="preserve">
</t>
        </r>
      </text>
    </comment>
    <comment ref="AG7" authorId="0" shapeId="0" xr:uid="{00000000-0006-0000-0200-000011000000}">
      <text>
        <r>
          <rPr>
            <b/>
            <sz val="9"/>
            <color indexed="81"/>
            <rFont val="Tahoma"/>
            <family val="2"/>
          </rPr>
          <t>Bei einem sofortigen Wiederverkauf sind ein Plus für Kosten für Grunderwerb, Makler und Notar selten zu erzielen. Die kriegt frau/man meist nicht wieder!
Auch erste Instandhaltungskosten erhöhen i.d.R. nicht den Verkaufspreis.</t>
        </r>
      </text>
    </comment>
    <comment ref="L8" authorId="0" shapeId="0" xr:uid="{052B3EE2-9414-40F1-92BC-B24A687A1937}">
      <text>
        <r>
          <rPr>
            <b/>
            <sz val="9"/>
            <color indexed="81"/>
            <rFont val="Segoe UI"/>
            <charset val="1"/>
          </rPr>
          <t>Author:</t>
        </r>
        <r>
          <rPr>
            <sz val="9"/>
            <color indexed="81"/>
            <rFont val="Segoe UI"/>
            <charset val="1"/>
          </rPr>
          <t xml:space="preserve">
Unterhaltskosten plus Instandhaltungskosten im 1. Jahr (meist vor der Vermietung)</t>
        </r>
      </text>
    </comment>
    <comment ref="Y8" authorId="0" shapeId="0" xr:uid="{ABF7F17D-045F-4B72-B6CE-DD7615579340}">
      <text>
        <r>
          <rPr>
            <b/>
            <sz val="9"/>
            <color indexed="81"/>
            <rFont val="Segoe UI"/>
            <family val="2"/>
          </rPr>
          <t>Author:</t>
        </r>
        <r>
          <rPr>
            <sz val="9"/>
            <color indexed="81"/>
            <rFont val="Segoe UI"/>
            <family val="2"/>
          </rPr>
          <t xml:space="preserve">
Der Cash fällt monatlich an. Übers Jahr beträgt er im Durchschnitt beträgt dieser CF zum Jahresende / 2. bzw. die Hälfte des CF am Jahresende. Also berechene ich den Zinsgewinn auf Basis der Hälfte des CF des Jahres plus dem Kumul. CF aus den Vorjahren mit Zins für ein Jahr. </t>
        </r>
      </text>
    </comment>
    <comment ref="AA8" authorId="1" shapeId="0" xr:uid="{1B2A4234-D3CE-4CFD-9F0B-F558A3633912}">
      <text>
        <t>[Threaded comment]
Your version of Excel allows you to read this threaded comment; however, any edits to it will get removed if the file is opened in a newer version of Excel. Learn more: https://go.microsoft.com/fwlink/?linkid=870924
Comment:
    Fehler in der Formel durch mich behoben</t>
      </text>
    </comment>
    <comment ref="R13" authorId="0" shapeId="0" xr:uid="{CB841F86-DAF9-4163-8F5D-463F517D9C79}">
      <text>
        <r>
          <rPr>
            <b/>
            <sz val="9"/>
            <color indexed="81"/>
            <rFont val="Segoe UI"/>
            <family val="2"/>
          </rPr>
          <t>RBWnach6Jahren:</t>
        </r>
        <r>
          <rPr>
            <sz val="9"/>
            <color indexed="81"/>
            <rFont val="Segoe UI"/>
            <family val="2"/>
          </rPr>
          <t xml:space="preserve">
Bei Degressiv-Linearer AfA beginnt im 7. Jahr die Lineare AfA. Dann wird der/dieser Restbuchwert (RBW) des Gebäudes am Endes des 6  Jahress (= Wert zu Beginn des 7. Jahres) in den Folgejahren linear abgeschrieben!</t>
        </r>
      </text>
    </comment>
    <comment ref="N14" authorId="0" shapeId="0" xr:uid="{9133A2C4-D8B8-41B3-B5FC-93B50CD80610}">
      <text>
        <r>
          <rPr>
            <b/>
            <sz val="9"/>
            <color indexed="81"/>
            <rFont val="Segoe UI"/>
            <family val="2"/>
          </rPr>
          <t>Beachte:</t>
        </r>
        <r>
          <rPr>
            <sz val="9"/>
            <color indexed="81"/>
            <rFont val="Segoe UI"/>
            <family val="2"/>
          </rPr>
          <t xml:space="preserve">
Bei Degressiv-Linearer AfA beginnt im 7. Jahr die Lineare AfA. Dann wird der Buchwert des Gebäudes am Endes des 6  Jahress (= Wert zu Beginn des 7. Jahres) in den Folgejahren linear abgeschrieben!
</t>
        </r>
      </text>
    </comment>
    <comment ref="O14" authorId="0" shapeId="0" xr:uid="{29CEB526-0F93-463F-A5C9-CAC5D36EAA1A}">
      <text>
        <r>
          <rPr>
            <b/>
            <sz val="9"/>
            <color indexed="81"/>
            <rFont val="Segoe UI"/>
            <family val="2"/>
          </rPr>
          <t>Beachte:</t>
        </r>
        <r>
          <rPr>
            <sz val="9"/>
            <color indexed="81"/>
            <rFont val="Segoe UI"/>
            <family val="2"/>
          </rPr>
          <t xml:space="preserve">
Bei Degressiv-Linearer AfA beginnt im 7. Jahr die Lineare AfA. Dann wird der Buchwert des Gebäudes am Endes des 6  Jahress (= Wert zu Beginn des 7. Jahres) in den Folgejahren linear abgeschrieben!</t>
        </r>
      </text>
    </comment>
    <comment ref="Q14" authorId="0" shapeId="0" xr:uid="{F8CC2905-55A2-4C48-9048-2706EA7C5CD4}">
      <text>
        <r>
          <rPr>
            <b/>
            <sz val="9"/>
            <color indexed="81"/>
            <rFont val="Segoe UI"/>
            <family val="2"/>
          </rPr>
          <t xml:space="preserve">Beachte:
</t>
        </r>
        <r>
          <rPr>
            <sz val="9"/>
            <color indexed="81"/>
            <rFont val="Segoe UI"/>
            <family val="2"/>
          </rPr>
          <t xml:space="preserve">Bei Degressiv-Linearer AfA beginnt im 7. Jahr die Lineare AfA. Dann wird der Restbuchwert (RBW) des Gebäudes am Endes des 6  Jahress (= Wert zu Beginn des 7. Jahres) in den Folgejahren linear abgeschrieben!
</t>
        </r>
      </text>
    </comment>
    <comment ref="AF41" authorId="0" shapeId="0" xr:uid="{00000000-0006-0000-0200-000012000000}">
      <text>
        <r>
          <rPr>
            <b/>
            <sz val="9"/>
            <color indexed="81"/>
            <rFont val="Segoe UI"/>
            <family val="2"/>
          </rPr>
          <t>Indikator für Kreditrisiko einer Bank</t>
        </r>
        <r>
          <rPr>
            <sz val="9"/>
            <color indexed="81"/>
            <rFont val="Segoe UI"/>
            <family val="2"/>
          </rPr>
          <t xml:space="preserve">
neben EK-Quote,
Sicherheiten
und Bonitäts-Score des Kreditnehmers</t>
        </r>
      </text>
    </comment>
    <comment ref="AG48" authorId="0" shapeId="0" xr:uid="{00000000-0006-0000-0200-000013000000}">
      <text>
        <r>
          <rPr>
            <b/>
            <sz val="9"/>
            <color indexed="81"/>
            <rFont val="Tahoma"/>
            <family val="2"/>
          </rPr>
          <t xml:space="preserve">Verkaufserlöse +/- kumul. Mittel-zu/abfluss nach Steuern - Eigenkapital -Restl. Schulden
</t>
        </r>
        <r>
          <rPr>
            <sz val="9"/>
            <color indexed="81"/>
            <rFont val="Tahoma"/>
            <family val="2"/>
          </rPr>
          <t xml:space="preserve">
ein positiver Wert (+) steht für einen Überschuss
ein negativer (-) Wert steht für eine Unterdeckung! Wertsteigerung des Grundstücks</t>
        </r>
      </text>
    </comment>
    <comment ref="AE49" authorId="0" shapeId="0" xr:uid="{00000000-0006-0000-0200-000014000000}">
      <text>
        <r>
          <rPr>
            <b/>
            <sz val="9"/>
            <color indexed="81"/>
            <rFont val="Tahoma"/>
            <family val="2"/>
          </rPr>
          <t>Verkehrswert:</t>
        </r>
        <r>
          <rPr>
            <sz val="9"/>
            <color indexed="81"/>
            <rFont val="Tahoma"/>
            <family val="2"/>
          </rPr>
          <t xml:space="preserve">
unter Berücksichtigung 
# des jährlichen Wertverlustest des Gebäudes sowie der Baukostensteigerung und 
# der jährlichen Wertsteigerung des Grundstücks</t>
        </r>
      </text>
    </comment>
    <comment ref="AF49" authorId="0" shapeId="0" xr:uid="{00000000-0006-0000-0200-000015000000}">
      <text>
        <r>
          <rPr>
            <b/>
            <sz val="9"/>
            <color indexed="81"/>
            <rFont val="Tahoma"/>
            <family val="2"/>
          </rPr>
          <t>Verkehrswert:</t>
        </r>
        <r>
          <rPr>
            <sz val="9"/>
            <color indexed="81"/>
            <rFont val="Tahoma"/>
            <family val="2"/>
          </rPr>
          <t xml:space="preserve">
unter Berücksichtigung 
# des jährlichen Wertverlustest des Gebäudes sowie der Baukostensteigerung und 
# der jährlichen Wertsteigerung des Grundstücks</t>
        </r>
      </text>
    </comment>
    <comment ref="AI50" authorId="0" shapeId="0" xr:uid="{00000000-0006-0000-0200-000016000000}">
      <text>
        <r>
          <rPr>
            <b/>
            <sz val="9"/>
            <color indexed="81"/>
            <rFont val="Tahoma"/>
            <family val="2"/>
          </rPr>
          <t>Gesamte Anschaffungskosten:</t>
        </r>
        <r>
          <rPr>
            <sz val="9"/>
            <color indexed="81"/>
            <rFont val="Tahoma"/>
            <family val="2"/>
          </rPr>
          <t xml:space="preserve">
Immobilienpreis plus Grunderwerbssteuer plus Notargebühr plus evtl. Maklergebühr</t>
        </r>
      </text>
    </comment>
    <comment ref="Y54" authorId="0" shapeId="0" xr:uid="{DAB89991-F074-4D3D-8819-BA490147FB20}">
      <text>
        <r>
          <rPr>
            <b/>
            <sz val="9"/>
            <color indexed="81"/>
            <rFont val="Segoe UI"/>
            <family val="2"/>
          </rPr>
          <t>Author:</t>
        </r>
        <r>
          <rPr>
            <sz val="9"/>
            <color indexed="81"/>
            <rFont val="Segoe UI"/>
            <family val="2"/>
          </rPr>
          <t xml:space="preserve">
Verzinsung nach Steuer
</t>
        </r>
      </text>
    </comment>
    <comment ref="AA54" authorId="0" shapeId="0" xr:uid="{458236FB-A9DA-4F1E-BA17-6B94D4FD61E5}">
      <text>
        <r>
          <rPr>
            <b/>
            <sz val="9"/>
            <color indexed="81"/>
            <rFont val="Segoe UI"/>
            <family val="2"/>
          </rPr>
          <t>Author:</t>
        </r>
        <r>
          <rPr>
            <sz val="9"/>
            <color indexed="81"/>
            <rFont val="Segoe UI"/>
            <family val="2"/>
          </rPr>
          <t xml:space="preserve">
Verzinsung nach Steuer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S39" authorId="0" shapeId="0" xr:uid="{00000000-0006-0000-0400-000001000000}">
      <text>
        <r>
          <rPr>
            <b/>
            <sz val="9"/>
            <color indexed="81"/>
            <rFont val="Tahoma"/>
            <family val="2"/>
          </rPr>
          <t xml:space="preserve">Verkaufserlöse +/- kumul. Mittel-zu/abfluss nach Steuern - Eigenkapital -Restl. Schulden
</t>
        </r>
        <r>
          <rPr>
            <sz val="9"/>
            <color indexed="81"/>
            <rFont val="Tahoma"/>
            <family val="2"/>
          </rPr>
          <t xml:space="preserve">
ein positiver Wert (+) steht für einen Überschuss
ein negativer (-) Wert steht für eine Unterdeckung! Wertsteigerung des Grundstücks</t>
        </r>
      </text>
    </comment>
    <comment ref="L42" authorId="0" shapeId="0" xr:uid="{00000000-0006-0000-0400-000002000000}">
      <text>
        <r>
          <rPr>
            <b/>
            <sz val="9"/>
            <color indexed="81"/>
            <rFont val="Segoe UI"/>
            <family val="2"/>
          </rPr>
          <t xml:space="preserve">Nur Zinsen:
</t>
        </r>
        <r>
          <rPr>
            <sz val="9"/>
            <color indexed="81"/>
            <rFont val="Segoe UI"/>
            <family val="2"/>
          </rPr>
          <t>Die monatliche Darlehnsleistung (Zins + Tilgung) ist ein einen Mittelabfluss (Zahlung an die Bank).
ABER: Die darin enthaltene Tilgung stellt mein Vermögenszuswachs dar (= weniger Schulden).
 Zinsen = Annuität - Tilgung</t>
        </r>
      </text>
    </comment>
    <comment ref="S115" authorId="0" shapeId="0" xr:uid="{00000000-0006-0000-0400-000003000000}">
      <text>
        <r>
          <rPr>
            <b/>
            <sz val="9"/>
            <color indexed="81"/>
            <rFont val="Tahoma"/>
            <family val="2"/>
          </rPr>
          <t xml:space="preserve">Verkaufserlöse +/- kumul. Mittel-zu/abfluss nach Steuern - Eigenkapital -Restl. Schulden
</t>
        </r>
        <r>
          <rPr>
            <sz val="9"/>
            <color indexed="81"/>
            <rFont val="Tahoma"/>
            <family val="2"/>
          </rPr>
          <t xml:space="preserve">
ein positiver Wert (+) steht für einen Überschuss
ein negativer (-) Wert steht für eine Unterdeckung! Wertsteigerung des Grundstücks</t>
        </r>
      </text>
    </comment>
    <comment ref="T115" authorId="0" shapeId="0" xr:uid="{00000000-0006-0000-0400-000004000000}">
      <text>
        <r>
          <rPr>
            <b/>
            <sz val="9"/>
            <color indexed="81"/>
            <rFont val="Tahoma"/>
            <family val="2"/>
          </rPr>
          <t>Verkehrswert:</t>
        </r>
        <r>
          <rPr>
            <sz val="9"/>
            <color indexed="81"/>
            <rFont val="Tahoma"/>
            <family val="2"/>
          </rPr>
          <t xml:space="preserve">
unter Berücksichtigung 
# des jährlichen Wertverlustest des Gebäudes sowie der Baukostensteigerung und 
# der jährlichen Wertsteigerung des Grundstücks</t>
        </r>
      </text>
    </comment>
  </commentList>
</comments>
</file>

<file path=xl/sharedStrings.xml><?xml version="1.0" encoding="utf-8"?>
<sst xmlns="http://schemas.openxmlformats.org/spreadsheetml/2006/main" count="906" uniqueCount="587">
  <si>
    <t>Dateneingabe:</t>
  </si>
  <si>
    <t>in den Gelben Parameter-Feldern</t>
  </si>
  <si>
    <t xml:space="preserve">Die Dateneingabe der Paramater erfolgt durch </t>
  </si>
  <si>
    <t>Übertippen der  Eingaben in den gelben Feldern</t>
  </si>
  <si>
    <t>in dem Arbeitsblatt "Parameter"</t>
  </si>
  <si>
    <t>Warnung:</t>
  </si>
  <si>
    <t>Niemand kann die Zukunft genau vorhersagen. Deshalb wird</t>
  </si>
  <si>
    <t xml:space="preserve">die berechnete Nach-Steuer-Belastung auch nie so exakt </t>
  </si>
  <si>
    <t>Merke:</t>
  </si>
  <si>
    <t>Eine Modellrechnung liefert keine Ergebnis-Garantie!</t>
  </si>
  <si>
    <t>Kauf am:</t>
  </si>
  <si>
    <t xml:space="preserve">  = Jahr</t>
  </si>
  <si>
    <t>Kaufpreis (Grundstück &amp; Gebäude)</t>
  </si>
  <si>
    <t xml:space="preserve">   davon für Grundstück</t>
  </si>
  <si>
    <t xml:space="preserve">   davon für Gebäude</t>
  </si>
  <si>
    <t>Grunderwerbsteuer</t>
  </si>
  <si>
    <t xml:space="preserve"> auf Kaufpreis (=Grund &amp; Gebäude)</t>
  </si>
  <si>
    <t>Maklergebühren</t>
  </si>
  <si>
    <t>Notargebühren</t>
  </si>
  <si>
    <t>Gesamtkosten</t>
  </si>
  <si>
    <t>Miete p.m.</t>
  </si>
  <si>
    <t>Miete p.a.</t>
  </si>
  <si>
    <t>1. Miete am:</t>
  </si>
  <si>
    <t>Mietpreissteigerung p.a.</t>
  </si>
  <si>
    <t>p.a.</t>
  </si>
  <si>
    <t>Wertverlust des Gebäudes p.a.</t>
  </si>
  <si>
    <t>Angenommener Grenz-Steuersatz</t>
  </si>
  <si>
    <t>Eigenkapital</t>
  </si>
  <si>
    <t>Gesamtinvestion</t>
  </si>
  <si>
    <t>Finanzbedarf</t>
  </si>
  <si>
    <t>Finanzierungszeitraum</t>
  </si>
  <si>
    <t>1. Kredit</t>
  </si>
  <si>
    <t>Kreditbedarf</t>
  </si>
  <si>
    <t>Auszahlungkurs in Prozent</t>
  </si>
  <si>
    <t>Disagio in Prozent</t>
  </si>
  <si>
    <t xml:space="preserve"> </t>
  </si>
  <si>
    <t>Diasagio-Betrag:</t>
  </si>
  <si>
    <t>Auszahlungsbetrag:</t>
  </si>
  <si>
    <t>Nominalzins p.a.</t>
  </si>
  <si>
    <t>entspricht Effektivzins ca.</t>
  </si>
  <si>
    <t xml:space="preserve">  bei monatl. Tilgung</t>
  </si>
  <si>
    <t>2. Kredit</t>
  </si>
  <si>
    <t>Anschlusskredit</t>
  </si>
  <si>
    <t>. Jahr</t>
  </si>
  <si>
    <t>Ende Restlaufzeit</t>
  </si>
  <si>
    <t>Warnung</t>
  </si>
  <si>
    <t>Die oben angegebenen Zahlen stellen zukunftsgerichtete Planzahlen dar. Sie basieren auf:</t>
  </si>
  <si>
    <t>Annahmen, Schätzungen und Angeboten von Lieferanten, die nicht unter unserer Kontrolle sind.</t>
  </si>
  <si>
    <t>Vermögens-</t>
  </si>
  <si>
    <t>Jahr</t>
  </si>
  <si>
    <t>Gebäude</t>
  </si>
  <si>
    <t>über die Jahre</t>
  </si>
  <si>
    <t>Geschätzter</t>
  </si>
  <si>
    <t>Überschuss bei</t>
  </si>
  <si>
    <t>Mittel-</t>
  </si>
  <si>
    <t>kumul.</t>
  </si>
  <si>
    <t>Überschuss</t>
  </si>
  <si>
    <t xml:space="preserve">Jährliche </t>
  </si>
  <si>
    <t>Zins</t>
  </si>
  <si>
    <t>Kumul.</t>
  </si>
  <si>
    <t xml:space="preserve"> Tilgung</t>
  </si>
  <si>
    <t>Annuität=</t>
  </si>
  <si>
    <t>Ertrag aus</t>
  </si>
  <si>
    <t>Zu  ver-</t>
  </si>
  <si>
    <t xml:space="preserve"> (Grenz-)</t>
  </si>
  <si>
    <t>zufluss (+) bzw.</t>
  </si>
  <si>
    <t>Verkehrswert</t>
  </si>
  <si>
    <t>aus Verkauf des</t>
  </si>
  <si>
    <t>bezogen auf</t>
  </si>
  <si>
    <t>Rendite p.a. in %</t>
  </si>
  <si>
    <t>Restschuld</t>
  </si>
  <si>
    <t>in %</t>
  </si>
  <si>
    <t xml:space="preserve">  Zinsen</t>
  </si>
  <si>
    <t xml:space="preserve"> in %</t>
  </si>
  <si>
    <t>Zins +</t>
  </si>
  <si>
    <t>Vermietung</t>
  </si>
  <si>
    <t xml:space="preserve"> AFA</t>
  </si>
  <si>
    <t>steuernder</t>
  </si>
  <si>
    <t>Steuer-</t>
  </si>
  <si>
    <t>Abfluss (-)</t>
  </si>
  <si>
    <t xml:space="preserve">  zu-/abfluss</t>
  </si>
  <si>
    <t xml:space="preserve"> (Verkaufswert)</t>
  </si>
  <si>
    <t>Objektes plus</t>
  </si>
  <si>
    <t>Gesamtkosten von</t>
  </si>
  <si>
    <t xml:space="preserve">   in €</t>
  </si>
  <si>
    <t>Tilgung</t>
  </si>
  <si>
    <t>kosten u.</t>
  </si>
  <si>
    <t>in € p.a.</t>
  </si>
  <si>
    <t xml:space="preserve"> in % </t>
  </si>
  <si>
    <t>in €</t>
  </si>
  <si>
    <t>Gewinn(+)</t>
  </si>
  <si>
    <t>satz</t>
  </si>
  <si>
    <t>nach Steuern</t>
  </si>
  <si>
    <t>des Objektes</t>
  </si>
  <si>
    <t>kumul. Tilgung</t>
  </si>
  <si>
    <t>Kreditlaufzeit</t>
  </si>
  <si>
    <t>Verlust(-)</t>
  </si>
  <si>
    <t>(1)</t>
  </si>
  <si>
    <t>(2)</t>
  </si>
  <si>
    <t>(3)</t>
  </si>
  <si>
    <t>(4)</t>
  </si>
  <si>
    <t>(5)</t>
  </si>
  <si>
    <t>(6)</t>
  </si>
  <si>
    <t>(7)</t>
  </si>
  <si>
    <t>(10)</t>
  </si>
  <si>
    <t>(11)</t>
  </si>
  <si>
    <t>(12)</t>
  </si>
  <si>
    <t>(13)</t>
  </si>
  <si>
    <t>(14)</t>
  </si>
  <si>
    <t>(15)</t>
  </si>
  <si>
    <t>(16)</t>
  </si>
  <si>
    <t>(17)</t>
  </si>
  <si>
    <t>(18)</t>
  </si>
  <si>
    <t>=</t>
  </si>
  <si>
    <t>(1)*(2)</t>
  </si>
  <si>
    <t>kredit</t>
  </si>
  <si>
    <t xml:space="preserve"> - Disagio</t>
  </si>
  <si>
    <t>Mieteinkünfte</t>
  </si>
  <si>
    <t>Mittelab-/zufluss</t>
  </si>
  <si>
    <t xml:space="preserve"> - Betriebskosten</t>
  </si>
  <si>
    <t xml:space="preserve"> - Zins und Tilgung</t>
  </si>
  <si>
    <t xml:space="preserve"> - Zinsen</t>
  </si>
  <si>
    <t xml:space="preserve"> + kumul. Tilgungen</t>
  </si>
  <si>
    <t xml:space="preserve"> - AfA</t>
  </si>
  <si>
    <t>Grundbuch Amt</t>
  </si>
  <si>
    <t>Grunderwerbsteuer nach Bundesländern</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</si>
  <si>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</si>
  <si>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</si>
  <si>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</si>
  <si>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</si>
  <si>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</si>
  <si>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</si>
  <si>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</si>
  <si>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</si>
  <si>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</si>
  <si>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</si>
  <si>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</si>
  <si>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</si>
  <si>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</si>
  <si>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</si>
  <si>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</si>
  <si>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</si>
  <si>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wird als Mietminderung in Kalkulation berücksichtigt!</t>
  </si>
  <si>
    <t>So können sich z.B. über den Betrachtungszeitraum die Steuergesetze bzw. als auch der Einkommensgrenzsteuersatz ändern.</t>
  </si>
  <si>
    <t>nachhaltige durchschn. Miete p.a.</t>
  </si>
  <si>
    <t>Durchschn. Mietausfalls-/Leerstandsrisiko</t>
  </si>
  <si>
    <t>Adresse</t>
  </si>
  <si>
    <t>Wohnfläche</t>
  </si>
  <si>
    <t xml:space="preserve"> Jahre</t>
  </si>
  <si>
    <t>Restlaufzeit in Jahren</t>
  </si>
  <si>
    <t>Zinsbindung in Jahren</t>
  </si>
  <si>
    <t>Annuität 2. Kredit p.a.</t>
  </si>
  <si>
    <t>Annuität 2. Kredit p.m.</t>
  </si>
  <si>
    <t>Annuität 1. Kredit p.a.</t>
  </si>
  <si>
    <t>Annuität 1. Kredit p.m.</t>
  </si>
  <si>
    <t>für Restlaufzeit</t>
  </si>
  <si>
    <t>Parameter für vermietes Objekt</t>
  </si>
  <si>
    <t xml:space="preserve"> p.a.</t>
  </si>
  <si>
    <t>Anfangskredit</t>
  </si>
  <si>
    <t>Zinsbindung endet im Jahr</t>
  </si>
  <si>
    <t xml:space="preserve"> Grundstücksanteil am Kaufpreis</t>
  </si>
  <si>
    <t>Finanzierung  über Annuitätendarlehn</t>
  </si>
  <si>
    <t>Unterhaltskostensteigerung p.a.</t>
  </si>
  <si>
    <t xml:space="preserve">entspricht Effektivzins ca. </t>
  </si>
  <si>
    <t>nachhaltiger</t>
  </si>
  <si>
    <t>Restschuld am Jahresende</t>
  </si>
  <si>
    <t>Restschuld am Jahreanfang</t>
  </si>
  <si>
    <t>Darlehn Restschuld am Jahreanfang</t>
  </si>
  <si>
    <t>Tilgung p.a.</t>
  </si>
  <si>
    <t>Kumul. Tilgung</t>
  </si>
  <si>
    <t>Darlehen</t>
  </si>
  <si>
    <t>Annuität / Kapitaldienst p.a.</t>
  </si>
  <si>
    <t xml:space="preserve"> Miete reduziert um Leerstandsrisko</t>
  </si>
  <si>
    <t>Miete pro Jahr</t>
  </si>
  <si>
    <t xml:space="preserve">Keine Gewähr für die Richtigkeit der Angaben. Dieses Tool ersetzt keine fundierte Rechts-, Steuer- oder Finanzberatung. </t>
  </si>
  <si>
    <t>Mittelfuss-Entwicklung</t>
  </si>
  <si>
    <t>Zinsen p.a.</t>
  </si>
  <si>
    <t>Nach-Steuer-Belastung einer vermieteten, kredit-finanzierten Immobilie!</t>
  </si>
  <si>
    <t xml:space="preserve">Grundstück </t>
  </si>
  <si>
    <t xml:space="preserve"> unter Berücksichtigung des Mietausfallsrisikos und der Instandhaltung</t>
  </si>
  <si>
    <t>Asset-Wert-Entwicklung</t>
  </si>
  <si>
    <t>- Instandhaltung</t>
  </si>
  <si>
    <t>- Gesamtinvestition</t>
  </si>
  <si>
    <t>Objekt und Größe</t>
  </si>
  <si>
    <t xml:space="preserve"> ist als Aufwand im Jahr des Anfalls steuerlich ansetzbar</t>
  </si>
  <si>
    <t xml:space="preserve">Objekt </t>
  </si>
  <si>
    <t xml:space="preserve">   Investitionsvolumen (ohne Disagio)</t>
  </si>
  <si>
    <t xml:space="preserve">    geschätzt bitte anpassen!</t>
  </si>
  <si>
    <t xml:space="preserve">  Bitte Annahme treffen!</t>
  </si>
  <si>
    <t xml:space="preserve"> geschätzt, muss beim Notar erfragt werden!</t>
  </si>
  <si>
    <t>https://www.jeder-kann-immobilien.de/immobilien-rendite-berechnen/</t>
  </si>
  <si>
    <t>https://www.opportunityfinder.de/index.php/2017/11/26/immobilien-rendite-berechnen-excel-kostenlos/</t>
  </si>
  <si>
    <t>https://ratgeber.immowelt.de/a/steuern-sparen-mit-immobilien-afa-nutzen.html</t>
  </si>
  <si>
    <t>Weitere Informationen zur Finanzierung von Immobilien finden sich:</t>
  </si>
  <si>
    <t>Musterstraße 123, 45678 Irgendwo</t>
  </si>
  <si>
    <t xml:space="preserve">   Modellrechnung unterstellt zwei aufeinanderfolgenden Kredite!</t>
  </si>
  <si>
    <t>Deutschland</t>
  </si>
  <si>
    <t>Baden-Wuerttemberg</t>
  </si>
  <si>
    <t>3,57 bis 5,95</t>
  </si>
  <si>
    <t xml:space="preserve">  in %</t>
  </si>
  <si>
    <t xml:space="preserve"> Durchschn.</t>
  </si>
  <si>
    <t xml:space="preserve"> auf Kaufpreis (unterschiedlich je Bundesland)</t>
  </si>
  <si>
    <t>Was bringt eine vermietete Immobilie?</t>
  </si>
  <si>
    <t xml:space="preserve"> - eingebrachtes Eigenkapital</t>
  </si>
  <si>
    <t xml:space="preserve"> - Restschuld aus Darlehn zum jeweiligen Zeitpunkt</t>
  </si>
  <si>
    <t xml:space="preserve"> - kumul. Tilgung bis zum jeweiligen Zeitpunkt</t>
  </si>
  <si>
    <t>Die Nebenserwerbskosten, wie Makler, Grundsteuer, etc, die am Anfang anfallen,</t>
  </si>
  <si>
    <t>Warum ist der Vermögenszuwachs am Anfang oft negativ?</t>
  </si>
  <si>
    <t>ist die  Summe aus kumulierter Tilgung und der Differenz aus (Verkaufserlös - Restschuld)</t>
  </si>
  <si>
    <t xml:space="preserve">  Parameter für Verkaufswertermittlung </t>
  </si>
  <si>
    <t>Preissteigerung von Baukosten p.a.</t>
  </si>
  <si>
    <t xml:space="preserve">  Altersabschlag = Parameter für Verkaufswertermittlung</t>
  </si>
  <si>
    <r>
      <rPr>
        <b/>
        <sz val="10"/>
        <rFont val="Arial"/>
        <family val="2"/>
      </rPr>
      <t>Hypothetischer Vermögenszuwachs</t>
    </r>
    <r>
      <rPr>
        <sz val="10"/>
        <rFont val="Arial"/>
        <family val="2"/>
      </rPr>
      <t xml:space="preserve"> errechnet sich aus:</t>
    </r>
  </si>
  <si>
    <t xml:space="preserve">meist kleiner als die Summe der Erwerbsnebenkosten. </t>
  </si>
  <si>
    <t>erhöhen das Kreditvolumen. Bei einem Verkauf einer Immobilie in den Anfangsjahren</t>
  </si>
  <si>
    <t>Verkaufspreis</t>
  </si>
  <si>
    <t>minus</t>
  </si>
  <si>
    <t xml:space="preserve"> - laufende Kosten (Instandh. &amp; Rücklagen)</t>
  </si>
  <si>
    <t xml:space="preserve"> - Erwerbsnebenkosten (am Anfang)</t>
  </si>
  <si>
    <t xml:space="preserve"> + Steuerersparnis (wenn relevant)</t>
  </si>
  <si>
    <t xml:space="preserve"> + Miete</t>
  </si>
  <si>
    <t>änderung</t>
  </si>
  <si>
    <t xml:space="preserve"> - Steuerzahlung bzw.</t>
  </si>
  <si>
    <t>http://www.faz.net/aktuell/finanzen/meine-finanzen/vermoegensfragen/die-vermoegensfrage-was-werfen-immobilien-eigentlich-genau-ab-13162634.html</t>
  </si>
  <si>
    <t>vgl. Bodenrichtwert</t>
  </si>
  <si>
    <t xml:space="preserve"> geschätzt, kann variieren</t>
  </si>
  <si>
    <t xml:space="preserve">    Annahme, bitte anpassen!</t>
  </si>
  <si>
    <t xml:space="preserve"> anfängliche Kredithöhe</t>
  </si>
  <si>
    <t>Nutz- u.Wohnfläche</t>
  </si>
  <si>
    <t>Gesamtinvestition</t>
  </si>
  <si>
    <t>Nutz- u.</t>
  </si>
  <si>
    <t>Anzahl Quadratmeter Nutz- u. Wohnfläche</t>
  </si>
  <si>
    <t xml:space="preserve"> Preis für Nutz- u. Wohnraum pro m² (mit Grundst. gerechnet)</t>
  </si>
  <si>
    <t>Bewirtschtungs-/Unterhaltskosten 
incl. Instandhaltungsrücklage p.a.</t>
  </si>
  <si>
    <r>
      <t>Die "</t>
    </r>
    <r>
      <rPr>
        <b/>
        <sz val="10"/>
        <rFont val="Arial"/>
        <family val="2"/>
      </rPr>
      <t>Vermögensänderung</t>
    </r>
    <r>
      <rPr>
        <sz val="10"/>
        <rFont val="Arial"/>
        <family val="2"/>
      </rPr>
      <t xml:space="preserve">"  errechnet sich aus dem Mittelzu-  und </t>
    </r>
  </si>
  <si>
    <t xml:space="preserve"> + geschätzter Verkaufspreis zum jeweiligen Zeitpunkt</t>
  </si>
  <si>
    <t xml:space="preserve"> vor Steuer</t>
  </si>
  <si>
    <t>https://immobilien.sparkasse.de/immobilienrechner/baukostenrechner.html</t>
  </si>
  <si>
    <t>https://www.finanztip.de/baufinanzierung/immobilie-kapitalanlage/</t>
  </si>
  <si>
    <t>nachh. Mietrendite p.a.</t>
  </si>
  <si>
    <t xml:space="preserve"> Miete p.a. in Prozent des Investitionsvolumens</t>
  </si>
  <si>
    <t>Investition als Vielfaches der Jahresmiete</t>
  </si>
  <si>
    <t>Instandsetzung am Anfang</t>
  </si>
  <si>
    <t>Instandhaltungsrücklage p.a</t>
  </si>
  <si>
    <t>lfd. Reparturen und Instandhaltung p.a.</t>
  </si>
  <si>
    <r>
      <t xml:space="preserve">   Das </t>
    </r>
    <r>
      <rPr>
        <b/>
        <sz val="11"/>
        <rFont val="Verdana"/>
        <family val="2"/>
      </rPr>
      <t>Fitting up erhöht den Gebäudewert</t>
    </r>
    <r>
      <rPr>
        <sz val="11"/>
        <rFont val="Verdana"/>
        <family val="2"/>
      </rPr>
      <t xml:space="preserve"> und wird über die Abschreibungsdauer abgeschrieben.</t>
    </r>
  </si>
  <si>
    <t>Mietpreis für Wohn-Nutzfläche pro m²</t>
  </si>
  <si>
    <t>Fitting up (erhöht den Gebäudewert)</t>
  </si>
  <si>
    <t xml:space="preserve"> Nicht an Mieter weiterbelastare Kosten!</t>
  </si>
  <si>
    <t>Hausverwaltung, Hausmeister, etc.  p.a.</t>
  </si>
  <si>
    <t xml:space="preserve">An Mieter umlegbare / weiterbelastare Kosten!   n/a </t>
  </si>
  <si>
    <r>
      <t xml:space="preserve">Diese </t>
    </r>
    <r>
      <rPr>
        <b/>
        <sz val="12"/>
        <rFont val="Verdana"/>
        <family val="2"/>
      </rPr>
      <t xml:space="preserve">Excel-Kalkulation </t>
    </r>
    <r>
      <rPr>
        <sz val="12"/>
        <rFont val="Verdana"/>
        <family val="2"/>
      </rPr>
      <t>wird kostenfrei ohne Haftungs- und Gewährleistungsansprüche überlassen.</t>
    </r>
  </si>
  <si>
    <t>Es wird keine Gewährleistung und Haftung für die Richtigkeit der Kalkulationen übernommen.</t>
  </si>
  <si>
    <t>Das Kalkulationsmodell beschränkt sich auf einen maximalen Zeithorizont von 30 Jahren.</t>
  </si>
  <si>
    <t>Dieses Tool ersetzt keine fundierte Rechts-, Steuer- oder Finanzberatung.</t>
  </si>
  <si>
    <t>Dieses Tool stellt ein Nebenprodukt meiner Tätigkeit in meinen Private Office dar und wurde nicht entwickelt, um es als Produkt zu vermarkten.</t>
  </si>
  <si>
    <t xml:space="preserve">wie die Belastung aussehen könnte, wenn alle die gesetzten Annahmen und Parameter so eintreffen bzw. Bestand haben würden._x000D_
</t>
  </si>
  <si>
    <t xml:space="preserve">	Es handelt sich um eine Modellrechnung (Szenario-Rechnung) und keine Prognose. Das bedeutet, da Ergebnis  zeigt lediglich,</t>
  </si>
  <si>
    <t>Modellrechnung</t>
  </si>
  <si>
    <t xml:space="preserve"> Bleiben außen vor, da diese Kosten nicht selbst sondern vom Mieter getragen werden!</t>
  </si>
  <si>
    <r>
      <rPr>
        <sz val="12"/>
        <color indexed="8"/>
        <rFont val="Calibri"/>
        <family val="2"/>
      </rPr>
      <t>●</t>
    </r>
    <r>
      <rPr>
        <sz val="12"/>
        <color indexed="8"/>
        <rFont val="Verdana"/>
        <family val="2"/>
      </rPr>
      <t xml:space="preserve">  Im Lauf der Zeit ändert sich Ihr Einkommen und damit Ihr Grenzsteuersatz,</t>
    </r>
  </si>
  <si>
    <t xml:space="preserve">   z. B. durch Scheidung,  Arbeitslosigkeit oder Karriere.</t>
  </si>
  <si>
    <t>●  Das Kalkulations-Modell unterstellt aber einen konstanten Grenzsteuersatz!</t>
  </si>
  <si>
    <t>●  Eine Steuerreform als auch Ihre Einkommshöhe kann irgendwann einmal Ihren Grenzsteuersatz beeinflussen.</t>
  </si>
  <si>
    <t>●  Die Zinshöhe für die Wiedereindeckung mit Krediten, kann nur geschätzt werden; ist als nicht sicher!</t>
  </si>
  <si>
    <t>●  Mieterhöhung erfolgen nicht kontinuierlich, wie in der Modellrecchnung unterstellt.</t>
  </si>
  <si>
    <t>●  Die unterstellten Mietpreissteigerung treffen wahrscheinlich auch nicht so ein.</t>
  </si>
  <si>
    <t>●  Auch Unterhaltskosten sind nicht exakt vorhersagbar.</t>
  </si>
  <si>
    <t>●  Der Einfluss, den die Bevölkerungs- und Wirtschaftsentwicklung auf die Immobilienpreis ausübt,</t>
  </si>
  <si>
    <t xml:space="preserve">   bleibt in dieser Modellrechnung unberücksichtigt!</t>
  </si>
  <si>
    <t>●   usw.</t>
  </si>
  <si>
    <t>eintreffen und zwar aus u.a. folgenden Gründen:</t>
  </si>
  <si>
    <t xml:space="preserve">Dieses Tool ersetzt keine fundierte Rechts-, Steuer- oder Finanzberatung. </t>
  </si>
  <si>
    <t xml:space="preserve">Keine Gewähr für die Richtigkeit der Angaben. </t>
  </si>
  <si>
    <t xml:space="preserve">Mit dem Modell läßt sich veranschaulichen, was für eine Auswirkung unterschiedliche Annahmen </t>
  </si>
  <si>
    <t>und Parameter-Ausprägungen bedeuten können.</t>
  </si>
  <si>
    <t>Mietausfälle bzw. Leerstandskosten ereignen sich sproadisch und nicht kontinuierlich, wie in der Modellrechnung unterstellt.</t>
  </si>
  <si>
    <t>Deshalb sind diese Planzahlen nur Orientierungsgrößen und müssen immer wieder überprüft und angepasst werden!</t>
  </si>
  <si>
    <t>Maklerprovision</t>
  </si>
  <si>
    <t>Unterhalts-</t>
  </si>
  <si>
    <t>↑</t>
  </si>
  <si>
    <t>(-) = Mittelabfluß / Aufwand</t>
  </si>
  <si>
    <t>(+) = Mittelzufluß / Einnahme</t>
  </si>
  <si>
    <t>Beachte:</t>
  </si>
  <si>
    <t xml:space="preserve"> (+) = Ersparnis</t>
  </si>
  <si>
    <t xml:space="preserve"> (-) = Zahlung</t>
  </si>
  <si>
    <t xml:space="preserve">Achtung: </t>
  </si>
  <si>
    <t xml:space="preserve"> Mittelabfluss =(-)</t>
  </si>
  <si>
    <t xml:space="preserve"> deshalb in </t>
  </si>
  <si>
    <t xml:space="preserve"> Formeln</t>
  </si>
  <si>
    <t xml:space="preserve"> Pluszeichen </t>
  </si>
  <si>
    <t>vor Steuern plus</t>
  </si>
  <si>
    <t>5 Jahre</t>
  </si>
  <si>
    <t>10 Jahre</t>
  </si>
  <si>
    <t>15 Jahre</t>
  </si>
  <si>
    <t>20 Jahre</t>
  </si>
  <si>
    <t>25 Jahre</t>
  </si>
  <si>
    <t>=  Verkehrs-/Verkaufswert</t>
  </si>
  <si>
    <t>30 Jahre</t>
  </si>
  <si>
    <t>Verkauf</t>
  </si>
  <si>
    <t>aus dem Uberschuss</t>
  </si>
  <si>
    <t>bei hypothetischem</t>
  </si>
  <si>
    <t>im jeweiligen Jahr</t>
  </si>
  <si>
    <t>nach</t>
  </si>
  <si>
    <t>Eigen-</t>
  </si>
  <si>
    <t>kapital (EK)</t>
  </si>
  <si>
    <t>Hypothetische</t>
  </si>
  <si>
    <t>zuwachs aus</t>
  </si>
  <si>
    <t>Tilgung und</t>
  </si>
  <si>
    <t>kumu. Cash Flow</t>
  </si>
  <si>
    <t>über</t>
  </si>
  <si>
    <t>Verkaufswert der Immobilie (Jahresanfang)</t>
  </si>
  <si>
    <t>Hypoth. Mittel-Überschuss bei Verkauf</t>
  </si>
  <si>
    <t xml:space="preserve">Vermögen aus Tilgung + kumul. Cash Flow </t>
  </si>
  <si>
    <t>Objektes</t>
  </si>
  <si>
    <t>Einnahmen - Ausgaben p.a. nach Steuer</t>
  </si>
  <si>
    <t>Kumul. Einnahmen - Ausgaben nach Steuer</t>
  </si>
  <si>
    <t>Mittel-Überschuss bei hypoth. Verkauf</t>
  </si>
  <si>
    <t>Hier wird kein Überschuss oder Verlust aus einem</t>
  </si>
  <si>
    <t>hypothetischen Verkauf der Immobilie berücksichtigt!</t>
  </si>
  <si>
    <t xml:space="preserve">Asset-Status (Verkaufswert - Restschuld) </t>
  </si>
  <si>
    <t>Darlehns-</t>
  </si>
  <si>
    <t>zum Jahresanfang</t>
  </si>
  <si>
    <t xml:space="preserve"> wie folgt:</t>
  </si>
  <si>
    <t xml:space="preserve"> - Zinsen  (oder Annuität - Tilgung)</t>
  </si>
  <si>
    <t>berüchsichtigt</t>
  </si>
  <si>
    <t>Gebäudekosten-</t>
  </si>
  <si>
    <t>Altersabschlag</t>
  </si>
  <si>
    <t xml:space="preserve"> Mittelabfluss (Cash Flow), der die Annunität (=Zins + Tilgung) enthält, reduziert um die Tilgung,</t>
  </si>
  <si>
    <t>Instandhaltung</t>
  </si>
  <si>
    <t>Rücklagen u.</t>
  </si>
  <si>
    <t>Marktwert</t>
  </si>
  <si>
    <t>Grundstück</t>
  </si>
  <si>
    <t>- kumul. Mittelabfüsse</t>
  </si>
  <si>
    <t>+ kumul. Mittelzuflüsse</t>
  </si>
  <si>
    <t>Überschuss in %</t>
  </si>
  <si>
    <t xml:space="preserve">bei Verkauf </t>
  </si>
  <si>
    <t xml:space="preserve">Überschuss in % </t>
  </si>
  <si>
    <t>bei Verkauf zu</t>
  </si>
  <si>
    <t>da  -(+) = (-)</t>
  </si>
  <si>
    <t>und</t>
  </si>
  <si>
    <t>und  -(-) = (+)</t>
  </si>
  <si>
    <t>(Baukosten-</t>
  </si>
  <si>
    <t xml:space="preserve"> Inflation)</t>
  </si>
  <si>
    <t xml:space="preserve">zum </t>
  </si>
  <si>
    <t>Jahresanfang</t>
  </si>
  <si>
    <t>Inflation</t>
  </si>
  <si>
    <t>auf Grund-</t>
  </si>
  <si>
    <t>stückspreise</t>
  </si>
  <si>
    <t>Anfangs-</t>
  </si>
  <si>
    <t>No.</t>
  </si>
  <si>
    <t>während</t>
  </si>
  <si>
    <t>enthält keine</t>
  </si>
  <si>
    <t>anteilige</t>
  </si>
  <si>
    <t>Nebenerwerbs-</t>
  </si>
  <si>
    <t>kosten</t>
  </si>
  <si>
    <t>für Gebäude;</t>
  </si>
  <si>
    <t xml:space="preserve">ab / im </t>
  </si>
  <si>
    <t>Asset-Werte: Immobilie, Darlehen, möglicher Überschuss aus Verkauf im Zeitverlauf</t>
  </si>
  <si>
    <r>
      <rPr>
        <b/>
        <sz val="11"/>
        <rFont val="Verdana"/>
        <family val="2"/>
      </rPr>
      <t>AfA Basis</t>
    </r>
    <r>
      <rPr>
        <sz val="11"/>
        <rFont val="Verdana"/>
        <family val="2"/>
      </rPr>
      <t xml:space="preserve"> (Gebäudewert + anteilige ENK)</t>
    </r>
  </si>
  <si>
    <t xml:space="preserve"> = Gebäudewert bei Kauf  + Fittiing up + anteilige Erwerbsnebenkosten (ENK)</t>
  </si>
  <si>
    <t>Steuerzahlung</t>
  </si>
  <si>
    <t xml:space="preserve">  -zuwachs</t>
  </si>
  <si>
    <t>aus Vermietung</t>
  </si>
  <si>
    <t xml:space="preserve">durchschn. jährliche </t>
  </si>
  <si>
    <t>Tilgung =</t>
  </si>
  <si>
    <t>(4)+(5)</t>
  </si>
  <si>
    <r>
      <t xml:space="preserve">Gebäude-Abschreibung </t>
    </r>
    <r>
      <rPr>
        <sz val="11"/>
        <color theme="0"/>
        <rFont val="Verdana"/>
        <family val="2"/>
      </rPr>
      <t xml:space="preserve">über </t>
    </r>
  </si>
  <si>
    <t>Gewinn- u. Verlust aus Vermietung</t>
  </si>
  <si>
    <t xml:space="preserve"> CASH FLOW  Entwicklung</t>
  </si>
  <si>
    <t>A S S E T    Entwicklung</t>
  </si>
  <si>
    <t xml:space="preserve">Rendite n. Steuer </t>
  </si>
  <si>
    <t xml:space="preserve">in % aus dem </t>
  </si>
  <si>
    <t>einem Verkauf</t>
  </si>
  <si>
    <t xml:space="preserve">EK Rendite n. Steuer </t>
  </si>
  <si>
    <t>im Verhältnis</t>
  </si>
  <si>
    <t>zum Eigenkapital</t>
  </si>
  <si>
    <t xml:space="preserve">(EK) bei einem </t>
  </si>
  <si>
    <t>in % durch</t>
  </si>
  <si>
    <t>Verkauf bezogen</t>
  </si>
  <si>
    <t>auf Investment</t>
  </si>
  <si>
    <t>in % durch Über-</t>
  </si>
  <si>
    <t>schuss bei einem</t>
  </si>
  <si>
    <t>auf Eigenkapital</t>
  </si>
  <si>
    <t>Wertzuwachs des Grundstücks p.a.</t>
  </si>
  <si>
    <t>R E N D I T E   Betrachtung</t>
  </si>
  <si>
    <t>geschätzter</t>
  </si>
  <si>
    <t xml:space="preserve"> Gebäudeanteil am Kaufpreis; dient zum Verrechnen der anteiligen Erwerbsnebenkosten</t>
  </si>
  <si>
    <t>Gewinn- und Verlust-Rechung sowie Cash-Flow-Betrachtung für eine vermietete Immobilie</t>
  </si>
  <si>
    <t>Stand 2020</t>
  </si>
  <si>
    <t>/ m² p.a.</t>
  </si>
  <si>
    <t>/ m² p.a. geschätzt ! Bitte anpassen!</t>
  </si>
  <si>
    <t xml:space="preserve"> - Betriebs- und</t>
  </si>
  <si>
    <t xml:space="preserve"> - Unterhaltskosten</t>
  </si>
  <si>
    <t>Bonitäts-</t>
  </si>
  <si>
    <t>Status</t>
  </si>
  <si>
    <t>Bonitäts-Status</t>
  </si>
  <si>
    <t>dividiert durch</t>
  </si>
  <si>
    <t xml:space="preserve">=  Verkehrs- bzw. </t>
  </si>
  <si>
    <t xml:space="preserve"> Verkaufswert</t>
  </si>
  <si>
    <r>
      <t xml:space="preserve">   Die </t>
    </r>
    <r>
      <rPr>
        <b/>
        <sz val="11"/>
        <rFont val="Verdana"/>
        <family val="2"/>
      </rPr>
      <t>Instandsetzungskosten</t>
    </r>
    <r>
      <rPr>
        <sz val="11"/>
        <rFont val="Verdana"/>
        <family val="2"/>
      </rPr>
      <t xml:space="preserve"> (z.B. Reparaturen) werden im Jahr des Kaufs steuerlich angesetzt!</t>
    </r>
  </si>
  <si>
    <t xml:space="preserve"> Disagio ist in Niedrigzinsphasen außer Mode gekommen!</t>
  </si>
  <si>
    <t>Steuerzahlung (-)</t>
  </si>
  <si>
    <t>bzw. Steuerersparnis (+)</t>
  </si>
  <si>
    <t>versus</t>
  </si>
  <si>
    <t>zuwachs</t>
  </si>
  <si>
    <t>Cash-Aufwand</t>
  </si>
  <si>
    <t xml:space="preserve">Cash-Aufwand </t>
  </si>
  <si>
    <t>Cash Flow</t>
  </si>
  <si>
    <t>Parameter für Rendite-Vergleiche</t>
  </si>
  <si>
    <t>Rendite p.a. nominal nach Steuer
bei o.g. (Grenz-)Steuersatz</t>
  </si>
  <si>
    <t>Vermögenszuwachs</t>
  </si>
  <si>
    <t>kumulierter</t>
  </si>
  <si>
    <t>kumul. Cash Flow</t>
  </si>
  <si>
    <t>angelegt u. verzinst</t>
  </si>
  <si>
    <t>Tilgung und kumul.</t>
  </si>
  <si>
    <t>verzinst</t>
  </si>
  <si>
    <t>mit Rendite von</t>
  </si>
  <si>
    <t xml:space="preserve"> unverzinsten </t>
  </si>
  <si>
    <t xml:space="preserve">Cash Flow </t>
  </si>
  <si>
    <t>plus</t>
  </si>
  <si>
    <t>Gründung Immobilien Gesellschaft</t>
  </si>
  <si>
    <t>Die degressive AfA (Absetzung für Abnutzung) im Überblick</t>
  </si>
  <si>
    <t>Die degressive Abschreibung gilt ausschließlich für neu gebaute bzw. im Jahr der Fertigstellung erworbene Wohngebäude und Wohnungen.</t>
  </si>
  <si>
    <t>Im ersten Jahr können fünf Prozent der Investitionskosten steuerlich geltend gemacht werden. In den folgenden Jahren können jeweils fünf Prozent des Restwertes steuerlich geltend gemacht werden.</t>
  </si>
  <si>
    <t>Ein Wechsel zur linearen AfA ist möglich.</t>
  </si>
  <si>
    <t>Der Baubeginn des Wohngebäudes muss zwischen dem 1. Oktober 2023 und dem 30. September 2029 (6-Jahres Zeitraum) liegen.</t>
  </si>
  <si>
    <t>Erstmals ist nicht der Bauantrag entscheidendes Kriterium für die Gewährung der degressiven AfA, sondern der angezeigte Baubeginn. So wollen wir auch die Umsetzung von Projekten anreizen, die zwar schon geplant, aber aus unterschiedlichen Gründen – z. B. Probleme bei der Finanzierung – noch nicht begonnen wurden. Damit soll auch der Bauüberhang von mehr als 800.000 genehmigten Wohnungen abgebaut werden.</t>
  </si>
  <si>
    <t>Beim Erwerb einer Immobilie muss der Vertrag zwischen dem 1. Oktober 2023 und dem 30. September 2029 rechtswirksam geschlossen werden. Die Immobilie muss bis zum Ende des Jahres der Fertigstellung erworben werden.</t>
  </si>
  <si>
    <t>Die degressive AfA kann zudem mit der Sonderabschreibung für den Mietwohnungsneubau kombiniert werden. Begünstigt werden dabei Neubauten, mit dem energetischen Gebäudestandard EH40/QNG, die eine Baukostenobergrenze von 5.200 Euro pro m² einhalten.</t>
  </si>
  <si>
    <t>Die Bedingungen für die genannte Sonderabschreibung für den Mietwohnungsneubau wurden mit dem Wachstumschancengesetz nochmal verbessert: Der Anwendungszeitraum für Neufälle wurde bis Ende September 2029 verlängert, die Baukostenobergrenze von 4.800 Euro pro m² auf 5.200 Euro pro m² und die begünstigten Herstellungs-/Anschaffungskosten von 2.500 Euro pro m² auf 4.000 Euro pro m² erhöht.</t>
  </si>
  <si>
    <t>https://www.bmwsb.bund.de/SharedDocs/kurzmeldungen/Webs/BMWSB/DE/2024/03/degressive-afa.html</t>
  </si>
  <si>
    <t xml:space="preserve">Quelle:   </t>
  </si>
  <si>
    <t>Beispielrechnung</t>
  </si>
  <si>
    <t>Bei 400.000 Euro Investitionskosten kann der Investor im ersten Jahr 20.000 Euro (5 Prozent von 400.000 Euro) steuerlich abschreiben, im zweiten Jahr sind dann 19.000 Euro abschrei-bungsfähig (400.000 Euro abzüglich der 20.000 Euro vom ersten Jahr = 380.000 Euro Restwert). Innerhalb von sechs Jahren nach Fertigstellung/Erwerb der Immobilie kann der Investor so rund 106.000 Euro steuerlich geltend machen (d.h. auf diesen Betrag müssen keine Steuern entrichtet werden).</t>
  </si>
  <si>
    <t>Lineare AfA: Drei statt zwei Prozent ab dem 1.1.2023</t>
  </si>
  <si>
    <t>§ 7 Abs. 4 Satz 1 Nr. 2 EStG: Die lineare Absetzung für Abnutzung (lineare AfA) wurde zum 1.1.2023 von zwei auf drei Prozent pro Jahr angehoben. Darauf hatten sich die Ampel-Parteien bereits im Koalitionsvertrag verständigt.</t>
  </si>
  <si>
    <t>Die aus dem Ansatz des höheren pauschalen AfA-Satzes resultierende kürzere Abschreibungsdauer von 33 Jahren hat aber keinen Einfluss auf die Beurteilung der tatsächlichen Nutzungsdauer von Wohngebäuden. Diese wird regelmäßig auch mehr als 50 Jahre betragen.</t>
  </si>
  <si>
    <t>Die Maßnahme gilt für ab dem 1.1.2023 fertiggestellte Wohngebäude (Regierungsentwurf: 30.6.2023).</t>
  </si>
  <si>
    <t>https://www.haufe.de/immobilien/wirtschaft-politik/abschreibung-beim-mietwohnungsbau_84342_572146.html</t>
  </si>
  <si>
    <t>der Restnutzungsdauer</t>
  </si>
  <si>
    <t>AfA: Linear oder Degressiv-Linear?</t>
  </si>
  <si>
    <t>Linear 2 % p.a.</t>
  </si>
  <si>
    <t>Linear 3 % p.a.</t>
  </si>
  <si>
    <t xml:space="preserve">  &lt;- Klicke &amp; Wähle mit Lasche!</t>
  </si>
  <si>
    <t>bei Gewerbeimmobilien bleibt es bei Linear 2 % p.a.</t>
  </si>
  <si>
    <t>AfA Varianten für Wohnimmobilen</t>
  </si>
  <si>
    <t>Jahres</t>
  </si>
  <si>
    <t>Version vom</t>
  </si>
  <si>
    <t>https://prozentguru.de/gebaeude-afa-3-prozent/</t>
  </si>
  <si>
    <t>Sonder-</t>
  </si>
  <si>
    <t>p.a. in €</t>
  </si>
  <si>
    <t>(3)-(4)+(5)</t>
  </si>
  <si>
    <t>(8)</t>
  </si>
  <si>
    <t xml:space="preserve"> (6)/Anfangs-</t>
  </si>
  <si>
    <t xml:space="preserve"> (9)</t>
  </si>
  <si>
    <t>kumul. Tilgung  (7)</t>
  </si>
  <si>
    <t>Sonder-AFA</t>
  </si>
  <si>
    <t xml:space="preserve">auf </t>
  </si>
  <si>
    <t>AfA auf</t>
  </si>
  <si>
    <t>in Euro</t>
  </si>
  <si>
    <t>insgesamt</t>
  </si>
  <si>
    <t>AfA p.a.</t>
  </si>
  <si>
    <t>auf</t>
  </si>
  <si>
    <t>bzw.</t>
  </si>
  <si>
    <t>(12)+(13)</t>
  </si>
  <si>
    <t>=(15 aus Vor-</t>
  </si>
  <si>
    <t xml:space="preserve"> jahr) - (13)</t>
  </si>
  <si>
    <t>AfA Varianten</t>
  </si>
  <si>
    <t>abhängig von der Restnutzungsdauer</t>
  </si>
  <si>
    <t>Degressiv 5% u. Linear 3%</t>
  </si>
  <si>
    <t>Degressiv 5% u. Linear 2%</t>
  </si>
  <si>
    <t>Linear 3%</t>
  </si>
  <si>
    <t>Linear 2%</t>
  </si>
  <si>
    <t>Linear x%</t>
  </si>
  <si>
    <t xml:space="preserve">Dieser </t>
  </si>
  <si>
    <t>Bereich kann</t>
  </si>
  <si>
    <t>überschrieben</t>
  </si>
  <si>
    <t>werden mit</t>
  </si>
  <si>
    <t>den relevanten</t>
  </si>
  <si>
    <t>AfA % Sätzen</t>
  </si>
  <si>
    <t>AfA Spezial</t>
  </si>
  <si>
    <t xml:space="preserve">  50 Jahre lang 2 % p.a.</t>
  </si>
  <si>
    <t xml:space="preserve">  33,3 Jahre lang 3% p.a.</t>
  </si>
  <si>
    <t xml:space="preserve">  6 Jahre lang 5 %, danach 2% p.a.</t>
  </si>
  <si>
    <t xml:space="preserve">  6 Jahre lang 5 %, danach 3% p,a,</t>
  </si>
  <si>
    <t>manuell eingeben</t>
  </si>
  <si>
    <t xml:space="preserve">   bildung bzw.</t>
  </si>
  <si>
    <t>Buchwert</t>
  </si>
  <si>
    <t>des Gebäudes</t>
  </si>
  <si>
    <t xml:space="preserve">am Ende des </t>
  </si>
  <si>
    <t>/ Linear x%</t>
  </si>
  <si>
    <t xml:space="preserve">Der angezeigte </t>
  </si>
  <si>
    <t xml:space="preserve"> %-Satz reflektiert</t>
  </si>
  <si>
    <t>die AfA über die</t>
  </si>
  <si>
    <t>falls diese &lt;50 Jahre</t>
  </si>
  <si>
    <t>AfA Varianten auf Gebäude über den Zeitverlauf</t>
  </si>
  <si>
    <t>siehe auch:</t>
  </si>
  <si>
    <t>Restnutzungsdauer</t>
  </si>
  <si>
    <t xml:space="preserve">  (16) *</t>
  </si>
  <si>
    <t>(19)</t>
  </si>
  <si>
    <t>(20)</t>
  </si>
  <si>
    <t>(18)+(19)</t>
  </si>
  <si>
    <t>(21)</t>
  </si>
  <si>
    <t>(22)</t>
  </si>
  <si>
    <t>(23)</t>
  </si>
  <si>
    <t xml:space="preserve"> Formeln mit</t>
  </si>
  <si>
    <r>
      <rPr>
        <b/>
        <sz val="11"/>
        <rFont val="Verdana"/>
        <family val="2"/>
      </rPr>
      <t>Sondertilgungen und Sonderabschreibungen</t>
    </r>
    <r>
      <rPr>
        <sz val="11"/>
        <rFont val="Verdana"/>
        <family val="2"/>
      </rPr>
      <t xml:space="preserve"> sind in der Tabelle "Cash &amp; Assets" manuell einzugeben!</t>
    </r>
  </si>
  <si>
    <t>Wähle die Art der AfA in der Tabelle "Parameter" durch Klicken auf die Lasche aus der Dropdown-Liste aus!  (siehe Abb.)</t>
  </si>
  <si>
    <t>tilgungen</t>
  </si>
  <si>
    <t>incl. Sonder-</t>
  </si>
  <si>
    <t>(10)+(3)+(6)+(4)</t>
  </si>
  <si>
    <t>aber kein Mittelabfluss</t>
  </si>
  <si>
    <t>für Gewinn-/Verlustrechnung</t>
  </si>
  <si>
    <t>insgesamt p.a.</t>
  </si>
  <si>
    <r>
      <t xml:space="preserve">  Hängt ab von Einkommen/-sentwicklung! 
  Kann über Betrachtungszeitraum schwanken!
  </t>
    </r>
    <r>
      <rPr>
        <b/>
        <sz val="11"/>
        <rFont val="Verdana"/>
        <family val="2"/>
      </rPr>
      <t>Fragen Sie dazu ihren Steuer- oder Finanzberater.</t>
    </r>
  </si>
  <si>
    <t>Degressiv  5% + Linear 3%</t>
  </si>
  <si>
    <t>Degressiv 5% + Linear 2%</t>
  </si>
  <si>
    <t>nur sinvoll</t>
  </si>
  <si>
    <t>siehe Parameter B18</t>
  </si>
  <si>
    <t>(10)+(9)+(4)+(14)</t>
  </si>
  <si>
    <t>AfA ist kalkulatorischer Aufwand</t>
  </si>
  <si>
    <t>= -(11)*</t>
  </si>
  <si>
    <t xml:space="preserve"> [bei Linearer AfA]</t>
  </si>
  <si>
    <t xml:space="preserve">  (Gebäudewert aus Vorjahr)</t>
  </si>
  <si>
    <t xml:space="preserve"> [bei Degress. AfA]</t>
  </si>
  <si>
    <t>(12)= -(11)*</t>
  </si>
  <si>
    <t>kumu. Cash Flow (21)</t>
  </si>
  <si>
    <t>mit alternativen</t>
  </si>
  <si>
    <t>Kapitalanlagen</t>
  </si>
  <si>
    <t xml:space="preserve">für Vergleich </t>
  </si>
  <si>
    <t>Asset-Wertentwicklung</t>
  </si>
  <si>
    <t>Erwerbsnebenkosten (ENK)</t>
  </si>
  <si>
    <t xml:space="preserve">   für Vergleich mit alternativen Kapitalanlagen</t>
  </si>
  <si>
    <r>
      <t xml:space="preserve">(Grenz-)Steuersatz  </t>
    </r>
    <r>
      <rPr>
        <sz val="11"/>
        <rFont val="Verdana"/>
        <family val="2"/>
      </rPr>
      <t>siehe oben</t>
    </r>
  </si>
  <si>
    <t>Anlage-Rendite p.a. nominal vor Steuer</t>
  </si>
  <si>
    <t>Beispiel:</t>
  </si>
  <si>
    <t>Nur im ersten Jahr wird ein evtl. Disagio berücksichtigt. </t>
  </si>
  <si>
    <t xml:space="preserve">    =</t>
  </si>
  <si>
    <t xml:space="preserve"> errechnet sich wie folgt:</t>
  </si>
  <si>
    <t xml:space="preserve">  Der zu versteuernder Gewinn (Spalte S)</t>
  </si>
  <si>
    <t xml:space="preserve">   Miete  (Spalte M)  </t>
  </si>
  <si>
    <t xml:space="preserve">   minus  Unterhalts- und Betriebskosten (Spalte L) </t>
  </si>
  <si>
    <t xml:space="preserve">   minus AfA insgesamt  (Spalte Q)</t>
  </si>
  <si>
    <t xml:space="preserve">   minus  Schuldzinsen (Spalte G)</t>
  </si>
  <si>
    <r>
      <t xml:space="preserve">Da in dem Spalten mit einem </t>
    </r>
    <r>
      <rPr>
        <b/>
        <sz val="11"/>
        <rFont val="Calibri"/>
        <family val="2"/>
      </rPr>
      <t>Mittelabfluss als auch die AfA als negative Werte (-)</t>
    </r>
    <r>
      <rPr>
        <sz val="11"/>
        <rFont val="Calibri"/>
        <family val="2"/>
      </rPr>
      <t xml:space="preserve"> ausweisen</t>
    </r>
    <r>
      <rPr>
        <sz val="11"/>
        <color rgb="FF000000"/>
        <rFont val="Calibri"/>
        <family val="2"/>
      </rPr>
      <t xml:space="preserve"> werden</t>
    </r>
  </si>
  <si>
    <t xml:space="preserve">  (Gebäude-Anschaffungswert)</t>
  </si>
  <si>
    <t xml:space="preserve">   minus  Disagio (im 1. Jahr, falls relevant)</t>
  </si>
  <si>
    <t xml:space="preserve">Die Formel für den zu versteuernden Gewinn im ersten Jahr (Zelle S8) </t>
  </si>
  <si>
    <t xml:space="preserve">Deshalb findet sich in der Formel in Zelle: S8 „-Disagio“ (im 1. Jahr) </t>
  </si>
  <si>
    <t>im Gegensatz nur Formel in Zelle: S9 (im 2. Jahr)</t>
  </si>
  <si>
    <t xml:space="preserve">Das Disagio findet sich in der "Parameter-Tabelle" in Zelle: B62 </t>
  </si>
  <si>
    <t xml:space="preserve">und wird dort als positiver Wert ausgewiesen. </t>
  </si>
  <si>
    <t>  </t>
  </si>
  <si>
    <r>
      <t>ist die Formel  (S</t>
    </r>
    <r>
      <rPr>
        <vertAlign val="subscript"/>
        <sz val="11"/>
        <color rgb="FF000000"/>
        <rFont val="Calibri"/>
        <family val="2"/>
      </rPr>
      <t>n</t>
    </r>
    <r>
      <rPr>
        <sz val="11"/>
        <color rgb="FF000000"/>
        <rFont val="Calibri"/>
        <family val="2"/>
      </rPr>
      <t>)  =  (+M</t>
    </r>
    <r>
      <rPr>
        <vertAlign val="subscript"/>
        <sz val="11"/>
        <color rgb="FF000000"/>
        <rFont val="Calibri"/>
        <family val="2"/>
      </rPr>
      <t>n</t>
    </r>
    <r>
      <rPr>
        <sz val="11"/>
        <color rgb="FF000000"/>
        <rFont val="Calibri"/>
        <family val="2"/>
      </rPr>
      <t>) + (-L</t>
    </r>
    <r>
      <rPr>
        <vertAlign val="subscript"/>
        <sz val="11"/>
        <color rgb="FF000000"/>
        <rFont val="Calibri"/>
        <family val="2"/>
      </rPr>
      <t>n</t>
    </r>
    <r>
      <rPr>
        <sz val="11"/>
        <color rgb="FF000000"/>
        <rFont val="Calibri"/>
        <family val="2"/>
      </rPr>
      <t>)  + (-Q</t>
    </r>
    <r>
      <rPr>
        <vertAlign val="subscript"/>
        <sz val="11"/>
        <color rgb="FF000000"/>
        <rFont val="Calibri"/>
        <family val="2"/>
      </rPr>
      <t>n</t>
    </r>
    <r>
      <rPr>
        <sz val="11"/>
        <color rgb="FF000000"/>
        <rFont val="Calibri"/>
        <family val="2"/>
      </rPr>
      <t>) + (-G</t>
    </r>
    <r>
      <rPr>
        <vertAlign val="subscript"/>
        <sz val="11"/>
        <color rgb="FF000000"/>
        <rFont val="Calibri"/>
        <family val="2"/>
      </rPr>
      <t>n</t>
    </r>
    <r>
      <rPr>
        <sz val="11"/>
        <color rgb="FF000000"/>
        <rFont val="Calibri"/>
        <family val="2"/>
      </rPr>
      <t>)     das Äquivalent von  S</t>
    </r>
    <r>
      <rPr>
        <vertAlign val="subscript"/>
        <sz val="11"/>
        <color rgb="FF000000"/>
        <rFont val="Calibri"/>
        <family val="2"/>
      </rPr>
      <t>n</t>
    </r>
    <r>
      <rPr>
        <sz val="11"/>
        <color rgb="FF000000"/>
        <rFont val="Calibri"/>
        <family val="2"/>
      </rPr>
      <t xml:space="preserve"> = M</t>
    </r>
    <r>
      <rPr>
        <vertAlign val="subscript"/>
        <sz val="11"/>
        <color rgb="FF000000"/>
        <rFont val="Calibri"/>
        <family val="2"/>
      </rPr>
      <t>n</t>
    </r>
    <r>
      <rPr>
        <sz val="11"/>
        <color rgb="FF000000"/>
        <rFont val="Calibri"/>
        <family val="2"/>
      </rPr>
      <t xml:space="preserve"> – L</t>
    </r>
    <r>
      <rPr>
        <vertAlign val="subscript"/>
        <sz val="11"/>
        <color rgb="FF000000"/>
        <rFont val="Calibri"/>
        <family val="2"/>
      </rPr>
      <t>n</t>
    </r>
    <r>
      <rPr>
        <sz val="11"/>
        <color rgb="FF000000"/>
        <rFont val="Calibri"/>
        <family val="2"/>
      </rPr>
      <t xml:space="preserve"> – Q</t>
    </r>
    <r>
      <rPr>
        <vertAlign val="subscript"/>
        <sz val="11"/>
        <color rgb="FF000000"/>
        <rFont val="Calibri"/>
        <family val="2"/>
      </rPr>
      <t>n</t>
    </r>
    <r>
      <rPr>
        <sz val="11"/>
        <color rgb="FF000000"/>
        <rFont val="Calibri"/>
        <family val="2"/>
      </rPr>
      <t xml:space="preserve">  – G</t>
    </r>
    <r>
      <rPr>
        <vertAlign val="subscript"/>
        <sz val="11"/>
        <color rgb="FF000000"/>
        <rFont val="Calibri"/>
        <family val="2"/>
      </rPr>
      <t>n</t>
    </r>
  </si>
  <si>
    <r>
      <t xml:space="preserve">                                                                  bzw.  </t>
    </r>
    <r>
      <rPr>
        <sz val="11"/>
        <rFont val="Calibri"/>
        <family val="2"/>
      </rPr>
      <t>(</t>
    </r>
    <r>
      <rPr>
        <sz val="11"/>
        <color rgb="FF000000"/>
        <rFont val="Calibri"/>
        <family val="2"/>
      </rPr>
      <t>S</t>
    </r>
    <r>
      <rPr>
        <vertAlign val="subscript"/>
        <sz val="11"/>
        <color rgb="FF000000"/>
        <rFont val="Calibri"/>
        <family val="2"/>
      </rPr>
      <t>n</t>
    </r>
    <r>
      <rPr>
        <sz val="11"/>
        <color rgb="FF000000"/>
        <rFont val="Calibri"/>
        <family val="2"/>
      </rPr>
      <t>)  =  (+M</t>
    </r>
    <r>
      <rPr>
        <vertAlign val="subscript"/>
        <sz val="11"/>
        <color rgb="FF000000"/>
        <rFont val="Calibri"/>
        <family val="2"/>
      </rPr>
      <t>n</t>
    </r>
    <r>
      <rPr>
        <sz val="11"/>
        <color rgb="FF000000"/>
        <rFont val="Calibri"/>
        <family val="2"/>
      </rPr>
      <t>)  + (-L</t>
    </r>
    <r>
      <rPr>
        <vertAlign val="subscript"/>
        <sz val="11"/>
        <color rgb="FF000000"/>
        <rFont val="Calibri"/>
        <family val="2"/>
      </rPr>
      <t>n</t>
    </r>
    <r>
      <rPr>
        <sz val="11"/>
        <color rgb="FF000000"/>
        <rFont val="Calibri"/>
        <family val="2"/>
      </rPr>
      <t>)  +  (- Q</t>
    </r>
    <r>
      <rPr>
        <vertAlign val="subscript"/>
        <sz val="11"/>
        <color rgb="FF000000"/>
        <rFont val="Calibri"/>
        <family val="2"/>
      </rPr>
      <t>n</t>
    </r>
    <r>
      <rPr>
        <sz val="11"/>
        <color rgb="FF000000"/>
        <rFont val="Calibri"/>
        <family val="2"/>
      </rPr>
      <t>) + (-G</t>
    </r>
    <r>
      <rPr>
        <vertAlign val="subscript"/>
        <sz val="11"/>
        <color rgb="FF000000"/>
        <rFont val="Calibri"/>
        <family val="2"/>
      </rPr>
      <t>n</t>
    </r>
    <r>
      <rPr>
        <sz val="11"/>
        <color rgb="FF000000"/>
        <rFont val="Calibri"/>
        <family val="2"/>
      </rPr>
      <t>)  </t>
    </r>
  </si>
  <si>
    <t>Ab dem zweiten Jahr lautet die Formel   S9  =     M9    +   L9   +    Q9    +  G9</t>
  </si>
  <si>
    <t xml:space="preserve">  KALKUATIONSLOGIK </t>
  </si>
  <si>
    <t xml:space="preserve"> n  steht für das n-te Jahr  bzw. die Zeilen-Nummer</t>
  </si>
  <si>
    <t>lautet: S8 = M8 + L8 + Q8 + G8 - Disagio</t>
  </si>
  <si>
    <t>https://www.faz.net/aktuell/finanzen/immobilien-zuegig-abschreiben-18599959.html?GEPC=s9&amp;premium=0x7494819a022a81a9f4a3f62686ef14c0561c950eb4a44415571570d2646fe373</t>
  </si>
  <si>
    <t>Anfängl. Jähliche Tilgung in %</t>
  </si>
  <si>
    <t xml:space="preserve">   Nota bene: bei einem Finanzierungszeitram von 48 Jahren beträgt die anfängl. Tilgung 1 % p.a.</t>
  </si>
  <si>
    <t xml:space="preserve">  angenommene Rendite alternativer Anlagen z.B. Aktien</t>
  </si>
  <si>
    <t>https://www.baumeister-online.de/nachricht/bundesrat-stimmt-wachstumschancengesetz-zu-degressive-afa-kommt/</t>
  </si>
  <si>
    <t>Die jährliche (Anfangs-)Tilgung</t>
  </si>
  <si>
    <t xml:space="preserve">Die Tilgung in % p.a. findet sich in der Spalte K des Blatts „Cash &amp; Assets“ </t>
  </si>
  <si>
    <t xml:space="preserve">Wenn man/frau einen besonders langen Finanzierungszeitraum wählt, verringert sich die anfängliche jährliche Tilgung in Prozent. Dafür zahlt dann man/frau entsprechend länger. </t>
  </si>
  <si>
    <t>Den Zusammenhang zwischen Tilgung p.a. und Tilgungsdauer verdeutlicht nachfolgende Tabelle.</t>
  </si>
  <si>
    <t>Tilgungsdauer in Jahren</t>
  </si>
  <si>
    <t xml:space="preserve">bei einer Tilgung von x % p.a. </t>
  </si>
  <si>
    <t>und Zinsen von y % p.a.</t>
  </si>
  <si>
    <t>Annuität  =</t>
  </si>
  <si>
    <t>Zins p.a. + Tilgung p.a.</t>
  </si>
  <si>
    <t>Zins p.a.</t>
  </si>
  <si>
    <t>Man beachte:   Annuität (Höhe der regelmäßigen Zahlung für Zins und Tilgung) bleibt während der gesamten Laufzeit gleich!</t>
  </si>
  <si>
    <t xml:space="preserve">Die jährliche (Anfangs-)Tilgung kann in diesem Modell nicht explizit als Parameter eingeben werden. </t>
  </si>
  <si>
    <t>Die Höhe der Tilgung p.a. in Prozent hängt ab von der gewählten Finanzierungsdauer (Finanzierungszeitraum, siehe Blatt „Parameter“ Zelle B54).</t>
  </si>
  <si>
    <t>Bei einen Finanzierungszeitraum von 32 Jahren ergibt sich eine Tilgung von ca.  zwei Prozent p.a.</t>
  </si>
  <si>
    <t xml:space="preserve">Wählt man/frau z. B. einen Finanzierungszeitraum von 48 Jahren, dann sinkt u.U. die Tilgung p.a. auf ca. ein Prozent (siehe Abb.). </t>
  </si>
  <si>
    <t>Die Berechung der Nach-Steuer-Belastung stellt nur ein WIE-WENN-SZENARIO da.</t>
  </si>
  <si>
    <t>Ein WIE-WENN-SZENARIO stellt lediglich eine Entscheidungshilfe da.</t>
  </si>
  <si>
    <t>https://index.fmh.de/fmh-index/ueberblick/</t>
  </si>
  <si>
    <t>Info zur Zinsentwicklung:</t>
  </si>
  <si>
    <t>Wie die GmbH zur Steuerfalle wird“   von Volker Looman  FAZ  16.02.2023</t>
  </si>
  <si>
    <t>pro m² Grund</t>
  </si>
  <si>
    <t>M/10a; Mietausfall in Monaten auf 10 Jahre gerechnet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</si>
</sst>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 #,##0.00\ &quot;€&quot;_-;\-* #,##0.00\ &quot;€&quot;_-;_-* &quot;-&quot;??\ &quot;€&quot;_-;_-@_-"/>
    <numFmt numFmtId="164" formatCode="_-* #,##0.00\ _€_-;\-* #,##0.00\ _€_-;_-* &quot;-&quot;??\ _€_-;_-@_-"/>
    <numFmt numFmtId="165" formatCode="General;\-General"/>
    <numFmt numFmtId="166" formatCode="dd/mm/yy"/>
    <numFmt numFmtId="167" formatCode="#,##0.00\ [$€-407];\-#,##0.00\ [$€-407]"/>
    <numFmt numFmtId="168" formatCode="[$€-1]#,##0.00"/>
    <numFmt numFmtId="169" formatCode="#,##0.00\ [$€-407];[Red]\-#,##0.00\ [$€-407]"/>
    <numFmt numFmtId="170" formatCode="#,##0\ [$€-407];\-#,##0\ [$€-407]"/>
    <numFmt numFmtId="171" formatCode="0.0%"/>
    <numFmt numFmtId="172" formatCode="_-* #,##0.00\ [$€-407]_-;\-* #,##0.00\ [$€-407]_-;_-* &quot;-&quot;??\ [$€-407]_-;_-@_-"/>
    <numFmt numFmtId="173" formatCode="_-* #,##0\ [$€-407]_-;\-* #,##0\ [$€-407]_-;_-* &quot;-&quot;??\ [$€-407]_-;_-@_-"/>
    <numFmt numFmtId="174" formatCode="_-* #,##0&quot; €&quot;_-;\-* #,##0&quot; €&quot;_-;_-* \-??&quot; €&quot;_-;_-@_-"/>
    <numFmt numFmtId="175" formatCode="#,##0.0\ &quot;m²&quot;"/>
    <numFmt numFmtId="176" formatCode="_-* #,##0\ &quot;€&quot;_-;\-* #,##0\ &quot;€&quot;_-;_-* &quot;-&quot;??\ &quot;€&quot;_-;_-@_-"/>
    <numFmt numFmtId="177" formatCode="_-* #,##0.0\ _€_-;\-* #,##0.0\ _€_-;_-* &quot;-&quot;??\ _€_-;_-@_-"/>
    <numFmt numFmtId="178" formatCode="#,##0\ [$€-407]"/>
    <numFmt numFmtId="179" formatCode="0.00\ %"/>
  </numFmts>
  <fonts count="86">
    <font>
      <sz val="10"/>
      <name val="Arial"/>
      <family val="2"/>
    </font>
    <font>
      <sz val="11"/>
      <color theme="1"/>
      <name val="Calibri"/>
      <family val="2"/>
      <scheme val="minor"/>
    </font>
    <font>
      <b/>
      <sz val="10"/>
      <name val="Arial"/>
      <family val="2"/>
    </font>
    <font>
      <sz val="12"/>
      <name val="Arial"/>
      <family val="2"/>
    </font>
    <font>
      <sz val="10"/>
      <name val="Arial"/>
      <family val="2"/>
    </font>
    <font>
      <sz val="9"/>
      <color indexed="81"/>
      <name val="Tahoma"/>
      <family val="2"/>
    </font>
    <font>
      <b/>
      <sz val="9"/>
      <color indexed="81"/>
      <name val="Tahoma"/>
      <family val="2"/>
    </font>
    <font>
      <sz val="10"/>
      <color indexed="8"/>
      <name val="Arial MT"/>
      <family val="2"/>
    </font>
    <font>
      <sz val="9"/>
      <name val="Arial"/>
      <family val="2"/>
    </font>
    <font>
      <u/>
      <sz val="10"/>
      <color theme="10"/>
      <name val="Arial"/>
      <family val="2"/>
    </font>
    <font>
      <sz val="11"/>
      <color theme="0"/>
      <name val="Calibri"/>
      <family val="2"/>
      <scheme val="minor"/>
    </font>
    <font>
      <sz val="11"/>
      <name val="Verdana"/>
      <family val="2"/>
    </font>
    <font>
      <sz val="10"/>
      <name val="Verdana"/>
      <family val="2"/>
    </font>
    <font>
      <b/>
      <sz val="11"/>
      <name val="Verdana"/>
      <family val="2"/>
    </font>
    <font>
      <b/>
      <sz val="12"/>
      <color indexed="8"/>
      <name val="Verdana"/>
      <family val="2"/>
    </font>
    <font>
      <b/>
      <sz val="10"/>
      <color theme="0"/>
      <name val="Calibri"/>
      <family val="2"/>
      <scheme val="minor"/>
    </font>
    <font>
      <sz val="10"/>
      <color theme="1"/>
      <name val="Calibri"/>
      <family val="2"/>
      <scheme val="minor"/>
    </font>
    <font>
      <sz val="10"/>
      <color theme="0" tint="-0.499984740745262"/>
      <name val="Calibri"/>
      <family val="2"/>
      <scheme val="minor"/>
    </font>
    <font>
      <sz val="11"/>
      <color rgb="FF0070C0"/>
      <name val="Verdana"/>
      <family val="2"/>
    </font>
    <font>
      <b/>
      <sz val="11"/>
      <color indexed="8"/>
      <name val="Verdana"/>
      <family val="2"/>
    </font>
    <font>
      <sz val="10"/>
      <name val="Calibri"/>
      <family val="2"/>
      <scheme val="minor"/>
    </font>
    <font>
      <b/>
      <sz val="11"/>
      <color theme="0"/>
      <name val="Verdana"/>
      <family val="2"/>
    </font>
    <font>
      <sz val="11"/>
      <color theme="0"/>
      <name val="Verdana"/>
      <family val="2"/>
    </font>
    <font>
      <b/>
      <sz val="18"/>
      <color indexed="8"/>
      <name val="Verdana"/>
      <family val="2"/>
    </font>
    <font>
      <sz val="12"/>
      <color indexed="8"/>
      <name val="Verdana"/>
      <family val="2"/>
    </font>
    <font>
      <b/>
      <i/>
      <sz val="12"/>
      <color indexed="8"/>
      <name val="Verdana"/>
      <family val="2"/>
    </font>
    <font>
      <b/>
      <sz val="14"/>
      <color indexed="8"/>
      <name val="Verdana"/>
      <family val="2"/>
    </font>
    <font>
      <u/>
      <sz val="12"/>
      <color theme="10"/>
      <name val="Verdana"/>
      <family val="2"/>
    </font>
    <font>
      <b/>
      <i/>
      <sz val="12"/>
      <color indexed="39"/>
      <name val="Verdana"/>
      <family val="2"/>
    </font>
    <font>
      <sz val="12"/>
      <name val="Century Gothic"/>
      <family val="2"/>
    </font>
    <font>
      <b/>
      <sz val="11"/>
      <color theme="0"/>
      <name val="Calibri"/>
      <family val="2"/>
      <scheme val="minor"/>
    </font>
    <font>
      <b/>
      <sz val="12"/>
      <name val="Century Gothic"/>
      <family val="2"/>
    </font>
    <font>
      <i/>
      <sz val="12"/>
      <color indexed="8"/>
      <name val="Verdana"/>
      <family val="2"/>
    </font>
    <font>
      <i/>
      <sz val="12"/>
      <name val="Verdana"/>
      <family val="2"/>
    </font>
    <font>
      <u/>
      <sz val="11"/>
      <color theme="10"/>
      <name val="Arial"/>
      <family val="2"/>
    </font>
    <font>
      <sz val="9"/>
      <color indexed="81"/>
      <name val="Segoe UI"/>
      <family val="2"/>
    </font>
    <font>
      <b/>
      <sz val="9"/>
      <color indexed="81"/>
      <name val="Segoe UI"/>
      <family val="2"/>
    </font>
    <font>
      <b/>
      <sz val="12"/>
      <name val="Verdana"/>
      <family val="2"/>
    </font>
    <font>
      <sz val="12"/>
      <name val="Verdana"/>
      <family val="2"/>
    </font>
    <font>
      <b/>
      <sz val="16"/>
      <color indexed="8"/>
      <name val="Verdana"/>
      <family val="2"/>
    </font>
    <font>
      <sz val="12"/>
      <color theme="10"/>
      <name val="Verdana"/>
      <family val="2"/>
    </font>
    <font>
      <sz val="12"/>
      <color indexed="8"/>
      <name val="Calibri"/>
      <family val="2"/>
    </font>
    <font>
      <sz val="12"/>
      <color indexed="8"/>
      <name val="Arial MT"/>
      <family val="2"/>
    </font>
    <font>
      <b/>
      <sz val="10"/>
      <name val="Calibri"/>
      <family val="2"/>
      <scheme val="minor"/>
    </font>
    <font>
      <b/>
      <sz val="1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10"/>
      <color indexed="8"/>
      <name val="Calibri"/>
      <family val="2"/>
      <scheme val="minor"/>
    </font>
    <font>
      <sz val="11"/>
      <name val="Calibri"/>
      <family val="2"/>
      <scheme val="minor"/>
    </font>
    <font>
      <sz val="11"/>
      <color indexed="12"/>
      <name val="Calibri"/>
      <family val="2"/>
      <scheme val="minor"/>
    </font>
    <font>
      <i/>
      <sz val="11"/>
      <color indexed="8"/>
      <name val="Calibri"/>
      <family val="2"/>
      <scheme val="minor"/>
    </font>
    <font>
      <b/>
      <sz val="12"/>
      <color indexed="8"/>
      <name val="Calibri"/>
      <family val="2"/>
      <scheme val="minor"/>
    </font>
    <font>
      <sz val="11"/>
      <color indexed="8"/>
      <name val="Arial MT"/>
      <family val="2"/>
    </font>
    <font>
      <b/>
      <u/>
      <sz val="9"/>
      <color indexed="81"/>
      <name val="Tahoma"/>
      <family val="2"/>
    </font>
    <font>
      <sz val="14"/>
      <color indexed="8"/>
      <name val="Verdana"/>
      <family val="2"/>
    </font>
    <font>
      <b/>
      <sz val="11"/>
      <color rgb="FF000000"/>
      <name val="Calibri"/>
      <family val="2"/>
      <charset val="1"/>
    </font>
    <font>
      <b/>
      <sz val="11"/>
      <name val="Calibri"/>
      <family val="2"/>
      <charset val="1"/>
    </font>
    <font>
      <sz val="11"/>
      <color rgb="FF000000"/>
      <name val="Calibri"/>
      <family val="2"/>
      <charset val="1"/>
    </font>
    <font>
      <sz val="11"/>
      <color rgb="FF000000"/>
      <name val="Arial MT"/>
      <family val="2"/>
      <charset val="1"/>
    </font>
    <font>
      <sz val="11"/>
      <name val="Calibri"/>
      <family val="2"/>
      <charset val="1"/>
    </font>
    <font>
      <sz val="11"/>
      <color rgb="FF000000"/>
      <name val="Calibri"/>
      <family val="2"/>
    </font>
    <font>
      <sz val="10"/>
      <color rgb="FF000000"/>
      <name val="Calibri"/>
      <family val="2"/>
      <charset val="1"/>
    </font>
    <font>
      <sz val="11"/>
      <name val="Verdana"/>
      <family val="2"/>
      <charset val="1"/>
    </font>
    <font>
      <b/>
      <sz val="18"/>
      <name val="Arial"/>
      <family val="2"/>
    </font>
    <font>
      <b/>
      <sz val="10"/>
      <name val="Verdana"/>
      <family val="2"/>
    </font>
    <font>
      <b/>
      <sz val="11"/>
      <color rgb="FFFF0000"/>
      <name val="Verdana"/>
      <family val="2"/>
    </font>
    <font>
      <b/>
      <sz val="10"/>
      <color rgb="FFFF0000"/>
      <name val="Verdana"/>
      <family val="2"/>
    </font>
    <font>
      <b/>
      <sz val="16"/>
      <name val="Arial"/>
      <family val="2"/>
    </font>
    <font>
      <sz val="8"/>
      <color indexed="8"/>
      <name val="Calibri"/>
      <family val="2"/>
      <scheme val="minor"/>
    </font>
    <font>
      <b/>
      <sz val="8"/>
      <color indexed="8"/>
      <name val="Calibri"/>
      <family val="2"/>
      <scheme val="minor"/>
    </font>
    <font>
      <b/>
      <sz val="14"/>
      <color indexed="8"/>
      <name val="Calibri"/>
      <family val="2"/>
      <scheme val="minor"/>
    </font>
    <font>
      <b/>
      <sz val="14"/>
      <name val="Arial"/>
      <family val="2"/>
    </font>
    <font>
      <b/>
      <sz val="12"/>
      <color rgb="FF000000"/>
      <name val="Calibri"/>
      <family val="2"/>
    </font>
    <font>
      <sz val="11"/>
      <name val="Calibri"/>
      <family val="2"/>
    </font>
    <font>
      <b/>
      <sz val="11"/>
      <name val="Calibri"/>
      <family val="2"/>
    </font>
    <font>
      <vertAlign val="subscript"/>
      <sz val="11"/>
      <color rgb="FF000000"/>
      <name val="Calibri"/>
      <family val="2"/>
    </font>
    <font>
      <b/>
      <sz val="12"/>
      <color rgb="FFFF0000"/>
      <name val="Verdana"/>
      <family val="2"/>
    </font>
    <font>
      <sz val="9"/>
      <color indexed="81"/>
      <name val="Segoe UI"/>
      <charset val="1"/>
    </font>
    <font>
      <b/>
      <sz val="9"/>
      <color indexed="81"/>
      <name val="Segoe UI"/>
      <charset val="1"/>
    </font>
    <font>
      <sz val="12"/>
      <name val="Times New Roman"/>
      <family val="1"/>
    </font>
    <font>
      <b/>
      <sz val="12"/>
      <name val="Arial"/>
      <family val="2"/>
    </font>
    <font>
      <b/>
      <i/>
      <sz val="12"/>
      <name val="Arial"/>
      <family val="2"/>
    </font>
    <font>
      <b/>
      <sz val="24"/>
      <name val="Arial"/>
      <family val="2"/>
    </font>
    <font>
      <sz val="12"/>
      <color indexed="8"/>
      <name val="Arial"/>
      <family val="2"/>
    </font>
    <font>
      <u/>
      <sz val="12"/>
      <color theme="10"/>
      <name val="Arial"/>
      <family val="2"/>
    </font>
  </fonts>
  <fills count="56">
    <fill>
      <patternFill patternType="none"/>
    </fill>
    <fill>
      <patternFill patternType="gray125"/>
    </fill>
    <fill>
      <patternFill patternType="solid">
        <fgColor indexed="9"/>
        <bgColor indexed="26"/>
      </patternFill>
    </fill>
    <fill>
      <patternFill patternType="solid">
        <fgColor indexed="13"/>
        <bgColor indexed="34"/>
      </patternFill>
    </fill>
    <fill>
      <patternFill patternType="solid">
        <fgColor rgb="FFFFFF00"/>
        <bgColor indexed="64"/>
      </patternFill>
    </fill>
    <fill>
      <patternFill patternType="solid">
        <fgColor theme="0"/>
        <bgColor indexed="43"/>
      </patternFill>
    </fill>
    <fill>
      <patternFill patternType="solid">
        <fgColor rgb="FFFFFF00"/>
        <bgColor indexed="26"/>
      </patternFill>
    </fill>
    <fill>
      <patternFill patternType="solid">
        <fgColor theme="0"/>
        <bgColor indexed="64"/>
      </patternFill>
    </fill>
    <fill>
      <patternFill patternType="solid">
        <fgColor theme="3"/>
        <bgColor indexed="64"/>
      </patternFill>
    </fill>
    <fill>
      <patternFill patternType="solid">
        <fgColor rgb="FFFBFFFD"/>
        <bgColor indexed="64"/>
      </patternFill>
    </fill>
    <fill>
      <patternFill patternType="solid">
        <fgColor theme="3" tint="0.89999084444715716"/>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79998168889431442"/>
        <bgColor indexed="43"/>
      </patternFill>
    </fill>
    <fill>
      <patternFill patternType="solid">
        <fgColor theme="8" tint="0.79998168889431442"/>
        <bgColor indexed="64"/>
      </patternFill>
    </fill>
    <fill>
      <patternFill patternType="solid">
        <fgColor theme="5" tint="0.59999389629810485"/>
        <bgColor indexed="26"/>
      </patternFill>
    </fill>
    <fill>
      <patternFill patternType="solid">
        <fgColor theme="5" tint="0.59999389629810485"/>
        <bgColor indexed="64"/>
      </patternFill>
    </fill>
    <fill>
      <patternFill patternType="solid">
        <fgColor theme="5" tint="0.39997558519241921"/>
        <bgColor indexed="26"/>
      </patternFill>
    </fill>
    <fill>
      <patternFill patternType="solid">
        <fgColor theme="4" tint="0.59999389629810485"/>
        <bgColor indexed="43"/>
      </patternFill>
    </fill>
    <fill>
      <patternFill patternType="solid">
        <fgColor theme="0"/>
        <bgColor indexed="26"/>
      </patternFill>
    </fill>
    <fill>
      <patternFill patternType="solid">
        <fgColor theme="6" tint="0.59999389629810485"/>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59999389629810485"/>
        <bgColor indexed="26"/>
      </patternFill>
    </fill>
    <fill>
      <patternFill patternType="solid">
        <fgColor theme="9"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bgColor indexed="26"/>
      </patternFill>
    </fill>
    <fill>
      <patternFill patternType="solid">
        <fgColor rgb="FFFFFFCC"/>
        <bgColor indexed="64"/>
      </patternFill>
    </fill>
    <fill>
      <patternFill patternType="solid">
        <fgColor rgb="FFFFFFCC"/>
        <bgColor indexed="26"/>
      </patternFill>
    </fill>
    <fill>
      <patternFill patternType="solid">
        <fgColor theme="2" tint="-0.249977111117893"/>
        <bgColor indexed="26"/>
      </patternFill>
    </fill>
    <fill>
      <patternFill patternType="solid">
        <fgColor theme="6" tint="0.79998168889431442"/>
        <bgColor indexed="26"/>
      </patternFill>
    </fill>
    <fill>
      <patternFill patternType="solid">
        <fgColor theme="8" tint="0.79998168889431442"/>
        <bgColor indexed="26"/>
      </patternFill>
    </fill>
    <fill>
      <patternFill patternType="solid">
        <fgColor theme="9"/>
        <bgColor indexed="64"/>
      </patternFill>
    </fill>
    <fill>
      <patternFill patternType="solid">
        <fgColor theme="2" tint="-9.9978637043366805E-2"/>
        <bgColor indexed="64"/>
      </patternFill>
    </fill>
    <fill>
      <patternFill patternType="solid">
        <fgColor rgb="FFFFFFFF"/>
        <bgColor rgb="FFFBFFFD"/>
      </patternFill>
    </fill>
    <fill>
      <patternFill patternType="solid">
        <fgColor theme="0"/>
        <bgColor indexed="34"/>
      </patternFill>
    </fill>
    <fill>
      <patternFill patternType="solid">
        <fgColor theme="9" tint="0.59999389629810485"/>
        <bgColor indexed="34"/>
      </patternFill>
    </fill>
    <fill>
      <patternFill patternType="solid">
        <fgColor theme="0"/>
        <bgColor rgb="FFD99694"/>
      </patternFill>
    </fill>
    <fill>
      <patternFill patternType="solid">
        <fgColor theme="0"/>
        <bgColor rgb="FFF2DCDB"/>
      </patternFill>
    </fill>
    <fill>
      <patternFill patternType="solid">
        <fgColor theme="0"/>
        <bgColor rgb="FFFFFF00"/>
      </patternFill>
    </fill>
    <fill>
      <patternFill patternType="solid">
        <fgColor theme="0"/>
        <bgColor rgb="FFFBFFFD"/>
      </patternFill>
    </fill>
    <fill>
      <patternFill patternType="solid">
        <fgColor theme="6" tint="0.59999389629810485"/>
        <bgColor rgb="FFD99694"/>
      </patternFill>
    </fill>
    <fill>
      <patternFill patternType="solid">
        <fgColor theme="6" tint="0.59999389629810485"/>
        <bgColor rgb="FFFFFF00"/>
      </patternFill>
    </fill>
    <fill>
      <patternFill patternType="solid">
        <fgColor theme="6" tint="0.59999389629810485"/>
        <bgColor rgb="FFF2DCDB"/>
      </patternFill>
    </fill>
    <fill>
      <patternFill patternType="solid">
        <fgColor theme="6" tint="0.59999389629810485"/>
        <bgColor rgb="FFFBFFFD"/>
      </patternFill>
    </fill>
    <fill>
      <patternFill patternType="solid">
        <fgColor theme="5" tint="0.59999389629810485"/>
        <bgColor rgb="FFFFFF00"/>
      </patternFill>
    </fill>
    <fill>
      <patternFill patternType="solid">
        <fgColor theme="0" tint="-0.14999847407452621"/>
        <bgColor indexed="26"/>
      </patternFill>
    </fill>
    <fill>
      <patternFill patternType="solid">
        <fgColor theme="9" tint="0.79998168889431442"/>
        <bgColor indexed="26"/>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26"/>
      </patternFill>
    </fill>
    <fill>
      <patternFill patternType="solid">
        <fgColor theme="3" tint="0.79998168889431442"/>
        <bgColor indexed="64"/>
      </patternFill>
    </fill>
  </fills>
  <borders count="97">
    <border>
      <left/>
      <right/>
      <top/>
      <bottom/>
      <diagonal/>
    </border>
    <border>
      <left style="dotted">
        <color indexed="64"/>
      </left>
      <right style="dotted">
        <color indexed="64"/>
      </right>
      <top/>
      <bottom/>
      <diagonal/>
    </border>
    <border>
      <left style="dotted">
        <color indexed="64"/>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style="medium">
        <color theme="3"/>
      </left>
      <right/>
      <top style="medium">
        <color theme="3"/>
      </top>
      <bottom/>
      <diagonal/>
    </border>
    <border>
      <left/>
      <right style="medium">
        <color theme="3"/>
      </right>
      <top/>
      <bottom/>
      <diagonal/>
    </border>
    <border>
      <left style="medium">
        <color theme="3"/>
      </left>
      <right style="thin">
        <color theme="0" tint="-0.249977111117893"/>
      </right>
      <top/>
      <bottom style="thin">
        <color theme="0" tint="-0.249977111117893"/>
      </bottom>
      <diagonal/>
    </border>
    <border>
      <left style="thin">
        <color theme="0" tint="-0.249977111117893"/>
      </left>
      <right style="medium">
        <color theme="3"/>
      </right>
      <top/>
      <bottom style="thin">
        <color theme="0" tint="-0.249977111117893"/>
      </bottom>
      <diagonal/>
    </border>
    <border>
      <left style="medium">
        <color theme="3"/>
      </left>
      <right style="thin">
        <color theme="0" tint="-0.249977111117893"/>
      </right>
      <top style="thin">
        <color theme="0" tint="-0.249977111117893"/>
      </top>
      <bottom style="thin">
        <color theme="0" tint="-0.249977111117893"/>
      </bottom>
      <diagonal/>
    </border>
    <border>
      <left style="thin">
        <color theme="0" tint="-0.249977111117893"/>
      </left>
      <right style="medium">
        <color theme="3"/>
      </right>
      <top style="thin">
        <color theme="0" tint="-0.249977111117893"/>
      </top>
      <bottom style="thin">
        <color theme="0" tint="-0.249977111117893"/>
      </bottom>
      <diagonal/>
    </border>
    <border>
      <left style="medium">
        <color theme="3"/>
      </left>
      <right style="thin">
        <color theme="0" tint="-0.249977111117893"/>
      </right>
      <top style="thin">
        <color theme="0" tint="-0.249977111117893"/>
      </top>
      <bottom style="medium">
        <color theme="3"/>
      </bottom>
      <diagonal/>
    </border>
    <border>
      <left style="thin">
        <color theme="0" tint="-0.249977111117893"/>
      </left>
      <right style="medium">
        <color theme="3"/>
      </right>
      <top style="thin">
        <color theme="0" tint="-0.249977111117893"/>
      </top>
      <bottom style="medium">
        <color theme="3"/>
      </bottom>
      <diagonal/>
    </border>
    <border>
      <left/>
      <right/>
      <top style="medium">
        <color theme="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3"/>
      </bottom>
      <diagonal/>
    </border>
    <border>
      <left style="thin">
        <color theme="0" tint="-0.249977111117893"/>
      </left>
      <right style="thin">
        <color theme="0" tint="-0.249977111117893"/>
      </right>
      <top style="thin">
        <color theme="0" tint="-0.249977111117893"/>
      </top>
      <bottom style="medium">
        <color theme="3"/>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theme="3" tint="0.24994659260841701"/>
      </right>
      <top style="medium">
        <color theme="3"/>
      </top>
      <bottom style="medium">
        <color theme="3"/>
      </bottom>
      <diagonal/>
    </border>
    <border>
      <left style="thin">
        <color theme="3" tint="0.24994659260841701"/>
      </left>
      <right style="thin">
        <color theme="3" tint="0.24994659260841701"/>
      </right>
      <top style="medium">
        <color theme="3"/>
      </top>
      <bottom style="medium">
        <color theme="3"/>
      </bottom>
      <diagonal/>
    </border>
    <border>
      <left/>
      <right style="thin">
        <color theme="0" tint="-0.249977111117893"/>
      </right>
      <top style="thin">
        <color theme="0" tint="-0.249977111117893"/>
      </top>
      <bottom style="thin">
        <color theme="0" tint="-0.249977111117893"/>
      </bottom>
      <diagonal/>
    </border>
    <border>
      <left style="medium">
        <color indexed="64"/>
      </left>
      <right/>
      <top style="medium">
        <color indexed="64"/>
      </top>
      <bottom/>
      <diagonal/>
    </border>
    <border>
      <left style="medium">
        <color indexed="64"/>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medium">
        <color indexed="64"/>
      </left>
      <right/>
      <top/>
      <bottom style="thin">
        <color theme="0" tint="-0.249977111117893"/>
      </bottom>
      <diagonal/>
    </border>
    <border>
      <left style="medium">
        <color indexed="64"/>
      </left>
      <right style="thin">
        <color theme="0" tint="-0.249977111117893"/>
      </right>
      <top style="thin">
        <color theme="0" tint="-0.249977111117893"/>
      </top>
      <bottom style="medium">
        <color theme="3"/>
      </bottom>
      <diagonal/>
    </border>
    <border>
      <left style="thin">
        <color theme="3" tint="0.24994659260841701"/>
      </left>
      <right style="thin">
        <color indexed="64"/>
      </right>
      <top style="medium">
        <color theme="3"/>
      </top>
      <bottom style="medium">
        <color theme="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medium">
        <color theme="3"/>
      </bottom>
      <diagonal/>
    </border>
    <border>
      <left/>
      <right style="thin">
        <color indexed="64"/>
      </right>
      <top style="thin">
        <color theme="0" tint="-0.249977111117893"/>
      </top>
      <bottom style="thin">
        <color theme="0" tint="-0.249977111117893"/>
      </bottom>
      <diagonal/>
    </border>
    <border>
      <left style="medium">
        <color indexed="64"/>
      </left>
      <right style="thin">
        <color theme="0" tint="-0.249977111117893"/>
      </right>
      <top style="medium">
        <color indexed="64"/>
      </top>
      <bottom style="medium">
        <color theme="3"/>
      </bottom>
      <diagonal/>
    </border>
    <border>
      <left style="thin">
        <color theme="0" tint="-0.249977111117893"/>
      </left>
      <right style="thin">
        <color theme="0" tint="-0.249977111117893"/>
      </right>
      <top style="medium">
        <color indexed="64"/>
      </top>
      <bottom style="medium">
        <color theme="3"/>
      </bottom>
      <diagonal/>
    </border>
    <border>
      <left style="thin">
        <color theme="0" tint="-0.249977111117893"/>
      </left>
      <right style="medium">
        <color indexed="64"/>
      </right>
      <top style="medium">
        <color indexed="64"/>
      </top>
      <bottom style="medium">
        <color theme="3"/>
      </bottom>
      <diagonal/>
    </border>
    <border>
      <left style="medium">
        <color indexed="64"/>
      </left>
      <right style="thin">
        <color theme="0" tint="-0.249977111117893"/>
      </right>
      <top style="medium">
        <color theme="3"/>
      </top>
      <bottom style="thin">
        <color theme="0" tint="-0.249977111117893"/>
      </bottom>
      <diagonal/>
    </border>
    <border>
      <left/>
      <right style="medium">
        <color indexed="64"/>
      </right>
      <top style="medium">
        <color theme="3"/>
      </top>
      <bottom style="thin">
        <color theme="0" tint="-0.249977111117893"/>
      </bottom>
      <diagonal/>
    </border>
    <border>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thin">
        <color indexed="64"/>
      </left>
      <right/>
      <top/>
      <bottom/>
      <diagonal/>
    </border>
    <border>
      <left style="thin">
        <color theme="2"/>
      </left>
      <right style="thin">
        <color theme="2"/>
      </right>
      <top style="thin">
        <color theme="2"/>
      </top>
      <bottom style="thin">
        <color theme="2"/>
      </bottom>
      <diagonal/>
    </border>
    <border>
      <left style="thin">
        <color theme="3" tint="0.24994659260841701"/>
      </left>
      <right style="thin">
        <color theme="3" tint="0.24994659260841701"/>
      </right>
      <top style="thin">
        <color theme="2"/>
      </top>
      <bottom style="thin">
        <color theme="2"/>
      </bottom>
      <diagonal/>
    </border>
    <border>
      <left style="thin">
        <color theme="3" tint="0.24994659260841701"/>
      </left>
      <right style="thin">
        <color theme="2"/>
      </right>
      <top style="thin">
        <color theme="2"/>
      </top>
      <bottom style="thin">
        <color theme="2"/>
      </bottom>
      <diagonal/>
    </border>
    <border>
      <left/>
      <right style="thin">
        <color theme="3" tint="0.24994659260841701"/>
      </right>
      <top style="thin">
        <color theme="2"/>
      </top>
      <bottom style="thin">
        <color theme="2"/>
      </bottom>
      <diagonal/>
    </border>
    <border>
      <left style="thick">
        <color auto="1"/>
      </left>
      <right style="thin">
        <color theme="2"/>
      </right>
      <top style="thick">
        <color auto="1"/>
      </top>
      <bottom style="thin">
        <color theme="2"/>
      </bottom>
      <diagonal/>
    </border>
    <border>
      <left style="thin">
        <color theme="2"/>
      </left>
      <right style="thin">
        <color theme="2"/>
      </right>
      <top style="thick">
        <color auto="1"/>
      </top>
      <bottom style="thin">
        <color theme="2"/>
      </bottom>
      <diagonal/>
    </border>
    <border>
      <left style="thin">
        <color theme="2"/>
      </left>
      <right style="thick">
        <color auto="1"/>
      </right>
      <top style="thick">
        <color auto="1"/>
      </top>
      <bottom style="thin">
        <color theme="2"/>
      </bottom>
      <diagonal/>
    </border>
    <border>
      <left style="thick">
        <color auto="1"/>
      </left>
      <right style="thin">
        <color theme="2"/>
      </right>
      <top style="thin">
        <color theme="2"/>
      </top>
      <bottom style="thin">
        <color theme="2"/>
      </bottom>
      <diagonal/>
    </border>
    <border>
      <left style="thin">
        <color theme="2"/>
      </left>
      <right style="thick">
        <color auto="1"/>
      </right>
      <top style="thin">
        <color theme="2"/>
      </top>
      <bottom style="thin">
        <color theme="2"/>
      </bottom>
      <diagonal/>
    </border>
    <border>
      <left style="thick">
        <color auto="1"/>
      </left>
      <right style="thin">
        <color theme="2"/>
      </right>
      <top style="thin">
        <color theme="2"/>
      </top>
      <bottom style="thick">
        <color auto="1"/>
      </bottom>
      <diagonal/>
    </border>
    <border>
      <left style="thin">
        <color theme="2"/>
      </left>
      <right style="thin">
        <color theme="2"/>
      </right>
      <top style="thin">
        <color theme="2"/>
      </top>
      <bottom style="thick">
        <color auto="1"/>
      </bottom>
      <diagonal/>
    </border>
    <border>
      <left style="thin">
        <color theme="2"/>
      </left>
      <right style="thick">
        <color auto="1"/>
      </right>
      <top style="thin">
        <color theme="2"/>
      </top>
      <bottom style="thick">
        <color auto="1"/>
      </bottom>
      <diagonal/>
    </border>
    <border>
      <left style="thin">
        <color indexed="64"/>
      </left>
      <right style="thin">
        <color theme="2"/>
      </right>
      <top style="thin">
        <color indexed="64"/>
      </top>
      <bottom style="thin">
        <color indexed="64"/>
      </bottom>
      <diagonal/>
    </border>
    <border>
      <left style="thin">
        <color theme="2"/>
      </left>
      <right style="thin">
        <color indexed="64"/>
      </right>
      <top style="thin">
        <color indexed="64"/>
      </top>
      <bottom style="thin">
        <color indexed="64"/>
      </bottom>
      <diagonal/>
    </border>
    <border>
      <left style="medium">
        <color theme="3"/>
      </left>
      <right/>
      <top style="medium">
        <color indexed="64"/>
      </top>
      <bottom/>
      <diagonal/>
    </border>
    <border>
      <left style="medium">
        <color theme="3"/>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dotted">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medium">
        <color indexed="64"/>
      </left>
      <right style="thin">
        <color theme="0" tint="-0.249977111117893"/>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top style="thin">
        <color indexed="64"/>
      </top>
      <bottom/>
      <diagonal/>
    </border>
    <border>
      <left/>
      <right style="thin">
        <color indexed="64"/>
      </right>
      <top/>
      <bottom style="thin">
        <color indexed="64"/>
      </bottom>
      <diagonal/>
    </border>
    <border>
      <left/>
      <right style="thin">
        <color indexed="64"/>
      </right>
      <top style="thin">
        <color theme="0" tint="-0.249977111117893"/>
      </top>
      <bottom style="medium">
        <color theme="3"/>
      </bottom>
      <diagonal/>
    </border>
    <border>
      <left/>
      <right style="thin">
        <color indexed="64"/>
      </right>
      <top style="thin">
        <color theme="0" tint="-0.249977111117893"/>
      </top>
      <bottom style="thin">
        <color indexed="64"/>
      </bottom>
      <diagonal/>
    </border>
    <border>
      <left/>
      <right style="medium">
        <color indexed="64"/>
      </right>
      <top/>
      <bottom style="thin">
        <color indexed="64"/>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5">
    <xf numFmtId="0" fontId="0" fillId="0" borderId="0"/>
    <xf numFmtId="9" fontId="4" fillId="0" borderId="0" applyFill="0" applyBorder="0" applyAlignment="0" applyProtection="0"/>
    <xf numFmtId="0" fontId="9" fillId="0" borderId="0" applyNumberFormat="0" applyFill="0" applyBorder="0" applyAlignment="0" applyProtection="0"/>
    <xf numFmtId="164" fontId="4" fillId="0" borderId="0" applyFont="0" applyFill="0" applyBorder="0" applyAlignment="0" applyProtection="0"/>
    <xf numFmtId="44" fontId="4" fillId="0" borderId="0" applyFont="0" applyFill="0" applyBorder="0" applyAlignment="0" applyProtection="0"/>
  </cellStyleXfs>
  <cellXfs count="549">
    <xf numFmtId="0" fontId="0" fillId="0" borderId="0" xfId="0"/>
    <xf numFmtId="3" fontId="0" fillId="0" borderId="0" xfId="0" applyNumberFormat="1"/>
    <xf numFmtId="0" fontId="3" fillId="2" borderId="0" xfId="0" applyFont="1" applyFill="1" applyAlignment="1">
      <alignment vertical="top" wrapText="1"/>
    </xf>
    <xf numFmtId="0" fontId="11" fillId="0" borderId="0" xfId="0" applyFont="1"/>
    <xf numFmtId="0" fontId="11" fillId="4" borderId="0" xfId="0" applyFont="1" applyFill="1"/>
    <xf numFmtId="173" fontId="11" fillId="0" borderId="0" xfId="0" applyNumberFormat="1" applyFont="1"/>
    <xf numFmtId="0" fontId="13" fillId="0" borderId="0" xfId="0" applyFont="1"/>
    <xf numFmtId="0" fontId="12" fillId="0" borderId="0" xfId="0" applyFont="1"/>
    <xf numFmtId="167" fontId="11" fillId="7" borderId="0" xfId="0" applyNumberFormat="1" applyFont="1" applyFill="1"/>
    <xf numFmtId="0" fontId="15" fillId="8" borderId="6" xfId="0" applyFont="1" applyFill="1" applyBorder="1" applyAlignment="1">
      <alignment horizontal="left" vertical="center"/>
    </xf>
    <xf numFmtId="0" fontId="15" fillId="8" borderId="7" xfId="0" applyFont="1" applyFill="1" applyBorder="1" applyAlignment="1">
      <alignment horizontal="left" vertical="center"/>
    </xf>
    <xf numFmtId="0" fontId="16" fillId="9" borderId="8" xfId="0" applyFont="1" applyFill="1" applyBorder="1"/>
    <xf numFmtId="10" fontId="16" fillId="10" borderId="9" xfId="0" applyNumberFormat="1" applyFont="1" applyFill="1" applyBorder="1" applyAlignment="1">
      <alignment horizontal="center"/>
    </xf>
    <xf numFmtId="0" fontId="16" fillId="9" borderId="10" xfId="0" applyFont="1" applyFill="1" applyBorder="1"/>
    <xf numFmtId="10" fontId="16" fillId="10" borderId="11" xfId="0" applyNumberFormat="1" applyFont="1" applyFill="1" applyBorder="1" applyAlignment="1">
      <alignment horizontal="center"/>
    </xf>
    <xf numFmtId="0" fontId="16" fillId="9" borderId="12" xfId="0" applyFont="1" applyFill="1" applyBorder="1"/>
    <xf numFmtId="10" fontId="16" fillId="10" borderId="13" xfId="0" applyNumberFormat="1" applyFont="1" applyFill="1" applyBorder="1" applyAlignment="1">
      <alignment horizontal="center"/>
    </xf>
    <xf numFmtId="0" fontId="16" fillId="9" borderId="0" xfId="0" applyFont="1" applyFill="1"/>
    <xf numFmtId="0" fontId="11" fillId="0" borderId="0" xfId="0" applyFont="1" applyAlignment="1">
      <alignment horizontal="left" vertical="center"/>
    </xf>
    <xf numFmtId="0" fontId="18" fillId="4" borderId="0" xfId="0" applyFont="1" applyFill="1"/>
    <xf numFmtId="0" fontId="11" fillId="0" borderId="0" xfId="0" applyFont="1" applyAlignment="1">
      <alignment horizontal="right"/>
    </xf>
    <xf numFmtId="167" fontId="11" fillId="0" borderId="0" xfId="0" applyNumberFormat="1" applyFont="1"/>
    <xf numFmtId="0" fontId="11" fillId="0" borderId="0" xfId="0" applyFont="1" applyAlignment="1">
      <alignment horizontal="left"/>
    </xf>
    <xf numFmtId="2" fontId="11" fillId="0" borderId="0" xfId="0" applyNumberFormat="1" applyFont="1"/>
    <xf numFmtId="10" fontId="11" fillId="0" borderId="0" xfId="0" applyNumberFormat="1" applyFont="1"/>
    <xf numFmtId="0" fontId="11" fillId="0" borderId="0" xfId="0" quotePrefix="1" applyFont="1"/>
    <xf numFmtId="0" fontId="11" fillId="0" borderId="18" xfId="0" applyFont="1" applyBorder="1"/>
    <xf numFmtId="166" fontId="11" fillId="4" borderId="18" xfId="0" applyNumberFormat="1" applyFont="1" applyFill="1" applyBorder="1"/>
    <xf numFmtId="0" fontId="21" fillId="8" borderId="18" xfId="0" applyFont="1" applyFill="1" applyBorder="1"/>
    <xf numFmtId="167" fontId="13" fillId="7" borderId="18" xfId="0" applyNumberFormat="1" applyFont="1" applyFill="1" applyBorder="1"/>
    <xf numFmtId="167" fontId="11" fillId="4" borderId="18" xfId="0" applyNumberFormat="1" applyFont="1" applyFill="1" applyBorder="1"/>
    <xf numFmtId="167" fontId="11" fillId="7" borderId="18" xfId="0" applyNumberFormat="1" applyFont="1" applyFill="1" applyBorder="1"/>
    <xf numFmtId="0" fontId="13" fillId="0" borderId="18" xfId="0" applyFont="1" applyBorder="1"/>
    <xf numFmtId="167" fontId="13" fillId="0" borderId="18" xfId="0" applyNumberFormat="1" applyFont="1" applyBorder="1"/>
    <xf numFmtId="171" fontId="11" fillId="0" borderId="18" xfId="0" applyNumberFormat="1" applyFont="1" applyBorder="1"/>
    <xf numFmtId="174" fontId="11" fillId="0" borderId="18" xfId="4" applyNumberFormat="1" applyFont="1" applyBorder="1" applyAlignment="1">
      <alignment horizontal="right"/>
    </xf>
    <xf numFmtId="10" fontId="11" fillId="4" borderId="18" xfId="1" applyNumberFormat="1" applyFont="1" applyFill="1" applyBorder="1"/>
    <xf numFmtId="10" fontId="11" fillId="4" borderId="18" xfId="0" applyNumberFormat="1" applyFont="1" applyFill="1" applyBorder="1"/>
    <xf numFmtId="10" fontId="11" fillId="7" borderId="18" xfId="0" applyNumberFormat="1" applyFont="1" applyFill="1" applyBorder="1"/>
    <xf numFmtId="167" fontId="11" fillId="0" borderId="18" xfId="0" applyNumberFormat="1" applyFont="1" applyBorder="1"/>
    <xf numFmtId="167" fontId="11" fillId="7" borderId="18" xfId="0" applyNumberFormat="1" applyFont="1" applyFill="1" applyBorder="1" applyAlignment="1">
      <alignment horizontal="right" vertical="center"/>
    </xf>
    <xf numFmtId="0" fontId="21" fillId="8" borderId="18" xfId="0" applyFont="1" applyFill="1" applyBorder="1" applyAlignment="1">
      <alignment horizontal="left" wrapText="1"/>
    </xf>
    <xf numFmtId="168" fontId="11" fillId="0" borderId="18" xfId="0" applyNumberFormat="1" applyFont="1" applyBorder="1"/>
    <xf numFmtId="0" fontId="13" fillId="12" borderId="18" xfId="0" applyFont="1" applyFill="1" applyBorder="1"/>
    <xf numFmtId="0" fontId="13" fillId="3" borderId="18" xfId="0" applyFont="1" applyFill="1" applyBorder="1"/>
    <xf numFmtId="10" fontId="11" fillId="0" borderId="18" xfId="0" applyNumberFormat="1" applyFont="1" applyBorder="1"/>
    <xf numFmtId="10" fontId="13" fillId="3" borderId="18" xfId="0" applyNumberFormat="1" applyFont="1" applyFill="1" applyBorder="1"/>
    <xf numFmtId="169" fontId="11" fillId="0" borderId="18" xfId="0" applyNumberFormat="1" applyFont="1" applyBorder="1"/>
    <xf numFmtId="0" fontId="13" fillId="12" borderId="18" xfId="0" applyFont="1" applyFill="1" applyBorder="1" applyAlignment="1">
      <alignment horizontal="left" vertical="center"/>
    </xf>
    <xf numFmtId="0" fontId="11" fillId="0" borderId="18" xfId="0" applyFont="1" applyBorder="1" applyAlignment="1">
      <alignment horizontal="center" wrapText="1"/>
    </xf>
    <xf numFmtId="167" fontId="11" fillId="4" borderId="18" xfId="0" applyNumberFormat="1" applyFont="1" applyFill="1" applyBorder="1" applyAlignment="1">
      <alignment horizontal="center" vertical="center"/>
    </xf>
    <xf numFmtId="172" fontId="11" fillId="0" borderId="18" xfId="3" applyNumberFormat="1" applyFont="1" applyBorder="1" applyAlignment="1">
      <alignment horizontal="center"/>
    </xf>
    <xf numFmtId="0" fontId="11" fillId="0" borderId="18" xfId="0" applyFont="1" applyBorder="1" applyAlignment="1">
      <alignment horizontal="center"/>
    </xf>
    <xf numFmtId="0" fontId="23" fillId="5" borderId="0" xfId="0" applyFont="1" applyFill="1"/>
    <xf numFmtId="0" fontId="24" fillId="5" borderId="0" xfId="0" applyFont="1" applyFill="1"/>
    <xf numFmtId="0" fontId="24" fillId="0" borderId="0" xfId="0" applyFont="1"/>
    <xf numFmtId="0" fontId="24" fillId="4" borderId="0" xfId="0" applyFont="1" applyFill="1"/>
    <xf numFmtId="0" fontId="14" fillId="2" borderId="0" xfId="0" applyFont="1" applyFill="1"/>
    <xf numFmtId="0" fontId="14" fillId="6" borderId="0" xfId="0" applyFont="1" applyFill="1"/>
    <xf numFmtId="0" fontId="27" fillId="0" borderId="0" xfId="2" applyFont="1"/>
    <xf numFmtId="175" fontId="11" fillId="4" borderId="18" xfId="0" applyNumberFormat="1" applyFont="1" applyFill="1" applyBorder="1"/>
    <xf numFmtId="0" fontId="19" fillId="4" borderId="0" xfId="0" applyFont="1" applyFill="1"/>
    <xf numFmtId="0" fontId="19" fillId="6" borderId="0" xfId="0" applyFont="1" applyFill="1"/>
    <xf numFmtId="0" fontId="24" fillId="2" borderId="0" xfId="0" applyFont="1" applyFill="1"/>
    <xf numFmtId="0" fontId="28" fillId="6" borderId="0" xfId="0" applyFont="1" applyFill="1"/>
    <xf numFmtId="0" fontId="25" fillId="4" borderId="0" xfId="0" applyFont="1" applyFill="1"/>
    <xf numFmtId="0" fontId="25" fillId="6" borderId="0" xfId="0" applyFont="1" applyFill="1"/>
    <xf numFmtId="0" fontId="0" fillId="9" borderId="0" xfId="0" applyFill="1"/>
    <xf numFmtId="0" fontId="15" fillId="8" borderId="21" xfId="0" applyFont="1" applyFill="1" applyBorder="1" applyAlignment="1">
      <alignment horizontal="center"/>
    </xf>
    <xf numFmtId="1" fontId="15" fillId="8" borderId="22" xfId="0" applyNumberFormat="1" applyFont="1" applyFill="1" applyBorder="1" applyAlignment="1">
      <alignment horizontal="center"/>
    </xf>
    <xf numFmtId="0" fontId="10" fillId="9" borderId="0" xfId="0" applyFont="1" applyFill="1" applyAlignment="1">
      <alignment horizontal="center"/>
    </xf>
    <xf numFmtId="0" fontId="16" fillId="0" borderId="0" xfId="0" applyFont="1"/>
    <xf numFmtId="3" fontId="16" fillId="7" borderId="0" xfId="0" applyNumberFormat="1" applyFont="1" applyFill="1" applyAlignment="1">
      <alignment horizontal="center"/>
    </xf>
    <xf numFmtId="173" fontId="16" fillId="7" borderId="17" xfId="4" applyNumberFormat="1" applyFont="1" applyFill="1" applyBorder="1" applyAlignment="1" applyProtection="1">
      <alignment horizontal="center"/>
    </xf>
    <xf numFmtId="0" fontId="16" fillId="0" borderId="25" xfId="0" applyFont="1" applyBorder="1"/>
    <xf numFmtId="0" fontId="16" fillId="0" borderId="26" xfId="0" applyFont="1" applyBorder="1"/>
    <xf numFmtId="0" fontId="16" fillId="0" borderId="27" xfId="0" applyFont="1" applyBorder="1"/>
    <xf numFmtId="0" fontId="16" fillId="0" borderId="28" xfId="0" applyFont="1" applyBorder="1"/>
    <xf numFmtId="0" fontId="16" fillId="0" borderId="29" xfId="0" applyFont="1" applyBorder="1"/>
    <xf numFmtId="0" fontId="29" fillId="11" borderId="24" xfId="0" applyFont="1" applyFill="1" applyBorder="1" applyAlignment="1">
      <alignment horizontal="left"/>
    </xf>
    <xf numFmtId="1" fontId="15" fillId="8" borderId="30" xfId="0" applyNumberFormat="1" applyFont="1" applyFill="1" applyBorder="1" applyAlignment="1">
      <alignment horizontal="center"/>
    </xf>
    <xf numFmtId="0" fontId="16" fillId="0" borderId="37" xfId="0" applyFont="1" applyBorder="1"/>
    <xf numFmtId="0" fontId="16" fillId="0" borderId="40" xfId="0" applyFont="1" applyBorder="1" applyAlignment="1">
      <alignment horizontal="left" indent="1"/>
    </xf>
    <xf numFmtId="175" fontId="16" fillId="7" borderId="39" xfId="0" applyNumberFormat="1" applyFont="1" applyFill="1" applyBorder="1" applyAlignment="1">
      <alignment horizontal="center"/>
    </xf>
    <xf numFmtId="175" fontId="16" fillId="4" borderId="41" xfId="0" applyNumberFormat="1" applyFont="1" applyFill="1" applyBorder="1" applyAlignment="1">
      <alignment horizontal="center"/>
    </xf>
    <xf numFmtId="0" fontId="21" fillId="8" borderId="18" xfId="0" applyFont="1" applyFill="1" applyBorder="1" applyAlignment="1">
      <alignment vertical="center" wrapText="1"/>
    </xf>
    <xf numFmtId="9" fontId="11" fillId="3" borderId="18" xfId="0" applyNumberFormat="1" applyFont="1" applyFill="1" applyBorder="1" applyAlignment="1">
      <alignment vertical="center"/>
    </xf>
    <xf numFmtId="1" fontId="30" fillId="8" borderId="44" xfId="0" applyNumberFormat="1" applyFont="1" applyFill="1" applyBorder="1" applyAlignment="1">
      <alignment horizontal="center"/>
    </xf>
    <xf numFmtId="1" fontId="30" fillId="8" borderId="45" xfId="0" applyNumberFormat="1" applyFont="1" applyFill="1" applyBorder="1" applyAlignment="1">
      <alignment horizontal="center"/>
    </xf>
    <xf numFmtId="0" fontId="30" fillId="8" borderId="46" xfId="0" applyFont="1" applyFill="1" applyBorder="1" applyAlignment="1">
      <alignment horizontal="center"/>
    </xf>
    <xf numFmtId="0" fontId="31" fillId="11" borderId="0" xfId="0" applyFont="1" applyFill="1" applyAlignment="1">
      <alignment horizontal="center"/>
    </xf>
    <xf numFmtId="0" fontId="16" fillId="7" borderId="43" xfId="0" applyFont="1" applyFill="1" applyBorder="1" applyAlignment="1">
      <alignment horizontal="right"/>
    </xf>
    <xf numFmtId="0" fontId="16" fillId="0" borderId="50" xfId="0" applyFont="1" applyBorder="1"/>
    <xf numFmtId="176" fontId="16" fillId="7" borderId="51" xfId="4" applyNumberFormat="1" applyFont="1" applyFill="1" applyBorder="1" applyAlignment="1" applyProtection="1"/>
    <xf numFmtId="0" fontId="16" fillId="0" borderId="52" xfId="0" applyFont="1" applyBorder="1"/>
    <xf numFmtId="175" fontId="16" fillId="7" borderId="53" xfId="0" applyNumberFormat="1" applyFont="1" applyFill="1" applyBorder="1" applyAlignment="1">
      <alignment horizontal="center"/>
    </xf>
    <xf numFmtId="0" fontId="16" fillId="7" borderId="53" xfId="0" applyFont="1" applyFill="1" applyBorder="1" applyAlignment="1">
      <alignment horizontal="left" indent="1"/>
    </xf>
    <xf numFmtId="175" fontId="16" fillId="7" borderId="54" xfId="0" applyNumberFormat="1" applyFont="1" applyFill="1" applyBorder="1" applyAlignment="1">
      <alignment horizontal="center"/>
    </xf>
    <xf numFmtId="44" fontId="12" fillId="14" borderId="55" xfId="4" applyFont="1" applyFill="1" applyBorder="1"/>
    <xf numFmtId="0" fontId="12" fillId="14" borderId="56" xfId="0" applyFont="1" applyFill="1" applyBorder="1"/>
    <xf numFmtId="1" fontId="11" fillId="4" borderId="18" xfId="0" applyNumberFormat="1" applyFont="1" applyFill="1" applyBorder="1" applyAlignment="1">
      <alignment horizontal="center"/>
    </xf>
    <xf numFmtId="0" fontId="9" fillId="0" borderId="0" xfId="2"/>
    <xf numFmtId="0" fontId="34" fillId="0" borderId="0" xfId="2" applyFont="1" applyProtection="1">
      <protection hidden="1"/>
    </xf>
    <xf numFmtId="0" fontId="15" fillId="8" borderId="57" xfId="0" applyFont="1" applyFill="1" applyBorder="1" applyAlignment="1">
      <alignment horizontal="left" vertical="center"/>
    </xf>
    <xf numFmtId="0" fontId="15" fillId="8" borderId="58" xfId="0" applyFont="1" applyFill="1" applyBorder="1" applyAlignment="1">
      <alignment horizontal="left" vertical="center"/>
    </xf>
    <xf numFmtId="0" fontId="0" fillId="0" borderId="18" xfId="0" applyBorder="1" applyAlignment="1">
      <alignment vertical="center"/>
    </xf>
    <xf numFmtId="0" fontId="0" fillId="0" borderId="59" xfId="0" applyBorder="1" applyAlignment="1">
      <alignment vertical="center"/>
    </xf>
    <xf numFmtId="0" fontId="0" fillId="0" borderId="60" xfId="0" applyBorder="1" applyAlignment="1">
      <alignment vertical="center"/>
    </xf>
    <xf numFmtId="0" fontId="0" fillId="0" borderId="61" xfId="0" applyBorder="1" applyAlignment="1">
      <alignment vertical="center"/>
    </xf>
    <xf numFmtId="0" fontId="32" fillId="15" borderId="0" xfId="0" applyFont="1" applyFill="1"/>
    <xf numFmtId="0" fontId="24" fillId="16" borderId="0" xfId="0" applyFont="1" applyFill="1"/>
    <xf numFmtId="0" fontId="33" fillId="16" borderId="0" xfId="0" applyFont="1" applyFill="1" applyAlignment="1">
      <alignment horizontal="left"/>
    </xf>
    <xf numFmtId="0" fontId="11" fillId="16" borderId="0" xfId="0" applyFont="1" applyFill="1"/>
    <xf numFmtId="10" fontId="0" fillId="0" borderId="18" xfId="0" applyNumberFormat="1" applyBorder="1" applyAlignment="1">
      <alignment horizontal="center" vertical="center"/>
    </xf>
    <xf numFmtId="10" fontId="0" fillId="0" borderId="18" xfId="1" applyNumberFormat="1" applyFont="1" applyBorder="1" applyAlignment="1">
      <alignment horizontal="center" vertical="center"/>
    </xf>
    <xf numFmtId="10" fontId="0" fillId="0" borderId="60" xfId="1" applyNumberFormat="1" applyFont="1" applyBorder="1" applyAlignment="1">
      <alignment horizontal="center" vertical="center"/>
    </xf>
    <xf numFmtId="0" fontId="2" fillId="0" borderId="0" xfId="0" applyFont="1"/>
    <xf numFmtId="0" fontId="16" fillId="7" borderId="43" xfId="0" applyFont="1" applyFill="1" applyBorder="1" applyAlignment="1">
      <alignment horizontal="left"/>
    </xf>
    <xf numFmtId="177" fontId="11" fillId="7" borderId="18" xfId="3" applyNumberFormat="1" applyFont="1" applyFill="1" applyBorder="1"/>
    <xf numFmtId="167" fontId="11" fillId="7" borderId="18" xfId="0" applyNumberFormat="1" applyFont="1" applyFill="1" applyBorder="1" applyAlignment="1">
      <alignment horizontal="center" vertical="center"/>
    </xf>
    <xf numFmtId="167" fontId="11" fillId="4" borderId="18" xfId="0" applyNumberFormat="1" applyFont="1" applyFill="1" applyBorder="1" applyAlignment="1">
      <alignment horizontal="right" vertical="center"/>
    </xf>
    <xf numFmtId="0" fontId="24" fillId="0" borderId="0" xfId="0" applyFont="1" applyAlignment="1">
      <alignment wrapText="1"/>
    </xf>
    <xf numFmtId="0" fontId="24" fillId="2" borderId="0" xfId="0" applyFont="1" applyFill="1" applyAlignment="1">
      <alignment horizontal="left" vertical="top" indent="2"/>
    </xf>
    <xf numFmtId="0" fontId="24" fillId="12" borderId="0" xfId="0" applyFont="1" applyFill="1"/>
    <xf numFmtId="0" fontId="24" fillId="18" borderId="0" xfId="0" applyFont="1" applyFill="1"/>
    <xf numFmtId="0" fontId="26" fillId="18" borderId="0" xfId="0" applyFont="1" applyFill="1"/>
    <xf numFmtId="0" fontId="39" fillId="18" borderId="0" xfId="0" applyFont="1" applyFill="1"/>
    <xf numFmtId="0" fontId="40" fillId="0" borderId="0" xfId="2" applyFont="1"/>
    <xf numFmtId="0" fontId="14" fillId="17" borderId="0" xfId="0" applyFont="1" applyFill="1" applyAlignment="1">
      <alignment horizontal="center"/>
    </xf>
    <xf numFmtId="0" fontId="14" fillId="0" borderId="0" xfId="0" applyFont="1"/>
    <xf numFmtId="0" fontId="41" fillId="0" borderId="0" xfId="0" applyFont="1"/>
    <xf numFmtId="0" fontId="14" fillId="19" borderId="0" xfId="0" applyFont="1" applyFill="1"/>
    <xf numFmtId="0" fontId="24" fillId="7" borderId="0" xfId="0" applyFont="1" applyFill="1"/>
    <xf numFmtId="0" fontId="4" fillId="0" borderId="66" xfId="0" applyFont="1" applyBorder="1" applyAlignment="1">
      <alignment horizontal="center"/>
    </xf>
    <xf numFmtId="178" fontId="4" fillId="20" borderId="18" xfId="0" applyNumberFormat="1" applyFont="1" applyFill="1" applyBorder="1"/>
    <xf numFmtId="3" fontId="4" fillId="7" borderId="23" xfId="1" applyNumberFormat="1" applyFill="1" applyBorder="1" applyAlignment="1" applyProtection="1">
      <alignment horizontal="center"/>
    </xf>
    <xf numFmtId="3" fontId="4" fillId="7" borderId="15" xfId="1" applyNumberFormat="1" applyFill="1" applyBorder="1" applyAlignment="1" applyProtection="1">
      <alignment horizontal="center"/>
    </xf>
    <xf numFmtId="3" fontId="4" fillId="7" borderId="31" xfId="1" applyNumberFormat="1" applyFill="1" applyBorder="1" applyAlignment="1" applyProtection="1">
      <alignment horizontal="center"/>
    </xf>
    <xf numFmtId="3" fontId="4" fillId="7" borderId="16" xfId="1" applyNumberFormat="1" applyFill="1" applyBorder="1" applyAlignment="1" applyProtection="1">
      <alignment horizontal="center"/>
    </xf>
    <xf numFmtId="178" fontId="20" fillId="7" borderId="23" xfId="1" applyNumberFormat="1" applyFont="1" applyFill="1" applyBorder="1" applyAlignment="1" applyProtection="1">
      <alignment horizontal="center"/>
    </xf>
    <xf numFmtId="178" fontId="20" fillId="7" borderId="15" xfId="1" applyNumberFormat="1" applyFont="1" applyFill="1" applyBorder="1" applyAlignment="1" applyProtection="1">
      <alignment horizontal="center"/>
    </xf>
    <xf numFmtId="178" fontId="20" fillId="7" borderId="31" xfId="1" applyNumberFormat="1" applyFont="1" applyFill="1" applyBorder="1" applyAlignment="1" applyProtection="1">
      <alignment horizontal="center"/>
    </xf>
    <xf numFmtId="178" fontId="16" fillId="7" borderId="16" xfId="4" applyNumberFormat="1" applyFont="1" applyFill="1" applyBorder="1" applyAlignment="1" applyProtection="1">
      <alignment horizontal="center"/>
    </xf>
    <xf numFmtId="178" fontId="16" fillId="7" borderId="17" xfId="4" applyNumberFormat="1" applyFont="1" applyFill="1" applyBorder="1" applyAlignment="1" applyProtection="1">
      <alignment horizontal="center"/>
    </xf>
    <xf numFmtId="178" fontId="16" fillId="7" borderId="32" xfId="4" applyNumberFormat="1" applyFont="1" applyFill="1" applyBorder="1" applyAlignment="1" applyProtection="1">
      <alignment horizontal="center"/>
    </xf>
    <xf numFmtId="178" fontId="20" fillId="7" borderId="33" xfId="1" applyNumberFormat="1" applyFont="1" applyFill="1" applyBorder="1" applyAlignment="1" applyProtection="1">
      <alignment horizontal="center"/>
    </xf>
    <xf numFmtId="0" fontId="0" fillId="0" borderId="66" xfId="0" applyBorder="1" applyAlignment="1">
      <alignment horizontal="center"/>
    </xf>
    <xf numFmtId="0" fontId="43" fillId="20" borderId="63" xfId="0" applyFont="1" applyFill="1" applyBorder="1" applyAlignment="1">
      <alignment horizontal="center"/>
    </xf>
    <xf numFmtId="0" fontId="43" fillId="20" borderId="64" xfId="0" applyFont="1" applyFill="1" applyBorder="1" applyAlignment="1">
      <alignment horizontal="center"/>
    </xf>
    <xf numFmtId="0" fontId="43" fillId="20" borderId="65" xfId="0" applyFont="1" applyFill="1" applyBorder="1" applyAlignment="1">
      <alignment horizontal="center"/>
    </xf>
    <xf numFmtId="0" fontId="7" fillId="2" borderId="18" xfId="0" quotePrefix="1" applyFont="1" applyFill="1" applyBorder="1" applyAlignment="1" applyProtection="1">
      <alignment horizontal="center"/>
      <protection locked="0"/>
    </xf>
    <xf numFmtId="0" fontId="16" fillId="0" borderId="72" xfId="0" applyFont="1" applyBorder="1"/>
    <xf numFmtId="3" fontId="4" fillId="7" borderId="73" xfId="1" applyNumberFormat="1" applyFill="1" applyBorder="1" applyAlignment="1" applyProtection="1">
      <alignment horizontal="center"/>
    </xf>
    <xf numFmtId="0" fontId="43" fillId="21" borderId="63" xfId="0" applyFont="1" applyFill="1" applyBorder="1" applyAlignment="1">
      <alignment horizontal="center"/>
    </xf>
    <xf numFmtId="0" fontId="43" fillId="21" borderId="64" xfId="0" applyFont="1" applyFill="1" applyBorder="1" applyAlignment="1">
      <alignment horizontal="center"/>
    </xf>
    <xf numFmtId="0" fontId="43" fillId="21" borderId="65" xfId="0" applyFont="1" applyFill="1" applyBorder="1" applyAlignment="1">
      <alignment horizontal="center"/>
    </xf>
    <xf numFmtId="178" fontId="4" fillId="21" borderId="18" xfId="0" applyNumberFormat="1" applyFont="1" applyFill="1" applyBorder="1"/>
    <xf numFmtId="0" fontId="44" fillId="25" borderId="63" xfId="0" applyFont="1" applyFill="1" applyBorder="1" applyAlignment="1">
      <alignment horizontal="center"/>
    </xf>
    <xf numFmtId="0" fontId="44" fillId="25" borderId="64" xfId="0" applyFont="1" applyFill="1" applyBorder="1" applyAlignment="1">
      <alignment horizontal="center"/>
    </xf>
    <xf numFmtId="0" fontId="44" fillId="25" borderId="65" xfId="0" applyFont="1" applyFill="1" applyBorder="1" applyAlignment="1">
      <alignment horizontal="center"/>
    </xf>
    <xf numFmtId="170" fontId="0" fillId="25" borderId="18" xfId="0" applyNumberFormat="1" applyFill="1" applyBorder="1"/>
    <xf numFmtId="0" fontId="46" fillId="6" borderId="0" xfId="0" applyFont="1" applyFill="1"/>
    <xf numFmtId="3" fontId="47" fillId="6" borderId="0" xfId="0" applyNumberFormat="1" applyFont="1" applyFill="1" applyProtection="1">
      <protection locked="0"/>
    </xf>
    <xf numFmtId="0" fontId="47" fillId="6" borderId="0" xfId="0" applyFont="1" applyFill="1"/>
    <xf numFmtId="170" fontId="20" fillId="0" borderId="18" xfId="0" applyNumberFormat="1" applyFont="1" applyBorder="1"/>
    <xf numFmtId="171" fontId="20" fillId="0" borderId="18" xfId="1" applyNumberFormat="1" applyFont="1" applyBorder="1" applyAlignment="1">
      <alignment horizontal="center"/>
    </xf>
    <xf numFmtId="0" fontId="48" fillId="2" borderId="0" xfId="0" quotePrefix="1" applyFont="1" applyFill="1" applyAlignment="1" applyProtection="1">
      <alignment horizontal="center"/>
      <protection locked="0"/>
    </xf>
    <xf numFmtId="0" fontId="49" fillId="0" borderId="0" xfId="0" applyFont="1"/>
    <xf numFmtId="0" fontId="47" fillId="2" borderId="0" xfId="0" applyFont="1" applyFill="1"/>
    <xf numFmtId="0" fontId="46" fillId="2" borderId="2" xfId="0" applyFont="1" applyFill="1" applyBorder="1"/>
    <xf numFmtId="0" fontId="46" fillId="2" borderId="3" xfId="0" applyFont="1" applyFill="1" applyBorder="1"/>
    <xf numFmtId="0" fontId="46" fillId="2" borderId="4" xfId="0" applyFont="1" applyFill="1" applyBorder="1"/>
    <xf numFmtId="0" fontId="46" fillId="2" borderId="5" xfId="0" applyFont="1" applyFill="1" applyBorder="1"/>
    <xf numFmtId="0" fontId="46" fillId="2" borderId="18" xfId="0" applyFont="1" applyFill="1" applyBorder="1" applyAlignment="1">
      <alignment horizontal="center" vertical="center"/>
    </xf>
    <xf numFmtId="0" fontId="47" fillId="2" borderId="18" xfId="0" applyFont="1" applyFill="1" applyBorder="1" applyAlignment="1">
      <alignment horizontal="center" vertical="center"/>
    </xf>
    <xf numFmtId="178" fontId="47" fillId="2" borderId="18" xfId="0" applyNumberFormat="1" applyFont="1" applyFill="1" applyBorder="1"/>
    <xf numFmtId="10" fontId="47" fillId="2" borderId="18" xfId="0" applyNumberFormat="1" applyFont="1" applyFill="1" applyBorder="1" applyAlignment="1">
      <alignment horizontal="center"/>
    </xf>
    <xf numFmtId="0" fontId="47" fillId="2" borderId="18" xfId="0" applyFont="1" applyFill="1" applyBorder="1"/>
    <xf numFmtId="9" fontId="47" fillId="2" borderId="18" xfId="0" applyNumberFormat="1" applyFont="1" applyFill="1" applyBorder="1" applyAlignment="1">
      <alignment horizontal="center"/>
    </xf>
    <xf numFmtId="170" fontId="49" fillId="0" borderId="18" xfId="0" applyNumberFormat="1" applyFont="1" applyBorder="1"/>
    <xf numFmtId="171" fontId="49" fillId="0" borderId="18" xfId="1" applyNumberFormat="1" applyFont="1" applyBorder="1" applyAlignment="1">
      <alignment horizontal="center"/>
    </xf>
    <xf numFmtId="3" fontId="47" fillId="2" borderId="0" xfId="0" applyNumberFormat="1" applyFont="1" applyFill="1"/>
    <xf numFmtId="3" fontId="47" fillId="2" borderId="0" xfId="0" applyNumberFormat="1" applyFont="1" applyFill="1" applyAlignment="1" applyProtection="1">
      <alignment horizontal="center"/>
      <protection locked="0"/>
    </xf>
    <xf numFmtId="3" fontId="49" fillId="0" borderId="0" xfId="0" applyNumberFormat="1" applyFont="1"/>
    <xf numFmtId="171" fontId="49" fillId="0" borderId="1" xfId="1" applyNumberFormat="1" applyFont="1" applyFill="1" applyBorder="1" applyAlignment="1"/>
    <xf numFmtId="0" fontId="47" fillId="2" borderId="0" xfId="0" applyFont="1" applyFill="1" applyProtection="1">
      <protection locked="0"/>
    </xf>
    <xf numFmtId="0" fontId="47" fillId="2" borderId="0" xfId="0" applyFont="1" applyFill="1" applyAlignment="1" applyProtection="1">
      <alignment horizontal="center"/>
      <protection locked="0"/>
    </xf>
    <xf numFmtId="0" fontId="47" fillId="2" borderId="0" xfId="0" quotePrefix="1" applyFont="1" applyFill="1" applyAlignment="1" applyProtection="1">
      <alignment horizontal="center"/>
      <protection locked="0"/>
    </xf>
    <xf numFmtId="3" fontId="47" fillId="2" borderId="0" xfId="0" quotePrefix="1" applyNumberFormat="1" applyFont="1" applyFill="1" applyAlignment="1" applyProtection="1">
      <alignment horizontal="center"/>
      <protection locked="0"/>
    </xf>
    <xf numFmtId="3" fontId="47" fillId="2" borderId="0" xfId="0" applyNumberFormat="1" applyFont="1" applyFill="1" applyProtection="1">
      <protection locked="0"/>
    </xf>
    <xf numFmtId="0" fontId="50" fillId="0" borderId="0" xfId="0" applyFont="1"/>
    <xf numFmtId="0" fontId="44" fillId="0" borderId="0" xfId="0" applyFont="1"/>
    <xf numFmtId="0" fontId="49" fillId="2" borderId="0" xfId="0" applyFont="1" applyFill="1" applyAlignment="1">
      <alignment vertical="top" wrapText="1"/>
    </xf>
    <xf numFmtId="0" fontId="44" fillId="0" borderId="0" xfId="0" applyFont="1" applyAlignment="1">
      <alignment horizontal="center"/>
    </xf>
    <xf numFmtId="0" fontId="49" fillId="0" borderId="0" xfId="0" applyFont="1" applyAlignment="1">
      <alignment horizontal="left"/>
    </xf>
    <xf numFmtId="0" fontId="51" fillId="15" borderId="0" xfId="0" applyFont="1" applyFill="1"/>
    <xf numFmtId="0" fontId="49" fillId="16" borderId="0" xfId="0" applyFont="1" applyFill="1"/>
    <xf numFmtId="0" fontId="47" fillId="2" borderId="0" xfId="0" quotePrefix="1" applyFont="1" applyFill="1" applyAlignment="1" applyProtection="1">
      <alignment horizontal="left"/>
      <protection locked="0"/>
    </xf>
    <xf numFmtId="0" fontId="49" fillId="0" borderId="0" xfId="0" quotePrefix="1" applyFont="1" applyAlignment="1">
      <alignment horizontal="left"/>
    </xf>
    <xf numFmtId="0" fontId="52" fillId="6" borderId="0" xfId="0" applyFont="1" applyFill="1"/>
    <xf numFmtId="0" fontId="49" fillId="0" borderId="0" xfId="0" quotePrefix="1" applyFont="1"/>
    <xf numFmtId="3" fontId="53" fillId="2" borderId="0" xfId="0" applyNumberFormat="1" applyFont="1" applyFill="1" applyAlignment="1" applyProtection="1">
      <alignment horizontal="center"/>
      <protection locked="0"/>
    </xf>
    <xf numFmtId="0" fontId="45" fillId="23" borderId="63" xfId="0" applyFont="1" applyFill="1" applyBorder="1" applyAlignment="1">
      <alignment horizontal="center"/>
    </xf>
    <xf numFmtId="0" fontId="45" fillId="23" borderId="64" xfId="0" applyFont="1" applyFill="1" applyBorder="1" applyAlignment="1">
      <alignment horizontal="center"/>
    </xf>
    <xf numFmtId="0" fontId="45" fillId="23" borderId="65" xfId="0" applyFont="1" applyFill="1" applyBorder="1" applyAlignment="1">
      <alignment horizontal="center"/>
    </xf>
    <xf numFmtId="178" fontId="1" fillId="24" borderId="18" xfId="0" applyNumberFormat="1" applyFont="1" applyFill="1" applyBorder="1"/>
    <xf numFmtId="0" fontId="44" fillId="0" borderId="63" xfId="0" applyFont="1" applyBorder="1" applyAlignment="1">
      <alignment horizontal="center" wrapText="1"/>
    </xf>
    <xf numFmtId="0" fontId="46" fillId="2" borderId="4" xfId="0" applyFont="1" applyFill="1" applyBorder="1" applyAlignment="1">
      <alignment vertical="center"/>
    </xf>
    <xf numFmtId="0" fontId="46" fillId="2" borderId="5" xfId="0" applyFont="1" applyFill="1" applyBorder="1" applyAlignment="1">
      <alignment vertical="center"/>
    </xf>
    <xf numFmtId="0" fontId="44" fillId="0" borderId="63" xfId="0" applyFont="1" applyBorder="1"/>
    <xf numFmtId="0" fontId="44" fillId="0" borderId="64" xfId="0" applyFont="1" applyBorder="1"/>
    <xf numFmtId="0" fontId="44" fillId="0" borderId="65" xfId="0" applyFont="1" applyBorder="1" applyAlignment="1">
      <alignment horizontal="center" vertical="center" wrapText="1"/>
    </xf>
    <xf numFmtId="0" fontId="46" fillId="2" borderId="62" xfId="0" applyFont="1" applyFill="1" applyBorder="1"/>
    <xf numFmtId="0" fontId="46" fillId="2" borderId="0" xfId="0" applyFont="1" applyFill="1"/>
    <xf numFmtId="0" fontId="46" fillId="2" borderId="63" xfId="0" applyFont="1" applyFill="1" applyBorder="1" applyAlignment="1">
      <alignment horizontal="center"/>
    </xf>
    <xf numFmtId="0" fontId="46" fillId="2" borderId="64" xfId="0" applyFont="1" applyFill="1" applyBorder="1" applyAlignment="1">
      <alignment horizontal="center"/>
    </xf>
    <xf numFmtId="0" fontId="46" fillId="2" borderId="65" xfId="0" applyFont="1" applyFill="1" applyBorder="1" applyAlignment="1">
      <alignment horizontal="center"/>
    </xf>
    <xf numFmtId="0" fontId="46" fillId="2" borderId="18" xfId="0" applyFont="1" applyFill="1" applyBorder="1" applyAlignment="1">
      <alignment horizontal="center"/>
    </xf>
    <xf numFmtId="0" fontId="49" fillId="0" borderId="77" xfId="0" applyFont="1" applyBorder="1"/>
    <xf numFmtId="0" fontId="49" fillId="0" borderId="69" xfId="0" applyFont="1" applyBorder="1"/>
    <xf numFmtId="0" fontId="49" fillId="0" borderId="19" xfId="0" applyFont="1" applyBorder="1"/>
    <xf numFmtId="0" fontId="46" fillId="2" borderId="42" xfId="0" applyFont="1" applyFill="1" applyBorder="1" applyAlignment="1">
      <alignment horizontal="center"/>
    </xf>
    <xf numFmtId="0" fontId="46" fillId="2" borderId="19" xfId="0" applyFont="1" applyFill="1" applyBorder="1" applyAlignment="1">
      <alignment horizontal="center"/>
    </xf>
    <xf numFmtId="9" fontId="47" fillId="2" borderId="65" xfId="0" applyNumberFormat="1" applyFont="1" applyFill="1" applyBorder="1" applyAlignment="1">
      <alignment horizontal="center"/>
    </xf>
    <xf numFmtId="0" fontId="44" fillId="27" borderId="63" xfId="0" applyFont="1" applyFill="1" applyBorder="1" applyAlignment="1">
      <alignment horizontal="center"/>
    </xf>
    <xf numFmtId="0" fontId="44" fillId="27" borderId="64" xfId="0" applyFont="1" applyFill="1" applyBorder="1" applyAlignment="1">
      <alignment horizontal="center"/>
    </xf>
    <xf numFmtId="0" fontId="44" fillId="31" borderId="63" xfId="0" applyFont="1" applyFill="1" applyBorder="1" applyAlignment="1">
      <alignment horizontal="center"/>
    </xf>
    <xf numFmtId="0" fontId="44" fillId="31" borderId="64" xfId="0" applyFont="1" applyFill="1" applyBorder="1" applyAlignment="1">
      <alignment horizontal="center"/>
    </xf>
    <xf numFmtId="170" fontId="0" fillId="31" borderId="18" xfId="0" applyNumberFormat="1" applyFill="1" applyBorder="1"/>
    <xf numFmtId="178" fontId="47" fillId="32" borderId="18" xfId="0" applyNumberFormat="1" applyFont="1" applyFill="1" applyBorder="1"/>
    <xf numFmtId="0" fontId="44" fillId="31" borderId="65" xfId="0" applyFont="1" applyFill="1" applyBorder="1" applyAlignment="1">
      <alignment horizontal="center"/>
    </xf>
    <xf numFmtId="178" fontId="49" fillId="31" borderId="18" xfId="0" applyNumberFormat="1" applyFont="1" applyFill="1" applyBorder="1"/>
    <xf numFmtId="0" fontId="49" fillId="0" borderId="0" xfId="0" applyFont="1" applyAlignment="1">
      <alignment horizontal="center"/>
    </xf>
    <xf numFmtId="0" fontId="44" fillId="0" borderId="18" xfId="0" applyFont="1" applyBorder="1" applyAlignment="1">
      <alignment horizontal="center"/>
    </xf>
    <xf numFmtId="0" fontId="49" fillId="0" borderId="18" xfId="0" applyFont="1" applyBorder="1" applyAlignment="1">
      <alignment horizontal="center"/>
    </xf>
    <xf numFmtId="0" fontId="46" fillId="2" borderId="71" xfId="0" applyFont="1" applyFill="1" applyBorder="1" applyAlignment="1">
      <alignment horizontal="center"/>
    </xf>
    <xf numFmtId="10" fontId="47" fillId="2" borderId="74" xfId="0" applyNumberFormat="1" applyFont="1" applyFill="1" applyBorder="1" applyAlignment="1">
      <alignment horizontal="center"/>
    </xf>
    <xf numFmtId="178" fontId="47" fillId="2" borderId="65" xfId="0" applyNumberFormat="1" applyFont="1" applyFill="1" applyBorder="1"/>
    <xf numFmtId="0" fontId="47" fillId="2" borderId="65" xfId="0" applyFont="1" applyFill="1" applyBorder="1"/>
    <xf numFmtId="0" fontId="46" fillId="33" borderId="0" xfId="0" applyFont="1" applyFill="1" applyAlignment="1">
      <alignment horizontal="right"/>
    </xf>
    <xf numFmtId="3" fontId="47" fillId="33" borderId="0" xfId="0" applyNumberFormat="1" applyFont="1" applyFill="1"/>
    <xf numFmtId="0" fontId="49" fillId="26" borderId="0" xfId="0" applyFont="1" applyFill="1"/>
    <xf numFmtId="0" fontId="47" fillId="33" borderId="0" xfId="0" applyFont="1" applyFill="1"/>
    <xf numFmtId="0" fontId="44" fillId="4" borderId="64" xfId="0" applyFont="1" applyFill="1" applyBorder="1" applyAlignment="1">
      <alignment horizontal="center"/>
    </xf>
    <xf numFmtId="0" fontId="20" fillId="0" borderId="18" xfId="0" applyFont="1" applyBorder="1" applyAlignment="1">
      <alignment horizontal="center"/>
    </xf>
    <xf numFmtId="3" fontId="4" fillId="7" borderId="79" xfId="1" applyNumberFormat="1" applyFill="1" applyBorder="1" applyAlignment="1" applyProtection="1">
      <alignment horizontal="center"/>
    </xf>
    <xf numFmtId="3" fontId="4" fillId="7" borderId="80" xfId="1" applyNumberFormat="1" applyFill="1" applyBorder="1" applyAlignment="1" applyProtection="1">
      <alignment horizontal="center"/>
    </xf>
    <xf numFmtId="173" fontId="16" fillId="7" borderId="32" xfId="4" applyNumberFormat="1" applyFont="1" applyFill="1" applyBorder="1" applyAlignment="1" applyProtection="1">
      <alignment horizontal="center"/>
    </xf>
    <xf numFmtId="178" fontId="47" fillId="35" borderId="18" xfId="0" applyNumberFormat="1" applyFont="1" applyFill="1" applyBorder="1"/>
    <xf numFmtId="0" fontId="46" fillId="35" borderId="69" xfId="0" applyFont="1" applyFill="1" applyBorder="1" applyAlignment="1">
      <alignment horizontal="center"/>
    </xf>
    <xf numFmtId="0" fontId="46" fillId="35" borderId="70" xfId="0" applyFont="1" applyFill="1" applyBorder="1" applyAlignment="1">
      <alignment horizontal="center"/>
    </xf>
    <xf numFmtId="0" fontId="46" fillId="35" borderId="78" xfId="0" applyFont="1" applyFill="1" applyBorder="1" applyAlignment="1">
      <alignment horizontal="center"/>
    </xf>
    <xf numFmtId="0" fontId="44" fillId="27" borderId="65" xfId="0" applyFont="1" applyFill="1" applyBorder="1" applyAlignment="1">
      <alignment horizontal="center"/>
    </xf>
    <xf numFmtId="178" fontId="49" fillId="30" borderId="18" xfId="0" applyNumberFormat="1" applyFont="1" applyFill="1" applyBorder="1"/>
    <xf numFmtId="178" fontId="49" fillId="27" borderId="18" xfId="0" applyNumberFormat="1" applyFont="1" applyFill="1" applyBorder="1"/>
    <xf numFmtId="0" fontId="44" fillId="28" borderId="63" xfId="0" applyFont="1" applyFill="1" applyBorder="1" applyAlignment="1">
      <alignment horizontal="center"/>
    </xf>
    <xf numFmtId="0" fontId="44" fillId="28" borderId="64" xfId="0" applyFont="1" applyFill="1" applyBorder="1" applyAlignment="1">
      <alignment horizontal="center"/>
    </xf>
    <xf numFmtId="0" fontId="44" fillId="28" borderId="65" xfId="0" applyFont="1" applyFill="1" applyBorder="1" applyAlignment="1">
      <alignment horizontal="center"/>
    </xf>
    <xf numFmtId="178" fontId="49" fillId="34" borderId="18" xfId="0" applyNumberFormat="1" applyFont="1" applyFill="1" applyBorder="1"/>
    <xf numFmtId="178" fontId="49" fillId="28" borderId="18" xfId="0" applyNumberFormat="1" applyFont="1" applyFill="1" applyBorder="1"/>
    <xf numFmtId="0" fontId="44" fillId="27" borderId="42" xfId="0" applyFont="1" applyFill="1" applyBorder="1" applyAlignment="1">
      <alignment horizontal="center"/>
    </xf>
    <xf numFmtId="0" fontId="44" fillId="27" borderId="19" xfId="0" applyFont="1" applyFill="1" applyBorder="1" applyAlignment="1">
      <alignment horizontal="center"/>
    </xf>
    <xf numFmtId="170" fontId="49" fillId="27" borderId="18" xfId="0" applyNumberFormat="1" applyFont="1" applyFill="1" applyBorder="1"/>
    <xf numFmtId="0" fontId="44" fillId="4" borderId="63" xfId="0" applyFont="1" applyFill="1" applyBorder="1" applyAlignment="1">
      <alignment horizontal="center"/>
    </xf>
    <xf numFmtId="0" fontId="2" fillId="31" borderId="63" xfId="0" applyFont="1" applyFill="1" applyBorder="1" applyAlignment="1">
      <alignment horizontal="center"/>
    </xf>
    <xf numFmtId="0" fontId="8" fillId="31" borderId="64" xfId="0" applyFont="1" applyFill="1" applyBorder="1" applyAlignment="1">
      <alignment horizontal="center"/>
    </xf>
    <xf numFmtId="0" fontId="43" fillId="0" borderId="24" xfId="0" applyFont="1" applyBorder="1" applyAlignment="1">
      <alignment horizontal="center"/>
    </xf>
    <xf numFmtId="0" fontId="43" fillId="0" borderId="76" xfId="0" applyFont="1" applyBorder="1" applyAlignment="1">
      <alignment horizontal="center"/>
    </xf>
    <xf numFmtId="173" fontId="43" fillId="0" borderId="76" xfId="0" applyNumberFormat="1" applyFont="1" applyBorder="1" applyAlignment="1">
      <alignment horizontal="center"/>
    </xf>
    <xf numFmtId="0" fontId="44" fillId="2" borderId="74" xfId="0" applyFont="1" applyFill="1" applyBorder="1" applyAlignment="1">
      <alignment horizontal="center" vertical="center" wrapText="1"/>
    </xf>
    <xf numFmtId="0" fontId="44" fillId="29" borderId="63" xfId="0" applyFont="1" applyFill="1" applyBorder="1"/>
    <xf numFmtId="0" fontId="44" fillId="29" borderId="64" xfId="0" applyFont="1" applyFill="1" applyBorder="1"/>
    <xf numFmtId="0" fontId="44" fillId="29" borderId="65" xfId="0" applyFont="1" applyFill="1" applyBorder="1"/>
    <xf numFmtId="171" fontId="49" fillId="29" borderId="18" xfId="1" applyNumberFormat="1" applyFont="1" applyFill="1" applyBorder="1" applyAlignment="1">
      <alignment horizontal="center"/>
    </xf>
    <xf numFmtId="10" fontId="49" fillId="29" borderId="81" xfId="1" applyNumberFormat="1" applyFont="1" applyFill="1" applyBorder="1" applyAlignment="1">
      <alignment horizontal="center"/>
    </xf>
    <xf numFmtId="10" fontId="49" fillId="29" borderId="67" xfId="1" applyNumberFormat="1" applyFont="1" applyFill="1" applyBorder="1" applyAlignment="1">
      <alignment horizontal="center"/>
    </xf>
    <xf numFmtId="0" fontId="44" fillId="0" borderId="71" xfId="0" applyFont="1" applyBorder="1"/>
    <xf numFmtId="0" fontId="44" fillId="0" borderId="42" xfId="0" applyFont="1" applyBorder="1"/>
    <xf numFmtId="173" fontId="44" fillId="0" borderId="42" xfId="0" applyNumberFormat="1" applyFont="1" applyBorder="1" applyAlignment="1">
      <alignment vertical="center"/>
    </xf>
    <xf numFmtId="0" fontId="44" fillId="0" borderId="19" xfId="0" applyFont="1" applyBorder="1" applyAlignment="1">
      <alignment horizontal="center"/>
    </xf>
    <xf numFmtId="0" fontId="44" fillId="29" borderId="69" xfId="0" applyFont="1" applyFill="1" applyBorder="1"/>
    <xf numFmtId="0" fontId="44" fillId="29" borderId="70" xfId="0" applyFont="1" applyFill="1" applyBorder="1"/>
    <xf numFmtId="0" fontId="44" fillId="29" borderId="78" xfId="0" applyFont="1" applyFill="1" applyBorder="1"/>
    <xf numFmtId="171" fontId="49" fillId="0" borderId="65" xfId="1" applyNumberFormat="1" applyFont="1" applyBorder="1" applyAlignment="1">
      <alignment horizontal="center"/>
    </xf>
    <xf numFmtId="0" fontId="44" fillId="0" borderId="65" xfId="0" applyFont="1" applyBorder="1"/>
    <xf numFmtId="0" fontId="24" fillId="13" borderId="0" xfId="0" applyFont="1" applyFill="1" applyAlignment="1">
      <alignment horizontal="center" vertical="center"/>
    </xf>
    <xf numFmtId="0" fontId="14" fillId="11" borderId="0" xfId="0" applyFont="1" applyFill="1" applyAlignment="1">
      <alignment horizontal="center" vertical="center"/>
    </xf>
    <xf numFmtId="14" fontId="19" fillId="11" borderId="0" xfId="0" applyNumberFormat="1" applyFont="1" applyFill="1" applyAlignment="1">
      <alignment horizontal="center" vertical="center"/>
    </xf>
    <xf numFmtId="0" fontId="49" fillId="0" borderId="66" xfId="0" applyFont="1" applyBorder="1" applyAlignment="1">
      <alignment horizontal="center"/>
    </xf>
    <xf numFmtId="167" fontId="13" fillId="4" borderId="18" xfId="0" applyNumberFormat="1" applyFont="1" applyFill="1" applyBorder="1"/>
    <xf numFmtId="0" fontId="46" fillId="2" borderId="71" xfId="0" applyFont="1" applyFill="1" applyBorder="1" applyAlignment="1">
      <alignment horizontal="center" vertical="center"/>
    </xf>
    <xf numFmtId="3" fontId="46" fillId="2" borderId="0" xfId="0" applyNumberFormat="1" applyFont="1" applyFill="1" applyAlignment="1" applyProtection="1">
      <alignment horizontal="center"/>
      <protection locked="0"/>
    </xf>
    <xf numFmtId="0" fontId="49" fillId="0" borderId="82" xfId="0" applyFont="1" applyBorder="1"/>
    <xf numFmtId="0" fontId="44" fillId="22" borderId="83" xfId="0" applyFont="1" applyFill="1" applyBorder="1" applyAlignment="1">
      <alignment horizontal="center"/>
    </xf>
    <xf numFmtId="0" fontId="44" fillId="22" borderId="84" xfId="0" applyFont="1" applyFill="1" applyBorder="1" applyAlignment="1">
      <alignment horizontal="center"/>
    </xf>
    <xf numFmtId="170" fontId="49" fillId="22" borderId="59" xfId="0" applyNumberFormat="1" applyFont="1" applyFill="1" applyBorder="1"/>
    <xf numFmtId="0" fontId="49" fillId="0" borderId="85" xfId="0" applyFont="1" applyBorder="1" applyAlignment="1">
      <alignment horizontal="center"/>
    </xf>
    <xf numFmtId="178" fontId="49" fillId="31" borderId="60" xfId="0" applyNumberFormat="1" applyFont="1" applyFill="1" applyBorder="1"/>
    <xf numFmtId="170" fontId="49" fillId="22" borderId="61" xfId="0" applyNumberFormat="1" applyFont="1" applyFill="1" applyBorder="1"/>
    <xf numFmtId="0" fontId="44" fillId="0" borderId="24" xfId="0" applyFont="1" applyBorder="1"/>
    <xf numFmtId="0" fontId="0" fillId="0" borderId="82" xfId="0" applyBorder="1"/>
    <xf numFmtId="0" fontId="2" fillId="0" borderId="76" xfId="0" applyFont="1" applyBorder="1"/>
    <xf numFmtId="0" fontId="0" fillId="0" borderId="76" xfId="0" applyBorder="1"/>
    <xf numFmtId="0" fontId="0" fillId="0" borderId="85" xfId="0" applyBorder="1" applyAlignment="1">
      <alignment horizontal="center"/>
    </xf>
    <xf numFmtId="0" fontId="43" fillId="27" borderId="63" xfId="0" applyFont="1" applyFill="1" applyBorder="1" applyAlignment="1">
      <alignment horizontal="center"/>
    </xf>
    <xf numFmtId="0" fontId="43" fillId="27" borderId="64" xfId="0" applyFont="1" applyFill="1" applyBorder="1" applyAlignment="1">
      <alignment horizontal="center"/>
    </xf>
    <xf numFmtId="178" fontId="0" fillId="27" borderId="18" xfId="0" applyNumberFormat="1" applyFill="1" applyBorder="1"/>
    <xf numFmtId="0" fontId="44" fillId="16" borderId="63" xfId="0" applyFont="1" applyFill="1" applyBorder="1" applyAlignment="1">
      <alignment horizontal="center"/>
    </xf>
    <xf numFmtId="0" fontId="44" fillId="16" borderId="64" xfId="0" applyFont="1" applyFill="1" applyBorder="1" applyAlignment="1">
      <alignment horizontal="center"/>
    </xf>
    <xf numFmtId="0" fontId="44" fillId="16" borderId="65" xfId="0" applyFont="1" applyFill="1" applyBorder="1" applyAlignment="1">
      <alignment horizontal="center"/>
    </xf>
    <xf numFmtId="178" fontId="49" fillId="16" borderId="18" xfId="0" applyNumberFormat="1" applyFont="1" applyFill="1" applyBorder="1"/>
    <xf numFmtId="178" fontId="49" fillId="16" borderId="60" xfId="0" applyNumberFormat="1" applyFont="1" applyFill="1" applyBorder="1"/>
    <xf numFmtId="178" fontId="0" fillId="37" borderId="18" xfId="0" applyNumberFormat="1" applyFill="1" applyBorder="1"/>
    <xf numFmtId="0" fontId="44" fillId="37" borderId="18" xfId="0" applyFont="1" applyFill="1" applyBorder="1" applyAlignment="1">
      <alignment horizontal="center"/>
    </xf>
    <xf numFmtId="0" fontId="44" fillId="37" borderId="63" xfId="0" applyFont="1" applyFill="1" applyBorder="1" applyAlignment="1">
      <alignment horizontal="center"/>
    </xf>
    <xf numFmtId="0" fontId="44" fillId="37" borderId="64" xfId="0" applyFont="1" applyFill="1" applyBorder="1" applyAlignment="1">
      <alignment horizontal="center"/>
    </xf>
    <xf numFmtId="0" fontId="44" fillId="37" borderId="65" xfId="0" applyFont="1" applyFill="1" applyBorder="1" applyAlignment="1">
      <alignment horizontal="center"/>
    </xf>
    <xf numFmtId="0" fontId="44" fillId="0" borderId="76" xfId="0" applyFont="1" applyBorder="1"/>
    <xf numFmtId="0" fontId="55" fillId="0" borderId="0" xfId="0" applyFont="1"/>
    <xf numFmtId="3" fontId="59" fillId="38" borderId="0" xfId="0" applyNumberFormat="1" applyFont="1" applyFill="1" applyAlignment="1" applyProtection="1">
      <alignment horizontal="center"/>
      <protection locked="0"/>
    </xf>
    <xf numFmtId="3" fontId="56" fillId="38" borderId="0" xfId="0" applyNumberFormat="1" applyFont="1" applyFill="1" applyAlignment="1" applyProtection="1">
      <alignment horizontal="center"/>
      <protection locked="0"/>
    </xf>
    <xf numFmtId="0" fontId="58" fillId="38" borderId="0" xfId="0" applyFont="1" applyFill="1" applyAlignment="1" applyProtection="1">
      <alignment horizontal="center"/>
      <protection locked="0"/>
    </xf>
    <xf numFmtId="0" fontId="60" fillId="0" borderId="0" xfId="0" applyFont="1"/>
    <xf numFmtId="9" fontId="13" fillId="39" borderId="18" xfId="0" applyNumberFormat="1" applyFont="1" applyFill="1" applyBorder="1" applyAlignment="1">
      <alignment vertical="center"/>
    </xf>
    <xf numFmtId="0" fontId="56" fillId="42" borderId="64" xfId="0" applyFont="1" applyFill="1" applyBorder="1" applyAlignment="1">
      <alignment horizontal="center"/>
    </xf>
    <xf numFmtId="0" fontId="57" fillId="43" borderId="64" xfId="0" applyFont="1" applyFill="1" applyBorder="1" applyAlignment="1">
      <alignment horizontal="center"/>
    </xf>
    <xf numFmtId="179" fontId="57" fillId="43" borderId="65" xfId="0" applyNumberFormat="1" applyFont="1" applyFill="1" applyBorder="1" applyAlignment="1">
      <alignment horizontal="center"/>
    </xf>
    <xf numFmtId="178" fontId="58" fillId="42" borderId="18" xfId="0" applyNumberFormat="1" applyFont="1" applyFill="1" applyBorder="1"/>
    <xf numFmtId="3" fontId="59" fillId="44" borderId="0" xfId="0" applyNumberFormat="1" applyFont="1" applyFill="1" applyAlignment="1" applyProtection="1">
      <alignment horizontal="center"/>
      <protection locked="0"/>
    </xf>
    <xf numFmtId="3" fontId="61" fillId="38" borderId="0" xfId="0" applyNumberFormat="1" applyFont="1" applyFill="1" applyAlignment="1" applyProtection="1">
      <alignment horizontal="center"/>
      <protection locked="0"/>
    </xf>
    <xf numFmtId="3" fontId="56" fillId="44" borderId="0" xfId="0" applyNumberFormat="1" applyFont="1" applyFill="1" applyAlignment="1" applyProtection="1">
      <alignment horizontal="center"/>
      <protection locked="0"/>
    </xf>
    <xf numFmtId="0" fontId="61" fillId="38" borderId="0" xfId="0" applyFont="1" applyFill="1" applyAlignment="1" applyProtection="1">
      <alignment horizontal="center"/>
      <protection locked="0"/>
    </xf>
    <xf numFmtId="0" fontId="58" fillId="44" borderId="0" xfId="0" applyFont="1" applyFill="1" applyAlignment="1" applyProtection="1">
      <alignment horizontal="center"/>
      <protection locked="0"/>
    </xf>
    <xf numFmtId="0" fontId="56" fillId="42" borderId="0" xfId="0" applyFont="1" applyFill="1" applyAlignment="1">
      <alignment horizontal="center"/>
    </xf>
    <xf numFmtId="3" fontId="58" fillId="44" borderId="0" xfId="0" applyNumberFormat="1" applyFont="1" applyFill="1" applyAlignment="1" applyProtection="1">
      <alignment horizontal="center"/>
      <protection locked="0"/>
    </xf>
    <xf numFmtId="0" fontId="62" fillId="44" borderId="0" xfId="0" applyFont="1" applyFill="1" applyAlignment="1" applyProtection="1">
      <alignment horizontal="center"/>
      <protection locked="0"/>
    </xf>
    <xf numFmtId="3" fontId="60" fillId="0" borderId="0" xfId="0" applyNumberFormat="1" applyFont="1"/>
    <xf numFmtId="3" fontId="60" fillId="7" borderId="0" xfId="0" applyNumberFormat="1" applyFont="1" applyFill="1"/>
    <xf numFmtId="0" fontId="57" fillId="41" borderId="20" xfId="0" applyFont="1" applyFill="1" applyBorder="1" applyAlignment="1">
      <alignment horizontal="center" vertical="center"/>
    </xf>
    <xf numFmtId="0" fontId="56" fillId="42" borderId="65" xfId="0" applyFont="1" applyFill="1" applyBorder="1" applyAlignment="1">
      <alignment horizontal="center"/>
    </xf>
    <xf numFmtId="0" fontId="57" fillId="43" borderId="0" xfId="0" applyFont="1" applyFill="1" applyAlignment="1">
      <alignment horizontal="center"/>
    </xf>
    <xf numFmtId="179" fontId="57" fillId="43" borderId="0" xfId="0" applyNumberFormat="1" applyFont="1" applyFill="1" applyAlignment="1">
      <alignment horizontal="center"/>
    </xf>
    <xf numFmtId="178" fontId="58" fillId="42" borderId="0" xfId="0" applyNumberFormat="1" applyFont="1" applyFill="1"/>
    <xf numFmtId="0" fontId="57" fillId="46" borderId="63" xfId="0" applyFont="1" applyFill="1" applyBorder="1" applyAlignment="1">
      <alignment horizontal="center"/>
    </xf>
    <xf numFmtId="0" fontId="56" fillId="47" borderId="63" xfId="0" applyFont="1" applyFill="1" applyBorder="1" applyAlignment="1">
      <alignment horizontal="center"/>
    </xf>
    <xf numFmtId="0" fontId="56" fillId="47" borderId="64" xfId="0" applyFont="1" applyFill="1" applyBorder="1" applyAlignment="1">
      <alignment horizontal="center"/>
    </xf>
    <xf numFmtId="0" fontId="57" fillId="46" borderId="64" xfId="0" applyFont="1" applyFill="1" applyBorder="1" applyAlignment="1">
      <alignment horizontal="center"/>
    </xf>
    <xf numFmtId="0" fontId="56" fillId="47" borderId="65" xfId="0" applyFont="1" applyFill="1" applyBorder="1" applyAlignment="1">
      <alignment horizontal="center"/>
    </xf>
    <xf numFmtId="178" fontId="58" fillId="46" borderId="18" xfId="0" applyNumberFormat="1" applyFont="1" applyFill="1" applyBorder="1"/>
    <xf numFmtId="178" fontId="58" fillId="47" borderId="18" xfId="0" applyNumberFormat="1" applyFont="1" applyFill="1" applyBorder="1"/>
    <xf numFmtId="3" fontId="59" fillId="48" borderId="0" xfId="0" applyNumberFormat="1" applyFont="1" applyFill="1" applyAlignment="1" applyProtection="1">
      <alignment horizontal="center"/>
      <protection locked="0"/>
    </xf>
    <xf numFmtId="178" fontId="60" fillId="46" borderId="18" xfId="0" applyNumberFormat="1" applyFont="1" applyFill="1" applyBorder="1"/>
    <xf numFmtId="178" fontId="60" fillId="46" borderId="60" xfId="0" applyNumberFormat="1" applyFont="1" applyFill="1" applyBorder="1"/>
    <xf numFmtId="179" fontId="57" fillId="49" borderId="18" xfId="0" applyNumberFormat="1" applyFont="1" applyFill="1" applyBorder="1" applyAlignment="1">
      <alignment horizontal="center"/>
    </xf>
    <xf numFmtId="0" fontId="63" fillId="0" borderId="18" xfId="0" applyFont="1" applyBorder="1"/>
    <xf numFmtId="167" fontId="63" fillId="38" borderId="18" xfId="0" applyNumberFormat="1" applyFont="1" applyFill="1" applyBorder="1"/>
    <xf numFmtId="0" fontId="17" fillId="9" borderId="0" xfId="2" applyFont="1" applyFill="1" applyBorder="1" applyAlignment="1" applyProtection="1">
      <alignment horizontal="center" vertical="top" wrapText="1"/>
    </xf>
    <xf numFmtId="0" fontId="13" fillId="4" borderId="18" xfId="0" applyFont="1" applyFill="1" applyBorder="1"/>
    <xf numFmtId="0" fontId="64" fillId="0" borderId="0" xfId="0" applyFont="1" applyAlignment="1">
      <alignment vertical="center"/>
    </xf>
    <xf numFmtId="0" fontId="0" fillId="0" borderId="0" xfId="0" applyAlignment="1">
      <alignment horizontal="left" vertical="center" indent="1"/>
    </xf>
    <xf numFmtId="0" fontId="0" fillId="0" borderId="0" xfId="0" applyAlignment="1">
      <alignment horizontal="center" vertical="center"/>
    </xf>
    <xf numFmtId="0" fontId="34" fillId="0" borderId="0" xfId="2" applyFont="1"/>
    <xf numFmtId="0" fontId="66" fillId="0" borderId="0" xfId="0" applyFont="1"/>
    <xf numFmtId="0" fontId="67" fillId="0" borderId="0" xfId="0" applyFont="1"/>
    <xf numFmtId="178" fontId="47" fillId="19" borderId="18" xfId="0" applyNumberFormat="1" applyFont="1" applyFill="1" applyBorder="1"/>
    <xf numFmtId="0" fontId="12" fillId="22" borderId="0" xfId="0" applyFont="1" applyFill="1" applyAlignment="1">
      <alignment horizontal="right"/>
    </xf>
    <xf numFmtId="14" fontId="12" fillId="22" borderId="0" xfId="0" applyNumberFormat="1" applyFont="1" applyFill="1" applyAlignment="1">
      <alignment horizontal="right"/>
    </xf>
    <xf numFmtId="0" fontId="24" fillId="0" borderId="0" xfId="0" applyFont="1" applyAlignment="1">
      <alignment horizontal="right"/>
    </xf>
    <xf numFmtId="0" fontId="46" fillId="35" borderId="0" xfId="0" applyFont="1" applyFill="1" applyAlignment="1">
      <alignment horizontal="center"/>
    </xf>
    <xf numFmtId="0" fontId="46" fillId="2" borderId="78" xfId="0" applyFont="1" applyFill="1" applyBorder="1" applyAlignment="1">
      <alignment horizontal="center"/>
    </xf>
    <xf numFmtId="0" fontId="46" fillId="35" borderId="77" xfId="0" applyFont="1" applyFill="1" applyBorder="1" applyAlignment="1">
      <alignment horizontal="center"/>
    </xf>
    <xf numFmtId="0" fontId="46" fillId="2" borderId="70" xfId="0" applyFont="1" applyFill="1" applyBorder="1" applyAlignment="1">
      <alignment horizontal="center"/>
    </xf>
    <xf numFmtId="0" fontId="46" fillId="2" borderId="0" xfId="0" applyFont="1" applyFill="1" applyAlignment="1">
      <alignment horizontal="center"/>
    </xf>
    <xf numFmtId="0" fontId="68" fillId="0" borderId="0" xfId="0" applyFont="1"/>
    <xf numFmtId="0" fontId="21" fillId="8" borderId="63" xfId="0" applyFont="1" applyFill="1" applyBorder="1"/>
    <xf numFmtId="0" fontId="21" fillId="8" borderId="42" xfId="0" applyFont="1" applyFill="1" applyBorder="1"/>
    <xf numFmtId="0" fontId="21" fillId="8" borderId="70" xfId="0" applyFont="1" applyFill="1" applyBorder="1"/>
    <xf numFmtId="0" fontId="65" fillId="0" borderId="0" xfId="0" applyFont="1"/>
    <xf numFmtId="0" fontId="65" fillId="0" borderId="74" xfId="0" applyFont="1" applyBorder="1"/>
    <xf numFmtId="0" fontId="65" fillId="0" borderId="68" xfId="0" applyFont="1" applyBorder="1"/>
    <xf numFmtId="0" fontId="65" fillId="0" borderId="75" xfId="0" applyFont="1" applyBorder="1"/>
    <xf numFmtId="0" fontId="44" fillId="31" borderId="18" xfId="0" applyFont="1" applyFill="1" applyBorder="1" applyAlignment="1">
      <alignment horizontal="left" wrapText="1"/>
    </xf>
    <xf numFmtId="0" fontId="44" fillId="31" borderId="18" xfId="0" applyFont="1" applyFill="1" applyBorder="1" applyAlignment="1">
      <alignment horizontal="center" vertical="center" wrapText="1"/>
    </xf>
    <xf numFmtId="1" fontId="11" fillId="4" borderId="18" xfId="0" applyNumberFormat="1" applyFont="1" applyFill="1" applyBorder="1" applyAlignment="1">
      <alignment horizontal="center" wrapText="1"/>
    </xf>
    <xf numFmtId="0" fontId="13" fillId="0" borderId="18" xfId="0" applyFont="1" applyBorder="1" applyAlignment="1">
      <alignment horizontal="left" vertical="center"/>
    </xf>
    <xf numFmtId="0" fontId="66" fillId="0" borderId="0" xfId="0" applyFont="1" applyAlignment="1">
      <alignment vertical="center"/>
    </xf>
    <xf numFmtId="10" fontId="47" fillId="32" borderId="18" xfId="0" applyNumberFormat="1" applyFont="1" applyFill="1" applyBorder="1" applyAlignment="1">
      <alignment horizontal="center"/>
    </xf>
    <xf numFmtId="0" fontId="46" fillId="51" borderId="64" xfId="0" applyFont="1" applyFill="1" applyBorder="1" applyAlignment="1">
      <alignment horizontal="center"/>
    </xf>
    <xf numFmtId="0" fontId="46" fillId="51" borderId="65" xfId="0" applyFont="1" applyFill="1" applyBorder="1" applyAlignment="1">
      <alignment horizontal="center"/>
    </xf>
    <xf numFmtId="178" fontId="47" fillId="51" borderId="18" xfId="0" applyNumberFormat="1" applyFont="1" applyFill="1" applyBorder="1"/>
    <xf numFmtId="0" fontId="70" fillId="51" borderId="65" xfId="0" applyFont="1" applyFill="1" applyBorder="1" applyAlignment="1">
      <alignment horizontal="center" wrapText="1"/>
    </xf>
    <xf numFmtId="0" fontId="49" fillId="2" borderId="0" xfId="0" applyFont="1" applyFill="1" applyAlignment="1">
      <alignment horizontal="center" vertical="top" wrapText="1"/>
    </xf>
    <xf numFmtId="0" fontId="65" fillId="0" borderId="74" xfId="0" applyFont="1" applyBorder="1" applyAlignment="1">
      <alignment horizontal="left"/>
    </xf>
    <xf numFmtId="0" fontId="65" fillId="0" borderId="75" xfId="0" applyFont="1" applyBorder="1" applyAlignment="1">
      <alignment horizontal="left"/>
    </xf>
    <xf numFmtId="0" fontId="24" fillId="0" borderId="0" xfId="0" applyFont="1" applyAlignment="1">
      <alignment horizontal="left" vertical="top" wrapText="1"/>
    </xf>
    <xf numFmtId="178" fontId="48" fillId="35" borderId="18" xfId="0" applyNumberFormat="1" applyFont="1" applyFill="1" applyBorder="1" applyAlignment="1">
      <alignment horizontal="center" vertical="center"/>
    </xf>
    <xf numFmtId="0" fontId="48" fillId="2" borderId="0" xfId="0" quotePrefix="1" applyFont="1" applyFill="1" applyAlignment="1" applyProtection="1">
      <alignment horizontal="center" vertical="center"/>
      <protection locked="0"/>
    </xf>
    <xf numFmtId="0" fontId="0" fillId="31" borderId="0" xfId="0" applyFill="1"/>
    <xf numFmtId="0" fontId="34" fillId="31" borderId="0" xfId="2" applyFont="1" applyFill="1"/>
    <xf numFmtId="0" fontId="46" fillId="2" borderId="18" xfId="0" applyFont="1" applyFill="1" applyBorder="1" applyAlignment="1">
      <alignment horizontal="center" vertical="center" wrapText="1"/>
    </xf>
    <xf numFmtId="0" fontId="72" fillId="4" borderId="0" xfId="0" applyFont="1" applyFill="1"/>
    <xf numFmtId="0" fontId="0" fillId="4" borderId="0" xfId="0" applyFill="1"/>
    <xf numFmtId="0" fontId="46" fillId="35" borderId="63" xfId="0" applyFont="1" applyFill="1" applyBorder="1" applyAlignment="1">
      <alignment horizontal="center"/>
    </xf>
    <xf numFmtId="0" fontId="46" fillId="35" borderId="64" xfId="0" applyFont="1" applyFill="1" applyBorder="1" applyAlignment="1">
      <alignment horizontal="center"/>
    </xf>
    <xf numFmtId="0" fontId="49" fillId="53" borderId="0" xfId="0" applyFont="1" applyFill="1" applyAlignment="1">
      <alignment horizontal="center"/>
    </xf>
    <xf numFmtId="0" fontId="46" fillId="54" borderId="63" xfId="0" applyFont="1" applyFill="1" applyBorder="1" applyAlignment="1">
      <alignment horizontal="center"/>
    </xf>
    <xf numFmtId="0" fontId="46" fillId="54" borderId="64" xfId="0" applyFont="1" applyFill="1" applyBorder="1" applyAlignment="1">
      <alignment horizontal="center"/>
    </xf>
    <xf numFmtId="0" fontId="46" fillId="54" borderId="65" xfId="0" applyFont="1" applyFill="1" applyBorder="1" applyAlignment="1">
      <alignment horizontal="center"/>
    </xf>
    <xf numFmtId="0" fontId="70" fillId="54" borderId="65" xfId="0" applyFont="1" applyFill="1" applyBorder="1" applyAlignment="1">
      <alignment horizontal="center" wrapText="1"/>
    </xf>
    <xf numFmtId="178" fontId="47" fillId="54" borderId="18" xfId="0" applyNumberFormat="1" applyFont="1" applyFill="1" applyBorder="1"/>
    <xf numFmtId="0" fontId="69" fillId="2" borderId="0" xfId="0" applyFont="1" applyFill="1" applyAlignment="1" applyProtection="1">
      <alignment horizontal="center" vertical="top" wrapText="1"/>
      <protection locked="0"/>
    </xf>
    <xf numFmtId="0" fontId="69" fillId="2" borderId="0" xfId="0" applyFont="1" applyFill="1" applyAlignment="1" applyProtection="1">
      <alignment vertical="top" wrapText="1"/>
      <protection locked="0"/>
    </xf>
    <xf numFmtId="10" fontId="13" fillId="40" borderId="18" xfId="0" applyNumberFormat="1" applyFont="1" applyFill="1" applyBorder="1" applyAlignment="1">
      <alignment horizontal="right" vertical="center"/>
    </xf>
    <xf numFmtId="10" fontId="13" fillId="4" borderId="18" xfId="0" applyNumberFormat="1" applyFont="1" applyFill="1" applyBorder="1"/>
    <xf numFmtId="0" fontId="13" fillId="23" borderId="18" xfId="0" applyFont="1" applyFill="1" applyBorder="1" applyAlignment="1">
      <alignment wrapText="1"/>
    </xf>
    <xf numFmtId="0" fontId="13" fillId="7" borderId="18" xfId="0" applyFont="1" applyFill="1" applyBorder="1" applyAlignment="1">
      <alignment vertical="center" wrapText="1"/>
    </xf>
    <xf numFmtId="0" fontId="44" fillId="52" borderId="82" xfId="0" applyFont="1" applyFill="1" applyBorder="1" applyAlignment="1">
      <alignment horizontal="center"/>
    </xf>
    <xf numFmtId="0" fontId="49" fillId="0" borderId="86" xfId="0" applyFont="1" applyBorder="1"/>
    <xf numFmtId="0" fontId="49" fillId="2" borderId="76" xfId="0" applyFont="1" applyFill="1" applyBorder="1" applyAlignment="1">
      <alignment vertical="top" wrapText="1"/>
    </xf>
    <xf numFmtId="0" fontId="49" fillId="0" borderId="87" xfId="0" applyFont="1" applyBorder="1"/>
    <xf numFmtId="0" fontId="61" fillId="0" borderId="76" xfId="0" applyFont="1" applyBorder="1" applyAlignment="1">
      <alignment vertical="center"/>
    </xf>
    <xf numFmtId="0" fontId="61" fillId="0" borderId="87" xfId="0" applyFont="1" applyBorder="1" applyAlignment="1">
      <alignment vertical="center"/>
    </xf>
    <xf numFmtId="0" fontId="49" fillId="0" borderId="89" xfId="0" applyFont="1" applyBorder="1"/>
    <xf numFmtId="0" fontId="49" fillId="0" borderId="90" xfId="0" applyFont="1" applyBorder="1"/>
    <xf numFmtId="0" fontId="74" fillId="0" borderId="76" xfId="0" applyFont="1" applyBorder="1" applyAlignment="1">
      <alignment vertical="center"/>
    </xf>
    <xf numFmtId="0" fontId="49" fillId="0" borderId="88" xfId="0" applyFont="1" applyBorder="1"/>
    <xf numFmtId="0" fontId="74" fillId="0" borderId="0" xfId="0" applyFont="1" applyAlignment="1">
      <alignment vertical="center"/>
    </xf>
    <xf numFmtId="0" fontId="74" fillId="0" borderId="0" xfId="0" applyFont="1"/>
    <xf numFmtId="0" fontId="46" fillId="19" borderId="24" xfId="0" applyFont="1" applyFill="1" applyBorder="1" applyAlignment="1">
      <alignment horizontal="left"/>
    </xf>
    <xf numFmtId="0" fontId="46" fillId="19" borderId="82" xfId="0" applyFont="1" applyFill="1" applyBorder="1" applyAlignment="1">
      <alignment horizontal="right"/>
    </xf>
    <xf numFmtId="0" fontId="44" fillId="7" borderId="76" xfId="0" applyFont="1" applyFill="1" applyBorder="1" applyAlignment="1">
      <alignment horizontal="center"/>
    </xf>
    <xf numFmtId="0" fontId="77" fillId="0" borderId="0" xfId="0" applyFont="1"/>
    <xf numFmtId="10" fontId="11" fillId="0" borderId="0" xfId="0" applyNumberFormat="1" applyFont="1" applyAlignment="1">
      <alignment vertical="center"/>
    </xf>
    <xf numFmtId="0" fontId="24" fillId="0" borderId="0" xfId="0" applyFont="1" applyAlignment="1">
      <alignment horizontal="center" vertical="center"/>
    </xf>
    <xf numFmtId="0" fontId="80" fillId="0" borderId="0" xfId="0" applyFont="1" applyAlignment="1">
      <alignment vertical="center"/>
    </xf>
    <xf numFmtId="0" fontId="74" fillId="0" borderId="93" xfId="0" applyFont="1" applyBorder="1" applyAlignment="1">
      <alignment vertical="top"/>
    </xf>
    <xf numFmtId="0" fontId="3" fillId="0" borderId="0" xfId="0" applyFont="1" applyAlignment="1">
      <alignment vertical="center"/>
    </xf>
    <xf numFmtId="0" fontId="81" fillId="22" borderId="93" xfId="0" applyFont="1" applyFill="1" applyBorder="1" applyAlignment="1">
      <alignment horizontal="center" vertical="center"/>
    </xf>
    <xf numFmtId="10" fontId="81" fillId="22" borderId="93" xfId="0" applyNumberFormat="1" applyFont="1" applyFill="1" applyBorder="1" applyAlignment="1">
      <alignment horizontal="center" vertical="center"/>
    </xf>
    <xf numFmtId="0" fontId="83" fillId="0" borderId="0" xfId="0" applyFont="1" applyAlignment="1">
      <alignment vertical="center"/>
    </xf>
    <xf numFmtId="0" fontId="84" fillId="0" borderId="0" xfId="0" applyFont="1"/>
    <xf numFmtId="10" fontId="81" fillId="55" borderId="90" xfId="0" applyNumberFormat="1" applyFont="1" applyFill="1" applyBorder="1" applyAlignment="1">
      <alignment horizontal="center"/>
    </xf>
    <xf numFmtId="0" fontId="85" fillId="0" borderId="0" xfId="2" applyFont="1" applyAlignment="1">
      <alignment horizontal="left" vertical="center"/>
    </xf>
    <xf numFmtId="0" fontId="68" fillId="0" borderId="0" xfId="0" applyFont="1" applyAlignment="1">
      <alignment vertical="center"/>
    </xf>
    <xf numFmtId="178" fontId="49" fillId="28" borderId="63" xfId="0" applyNumberFormat="1" applyFont="1" applyFill="1" applyBorder="1"/>
    <xf numFmtId="0" fontId="44" fillId="28" borderId="91" xfId="0" applyFont="1" applyFill="1" applyBorder="1" applyAlignment="1">
      <alignment horizontal="center"/>
    </xf>
    <xf numFmtId="0" fontId="44" fillId="28" borderId="92" xfId="0" applyFont="1" applyFill="1" applyBorder="1" applyAlignment="1">
      <alignment horizontal="center"/>
    </xf>
    <xf numFmtId="0" fontId="44" fillId="28" borderId="93" xfId="0" applyFont="1" applyFill="1" applyBorder="1" applyAlignment="1">
      <alignment horizontal="center"/>
    </xf>
    <xf numFmtId="0" fontId="46" fillId="51" borderId="63" xfId="0" applyFont="1" applyFill="1" applyBorder="1" applyAlignment="1">
      <alignment horizontal="center"/>
    </xf>
    <xf numFmtId="0" fontId="3" fillId="4" borderId="90" xfId="0" applyFont="1" applyFill="1" applyBorder="1" applyAlignment="1">
      <alignment horizontal="center"/>
    </xf>
    <xf numFmtId="0" fontId="44" fillId="36" borderId="68" xfId="0" applyFont="1" applyFill="1" applyBorder="1" applyAlignment="1">
      <alignment horizontal="center"/>
    </xf>
    <xf numFmtId="10" fontId="4" fillId="29" borderId="18" xfId="1" applyNumberFormat="1" applyFill="1" applyBorder="1" applyAlignment="1">
      <alignment horizontal="center"/>
    </xf>
    <xf numFmtId="10" fontId="49" fillId="29" borderId="18" xfId="1" applyNumberFormat="1" applyFont="1" applyFill="1" applyBorder="1" applyAlignment="1">
      <alignment horizontal="center"/>
    </xf>
    <xf numFmtId="0" fontId="12" fillId="0" borderId="94" xfId="0" applyFont="1" applyBorder="1"/>
    <xf numFmtId="0" fontId="12" fillId="0" borderId="95" xfId="0" applyFont="1" applyBorder="1" applyAlignment="1">
      <alignment horizontal="right"/>
    </xf>
    <xf numFmtId="0" fontId="44" fillId="28" borderId="0" xfId="0" applyFont="1" applyFill="1" applyAlignment="1">
      <alignment horizontal="center"/>
    </xf>
    <xf numFmtId="0" fontId="44" fillId="2" borderId="19" xfId="0" applyFont="1" applyFill="1" applyBorder="1" applyAlignment="1">
      <alignment horizontal="center" vertical="center" wrapText="1"/>
    </xf>
    <xf numFmtId="0" fontId="20" fillId="0" borderId="20" xfId="0" applyFont="1" applyBorder="1" applyAlignment="1">
      <alignment horizontal="center"/>
    </xf>
    <xf numFmtId="0" fontId="20" fillId="0" borderId="68" xfId="0" applyFont="1" applyBorder="1" applyAlignment="1">
      <alignment horizontal="center"/>
    </xf>
    <xf numFmtId="0" fontId="44" fillId="29" borderId="0" xfId="0" applyFont="1" applyFill="1" applyAlignment="1">
      <alignment horizontal="center"/>
    </xf>
    <xf numFmtId="0" fontId="44" fillId="29" borderId="0" xfId="0" applyFont="1" applyFill="1"/>
    <xf numFmtId="10" fontId="49" fillId="29" borderId="0" xfId="1" applyNumberFormat="1" applyFont="1" applyFill="1" applyBorder="1" applyAlignment="1">
      <alignment horizontal="center"/>
    </xf>
    <xf numFmtId="0" fontId="81" fillId="55" borderId="95" xfId="0" applyFont="1" applyFill="1" applyBorder="1" applyAlignment="1">
      <alignment horizontal="center" vertical="center"/>
    </xf>
    <xf numFmtId="0" fontId="81" fillId="55" borderId="96" xfId="0" applyFont="1" applyFill="1" applyBorder="1" applyAlignment="1">
      <alignment horizontal="center" vertical="center"/>
    </xf>
    <xf numFmtId="0" fontId="81" fillId="55" borderId="94" xfId="0" applyFont="1" applyFill="1" applyBorder="1" applyAlignment="1">
      <alignment horizontal="center" vertical="center"/>
    </xf>
    <xf numFmtId="0" fontId="74" fillId="0" borderId="91" xfId="0" applyFont="1" applyBorder="1" applyAlignment="1">
      <alignment vertical="top"/>
    </xf>
    <xf numFmtId="0" fontId="74" fillId="0" borderId="92" xfId="0" applyFont="1" applyBorder="1" applyAlignment="1">
      <alignment vertical="top"/>
    </xf>
    <xf numFmtId="0" fontId="74" fillId="0" borderId="93" xfId="0" applyFont="1" applyBorder="1" applyAlignment="1">
      <alignment vertical="top"/>
    </xf>
    <xf numFmtId="0" fontId="81" fillId="4" borderId="24" xfId="0" applyFont="1" applyFill="1" applyBorder="1" applyAlignment="1">
      <alignment vertical="center" wrapText="1"/>
    </xf>
    <xf numFmtId="0" fontId="81" fillId="4" borderId="82" xfId="0" applyFont="1" applyFill="1" applyBorder="1" applyAlignment="1">
      <alignment vertical="center" wrapText="1"/>
    </xf>
    <xf numFmtId="0" fontId="81" fillId="4" borderId="86" xfId="0" applyFont="1" applyFill="1" applyBorder="1" applyAlignment="1">
      <alignment vertical="center" wrapText="1"/>
    </xf>
    <xf numFmtId="0" fontId="81" fillId="4" borderId="76" xfId="0" applyFont="1" applyFill="1" applyBorder="1" applyAlignment="1">
      <alignment vertical="center" wrapText="1"/>
    </xf>
    <xf numFmtId="0" fontId="81" fillId="4" borderId="0" xfId="0" applyFont="1" applyFill="1" applyAlignment="1">
      <alignment vertical="center" wrapText="1"/>
    </xf>
    <xf numFmtId="0" fontId="81" fillId="4" borderId="87" xfId="0" applyFont="1" applyFill="1" applyBorder="1" applyAlignment="1">
      <alignment vertical="center" wrapText="1"/>
    </xf>
    <xf numFmtId="0" fontId="81" fillId="4" borderId="88" xfId="0" applyFont="1" applyFill="1" applyBorder="1" applyAlignment="1">
      <alignment vertical="center" wrapText="1"/>
    </xf>
    <xf numFmtId="0" fontId="81" fillId="4" borderId="89" xfId="0" applyFont="1" applyFill="1" applyBorder="1" applyAlignment="1">
      <alignment vertical="center" wrapText="1"/>
    </xf>
    <xf numFmtId="0" fontId="81" fillId="4" borderId="90" xfId="0" applyFont="1" applyFill="1" applyBorder="1" applyAlignment="1">
      <alignment vertical="center" wrapText="1"/>
    </xf>
    <xf numFmtId="0" fontId="82" fillId="26" borderId="24" xfId="0" applyFont="1" applyFill="1" applyBorder="1" applyAlignment="1">
      <alignment vertical="center" wrapText="1"/>
    </xf>
    <xf numFmtId="0" fontId="82" fillId="26" borderId="82" xfId="0" applyFont="1" applyFill="1" applyBorder="1" applyAlignment="1">
      <alignment vertical="center" wrapText="1"/>
    </xf>
    <xf numFmtId="0" fontId="82" fillId="26" borderId="86" xfId="0" applyFont="1" applyFill="1" applyBorder="1" applyAlignment="1">
      <alignment vertical="center" wrapText="1"/>
    </xf>
    <xf numFmtId="0" fontId="82" fillId="26" borderId="76" xfId="0" applyFont="1" applyFill="1" applyBorder="1" applyAlignment="1">
      <alignment vertical="center" wrapText="1"/>
    </xf>
    <xf numFmtId="0" fontId="82" fillId="26" borderId="0" xfId="0" applyFont="1" applyFill="1" applyAlignment="1">
      <alignment vertical="center" wrapText="1"/>
    </xf>
    <xf numFmtId="0" fontId="82" fillId="26" borderId="87" xfId="0" applyFont="1" applyFill="1" applyBorder="1" applyAlignment="1">
      <alignment vertical="center" wrapText="1"/>
    </xf>
    <xf numFmtId="0" fontId="0" fillId="26" borderId="88" xfId="0" applyFill="1" applyBorder="1" applyAlignment="1">
      <alignment vertical="top" wrapText="1"/>
    </xf>
    <xf numFmtId="0" fontId="0" fillId="26" borderId="89" xfId="0" applyFill="1" applyBorder="1" applyAlignment="1">
      <alignment vertical="top" wrapText="1"/>
    </xf>
    <xf numFmtId="0" fontId="0" fillId="26" borderId="90" xfId="0" applyFill="1" applyBorder="1" applyAlignment="1">
      <alignment vertical="top" wrapText="1"/>
    </xf>
    <xf numFmtId="165" fontId="25" fillId="2" borderId="0" xfId="0" applyNumberFormat="1" applyFont="1" applyFill="1" applyAlignment="1" applyProtection="1">
      <alignment horizontal="left" vertical="center" wrapText="1"/>
      <protection locked="0"/>
    </xf>
    <xf numFmtId="0" fontId="0" fillId="0" borderId="0" xfId="0" applyAlignment="1">
      <alignment horizontal="left" wrapText="1"/>
    </xf>
    <xf numFmtId="0" fontId="11" fillId="0" borderId="42" xfId="0" applyFont="1" applyBorder="1" applyAlignment="1">
      <alignment horizontal="left" vertical="center" wrapText="1"/>
    </xf>
    <xf numFmtId="0" fontId="11" fillId="0" borderId="0" xfId="0" applyFont="1" applyAlignment="1">
      <alignment horizontal="left" vertical="center" wrapText="1"/>
    </xf>
    <xf numFmtId="0" fontId="73" fillId="44" borderId="42" xfId="0" applyFont="1" applyFill="1" applyBorder="1" applyAlignment="1" applyProtection="1">
      <alignment horizontal="left" vertical="center"/>
      <protection locked="0"/>
    </xf>
    <xf numFmtId="0" fontId="73" fillId="44" borderId="0" xfId="0" applyFont="1" applyFill="1" applyAlignment="1" applyProtection="1">
      <alignment horizontal="left" vertical="center"/>
      <protection locked="0"/>
    </xf>
    <xf numFmtId="0" fontId="21" fillId="8" borderId="19" xfId="0" applyFont="1" applyFill="1" applyBorder="1" applyAlignment="1">
      <alignment horizontal="left" vertical="center" wrapText="1"/>
    </xf>
    <xf numFmtId="0" fontId="21" fillId="8" borderId="20" xfId="0" applyFont="1" applyFill="1" applyBorder="1" applyAlignment="1">
      <alignment horizontal="left" vertical="center" wrapText="1"/>
    </xf>
    <xf numFmtId="0" fontId="15" fillId="8" borderId="34" xfId="0" applyFont="1" applyFill="1" applyBorder="1" applyAlignment="1">
      <alignment horizontal="left"/>
    </xf>
    <xf numFmtId="0" fontId="15" fillId="8" borderId="35" xfId="0" applyFont="1" applyFill="1" applyBorder="1" applyAlignment="1">
      <alignment horizontal="left"/>
    </xf>
    <xf numFmtId="0" fontId="15" fillId="8" borderId="36" xfId="0" applyFont="1" applyFill="1" applyBorder="1" applyAlignment="1">
      <alignment horizontal="left"/>
    </xf>
    <xf numFmtId="0" fontId="16" fillId="4" borderId="14" xfId="0" applyFont="1" applyFill="1" applyBorder="1" applyAlignment="1">
      <alignment horizontal="center"/>
    </xf>
    <xf numFmtId="0" fontId="16" fillId="4" borderId="38" xfId="0" applyFont="1" applyFill="1" applyBorder="1" applyAlignment="1">
      <alignment horizontal="center"/>
    </xf>
    <xf numFmtId="0" fontId="71" fillId="2" borderId="71" xfId="0" applyFont="1" applyFill="1" applyBorder="1" applyAlignment="1">
      <alignment horizontal="center" vertical="center"/>
    </xf>
    <xf numFmtId="0" fontId="71" fillId="2" borderId="77" xfId="0" applyFont="1" applyFill="1" applyBorder="1" applyAlignment="1">
      <alignment horizontal="center" vertical="center"/>
    </xf>
    <xf numFmtId="0" fontId="71" fillId="2" borderId="69" xfId="0" applyFont="1" applyFill="1" applyBorder="1" applyAlignment="1">
      <alignment horizontal="center" vertical="center"/>
    </xf>
    <xf numFmtId="0" fontId="71" fillId="2" borderId="42" xfId="0" applyFont="1" applyFill="1" applyBorder="1" applyAlignment="1">
      <alignment horizontal="center" vertical="center"/>
    </xf>
    <xf numFmtId="0" fontId="71" fillId="2" borderId="0" xfId="0" applyFont="1" applyFill="1" applyAlignment="1">
      <alignment horizontal="center" vertical="center"/>
    </xf>
    <xf numFmtId="0" fontId="71" fillId="2" borderId="70" xfId="0" applyFont="1" applyFill="1" applyBorder="1" applyAlignment="1">
      <alignment horizontal="center" vertical="center"/>
    </xf>
    <xf numFmtId="0" fontId="71" fillId="2" borderId="19" xfId="0" applyFont="1" applyFill="1" applyBorder="1" applyAlignment="1">
      <alignment horizontal="center" vertical="center"/>
    </xf>
    <xf numFmtId="0" fontId="71" fillId="2" borderId="20" xfId="0" applyFont="1" applyFill="1" applyBorder="1" applyAlignment="1">
      <alignment horizontal="center" vertical="center"/>
    </xf>
    <xf numFmtId="0" fontId="71" fillId="2" borderId="78" xfId="0" applyFont="1" applyFill="1" applyBorder="1" applyAlignment="1">
      <alignment horizontal="center" vertical="center"/>
    </xf>
    <xf numFmtId="0" fontId="0" fillId="0" borderId="0" xfId="0" applyAlignment="1">
      <alignment horizontal="left" vertical="top" wrapText="1"/>
    </xf>
    <xf numFmtId="0" fontId="0" fillId="0" borderId="0" xfId="0" applyAlignment="1">
      <alignment horizontal="center" vertical="top" wrapText="1"/>
    </xf>
    <xf numFmtId="0" fontId="12" fillId="0" borderId="74" xfId="0" applyFont="1" applyBorder="1" applyAlignment="1">
      <alignment horizontal="center"/>
    </xf>
    <xf numFmtId="0" fontId="12" fillId="0" borderId="68" xfId="0" applyFont="1" applyBorder="1" applyAlignment="1">
      <alignment horizontal="center"/>
    </xf>
    <xf numFmtId="0" fontId="12" fillId="0" borderId="75" xfId="0" applyFont="1" applyBorder="1" applyAlignment="1">
      <alignment horizontal="center"/>
    </xf>
    <xf numFmtId="0" fontId="34" fillId="0" borderId="71" xfId="2" applyFont="1" applyBorder="1" applyAlignment="1">
      <alignment horizontal="center"/>
    </xf>
    <xf numFmtId="0" fontId="34" fillId="0" borderId="77" xfId="2" applyFont="1" applyBorder="1" applyAlignment="1">
      <alignment horizontal="center"/>
    </xf>
    <xf numFmtId="0" fontId="34" fillId="0" borderId="69" xfId="2" applyFont="1" applyBorder="1" applyAlignment="1">
      <alignment horizontal="center"/>
    </xf>
    <xf numFmtId="0" fontId="61" fillId="0" borderId="76" xfId="0" applyFont="1" applyBorder="1" applyAlignment="1">
      <alignment vertical="center"/>
    </xf>
    <xf numFmtId="0" fontId="61" fillId="0" borderId="0" xfId="0" applyFont="1" applyAlignment="1">
      <alignment vertical="center"/>
    </xf>
    <xf numFmtId="0" fontId="61" fillId="0" borderId="87" xfId="0" applyFont="1" applyBorder="1" applyAlignment="1">
      <alignment vertical="center"/>
    </xf>
    <xf numFmtId="0" fontId="74" fillId="0" borderId="0" xfId="0" applyFont="1" applyAlignment="1">
      <alignment vertical="center"/>
    </xf>
    <xf numFmtId="0" fontId="44" fillId="29" borderId="74" xfId="0" applyFont="1" applyFill="1" applyBorder="1" applyAlignment="1">
      <alignment horizontal="center"/>
    </xf>
    <xf numFmtId="0" fontId="44" fillId="29" borderId="68" xfId="0" applyFont="1" applyFill="1" applyBorder="1" applyAlignment="1">
      <alignment horizontal="center"/>
    </xf>
    <xf numFmtId="0" fontId="44" fillId="29" borderId="75" xfId="0" applyFont="1" applyFill="1" applyBorder="1" applyAlignment="1">
      <alignment horizontal="center"/>
    </xf>
    <xf numFmtId="0" fontId="44" fillId="14" borderId="74" xfId="0" applyFont="1" applyFill="1" applyBorder="1" applyAlignment="1">
      <alignment horizontal="center"/>
    </xf>
    <xf numFmtId="0" fontId="44" fillId="14" borderId="68" xfId="0" applyFont="1" applyFill="1" applyBorder="1" applyAlignment="1">
      <alignment horizontal="center"/>
    </xf>
    <xf numFmtId="0" fontId="44" fillId="14" borderId="75" xfId="0" applyFont="1" applyFill="1" applyBorder="1" applyAlignment="1">
      <alignment horizontal="center"/>
    </xf>
    <xf numFmtId="0" fontId="46" fillId="6" borderId="74" xfId="0" applyFont="1" applyFill="1" applyBorder="1" applyAlignment="1">
      <alignment horizontal="center"/>
    </xf>
    <xf numFmtId="0" fontId="46" fillId="6" borderId="68" xfId="0" applyFont="1" applyFill="1" applyBorder="1" applyAlignment="1">
      <alignment horizontal="center"/>
    </xf>
    <xf numFmtId="0" fontId="46" fillId="6" borderId="75" xfId="0" applyFont="1" applyFill="1" applyBorder="1" applyAlignment="1">
      <alignment horizontal="center"/>
    </xf>
    <xf numFmtId="0" fontId="46" fillId="50" borderId="0" xfId="0" applyFont="1" applyFill="1" applyAlignment="1">
      <alignment horizontal="center"/>
    </xf>
    <xf numFmtId="0" fontId="46" fillId="50" borderId="87" xfId="0" applyFont="1" applyFill="1" applyBorder="1" applyAlignment="1">
      <alignment horizontal="center"/>
    </xf>
    <xf numFmtId="0" fontId="44" fillId="36" borderId="74" xfId="0" applyFont="1" applyFill="1" applyBorder="1" applyAlignment="1">
      <alignment horizontal="center"/>
    </xf>
    <xf numFmtId="0" fontId="44" fillId="36" borderId="68" xfId="0" applyFont="1" applyFill="1" applyBorder="1" applyAlignment="1">
      <alignment horizontal="center"/>
    </xf>
    <xf numFmtId="0" fontId="44" fillId="36" borderId="75" xfId="0" applyFont="1" applyFill="1" applyBorder="1" applyAlignment="1">
      <alignment horizontal="center"/>
    </xf>
    <xf numFmtId="0" fontId="57" fillId="45" borderId="19" xfId="0" applyFont="1" applyFill="1" applyBorder="1" applyAlignment="1">
      <alignment horizontal="center" vertical="center"/>
    </xf>
    <xf numFmtId="0" fontId="57" fillId="45" borderId="20" xfId="0" applyFont="1" applyFill="1" applyBorder="1" applyAlignment="1">
      <alignment horizontal="center" vertical="center"/>
    </xf>
    <xf numFmtId="0" fontId="57" fillId="45" borderId="78" xfId="0" applyFont="1" applyFill="1" applyBorder="1" applyAlignment="1">
      <alignment horizontal="center" vertical="center"/>
    </xf>
    <xf numFmtId="1" fontId="43" fillId="0" borderId="19" xfId="0" applyNumberFormat="1" applyFont="1" applyBorder="1" applyAlignment="1">
      <alignment horizontal="center"/>
    </xf>
    <xf numFmtId="1" fontId="43" fillId="0" borderId="78" xfId="0" applyNumberFormat="1" applyFont="1" applyBorder="1" applyAlignment="1">
      <alignment horizontal="center"/>
    </xf>
    <xf numFmtId="0" fontId="48" fillId="2" borderId="0" xfId="0" applyFont="1" applyFill="1" applyAlignment="1" applyProtection="1">
      <alignment horizontal="center" vertical="top" wrapText="1"/>
      <protection locked="0"/>
    </xf>
    <xf numFmtId="0" fontId="20" fillId="52" borderId="0" xfId="0" applyFont="1" applyFill="1" applyAlignment="1">
      <alignment horizontal="center"/>
    </xf>
    <xf numFmtId="0" fontId="20" fillId="52" borderId="0" xfId="0" applyFont="1" applyFill="1" applyAlignment="1">
      <alignment horizontal="left"/>
    </xf>
    <xf numFmtId="0" fontId="46" fillId="50" borderId="0" xfId="0" applyFont="1" applyFill="1" applyAlignment="1" applyProtection="1">
      <alignment horizontal="center"/>
      <protection locked="0"/>
    </xf>
    <xf numFmtId="0" fontId="15" fillId="8" borderId="47" xfId="0" applyFont="1" applyFill="1" applyBorder="1" applyAlignment="1">
      <alignment horizontal="left"/>
    </xf>
    <xf numFmtId="0" fontId="15" fillId="8" borderId="48" xfId="0" applyFont="1" applyFill="1" applyBorder="1" applyAlignment="1">
      <alignment horizontal="left"/>
    </xf>
    <xf numFmtId="0" fontId="15" fillId="8" borderId="49" xfId="0" applyFont="1" applyFill="1" applyBorder="1" applyAlignment="1">
      <alignment horizontal="left"/>
    </xf>
    <xf numFmtId="0" fontId="16" fillId="7" borderId="43" xfId="0" applyFont="1" applyFill="1" applyBorder="1" applyAlignment="1">
      <alignment horizontal="center"/>
    </xf>
    <xf numFmtId="0" fontId="16" fillId="7" borderId="51" xfId="0" applyFont="1" applyFill="1" applyBorder="1" applyAlignment="1">
      <alignment horizontal="center"/>
    </xf>
    <xf numFmtId="0" fontId="42" fillId="2" borderId="0" xfId="0" applyFont="1" applyFill="1" applyAlignment="1">
      <alignment horizontal="center"/>
    </xf>
  </cellXfs>
  <cellStyles count="5">
    <cellStyle name="Comma" xfId="3" builtinId="3"/>
    <cellStyle name="Currency" xfId="4" builtinId="4"/>
    <cellStyle name="Hyperlink" xfId="2" builtinId="8"/>
    <cellStyle name="Normal" xfId="0" builtinId="0"/>
    <cellStyle name="Percent" xfId="1" builtinId="5"/>
  </cellStyles>
  <dxfs count="6">
    <dxf>
      <font>
        <color rgb="FF006100"/>
      </font>
      <fill>
        <patternFill>
          <bgColor rgb="FFC6EFCE"/>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patternType="solid">
          <fgColor indexed="64"/>
          <bgColor rgb="FFBFBFB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2"/>
      <rgbColor rgb="00CCFFFF"/>
      <rgbColor rgb="00660066"/>
      <rgbColor rgb="00FF8080"/>
      <rgbColor rgb="000066CC"/>
      <rgbColor rgb="00DDDDDD"/>
      <rgbColor rgb="00000080"/>
      <rgbColor rgb="00FF00FF"/>
      <rgbColor rgb="00FFFF00"/>
      <rgbColor rgb="0000FFFF"/>
      <rgbColor rgb="00800080"/>
      <rgbColor rgb="00800000"/>
      <rgbColor rgb="00008080"/>
      <rgbColor rgb="000000E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Hypothetischer Vermögenszuwachs</a:t>
            </a:r>
          </a:p>
          <a:p>
            <a:pPr>
              <a:defRPr/>
            </a:pPr>
            <a:r>
              <a:rPr lang="en-US"/>
              <a:t>(Mittelüberschuss</a:t>
            </a:r>
            <a:r>
              <a:rPr lang="en-US" baseline="0"/>
              <a:t> bei Verkauf)</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manualLayout>
          <c:layoutTarget val="inner"/>
          <c:xMode val="edge"/>
          <c:yMode val="edge"/>
          <c:x val="0.15936624316887929"/>
          <c:y val="0.20941279848760164"/>
          <c:w val="0.76683300888126993"/>
          <c:h val="0.77331594739915821"/>
        </c:manualLayout>
      </c:layout>
      <c:areaChart>
        <c:grouping val="standard"/>
        <c:varyColors val="0"/>
        <c:ser>
          <c:idx val="0"/>
          <c:order val="0"/>
          <c:tx>
            <c:strRef>
              <c:f>Kennzahlen!$B$10</c:f>
              <c:strCache>
                <c:ptCount val="1"/>
                <c:pt idx="0">
                  <c:v>Hypoth. Mittel-Überschuss bei Verkauf</c:v>
                </c:pt>
              </c:strCache>
            </c:strRef>
          </c:tx>
          <c:spPr>
            <a:solidFill>
              <a:schemeClr val="accent1">
                <a:alpha val="85000"/>
              </a:schemeClr>
            </a:solidFill>
            <a:ln w="25400">
              <a:noFill/>
            </a:ln>
            <a:effectLst>
              <a:innerShdw dist="12700" dir="16200000">
                <a:schemeClr val="lt1"/>
              </a:innerShdw>
            </a:effectLst>
          </c:spPr>
          <c:val>
            <c:numRef>
              <c:f>Kennzahlen!$C$10:$AF$10</c:f>
              <c:numCache>
                <c:formatCode>#,##0</c:formatCode>
                <c:ptCount val="30"/>
                <c:pt idx="0">
                  <c:v>-26826.349000000046</c:v>
                </c:pt>
                <c:pt idx="1">
                  <c:v>-8247.7109660665737</c:v>
                </c:pt>
                <c:pt idx="2">
                  <c:v>11064.311310488265</c:v>
                </c:pt>
                <c:pt idx="3">
                  <c:v>31126.900818468654</c:v>
                </c:pt>
                <c:pt idx="4">
                  <c:v>51957.688851644751</c:v>
                </c:pt>
                <c:pt idx="5">
                  <c:v>73574.767922723666</c:v>
                </c:pt>
                <c:pt idx="6">
                  <c:v>95996.705079185776</c:v>
                </c:pt>
                <c:pt idx="7">
                  <c:v>119242.55563416053</c:v>
                </c:pt>
                <c:pt idx="8">
                  <c:v>143331.87732596241</c:v>
                </c:pt>
                <c:pt idx="9">
                  <c:v>168284.74492036772</c:v>
                </c:pt>
                <c:pt idx="10">
                  <c:v>194777.34514115332</c:v>
                </c:pt>
                <c:pt idx="11">
                  <c:v>222159.89262494911</c:v>
                </c:pt>
                <c:pt idx="12">
                  <c:v>250452.79491315549</c:v>
                </c:pt>
                <c:pt idx="13">
                  <c:v>279676.96871836751</c:v>
                </c:pt>
                <c:pt idx="14">
                  <c:v>309853.85366770963</c:v>
                </c:pt>
                <c:pt idx="15">
                  <c:v>341005.4264419378</c:v>
                </c:pt>
                <c:pt idx="16">
                  <c:v>373154.21532226098</c:v>
                </c:pt>
                <c:pt idx="17">
                  <c:v>406323.31515720277</c:v>
                </c:pt>
                <c:pt idx="18">
                  <c:v>440536.40276221477</c:v>
                </c:pt>
                <c:pt idx="19">
                  <c:v>475817.75276514469</c:v>
                </c:pt>
                <c:pt idx="20">
                  <c:v>512192.25391107111</c:v>
                </c:pt>
                <c:pt idx="21">
                  <c:v>549685.42584044603</c:v>
                </c:pt>
                <c:pt idx="22">
                  <c:v>588323.43635491189</c:v>
                </c:pt>
                <c:pt idx="23">
                  <c:v>628133.11918561626</c:v>
                </c:pt>
                <c:pt idx="24">
                  <c:v>669141.99227931164</c:v>
                </c:pt>
                <c:pt idx="25">
                  <c:v>711378.27661800012</c:v>
                </c:pt>
                <c:pt idx="26">
                  <c:v>754870.91558838403</c:v>
                </c:pt>
                <c:pt idx="27">
                  <c:v>799649.59491788782</c:v>
                </c:pt>
                <c:pt idx="28">
                  <c:v>845744.7631945454</c:v>
                </c:pt>
                <c:pt idx="29">
                  <c:v>893187.65298859077</c:v>
                </c:pt>
              </c:numCache>
            </c:numRef>
          </c:val>
          <c:extLst>
            <c:ext xmlns:c16="http://schemas.microsoft.com/office/drawing/2014/chart" uri="{C3380CC4-5D6E-409C-BE32-E72D297353CC}">
              <c16:uniqueId val="{00000001-28F5-4FF9-8326-3F17961BA4F3}"/>
            </c:ext>
          </c:extLst>
        </c:ser>
        <c:dLbls>
          <c:showLegendKey val="0"/>
          <c:showVal val="0"/>
          <c:showCatName val="0"/>
          <c:showSerName val="0"/>
          <c:showPercent val="0"/>
          <c:showBubbleSize val="0"/>
        </c:dLbls>
        <c:axId val="106542976"/>
        <c:axId val="106544512"/>
      </c:areaChart>
      <c:dateAx>
        <c:axId val="106542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Jahr</a:t>
                </a:r>
              </a:p>
            </c:rich>
          </c:tx>
          <c:layout>
            <c:manualLayout>
              <c:xMode val="edge"/>
              <c:yMode val="edge"/>
              <c:x val="0.94161689933685822"/>
              <c:y val="0.9049164418258905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de-DE"/>
            </a:p>
          </c:txPr>
        </c:title>
        <c:numFmt formatCode="#,##0" sourceLinked="0"/>
        <c:majorTickMark val="none"/>
        <c:minorTickMark val="in"/>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de-DE"/>
          </a:p>
        </c:txPr>
        <c:crossAx val="106544512"/>
        <c:crosses val="autoZero"/>
        <c:auto val="0"/>
        <c:lblOffset val="100"/>
        <c:baseTimeUnit val="days"/>
        <c:majorUnit val="1"/>
      </c:dateAx>
      <c:valAx>
        <c:axId val="10654451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Euro</a:t>
                </a:r>
              </a:p>
            </c:rich>
          </c:tx>
          <c:layout>
            <c:manualLayout>
              <c:xMode val="edge"/>
              <c:yMode val="edge"/>
              <c:x val="3.2163801082835661E-2"/>
              <c:y val="0.4784570416460179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de-DE"/>
            </a:p>
          </c:txPr>
        </c:title>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crossAx val="106542976"/>
        <c:crosses val="autoZero"/>
        <c:crossBetween val="midCat"/>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Kumul. Vermögensänderung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manualLayout>
          <c:layoutTarget val="inner"/>
          <c:xMode val="edge"/>
          <c:yMode val="edge"/>
          <c:x val="0.15936624316887929"/>
          <c:y val="0.20941279848760164"/>
          <c:w val="0.76683300888126993"/>
          <c:h val="0.77331594739915821"/>
        </c:manualLayout>
      </c:layout>
      <c:areaChart>
        <c:grouping val="standard"/>
        <c:varyColors val="0"/>
        <c:ser>
          <c:idx val="1"/>
          <c:order val="0"/>
          <c:tx>
            <c:strRef>
              <c:f>Kennzahlen!$B$11</c:f>
              <c:strCache>
                <c:ptCount val="1"/>
                <c:pt idx="0">
                  <c:v>Vermögen aus Tilgung + kumul. Cash Flow </c:v>
                </c:pt>
              </c:strCache>
            </c:strRef>
          </c:tx>
          <c:spPr>
            <a:solidFill>
              <a:schemeClr val="accent6">
                <a:lumMod val="60000"/>
                <a:lumOff val="40000"/>
              </a:schemeClr>
            </a:solidFill>
            <a:ln w="25400">
              <a:noFill/>
            </a:ln>
            <a:effectLst>
              <a:innerShdw dist="12700" dir="16200000">
                <a:schemeClr val="lt1"/>
              </a:innerShdw>
            </a:effectLst>
          </c:spPr>
          <c:val>
            <c:numRef>
              <c:f>Kennzahlen!$C$11:$AF$11</c:f>
              <c:numCache>
                <c:formatCode>#,##0</c:formatCode>
                <c:ptCount val="30"/>
                <c:pt idx="0">
                  <c:v>11209.650999999998</c:v>
                </c:pt>
                <c:pt idx="1">
                  <c:v>22943.03903393359</c:v>
                </c:pt>
                <c:pt idx="2">
                  <c:v>35313.192560488453</c:v>
                </c:pt>
                <c:pt idx="3">
                  <c:v>48335.905887218833</c:v>
                </c:pt>
                <c:pt idx="4">
                  <c:v>62027.401402426171</c:v>
                </c:pt>
                <c:pt idx="5">
                  <c:v>76404.342191826872</c:v>
                </c:pt>
                <c:pt idx="6">
                  <c:v>91483.845052686229</c:v>
                </c:pt>
                <c:pt idx="7">
                  <c:v>107283.49391852778</c:v>
                </c:pt>
                <c:pt idx="8">
                  <c:v>123821.35370797198</c:v>
                </c:pt>
                <c:pt idx="9">
                  <c:v>141115.9846117181</c:v>
                </c:pt>
                <c:pt idx="10">
                  <c:v>159842.03670312074</c:v>
                </c:pt>
                <c:pt idx="11">
                  <c:v>179348.16556834517</c:v>
                </c:pt>
                <c:pt idx="12">
                  <c:v>199653.19696878176</c:v>
                </c:pt>
                <c:pt idx="13">
                  <c:v>220776.44277308823</c:v>
                </c:pt>
                <c:pt idx="14">
                  <c:v>242737.71436119371</c:v>
                </c:pt>
                <c:pt idx="15">
                  <c:v>265557.33641904627</c:v>
                </c:pt>
                <c:pt idx="16">
                  <c:v>289256.16113598028</c:v>
                </c:pt>
                <c:pt idx="17">
                  <c:v>313855.58281695162</c:v>
                </c:pt>
                <c:pt idx="18">
                  <c:v>339377.55292227201</c:v>
                </c:pt>
                <c:pt idx="19">
                  <c:v>365844.59554786887</c:v>
                </c:pt>
                <c:pt idx="20">
                  <c:v>393279.82335950504</c:v>
                </c:pt>
                <c:pt idx="21">
                  <c:v>421706.95399481506</c:v>
                </c:pt>
                <c:pt idx="22">
                  <c:v>451150.32694744697</c:v>
                </c:pt>
                <c:pt idx="23">
                  <c:v>481634.92094804847</c:v>
                </c:pt>
                <c:pt idx="24">
                  <c:v>513186.37185729959</c:v>
                </c:pt>
                <c:pt idx="25">
                  <c:v>545830.99108666833</c:v>
                </c:pt>
                <c:pt idx="26">
                  <c:v>579595.78456306271</c:v>
                </c:pt>
                <c:pt idx="27">
                  <c:v>614508.47225405683</c:v>
                </c:pt>
                <c:pt idx="28">
                  <c:v>650597.50827089616</c:v>
                </c:pt>
                <c:pt idx="29">
                  <c:v>687892.10156702716</c:v>
                </c:pt>
              </c:numCache>
            </c:numRef>
          </c:val>
          <c:extLst>
            <c:ext xmlns:c16="http://schemas.microsoft.com/office/drawing/2014/chart" uri="{C3380CC4-5D6E-409C-BE32-E72D297353CC}">
              <c16:uniqueId val="{00000000-384B-4F47-97F4-66A32DF23D5E}"/>
            </c:ext>
          </c:extLst>
        </c:ser>
        <c:dLbls>
          <c:showLegendKey val="0"/>
          <c:showVal val="0"/>
          <c:showCatName val="0"/>
          <c:showSerName val="0"/>
          <c:showPercent val="0"/>
          <c:showBubbleSize val="0"/>
        </c:dLbls>
        <c:axId val="106542976"/>
        <c:axId val="106544512"/>
      </c:areaChart>
      <c:dateAx>
        <c:axId val="106542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Jahr</a:t>
                </a:r>
              </a:p>
            </c:rich>
          </c:tx>
          <c:layout>
            <c:manualLayout>
              <c:xMode val="edge"/>
              <c:yMode val="edge"/>
              <c:x val="0.94161689933685822"/>
              <c:y val="0.9049164418258905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de-DE"/>
            </a:p>
          </c:txPr>
        </c:title>
        <c:numFmt formatCode="#,##0" sourceLinked="0"/>
        <c:majorTickMark val="none"/>
        <c:minorTickMark val="in"/>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de-DE"/>
          </a:p>
        </c:txPr>
        <c:crossAx val="106544512"/>
        <c:crosses val="autoZero"/>
        <c:auto val="0"/>
        <c:lblOffset val="100"/>
        <c:baseTimeUnit val="days"/>
        <c:majorUnit val="1"/>
      </c:dateAx>
      <c:valAx>
        <c:axId val="10654451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Euro</a:t>
                </a:r>
              </a:p>
            </c:rich>
          </c:tx>
          <c:layout>
            <c:manualLayout>
              <c:xMode val="edge"/>
              <c:yMode val="edge"/>
              <c:x val="3.2163801082835661E-2"/>
              <c:y val="0.4784570416460179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de-DE"/>
            </a:p>
          </c:txPr>
        </c:title>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crossAx val="106542976"/>
        <c:crosses val="autoZero"/>
        <c:crossBetween val="midCat"/>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de-DE" sz="1800" b="1"/>
              <a:t>Assest-Entwicklung</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8.6977780794642051E-2"/>
          <c:y val="0.11384286698436012"/>
          <c:w val="0.89922435426833069"/>
          <c:h val="0.74474098886810425"/>
        </c:manualLayout>
      </c:layout>
      <c:lineChart>
        <c:grouping val="standard"/>
        <c:varyColors val="0"/>
        <c:ser>
          <c:idx val="0"/>
          <c:order val="0"/>
          <c:tx>
            <c:strRef>
              <c:f>Kennzahlen!$B$7</c:f>
              <c:strCache>
                <c:ptCount val="1"/>
                <c:pt idx="0">
                  <c:v>Verkaufswert der Immobilie (Jahresanfang)</c:v>
                </c:pt>
              </c:strCache>
            </c:strRef>
          </c:tx>
          <c:spPr>
            <a:ln w="28575" cap="rnd">
              <a:solidFill>
                <a:schemeClr val="accent1"/>
              </a:solidFill>
              <a:round/>
            </a:ln>
            <a:effectLst/>
          </c:spPr>
          <c:marker>
            <c:symbol val="none"/>
          </c:marker>
          <c:val>
            <c:numRef>
              <c:f>Kennzahlen!$C$7:$AF$7</c:f>
              <c:numCache>
                <c:formatCode>#,##0</c:formatCode>
                <c:ptCount val="30"/>
                <c:pt idx="0">
                  <c:v>496749.99999999994</c:v>
                </c:pt>
                <c:pt idx="1">
                  <c:v>503595.24999999988</c:v>
                </c:pt>
                <c:pt idx="2">
                  <c:v>510537.11874999985</c:v>
                </c:pt>
                <c:pt idx="3">
                  <c:v>517576.99493124982</c:v>
                </c:pt>
                <c:pt idx="4">
                  <c:v>524716.28744921857</c:v>
                </c:pt>
                <c:pt idx="5">
                  <c:v>531956.42573089676</c:v>
                </c:pt>
                <c:pt idx="6">
                  <c:v>539298.86002649961</c:v>
                </c:pt>
                <c:pt idx="7">
                  <c:v>546745.06171563279</c:v>
                </c:pt>
                <c:pt idx="8">
                  <c:v>554296.52361799043</c:v>
                </c:pt>
                <c:pt idx="9">
                  <c:v>561954.76030864962</c:v>
                </c:pt>
                <c:pt idx="10">
                  <c:v>569721.30843803263</c:v>
                </c:pt>
                <c:pt idx="11">
                  <c:v>577597.72705660388</c:v>
                </c:pt>
                <c:pt idx="12">
                  <c:v>585585.59794437373</c:v>
                </c:pt>
                <c:pt idx="13">
                  <c:v>593686.52594527928</c:v>
                </c:pt>
                <c:pt idx="14">
                  <c:v>601902.13930651592</c:v>
                </c:pt>
                <c:pt idx="15">
                  <c:v>610234.09002289153</c:v>
                </c:pt>
                <c:pt idx="16">
                  <c:v>618684.0541862807</c:v>
                </c:pt>
                <c:pt idx="17">
                  <c:v>627253.7323402511</c:v>
                </c:pt>
                <c:pt idx="18">
                  <c:v>635944.84983994276</c:v>
                </c:pt>
                <c:pt idx="19">
                  <c:v>644759.15721727582</c:v>
                </c:pt>
                <c:pt idx="20">
                  <c:v>653698.43055156607</c:v>
                </c:pt>
                <c:pt idx="21">
                  <c:v>662764.47184563102</c:v>
                </c:pt>
                <c:pt idx="22">
                  <c:v>671959.10940746486</c:v>
                </c:pt>
                <c:pt idx="23">
                  <c:v>681284.19823756779</c:v>
                </c:pt>
                <c:pt idx="24">
                  <c:v>690741.62042201206</c:v>
                </c:pt>
                <c:pt idx="25">
                  <c:v>700333.28553133179</c:v>
                </c:pt>
                <c:pt idx="26">
                  <c:v>710061.13102532132</c:v>
                </c:pt>
                <c:pt idx="27">
                  <c:v>719927.12266383087</c:v>
                </c:pt>
                <c:pt idx="28">
                  <c:v>729933.25492364925</c:v>
                </c:pt>
                <c:pt idx="29">
                  <c:v>740081.55142156361</c:v>
                </c:pt>
              </c:numCache>
            </c:numRef>
          </c:val>
          <c:smooth val="0"/>
          <c:extLst>
            <c:ext xmlns:c16="http://schemas.microsoft.com/office/drawing/2014/chart" uri="{C3380CC4-5D6E-409C-BE32-E72D297353CC}">
              <c16:uniqueId val="{00000000-39CC-423C-ACE5-B71310BC49EA}"/>
            </c:ext>
          </c:extLst>
        </c:ser>
        <c:ser>
          <c:idx val="1"/>
          <c:order val="1"/>
          <c:tx>
            <c:strRef>
              <c:f>Kennzahlen!$B$8</c:f>
              <c:strCache>
                <c:ptCount val="1"/>
                <c:pt idx="0">
                  <c:v>Darlehn Restschuld am Jahreanfang</c:v>
                </c:pt>
              </c:strCache>
            </c:strRef>
          </c:tx>
          <c:spPr>
            <a:ln w="28575" cap="rnd">
              <a:solidFill>
                <a:schemeClr val="accent2"/>
              </a:solidFill>
              <a:round/>
            </a:ln>
            <a:effectLst/>
          </c:spPr>
          <c:marker>
            <c:symbol val="none"/>
          </c:marker>
          <c:val>
            <c:numRef>
              <c:f>Kennzahlen!$C$8:$AF$8</c:f>
              <c:numCache>
                <c:formatCode>#,##0</c:formatCode>
                <c:ptCount val="30"/>
                <c:pt idx="0">
                  <c:v>484786</c:v>
                </c:pt>
                <c:pt idx="1">
                  <c:v>475395.04963536357</c:v>
                </c:pt>
                <c:pt idx="2">
                  <c:v>465675.41600796487</c:v>
                </c:pt>
                <c:pt idx="3">
                  <c:v>455615.59520360723</c:v>
                </c:pt>
                <c:pt idx="4">
                  <c:v>445203.68067109707</c:v>
                </c:pt>
                <c:pt idx="5">
                  <c:v>434427.34912994906</c:v>
                </c:pt>
                <c:pt idx="6">
                  <c:v>423273.84598486085</c:v>
                </c:pt>
                <c:pt idx="7">
                  <c:v>411729.97022969456</c:v>
                </c:pt>
                <c:pt idx="8">
                  <c:v>399782.05882309744</c:v>
                </c:pt>
                <c:pt idx="9">
                  <c:v>387415.97051726939</c:v>
                </c:pt>
                <c:pt idx="10">
                  <c:v>374617.06912073737</c:v>
                </c:pt>
                <c:pt idx="11">
                  <c:v>361026.37997917162</c:v>
                </c:pt>
                <c:pt idx="12">
                  <c:v>346993.993440505</c:v>
                </c:pt>
                <c:pt idx="13">
                  <c:v>332505.55433933169</c:v>
                </c:pt>
                <c:pt idx="14">
                  <c:v>317546.24096737028</c:v>
                </c:pt>
                <c:pt idx="15">
                  <c:v>302100.7499108201</c:v>
                </c:pt>
                <c:pt idx="16">
                  <c:v>286153.28039493202</c:v>
                </c:pt>
                <c:pt idx="17">
                  <c:v>269687.51811977761</c:v>
                </c:pt>
                <c:pt idx="18">
                  <c:v>252686.61857068067</c:v>
                </c:pt>
                <c:pt idx="19">
                  <c:v>235133.18978623807</c:v>
                </c:pt>
                <c:pt idx="20">
                  <c:v>217009.27456630109</c:v>
                </c:pt>
                <c:pt idx="21">
                  <c:v>198296.33210171617</c:v>
                </c:pt>
                <c:pt idx="22">
                  <c:v>178975.21900703222</c:v>
                </c:pt>
                <c:pt idx="23">
                  <c:v>159026.16973677106</c:v>
                </c:pt>
                <c:pt idx="24">
                  <c:v>138428.7763652264</c:v>
                </c:pt>
                <c:pt idx="25">
                  <c:v>117161.96770910654</c:v>
                </c:pt>
                <c:pt idx="26">
                  <c:v>95203.987771662782</c:v>
                </c:pt>
                <c:pt idx="27">
                  <c:v>72532.373486252109</c:v>
                </c:pt>
                <c:pt idx="28">
                  <c:v>49123.931736565588</c:v>
                </c:pt>
                <c:pt idx="29">
                  <c:v>24954.715630014252</c:v>
                </c:pt>
              </c:numCache>
            </c:numRef>
          </c:val>
          <c:smooth val="0"/>
          <c:extLst>
            <c:ext xmlns:c16="http://schemas.microsoft.com/office/drawing/2014/chart" uri="{C3380CC4-5D6E-409C-BE32-E72D297353CC}">
              <c16:uniqueId val="{00000001-39CC-423C-ACE5-B71310BC49EA}"/>
            </c:ext>
          </c:extLst>
        </c:ser>
        <c:ser>
          <c:idx val="2"/>
          <c:order val="2"/>
          <c:tx>
            <c:strRef>
              <c:f>Kennzahlen!$B$9</c:f>
              <c:strCache>
                <c:ptCount val="1"/>
                <c:pt idx="0">
                  <c:v>Asset-Status (Verkaufswert - Restschuld) </c:v>
                </c:pt>
              </c:strCache>
            </c:strRef>
          </c:tx>
          <c:spPr>
            <a:ln w="28575" cap="rnd">
              <a:solidFill>
                <a:schemeClr val="accent3"/>
              </a:solidFill>
              <a:round/>
            </a:ln>
            <a:effectLst/>
          </c:spPr>
          <c:marker>
            <c:symbol val="none"/>
          </c:marker>
          <c:val>
            <c:numRef>
              <c:f>Kennzahlen!$C$9:$AF$9</c:f>
              <c:numCache>
                <c:formatCode>#,##0</c:formatCode>
                <c:ptCount val="30"/>
                <c:pt idx="0">
                  <c:v>11963.999999999942</c:v>
                </c:pt>
                <c:pt idx="1">
                  <c:v>28200.200364636315</c:v>
                </c:pt>
                <c:pt idx="2">
                  <c:v>44861.702742034977</c:v>
                </c:pt>
                <c:pt idx="3">
                  <c:v>61961.399727642594</c:v>
                </c:pt>
                <c:pt idx="4">
                  <c:v>79512.606778121495</c:v>
                </c:pt>
                <c:pt idx="5">
                  <c:v>97529.076600947708</c:v>
                </c:pt>
                <c:pt idx="6">
                  <c:v>116025.01404163876</c:v>
                </c:pt>
                <c:pt idx="7">
                  <c:v>135015.09148593823</c:v>
                </c:pt>
                <c:pt idx="8">
                  <c:v>154514.46479489299</c:v>
                </c:pt>
                <c:pt idx="9">
                  <c:v>174538.78979138023</c:v>
                </c:pt>
                <c:pt idx="10">
                  <c:v>195104.23931729526</c:v>
                </c:pt>
                <c:pt idx="11">
                  <c:v>216571.34707743226</c:v>
                </c:pt>
                <c:pt idx="12">
                  <c:v>238591.60450386873</c:v>
                </c:pt>
                <c:pt idx="13">
                  <c:v>261180.97160594759</c:v>
                </c:pt>
                <c:pt idx="14">
                  <c:v>284355.89833914564</c:v>
                </c:pt>
                <c:pt idx="15">
                  <c:v>308133.34011207143</c:v>
                </c:pt>
                <c:pt idx="16">
                  <c:v>332530.77379134868</c:v>
                </c:pt>
                <c:pt idx="17">
                  <c:v>357566.21422047348</c:v>
                </c:pt>
                <c:pt idx="18">
                  <c:v>383258.23126926209</c:v>
                </c:pt>
                <c:pt idx="19">
                  <c:v>409625.96743103774</c:v>
                </c:pt>
                <c:pt idx="20">
                  <c:v>436689.15598526498</c:v>
                </c:pt>
                <c:pt idx="21">
                  <c:v>464468.13974391483</c:v>
                </c:pt>
                <c:pt idx="22">
                  <c:v>492983.89040043263</c:v>
                </c:pt>
                <c:pt idx="23">
                  <c:v>522258.02850079676</c:v>
                </c:pt>
                <c:pt idx="24">
                  <c:v>552312.84405678569</c:v>
                </c:pt>
                <c:pt idx="25">
                  <c:v>583171.31782222528</c:v>
                </c:pt>
                <c:pt idx="26">
                  <c:v>614857.14325365855</c:v>
                </c:pt>
                <c:pt idx="27">
                  <c:v>647394.74917757872</c:v>
                </c:pt>
                <c:pt idx="28">
                  <c:v>680809.3231870837</c:v>
                </c:pt>
                <c:pt idx="29">
                  <c:v>715126.83579154941</c:v>
                </c:pt>
              </c:numCache>
            </c:numRef>
          </c:val>
          <c:smooth val="0"/>
          <c:extLst>
            <c:ext xmlns:c16="http://schemas.microsoft.com/office/drawing/2014/chart" uri="{C3380CC4-5D6E-409C-BE32-E72D297353CC}">
              <c16:uniqueId val="{00000002-39CC-423C-ACE5-B71310BC49EA}"/>
            </c:ext>
          </c:extLst>
        </c:ser>
        <c:ser>
          <c:idx val="3"/>
          <c:order val="3"/>
          <c:tx>
            <c:strRef>
              <c:f>Kennzahlen!$B$11</c:f>
              <c:strCache>
                <c:ptCount val="1"/>
                <c:pt idx="0">
                  <c:v>Vermögen aus Tilgung + kumul. Cash Flow </c:v>
                </c:pt>
              </c:strCache>
            </c:strRef>
          </c:tx>
          <c:spPr>
            <a:ln w="28575" cap="rnd">
              <a:solidFill>
                <a:schemeClr val="accent4"/>
              </a:solidFill>
              <a:round/>
            </a:ln>
            <a:effectLst/>
          </c:spPr>
          <c:marker>
            <c:symbol val="none"/>
          </c:marker>
          <c:val>
            <c:numRef>
              <c:f>Kennzahlen!$C$11:$AF$11</c:f>
              <c:numCache>
                <c:formatCode>#,##0</c:formatCode>
                <c:ptCount val="30"/>
                <c:pt idx="0">
                  <c:v>11209.650999999998</c:v>
                </c:pt>
                <c:pt idx="1">
                  <c:v>22943.03903393359</c:v>
                </c:pt>
                <c:pt idx="2">
                  <c:v>35313.192560488453</c:v>
                </c:pt>
                <c:pt idx="3">
                  <c:v>48335.905887218833</c:v>
                </c:pt>
                <c:pt idx="4">
                  <c:v>62027.401402426171</c:v>
                </c:pt>
                <c:pt idx="5">
                  <c:v>76404.342191826872</c:v>
                </c:pt>
                <c:pt idx="6">
                  <c:v>91483.845052686229</c:v>
                </c:pt>
                <c:pt idx="7">
                  <c:v>107283.49391852778</c:v>
                </c:pt>
                <c:pt idx="8">
                  <c:v>123821.35370797198</c:v>
                </c:pt>
                <c:pt idx="9">
                  <c:v>141115.9846117181</c:v>
                </c:pt>
                <c:pt idx="10">
                  <c:v>159842.03670312074</c:v>
                </c:pt>
                <c:pt idx="11">
                  <c:v>179348.16556834517</c:v>
                </c:pt>
                <c:pt idx="12">
                  <c:v>199653.19696878176</c:v>
                </c:pt>
                <c:pt idx="13">
                  <c:v>220776.44277308823</c:v>
                </c:pt>
                <c:pt idx="14">
                  <c:v>242737.71436119371</c:v>
                </c:pt>
                <c:pt idx="15">
                  <c:v>265557.33641904627</c:v>
                </c:pt>
                <c:pt idx="16">
                  <c:v>289256.16113598028</c:v>
                </c:pt>
                <c:pt idx="17">
                  <c:v>313855.58281695162</c:v>
                </c:pt>
                <c:pt idx="18">
                  <c:v>339377.55292227201</c:v>
                </c:pt>
                <c:pt idx="19">
                  <c:v>365844.59554786887</c:v>
                </c:pt>
                <c:pt idx="20">
                  <c:v>393279.82335950504</c:v>
                </c:pt>
                <c:pt idx="21">
                  <c:v>421706.95399481506</c:v>
                </c:pt>
                <c:pt idx="22">
                  <c:v>451150.32694744697</c:v>
                </c:pt>
                <c:pt idx="23">
                  <c:v>481634.92094804847</c:v>
                </c:pt>
                <c:pt idx="24">
                  <c:v>513186.37185729959</c:v>
                </c:pt>
                <c:pt idx="25">
                  <c:v>545830.99108666833</c:v>
                </c:pt>
                <c:pt idx="26">
                  <c:v>579595.78456306271</c:v>
                </c:pt>
                <c:pt idx="27">
                  <c:v>614508.47225405683</c:v>
                </c:pt>
                <c:pt idx="28">
                  <c:v>650597.50827089616</c:v>
                </c:pt>
                <c:pt idx="29">
                  <c:v>687892.10156702716</c:v>
                </c:pt>
              </c:numCache>
            </c:numRef>
          </c:val>
          <c:smooth val="0"/>
          <c:extLst>
            <c:ext xmlns:c16="http://schemas.microsoft.com/office/drawing/2014/chart" uri="{C3380CC4-5D6E-409C-BE32-E72D297353CC}">
              <c16:uniqueId val="{00000001-B16E-4F70-81CB-C4EE2DCBB079}"/>
            </c:ext>
          </c:extLst>
        </c:ser>
        <c:dLbls>
          <c:showLegendKey val="0"/>
          <c:showVal val="0"/>
          <c:showCatName val="0"/>
          <c:showSerName val="0"/>
          <c:showPercent val="0"/>
          <c:showBubbleSize val="0"/>
        </c:dLbls>
        <c:smooth val="0"/>
        <c:axId val="601127536"/>
        <c:axId val="601124624"/>
      </c:lineChart>
      <c:catAx>
        <c:axId val="6011275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124624"/>
        <c:crosses val="autoZero"/>
        <c:auto val="1"/>
        <c:lblAlgn val="ctr"/>
        <c:lblOffset val="100"/>
        <c:noMultiLvlLbl val="0"/>
      </c:catAx>
      <c:valAx>
        <c:axId val="601124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1127536"/>
        <c:crosses val="autoZero"/>
        <c:crossBetween val="between"/>
        <c:majorUnit val="5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1" u="none" strike="noStrike" kern="1200" spc="0" baseline="0">
                <a:solidFill>
                  <a:schemeClr val="tx1">
                    <a:lumMod val="65000"/>
                    <a:lumOff val="35000"/>
                  </a:schemeClr>
                </a:solidFill>
                <a:latin typeface="+mn-lt"/>
                <a:ea typeface="+mn-ea"/>
                <a:cs typeface="+mn-cs"/>
              </a:defRPr>
            </a:pPr>
            <a:r>
              <a:rPr lang="de-DE" sz="2400" b="1" i="1" baseline="0"/>
              <a:t>Entwicklung Liquider Mittel  - Cash Flow</a:t>
            </a:r>
          </a:p>
        </c:rich>
      </c:tx>
      <c:layout>
        <c:manualLayout>
          <c:xMode val="edge"/>
          <c:yMode val="edge"/>
          <c:x val="0.33112746862249631"/>
          <c:y val="3.2265059481137795E-2"/>
        </c:manualLayout>
      </c:layout>
      <c:overlay val="0"/>
      <c:spPr>
        <a:noFill/>
        <a:ln>
          <a:noFill/>
        </a:ln>
        <a:effectLst/>
      </c:spPr>
      <c:txPr>
        <a:bodyPr rot="0" spcFirstLastPara="1" vertOverflow="ellipsis" vert="horz" wrap="square" anchor="ctr" anchorCtr="1"/>
        <a:lstStyle/>
        <a:p>
          <a:pPr>
            <a:defRPr sz="2400" b="1" i="1"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8.1357845290797884E-2"/>
          <c:y val="0.10530948324815446"/>
          <c:w val="0.90433600306399464"/>
          <c:h val="0.79850903432641618"/>
        </c:manualLayout>
      </c:layout>
      <c:lineChart>
        <c:grouping val="standard"/>
        <c:varyColors val="0"/>
        <c:ser>
          <c:idx val="0"/>
          <c:order val="0"/>
          <c:tx>
            <c:strRef>
              <c:f>Kennzahlen!$B$14</c:f>
              <c:strCache>
                <c:ptCount val="1"/>
                <c:pt idx="0">
                  <c:v>Einnahmen - Ausgaben p.a. nach Steuer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Kennzahlen!$C$14:$AF$14</c:f>
              <c:numCache>
                <c:formatCode>#,##0\ [$€-407]</c:formatCode>
                <c:ptCount val="30"/>
                <c:pt idx="0">
                  <c:v>1818.7006353635668</c:v>
                </c:pt>
                <c:pt idx="1">
                  <c:v>2013.7544065348848</c:v>
                </c:pt>
                <c:pt idx="2">
                  <c:v>2310.3327221971995</c:v>
                </c:pt>
                <c:pt idx="3">
                  <c:v>2610.7987942201967</c:v>
                </c:pt>
                <c:pt idx="4">
                  <c:v>2915.1639740593068</c:v>
                </c:pt>
                <c:pt idx="5">
                  <c:v>3223.4376443124829</c:v>
                </c:pt>
                <c:pt idx="6">
                  <c:v>3535.6271056930509</c:v>
                </c:pt>
                <c:pt idx="7">
                  <c:v>3851.7374592444298</c:v>
                </c:pt>
                <c:pt idx="8">
                  <c:v>4171.7714836161786</c:v>
                </c:pt>
                <c:pt idx="9">
                  <c:v>4495.729507214106</c:v>
                </c:pt>
                <c:pt idx="10">
                  <c:v>5135.3629498369155</c:v>
                </c:pt>
                <c:pt idx="11">
                  <c:v>5473.74232655778</c:v>
                </c:pt>
                <c:pt idx="12">
                  <c:v>5816.5922992632677</c:v>
                </c:pt>
                <c:pt idx="13">
                  <c:v>6163.9324323450237</c:v>
                </c:pt>
                <c:pt idx="14">
                  <c:v>6515.780531555306</c:v>
                </c:pt>
                <c:pt idx="15">
                  <c:v>6872.1525419645022</c:v>
                </c:pt>
                <c:pt idx="16">
                  <c:v>7233.0624417795589</c:v>
                </c:pt>
                <c:pt idx="17">
                  <c:v>7598.5221318743943</c:v>
                </c:pt>
                <c:pt idx="18">
                  <c:v>7968.5413208778164</c:v>
                </c:pt>
                <c:pt idx="19">
                  <c:v>8343.1274056598377</c:v>
                </c:pt>
                <c:pt idx="20">
                  <c:v>8722.2853470512582</c:v>
                </c:pt>
                <c:pt idx="21">
                  <c:v>9106.0175406261078</c:v>
                </c:pt>
                <c:pt idx="22">
                  <c:v>9494.3236823706775</c:v>
                </c:pt>
                <c:pt idx="23">
                  <c:v>9887.2006290568661</c:v>
                </c:pt>
                <c:pt idx="24">
                  <c:v>10284.642253131216</c:v>
                </c:pt>
                <c:pt idx="25">
                  <c:v>10686.639291925025</c:v>
                </c:pt>
                <c:pt idx="26">
                  <c:v>11093.179190983723</c:v>
                </c:pt>
                <c:pt idx="27">
                  <c:v>11504.245941307572</c:v>
                </c:pt>
                <c:pt idx="28">
                  <c:v>11919.819910287924</c:v>
                </c:pt>
                <c:pt idx="29">
                  <c:v>12339.877666116739</c:v>
                </c:pt>
              </c:numCache>
            </c:numRef>
          </c:val>
          <c:smooth val="0"/>
          <c:extLst>
            <c:ext xmlns:c16="http://schemas.microsoft.com/office/drawing/2014/chart" uri="{C3380CC4-5D6E-409C-BE32-E72D297353CC}">
              <c16:uniqueId val="{00000000-A31E-49E4-9420-06DA561F8B8D}"/>
            </c:ext>
          </c:extLst>
        </c:ser>
        <c:ser>
          <c:idx val="2"/>
          <c:order val="1"/>
          <c:tx>
            <c:strRef>
              <c:f>Kennzahlen!$B$16</c:f>
              <c:strCache>
                <c:ptCount val="1"/>
                <c:pt idx="0">
                  <c:v>Mittel-Überschuss bei hypoth. Verkauf</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Kennzahlen!$C$16:$AF$16</c:f>
              <c:numCache>
                <c:formatCode>#,##0\ [$€-407]</c:formatCode>
                <c:ptCount val="30"/>
                <c:pt idx="0">
                  <c:v>-26826.349000000046</c:v>
                </c:pt>
                <c:pt idx="1">
                  <c:v>-8247.7109660665737</c:v>
                </c:pt>
                <c:pt idx="2">
                  <c:v>11064.311310488265</c:v>
                </c:pt>
                <c:pt idx="3">
                  <c:v>31126.900818468654</c:v>
                </c:pt>
                <c:pt idx="4">
                  <c:v>51957.688851644751</c:v>
                </c:pt>
                <c:pt idx="5">
                  <c:v>73574.767922723666</c:v>
                </c:pt>
                <c:pt idx="6">
                  <c:v>95996.705079185776</c:v>
                </c:pt>
                <c:pt idx="7">
                  <c:v>119242.55563416053</c:v>
                </c:pt>
                <c:pt idx="8">
                  <c:v>143331.87732596241</c:v>
                </c:pt>
                <c:pt idx="9">
                  <c:v>168284.74492036772</c:v>
                </c:pt>
                <c:pt idx="10">
                  <c:v>194777.34514115332</c:v>
                </c:pt>
                <c:pt idx="11">
                  <c:v>222159.89262494911</c:v>
                </c:pt>
                <c:pt idx="12">
                  <c:v>250452.79491315549</c:v>
                </c:pt>
                <c:pt idx="13">
                  <c:v>279676.96871836751</c:v>
                </c:pt>
                <c:pt idx="14">
                  <c:v>309853.85366770963</c:v>
                </c:pt>
                <c:pt idx="15">
                  <c:v>341005.4264419378</c:v>
                </c:pt>
                <c:pt idx="16">
                  <c:v>373154.21532226098</c:v>
                </c:pt>
                <c:pt idx="17">
                  <c:v>406323.31515720277</c:v>
                </c:pt>
                <c:pt idx="18">
                  <c:v>440536.40276221477</c:v>
                </c:pt>
                <c:pt idx="19">
                  <c:v>475817.75276514469</c:v>
                </c:pt>
                <c:pt idx="20">
                  <c:v>512192.25391107111</c:v>
                </c:pt>
                <c:pt idx="21">
                  <c:v>549685.42584044603</c:v>
                </c:pt>
                <c:pt idx="22">
                  <c:v>588323.43635491189</c:v>
                </c:pt>
                <c:pt idx="23">
                  <c:v>628133.11918561626</c:v>
                </c:pt>
                <c:pt idx="24">
                  <c:v>669141.99227931164</c:v>
                </c:pt>
                <c:pt idx="25">
                  <c:v>711378.27661800012</c:v>
                </c:pt>
                <c:pt idx="26">
                  <c:v>754870.91558838403</c:v>
                </c:pt>
                <c:pt idx="27">
                  <c:v>799649.59491788782</c:v>
                </c:pt>
                <c:pt idx="28">
                  <c:v>845744.7631945454</c:v>
                </c:pt>
                <c:pt idx="29">
                  <c:v>893187.65298859077</c:v>
                </c:pt>
              </c:numCache>
            </c:numRef>
          </c:val>
          <c:smooth val="0"/>
          <c:extLst>
            <c:ext xmlns:c16="http://schemas.microsoft.com/office/drawing/2014/chart" uri="{C3380CC4-5D6E-409C-BE32-E72D297353CC}">
              <c16:uniqueId val="{00000001-A31E-49E4-9420-06DA561F8B8D}"/>
            </c:ext>
          </c:extLst>
        </c:ser>
        <c:ser>
          <c:idx val="1"/>
          <c:order val="2"/>
          <c:tx>
            <c:v>Kumul. Ein- + Ausgaben</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Kennzahlen!$C$15:$AF$15</c:f>
              <c:numCache>
                <c:formatCode>#,##0\ [$€-407]</c:formatCode>
                <c:ptCount val="30"/>
                <c:pt idx="0">
                  <c:v>1818.7006353635668</c:v>
                </c:pt>
                <c:pt idx="1">
                  <c:v>3832.4550418984518</c:v>
                </c:pt>
                <c:pt idx="2">
                  <c:v>6142.7877640956513</c:v>
                </c:pt>
                <c:pt idx="3">
                  <c:v>8753.5865583158484</c:v>
                </c:pt>
                <c:pt idx="4">
                  <c:v>11668.750532375156</c:v>
                </c:pt>
                <c:pt idx="5">
                  <c:v>14892.188176687639</c:v>
                </c:pt>
                <c:pt idx="6">
                  <c:v>18427.815282380689</c:v>
                </c:pt>
                <c:pt idx="7">
                  <c:v>22279.552741625117</c:v>
                </c:pt>
                <c:pt idx="8">
                  <c:v>26451.324225241297</c:v>
                </c:pt>
                <c:pt idx="9">
                  <c:v>30947.053732455402</c:v>
                </c:pt>
                <c:pt idx="10">
                  <c:v>36082.416682292314</c:v>
                </c:pt>
                <c:pt idx="11">
                  <c:v>41556.159008850096</c:v>
                </c:pt>
                <c:pt idx="12">
                  <c:v>47372.751308113366</c:v>
                </c:pt>
                <c:pt idx="13">
                  <c:v>53536.683740458393</c:v>
                </c:pt>
                <c:pt idx="14">
                  <c:v>60052.464272013698</c:v>
                </c:pt>
                <c:pt idx="15">
                  <c:v>66924.616813978195</c:v>
                </c:pt>
                <c:pt idx="16">
                  <c:v>74157.679255757757</c:v>
                </c:pt>
                <c:pt idx="17">
                  <c:v>81756.201387632158</c:v>
                </c:pt>
                <c:pt idx="18">
                  <c:v>89724.742708509977</c:v>
                </c:pt>
                <c:pt idx="19">
                  <c:v>98067.870114169811</c:v>
                </c:pt>
                <c:pt idx="20">
                  <c:v>106790.15546122107</c:v>
                </c:pt>
                <c:pt idx="21">
                  <c:v>115896.17300184719</c:v>
                </c:pt>
                <c:pt idx="22">
                  <c:v>125390.49668421787</c:v>
                </c:pt>
                <c:pt idx="23">
                  <c:v>135277.69731327472</c:v>
                </c:pt>
                <c:pt idx="24">
                  <c:v>145562.33956640595</c:v>
                </c:pt>
                <c:pt idx="25">
                  <c:v>156248.97885833099</c:v>
                </c:pt>
                <c:pt idx="26">
                  <c:v>167342.15804931472</c:v>
                </c:pt>
                <c:pt idx="27">
                  <c:v>178846.40399062229</c:v>
                </c:pt>
                <c:pt idx="28">
                  <c:v>190766.2239009102</c:v>
                </c:pt>
                <c:pt idx="29">
                  <c:v>203106.10156702696</c:v>
                </c:pt>
              </c:numCache>
            </c:numRef>
          </c:val>
          <c:smooth val="0"/>
          <c:extLst>
            <c:ext xmlns:c16="http://schemas.microsoft.com/office/drawing/2014/chart" uri="{C3380CC4-5D6E-409C-BE32-E72D297353CC}">
              <c16:uniqueId val="{00000002-A31E-49E4-9420-06DA561F8B8D}"/>
            </c:ext>
          </c:extLst>
        </c:ser>
        <c:dLbls>
          <c:showLegendKey val="0"/>
          <c:showVal val="0"/>
          <c:showCatName val="0"/>
          <c:showSerName val="0"/>
          <c:showPercent val="0"/>
          <c:showBubbleSize val="0"/>
        </c:dLbls>
        <c:marker val="1"/>
        <c:smooth val="0"/>
        <c:axId val="190937696"/>
        <c:axId val="190933952"/>
      </c:lineChart>
      <c:dateAx>
        <c:axId val="1909376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0933952"/>
        <c:crossesAt val="0"/>
        <c:auto val="0"/>
        <c:lblOffset val="1000"/>
        <c:baseTimeUnit val="days"/>
      </c:dateAx>
      <c:valAx>
        <c:axId val="190933952"/>
        <c:scaling>
          <c:orientation val="minMax"/>
        </c:scaling>
        <c:delete val="0"/>
        <c:axPos val="l"/>
        <c:majorGridlines>
          <c:spPr>
            <a:ln w="9525" cap="flat" cmpd="sng" algn="ctr">
              <a:solidFill>
                <a:schemeClr val="tx1">
                  <a:lumMod val="15000"/>
                  <a:lumOff val="85000"/>
                </a:schemeClr>
              </a:solidFill>
              <a:round/>
            </a:ln>
            <a:effectLst/>
          </c:spPr>
        </c:majorGridlines>
        <c:numFmt formatCode="#,##0\ [$€-407]"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0937696"/>
        <c:crosses val="autoZero"/>
        <c:crossBetween val="midCat"/>
        <c:majorUnit val="50000"/>
      </c:valAx>
      <c:spPr>
        <a:noFill/>
        <a:ln>
          <a:noFill/>
        </a:ln>
        <a:effectLst/>
      </c:spPr>
    </c:plotArea>
    <c:legend>
      <c:legendPos val="b"/>
      <c:layout>
        <c:manualLayout>
          <c:xMode val="edge"/>
          <c:yMode val="edge"/>
          <c:x val="0.1054022275488965"/>
          <c:y val="0.87716799577369131"/>
          <c:w val="0.86835080112652663"/>
          <c:h val="9.5219856269915762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Darlehnshöhe im Zeitverlauf</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manualLayout>
          <c:layoutTarget val="inner"/>
          <c:xMode val="edge"/>
          <c:yMode val="edge"/>
          <c:x val="0.16722781409399295"/>
          <c:y val="0.12974964667878053"/>
          <c:w val="0.76683300888126993"/>
          <c:h val="0.77331594739915821"/>
        </c:manualLayout>
      </c:layout>
      <c:areaChart>
        <c:grouping val="standard"/>
        <c:varyColors val="0"/>
        <c:ser>
          <c:idx val="0"/>
          <c:order val="0"/>
          <c:tx>
            <c:strRef>
              <c:f>Kennzahlen!$B$8</c:f>
              <c:strCache>
                <c:ptCount val="1"/>
                <c:pt idx="0">
                  <c:v>Darlehn Restschuld am Jahreanfang</c:v>
                </c:pt>
              </c:strCache>
            </c:strRef>
          </c:tx>
          <c:spPr>
            <a:solidFill>
              <a:schemeClr val="accent2">
                <a:lumMod val="60000"/>
                <a:lumOff val="40000"/>
              </a:schemeClr>
            </a:solidFill>
            <a:ln>
              <a:solidFill>
                <a:sysClr val="windowText" lastClr="000000"/>
              </a:solidFill>
            </a:ln>
            <a:effectLst>
              <a:innerShdw dist="12700" dir="16200000">
                <a:schemeClr val="lt1"/>
              </a:innerShdw>
            </a:effectLst>
          </c:spPr>
          <c:val>
            <c:numRef>
              <c:f>Kennzahlen!$C$8:$AF$8</c:f>
              <c:numCache>
                <c:formatCode>#,##0</c:formatCode>
                <c:ptCount val="30"/>
                <c:pt idx="0">
                  <c:v>484786</c:v>
                </c:pt>
                <c:pt idx="1">
                  <c:v>475395.04963536357</c:v>
                </c:pt>
                <c:pt idx="2">
                  <c:v>465675.41600796487</c:v>
                </c:pt>
                <c:pt idx="3">
                  <c:v>455615.59520360723</c:v>
                </c:pt>
                <c:pt idx="4">
                  <c:v>445203.68067109707</c:v>
                </c:pt>
                <c:pt idx="5">
                  <c:v>434427.34912994906</c:v>
                </c:pt>
                <c:pt idx="6">
                  <c:v>423273.84598486085</c:v>
                </c:pt>
                <c:pt idx="7">
                  <c:v>411729.97022969456</c:v>
                </c:pt>
                <c:pt idx="8">
                  <c:v>399782.05882309744</c:v>
                </c:pt>
                <c:pt idx="9">
                  <c:v>387415.97051726939</c:v>
                </c:pt>
                <c:pt idx="10">
                  <c:v>374617.06912073737</c:v>
                </c:pt>
                <c:pt idx="11">
                  <c:v>361026.37997917162</c:v>
                </c:pt>
                <c:pt idx="12">
                  <c:v>346993.993440505</c:v>
                </c:pt>
                <c:pt idx="13">
                  <c:v>332505.55433933169</c:v>
                </c:pt>
                <c:pt idx="14">
                  <c:v>317546.24096737028</c:v>
                </c:pt>
                <c:pt idx="15">
                  <c:v>302100.7499108201</c:v>
                </c:pt>
                <c:pt idx="16">
                  <c:v>286153.28039493202</c:v>
                </c:pt>
                <c:pt idx="17">
                  <c:v>269687.51811977761</c:v>
                </c:pt>
                <c:pt idx="18">
                  <c:v>252686.61857068067</c:v>
                </c:pt>
                <c:pt idx="19">
                  <c:v>235133.18978623807</c:v>
                </c:pt>
                <c:pt idx="20">
                  <c:v>217009.27456630109</c:v>
                </c:pt>
                <c:pt idx="21">
                  <c:v>198296.33210171617</c:v>
                </c:pt>
                <c:pt idx="22">
                  <c:v>178975.21900703222</c:v>
                </c:pt>
                <c:pt idx="23">
                  <c:v>159026.16973677106</c:v>
                </c:pt>
                <c:pt idx="24">
                  <c:v>138428.7763652264</c:v>
                </c:pt>
                <c:pt idx="25">
                  <c:v>117161.96770910654</c:v>
                </c:pt>
                <c:pt idx="26">
                  <c:v>95203.987771662782</c:v>
                </c:pt>
                <c:pt idx="27">
                  <c:v>72532.373486252109</c:v>
                </c:pt>
                <c:pt idx="28">
                  <c:v>49123.931736565588</c:v>
                </c:pt>
                <c:pt idx="29">
                  <c:v>24954.715630014252</c:v>
                </c:pt>
              </c:numCache>
            </c:numRef>
          </c:val>
          <c:extLst>
            <c:ext xmlns:c16="http://schemas.microsoft.com/office/drawing/2014/chart" uri="{C3380CC4-5D6E-409C-BE32-E72D297353CC}">
              <c16:uniqueId val="{00000000-11B5-4150-B2FD-5BE98CCAD4D8}"/>
            </c:ext>
          </c:extLst>
        </c:ser>
        <c:dLbls>
          <c:showLegendKey val="0"/>
          <c:showVal val="0"/>
          <c:showCatName val="0"/>
          <c:showSerName val="0"/>
          <c:showPercent val="0"/>
          <c:showBubbleSize val="0"/>
        </c:dLbls>
        <c:axId val="106542976"/>
        <c:axId val="106544512"/>
      </c:areaChart>
      <c:dateAx>
        <c:axId val="106542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Jahr</a:t>
                </a:r>
              </a:p>
            </c:rich>
          </c:tx>
          <c:layout>
            <c:manualLayout>
              <c:xMode val="edge"/>
              <c:yMode val="edge"/>
              <c:x val="0.93356536954619807"/>
              <c:y val="0.9486227355321843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de-DE"/>
            </a:p>
          </c:txPr>
        </c:title>
        <c:numFmt formatCode="#,##0" sourceLinked="0"/>
        <c:majorTickMark val="out"/>
        <c:minorTickMark val="in"/>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effectLst>
                  <a:outerShdw blurRad="50800" dist="50800" dir="5400000" algn="ctr" rotWithShape="0">
                    <a:schemeClr val="tx1"/>
                  </a:outerShdw>
                </a:effectLst>
                <a:latin typeface="+mn-lt"/>
                <a:ea typeface="+mn-ea"/>
                <a:cs typeface="+mn-cs"/>
              </a:defRPr>
            </a:pPr>
            <a:endParaRPr lang="de-DE"/>
          </a:p>
        </c:txPr>
        <c:crossAx val="106544512"/>
        <c:crosses val="autoZero"/>
        <c:auto val="0"/>
        <c:lblOffset val="100"/>
        <c:baseTimeUnit val="days"/>
        <c:majorUnit val="1"/>
      </c:dateAx>
      <c:valAx>
        <c:axId val="10654451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Restschuld in Euro</a:t>
                </a:r>
              </a:p>
            </c:rich>
          </c:tx>
          <c:layout>
            <c:manualLayout>
              <c:xMode val="edge"/>
              <c:yMode val="edge"/>
              <c:x val="3.2163801082835661E-2"/>
              <c:y val="0.4784570416460179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de-DE"/>
            </a:p>
          </c:txPr>
        </c:title>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crossAx val="106542976"/>
        <c:crosses val="autoZero"/>
        <c:crossBetween val="midCat"/>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5000000000000167" l="0.70000000000000062" r="0.70000000000000062" t="0.75000000000000167"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158750</xdr:colOff>
      <xdr:row>97</xdr:row>
      <xdr:rowOff>106680</xdr:rowOff>
    </xdr:from>
    <xdr:to>
      <xdr:col>2</xdr:col>
      <xdr:colOff>572770</xdr:colOff>
      <xdr:row>103</xdr:row>
      <xdr:rowOff>31750</xdr:rowOff>
    </xdr:to>
    <xdr:pic>
      <xdr:nvPicPr>
        <xdr:cNvPr id="2" name="Grafik 1">
          <a:extLst>
            <a:ext uri="{FF2B5EF4-FFF2-40B4-BE49-F238E27FC236}">
              <a16:creationId xmlns:a16="http://schemas.microsoft.com/office/drawing/2014/main" id="{DAF72191-DFB3-BD99-860E-A64DCF9E9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750" y="25144730"/>
          <a:ext cx="3970020" cy="991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501650</xdr:colOff>
      <xdr:row>97</xdr:row>
      <xdr:rowOff>12700</xdr:rowOff>
    </xdr:from>
    <xdr:to>
      <xdr:col>5</xdr:col>
      <xdr:colOff>387350</xdr:colOff>
      <xdr:row>103</xdr:row>
      <xdr:rowOff>143510</xdr:rowOff>
    </xdr:to>
    <xdr:pic>
      <xdr:nvPicPr>
        <xdr:cNvPr id="3" name="Grafik 1">
          <a:extLst>
            <a:ext uri="{FF2B5EF4-FFF2-40B4-BE49-F238E27FC236}">
              <a16:creationId xmlns:a16="http://schemas.microsoft.com/office/drawing/2014/main" id="{9ED2CA20-F942-2226-5E9E-2D37DF580B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07050" y="25050750"/>
          <a:ext cx="660400" cy="1197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17</xdr:col>
      <xdr:colOff>643890</xdr:colOff>
      <xdr:row>7</xdr:row>
      <xdr:rowOff>231214</xdr:rowOff>
    </xdr:to>
    <xdr:pic>
      <xdr:nvPicPr>
        <xdr:cNvPr id="4" name="Grafik 3">
          <a:extLst>
            <a:ext uri="{FF2B5EF4-FFF2-40B4-BE49-F238E27FC236}">
              <a16:creationId xmlns:a16="http://schemas.microsoft.com/office/drawing/2014/main" id="{BABC5EEE-B80B-125D-83ED-8182A9FAA7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93000" y="800100"/>
          <a:ext cx="7772400" cy="13043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7</xdr:row>
      <xdr:rowOff>0</xdr:rowOff>
    </xdr:from>
    <xdr:to>
      <xdr:col>8</xdr:col>
      <xdr:colOff>762000</xdr:colOff>
      <xdr:row>33</xdr:row>
      <xdr:rowOff>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xdr:row>
      <xdr:rowOff>0</xdr:rowOff>
    </xdr:from>
    <xdr:to>
      <xdr:col>18</xdr:col>
      <xdr:colOff>502920</xdr:colOff>
      <xdr:row>33</xdr:row>
      <xdr:rowOff>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53</xdr:row>
      <xdr:rowOff>0</xdr:rowOff>
    </xdr:from>
    <xdr:to>
      <xdr:col>12</xdr:col>
      <xdr:colOff>121920</xdr:colOff>
      <xdr:row>94</xdr:row>
      <xdr:rowOff>152400</xdr:rowOff>
    </xdr:to>
    <xdr:graphicFrame macro="">
      <xdr:nvGraphicFramePr>
        <xdr:cNvPr id="9" name="Diagramm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143933</xdr:colOff>
      <xdr:row>98</xdr:row>
      <xdr:rowOff>25400</xdr:rowOff>
    </xdr:from>
    <xdr:to>
      <xdr:col>12</xdr:col>
      <xdr:colOff>303953</xdr:colOff>
      <xdr:row>144</xdr:row>
      <xdr:rowOff>143933</xdr:rowOff>
    </xdr:to>
    <xdr:graphicFrame macro="">
      <xdr:nvGraphicFramePr>
        <xdr:cNvPr id="10" name="Diagramm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379753</xdr:colOff>
      <xdr:row>59</xdr:row>
      <xdr:rowOff>150944</xdr:rowOff>
    </xdr:from>
    <xdr:to>
      <xdr:col>19</xdr:col>
      <xdr:colOff>740433</xdr:colOff>
      <xdr:row>87</xdr:row>
      <xdr:rowOff>111151</xdr:rowOff>
    </xdr:to>
    <xdr:graphicFrame macro="">
      <xdr:nvGraphicFramePr>
        <xdr:cNvPr id="11" name="Chart 7">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A8" dT="2025-02-27T13:38:06.61" personId="{00000000-0000-0000-0000-000000000000}" id="{1B2A4234-D3CE-4CFD-9F0B-F558A3633912}">
    <text>Fehler in der Formel durch mich behoben</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haufe.de/immobilien/wirtschaft-politik/abschreibung-beim-mietwohnungsbau_84342_572146.html" TargetMode="External"/><Relationship Id="rId13" Type="http://schemas.openxmlformats.org/officeDocument/2006/relationships/hyperlink" Target="https://index.fmh.de/fmh-index/ueberblick/" TargetMode="External"/><Relationship Id="rId3" Type="http://schemas.openxmlformats.org/officeDocument/2006/relationships/hyperlink" Target="https://ratgeber.immowelt.de/a/steuern-sparen-mit-immobilien-afa-nutzen.html" TargetMode="External"/><Relationship Id="rId7" Type="http://schemas.openxmlformats.org/officeDocument/2006/relationships/hyperlink" Target="https://www.bmwsb.bund.de/SharedDocs/kurzmeldungen/Webs/BMWSB/DE/2024/03/degressive-afa.html" TargetMode="External"/><Relationship Id="rId12" Type="http://schemas.openxmlformats.org/officeDocument/2006/relationships/hyperlink" Target="https://index.fmh.de/fmh-index/ueberblick/" TargetMode="External"/><Relationship Id="rId2" Type="http://schemas.openxmlformats.org/officeDocument/2006/relationships/hyperlink" Target="https://www.opportunityfinder.de/index.php/2017/11/26/immobilien-rendite-berechnen-excel-kostenlos/" TargetMode="External"/><Relationship Id="rId16" Type="http://schemas.openxmlformats.org/officeDocument/2006/relationships/drawing" Target="../drawings/drawing1.xml"/><Relationship Id="rId1" Type="http://schemas.openxmlformats.org/officeDocument/2006/relationships/hyperlink" Target="https://www.jeder-kann-immobilien.de/immobilien-rendite-berechnen/" TargetMode="External"/><Relationship Id="rId6" Type="http://schemas.openxmlformats.org/officeDocument/2006/relationships/hyperlink" Target="https://www.finanztip.de/baufinanzierung/immobilie-kapitalanlage/" TargetMode="External"/><Relationship Id="rId11" Type="http://schemas.openxmlformats.org/officeDocument/2006/relationships/hyperlink" Target="https://www.baumeister-online.de/nachricht/bundesrat-stimmt-wachstumschancengesetz-zu-degressive-afa-kommt/" TargetMode="External"/><Relationship Id="rId5" Type="http://schemas.openxmlformats.org/officeDocument/2006/relationships/hyperlink" Target="https://immobilien.sparkasse.de/immobilienrechner/baukostenrechner.html" TargetMode="External"/><Relationship Id="rId15" Type="http://schemas.openxmlformats.org/officeDocument/2006/relationships/printerSettings" Target="../printerSettings/printerSettings1.bin"/><Relationship Id="rId10" Type="http://schemas.openxmlformats.org/officeDocument/2006/relationships/hyperlink" Target="https://www.faz.net/aktuell/finanzen/immobilien-zuegig-abschreiben-18599959.html?GEPC=s9&amp;premium=0x7494819a022a81a9f4a3f62686ef14c0561c950eb4a44415571570d2646fe373" TargetMode="External"/><Relationship Id="rId4" Type="http://schemas.openxmlformats.org/officeDocument/2006/relationships/hyperlink" Target="http://www.faz.net/aktuell/finanzen/meine-finanzen/vermoegensfragen/die-vermoegensfrage-was-werfen-immobilien-eigentlich-genau-ab-13162634.html" TargetMode="External"/><Relationship Id="rId9" Type="http://schemas.openxmlformats.org/officeDocument/2006/relationships/hyperlink" Target="https://prozentguru.de/gebaeude-afa-3-prozent/" TargetMode="External"/><Relationship Id="rId14" Type="http://schemas.openxmlformats.org/officeDocument/2006/relationships/hyperlink" Target="https://www.faz.net/aktuell/finanzen/volker-looman/immobilien-besitzer-warum-eine-gmbh-gruendung-eine-steuerfalle-ist-18624645.html?premium=0xaaa9fab4eb295b4a46c9cf22b140a7693c7fb11727a5508bdd1f336746f3105b?GEPC=s9&amp;premium=0xaaa9fab4eb295b4a46c9cf22b140a7693c7fb11727a5508bdd1f336746f3105b"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haufe.de/immobilien/investment/gebaeude-afa-nutzungsdauer-bei-abschreibung-von-immobilien_256_566570.html" TargetMode="External"/><Relationship Id="rId1" Type="http://schemas.openxmlformats.org/officeDocument/2006/relationships/hyperlink" Target="http://www.immobilienmarktbericht-deutschland.info/onlinedienste/bodenrichtwerte/bodenrichtwerte-online-72280.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prozentguru.de/gebaeude-afa-3-prozent/" TargetMode="External"/><Relationship Id="rId7" Type="http://schemas.openxmlformats.org/officeDocument/2006/relationships/drawing" Target="../drawings/drawing2.xml"/><Relationship Id="rId2" Type="http://schemas.openxmlformats.org/officeDocument/2006/relationships/hyperlink" Target="https://www.haufe.de/immobilien/wirtschaft-politik/abschreibung-beim-mietwohnungsbau_84342_572146.html" TargetMode="External"/><Relationship Id="rId1" Type="http://schemas.openxmlformats.org/officeDocument/2006/relationships/hyperlink" Target="https://www.bmwsb.bund.de/SharedDocs/kurzmeldungen/Webs/BMWSB/DE/2024/03/degressive-afa.html" TargetMode="External"/><Relationship Id="rId6" Type="http://schemas.openxmlformats.org/officeDocument/2006/relationships/printerSettings" Target="../printerSettings/printerSettings3.bin"/><Relationship Id="rId5" Type="http://schemas.openxmlformats.org/officeDocument/2006/relationships/hyperlink" Target="https://www.haufe.de/immobilien/investment/gebaeude-afa-nutzungsdauer-bei-abschreibung-von-immobilien_256_566570.html" TargetMode="External"/><Relationship Id="rId4" Type="http://schemas.openxmlformats.org/officeDocument/2006/relationships/hyperlink" Target="https://www.haufe.de/immobilien/investment/gebaeude-afa-nutzungsdauer-bei-abschreibung-von-immobilien_256_566570.html" TargetMode="External"/><Relationship Id="rId9"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4"/>
  <sheetViews>
    <sheetView workbookViewId="0">
      <pane ySplit="4" topLeftCell="A25" activePane="bottomLeft" state="frozen"/>
      <selection pane="bottomLeft" activeCell="F10" sqref="F10"/>
    </sheetView>
  </sheetViews>
  <sheetFormatPr defaultColWidth="11.33203125" defaultRowHeight="13.95" customHeight="1"/>
  <cols>
    <col min="1" max="1" width="40.5546875" style="55" customWidth="1"/>
    <col min="2" max="6" width="11.33203125" style="55"/>
    <col min="7" max="7" width="17.109375" style="55" customWidth="1"/>
    <col min="8" max="8" width="7.44140625" style="55" customWidth="1"/>
    <col min="9" max="9" width="17.77734375" style="55" customWidth="1"/>
    <col min="10" max="16384" width="11.33203125" style="55"/>
  </cols>
  <sheetData>
    <row r="1" spans="1:9" ht="21.9" customHeight="1">
      <c r="A1" s="53" t="s">
        <v>202</v>
      </c>
      <c r="B1" s="54"/>
      <c r="C1" s="54"/>
      <c r="D1" s="54"/>
      <c r="F1" s="285"/>
      <c r="G1" s="286"/>
      <c r="H1" s="285"/>
      <c r="I1" s="287"/>
    </row>
    <row r="2" spans="1:9" ht="21.9" customHeight="1">
      <c r="A2" s="53"/>
      <c r="B2" s="54"/>
      <c r="C2" s="54"/>
      <c r="D2" s="54"/>
      <c r="E2" s="54"/>
      <c r="F2" s="54"/>
      <c r="G2" s="54"/>
    </row>
    <row r="3" spans="1:9" ht="21.9" customHeight="1">
      <c r="A3" s="126" t="s">
        <v>258</v>
      </c>
      <c r="B3" s="123"/>
      <c r="C3" s="124"/>
      <c r="D3" s="124"/>
      <c r="E3" s="124"/>
      <c r="F3" s="124"/>
      <c r="G3" s="124"/>
    </row>
    <row r="4" spans="1:9" ht="21.9" customHeight="1">
      <c r="A4" s="125" t="s">
        <v>177</v>
      </c>
      <c r="B4" s="124"/>
      <c r="C4" s="124"/>
      <c r="D4" s="124"/>
      <c r="E4" s="124"/>
      <c r="F4" s="123"/>
      <c r="G4" s="123"/>
    </row>
    <row r="6" spans="1:9" ht="20.7" customHeight="1">
      <c r="A6" s="57" t="s">
        <v>2</v>
      </c>
    </row>
    <row r="7" spans="1:9" ht="20.7" customHeight="1">
      <c r="A7" s="64" t="s">
        <v>3</v>
      </c>
      <c r="B7" s="65"/>
      <c r="C7" s="56"/>
    </row>
    <row r="8" spans="1:9" ht="20.7" customHeight="1">
      <c r="A8" s="64" t="s">
        <v>4</v>
      </c>
      <c r="B8" s="66"/>
      <c r="C8" s="58"/>
      <c r="D8" s="57"/>
      <c r="E8" s="57"/>
    </row>
    <row r="9" spans="1:9" ht="20.7" customHeight="1">
      <c r="A9" s="57"/>
      <c r="B9" s="57"/>
      <c r="C9" s="57"/>
      <c r="D9" s="57"/>
      <c r="E9" s="57"/>
    </row>
    <row r="10" spans="1:9" ht="20.7" customHeight="1">
      <c r="A10" s="128" t="s">
        <v>5</v>
      </c>
    </row>
    <row r="11" spans="1:9" ht="12" customHeight="1">
      <c r="A11" s="121"/>
    </row>
    <row r="12" spans="1:9" ht="22.2" customHeight="1">
      <c r="A12" s="122" t="s">
        <v>251</v>
      </c>
    </row>
    <row r="13" spans="1:9" ht="22.05" customHeight="1">
      <c r="A13" s="122" t="s">
        <v>254</v>
      </c>
    </row>
    <row r="14" spans="1:9" ht="22.05" customHeight="1">
      <c r="A14" s="122" t="s">
        <v>255</v>
      </c>
    </row>
    <row r="15" spans="1:9" ht="22.05" customHeight="1">
      <c r="A15" s="122" t="s">
        <v>252</v>
      </c>
    </row>
    <row r="16" spans="1:9" ht="22.05" customHeight="1">
      <c r="A16" s="122" t="s">
        <v>257</v>
      </c>
    </row>
    <row r="17" spans="1:6" ht="22.05" customHeight="1">
      <c r="A17" s="122" t="s">
        <v>256</v>
      </c>
    </row>
    <row r="18" spans="1:6" ht="22.05" customHeight="1">
      <c r="A18" s="122" t="s">
        <v>253</v>
      </c>
    </row>
    <row r="19" spans="1:6" ht="12" customHeight="1"/>
    <row r="20" spans="1:6" ht="20.7" customHeight="1">
      <c r="A20" s="57" t="s">
        <v>580</v>
      </c>
      <c r="B20" s="129"/>
      <c r="C20" s="129"/>
      <c r="D20" s="129"/>
      <c r="E20" s="129"/>
      <c r="F20" s="129"/>
    </row>
    <row r="21" spans="1:6" ht="20.7" customHeight="1">
      <c r="A21" s="63" t="s">
        <v>581</v>
      </c>
    </row>
    <row r="22" spans="1:6" ht="20.7" customHeight="1">
      <c r="A22" s="63" t="s">
        <v>274</v>
      </c>
    </row>
    <row r="23" spans="1:6" ht="20.7" customHeight="1">
      <c r="A23" s="63" t="s">
        <v>275</v>
      </c>
    </row>
    <row r="24" spans="1:6" ht="20.7" customHeight="1">
      <c r="A24" s="63"/>
    </row>
    <row r="25" spans="1:6" ht="20.7" customHeight="1">
      <c r="A25" s="63" t="s">
        <v>6</v>
      </c>
    </row>
    <row r="26" spans="1:6" ht="20.7" customHeight="1">
      <c r="A26" s="63" t="s">
        <v>7</v>
      </c>
    </row>
    <row r="27" spans="1:6" ht="20.7" customHeight="1">
      <c r="A27" s="63" t="s">
        <v>271</v>
      </c>
      <c r="D27" s="130"/>
    </row>
    <row r="28" spans="1:6" ht="20.7" customHeight="1">
      <c r="A28" s="63" t="s">
        <v>260</v>
      </c>
    </row>
    <row r="29" spans="1:6" ht="20.7" customHeight="1">
      <c r="A29" s="63" t="s">
        <v>261</v>
      </c>
    </row>
    <row r="30" spans="1:6" ht="20.7" customHeight="1">
      <c r="A30" s="63" t="s">
        <v>262</v>
      </c>
    </row>
    <row r="31" spans="1:6" ht="20.7" customHeight="1">
      <c r="A31" s="63" t="s">
        <v>263</v>
      </c>
    </row>
    <row r="32" spans="1:6" ht="20.7" customHeight="1">
      <c r="A32" s="63" t="s">
        <v>264</v>
      </c>
    </row>
    <row r="33" spans="1:10" ht="20.7" customHeight="1">
      <c r="A33" s="63" t="s">
        <v>265</v>
      </c>
    </row>
    <row r="34" spans="1:10" ht="20.7" customHeight="1">
      <c r="A34" s="63" t="s">
        <v>266</v>
      </c>
    </row>
    <row r="35" spans="1:10" ht="20.7" customHeight="1">
      <c r="A35" s="63" t="s">
        <v>267</v>
      </c>
    </row>
    <row r="36" spans="1:10" ht="20.7" customHeight="1">
      <c r="A36" s="63" t="s">
        <v>268</v>
      </c>
    </row>
    <row r="37" spans="1:10" ht="20.7" customHeight="1">
      <c r="A37" s="63" t="s">
        <v>269</v>
      </c>
    </row>
    <row r="38" spans="1:10" ht="20.7" customHeight="1">
      <c r="A38" s="55" t="s">
        <v>270</v>
      </c>
    </row>
    <row r="39" spans="1:10" ht="20.7" customHeight="1"/>
    <row r="40" spans="1:10" ht="20.7" customHeight="1">
      <c r="A40" s="131" t="s">
        <v>8</v>
      </c>
      <c r="B40" s="132"/>
      <c r="C40" s="132"/>
      <c r="D40" s="132"/>
      <c r="E40" s="132"/>
      <c r="F40" s="132"/>
      <c r="G40" s="132"/>
      <c r="H40" s="132"/>
      <c r="I40" s="132"/>
      <c r="J40" s="132"/>
    </row>
    <row r="41" spans="1:10" ht="20.7" customHeight="1">
      <c r="A41" s="109" t="s">
        <v>9</v>
      </c>
      <c r="B41" s="110"/>
      <c r="C41" s="110"/>
      <c r="D41" s="110"/>
      <c r="E41" s="110"/>
      <c r="F41" s="132"/>
      <c r="G41" s="132"/>
      <c r="H41" s="132"/>
      <c r="I41" s="132"/>
      <c r="J41" s="132"/>
    </row>
    <row r="42" spans="1:10" ht="20.7" customHeight="1">
      <c r="A42" s="111" t="s">
        <v>273</v>
      </c>
      <c r="B42" s="110"/>
      <c r="C42" s="110"/>
      <c r="D42" s="110"/>
      <c r="E42" s="110"/>
      <c r="F42" s="132"/>
      <c r="G42" s="132"/>
      <c r="H42" s="132"/>
      <c r="I42" s="132"/>
      <c r="J42" s="132"/>
    </row>
    <row r="43" spans="1:10" ht="20.7" customHeight="1">
      <c r="A43" s="111" t="s">
        <v>272</v>
      </c>
      <c r="B43" s="110"/>
      <c r="C43" s="110"/>
      <c r="D43" s="110"/>
      <c r="E43" s="110"/>
      <c r="F43" s="132"/>
      <c r="G43" s="132"/>
      <c r="H43" s="132"/>
      <c r="I43" s="132"/>
      <c r="J43" s="132"/>
    </row>
    <row r="44" spans="1:10" ht="42" customHeight="1">
      <c r="A44" s="486"/>
      <c r="B44" s="486"/>
      <c r="C44" s="486"/>
    </row>
    <row r="45" spans="1:10" ht="20.7" customHeight="1">
      <c r="A45" s="127"/>
    </row>
    <row r="46" spans="1:10" ht="20.7" customHeight="1">
      <c r="A46" s="59"/>
    </row>
    <row r="47" spans="1:10" ht="20.7" customHeight="1">
      <c r="A47" s="59"/>
    </row>
    <row r="48" spans="1:10" ht="20.7" customHeight="1">
      <c r="A48" s="318"/>
    </row>
    <row r="49" spans="1:5" ht="20.7" customHeight="1">
      <c r="A49" s="101"/>
    </row>
    <row r="50" spans="1:5" ht="20.7" customHeight="1">
      <c r="A50" s="59"/>
    </row>
    <row r="51" spans="1:5" ht="20.7" customHeight="1">
      <c r="A51" s="59"/>
    </row>
    <row r="52" spans="1:5" ht="20.7" customHeight="1">
      <c r="A52" s="129" t="s">
        <v>193</v>
      </c>
      <c r="B52" s="129"/>
      <c r="C52" s="129"/>
      <c r="D52" s="129"/>
      <c r="E52" s="129"/>
    </row>
    <row r="53" spans="1:5" ht="20.7" customHeight="1">
      <c r="A53" s="101" t="s">
        <v>190</v>
      </c>
    </row>
    <row r="54" spans="1:5" ht="20.7" customHeight="1">
      <c r="A54" s="101" t="s">
        <v>191</v>
      </c>
    </row>
    <row r="55" spans="1:5" ht="20.7" customHeight="1">
      <c r="A55" s="101" t="s">
        <v>192</v>
      </c>
    </row>
    <row r="56" spans="1:5" ht="20.7" customHeight="1">
      <c r="A56" s="101" t="s">
        <v>223</v>
      </c>
    </row>
    <row r="57" spans="1:5" ht="20.7" customHeight="1">
      <c r="A57" s="101" t="s">
        <v>237</v>
      </c>
    </row>
    <row r="58" spans="1:5" ht="20.7" customHeight="1">
      <c r="A58" s="101" t="s">
        <v>238</v>
      </c>
    </row>
    <row r="59" spans="1:5" ht="20.7" customHeight="1">
      <c r="A59" s="101" t="s">
        <v>560</v>
      </c>
    </row>
    <row r="60" spans="1:5" ht="20.7" customHeight="1">
      <c r="A60" s="442" t="s">
        <v>582</v>
      </c>
    </row>
    <row r="61" spans="1:5" ht="20.7" customHeight="1">
      <c r="A61" s="442" t="s">
        <v>584</v>
      </c>
    </row>
    <row r="62" spans="1:5" ht="20.7" customHeight="1">
      <c r="A62" s="442"/>
    </row>
    <row r="63" spans="1:5" ht="20.7" customHeight="1">
      <c r="A63" s="442"/>
    </row>
    <row r="64" spans="1:5" ht="20.7" customHeight="1"/>
    <row r="65" spans="1:9" ht="20.7" customHeight="1">
      <c r="A65" s="358" t="s">
        <v>422</v>
      </c>
    </row>
    <row r="66" spans="1:9" ht="20.7" customHeight="1">
      <c r="A66" s="360" t="s">
        <v>432</v>
      </c>
      <c r="B66" s="101" t="s">
        <v>431</v>
      </c>
    </row>
    <row r="67" spans="1:9" ht="20.7" customHeight="1">
      <c r="A67" s="359" t="s">
        <v>423</v>
      </c>
    </row>
    <row r="68" spans="1:9" ht="20.7" customHeight="1">
      <c r="A68" s="359" t="s">
        <v>424</v>
      </c>
    </row>
    <row r="69" spans="1:9" ht="20.7" customHeight="1">
      <c r="A69" s="359" t="s">
        <v>425</v>
      </c>
    </row>
    <row r="70" spans="1:9" ht="20.7" customHeight="1">
      <c r="A70" s="359" t="s">
        <v>426</v>
      </c>
    </row>
    <row r="71" spans="1:9" ht="20.7" customHeight="1">
      <c r="A71" s="359" t="s">
        <v>427</v>
      </c>
    </row>
    <row r="72" spans="1:9" ht="20.7" customHeight="1">
      <c r="A72" s="359" t="s">
        <v>428</v>
      </c>
    </row>
    <row r="73" spans="1:9" ht="20.7" customHeight="1">
      <c r="A73" s="359" t="s">
        <v>429</v>
      </c>
    </row>
    <row r="74" spans="1:9" ht="20.7" customHeight="1">
      <c r="A74" s="359" t="s">
        <v>430</v>
      </c>
    </row>
    <row r="75" spans="1:9" ht="20.7" customHeight="1"/>
    <row r="76" spans="1:9" ht="20.7" customHeight="1">
      <c r="A76" s="116" t="s">
        <v>433</v>
      </c>
    </row>
    <row r="77" spans="1:9" ht="67.2" customHeight="1">
      <c r="A77" s="487" t="s">
        <v>434</v>
      </c>
      <c r="B77" s="487"/>
      <c r="C77" s="487"/>
      <c r="D77" s="487"/>
      <c r="E77" s="487"/>
      <c r="F77" s="487"/>
      <c r="G77" s="487"/>
      <c r="H77" s="487"/>
      <c r="I77" s="487"/>
    </row>
    <row r="78" spans="1:9" ht="20.7" customHeight="1"/>
    <row r="79" spans="1:9" ht="20.7" customHeight="1"/>
    <row r="80" spans="1:9" ht="20.7" customHeight="1">
      <c r="A80" s="358" t="s">
        <v>435</v>
      </c>
    </row>
    <row r="81" spans="1:9" ht="20.7" customHeight="1">
      <c r="A81" s="360" t="s">
        <v>432</v>
      </c>
      <c r="B81" s="101" t="s">
        <v>439</v>
      </c>
    </row>
    <row r="82" spans="1:9" ht="33.6" customHeight="1">
      <c r="A82" s="487" t="s">
        <v>436</v>
      </c>
      <c r="B82" s="487"/>
      <c r="C82" s="487"/>
      <c r="D82" s="487"/>
      <c r="E82" s="487"/>
      <c r="F82" s="487"/>
      <c r="G82" s="487"/>
      <c r="H82" s="487"/>
      <c r="I82" s="487"/>
    </row>
    <row r="83" spans="1:9" ht="33.6" customHeight="1">
      <c r="A83" s="487" t="s">
        <v>437</v>
      </c>
      <c r="B83" s="487"/>
      <c r="C83" s="487"/>
      <c r="D83" s="487"/>
      <c r="E83" s="487"/>
      <c r="F83" s="487"/>
      <c r="G83" s="487"/>
      <c r="H83" s="487"/>
      <c r="I83" s="487"/>
    </row>
    <row r="84" spans="1:9" ht="18" customHeight="1">
      <c r="A84" s="487" t="s">
        <v>438</v>
      </c>
      <c r="B84" s="487"/>
      <c r="C84" s="487"/>
      <c r="D84" s="487"/>
      <c r="E84" s="487"/>
      <c r="F84" s="487"/>
      <c r="G84" s="487"/>
      <c r="H84" s="487"/>
      <c r="I84" s="487"/>
    </row>
    <row r="86" spans="1:9" ht="13.95" customHeight="1">
      <c r="A86" s="433" t="s">
        <v>497</v>
      </c>
      <c r="B86" s="101" t="s">
        <v>449</v>
      </c>
    </row>
    <row r="87" spans="1:9" ht="13.95" customHeight="1">
      <c r="A87" s="433" t="s">
        <v>497</v>
      </c>
      <c r="B87" s="101" t="s">
        <v>564</v>
      </c>
    </row>
    <row r="93" spans="1:9" s="440" customFormat="1" ht="31.2" customHeight="1">
      <c r="A93" s="439" t="s">
        <v>565</v>
      </c>
      <c r="B93"/>
      <c r="C93"/>
      <c r="D93"/>
      <c r="E93"/>
      <c r="F93"/>
      <c r="G93"/>
      <c r="H93"/>
      <c r="I93"/>
    </row>
    <row r="94" spans="1:9" s="440" customFormat="1" ht="13.95" customHeight="1">
      <c r="A94"/>
      <c r="B94"/>
      <c r="C94"/>
      <c r="D94"/>
      <c r="E94"/>
      <c r="F94"/>
      <c r="G94"/>
      <c r="H94"/>
      <c r="I94"/>
    </row>
    <row r="95" spans="1:9" s="440" customFormat="1" ht="13.95" customHeight="1">
      <c r="A95" s="436" t="s">
        <v>576</v>
      </c>
      <c r="B95"/>
      <c r="C95"/>
      <c r="D95"/>
      <c r="E95"/>
      <c r="F95"/>
      <c r="G95"/>
      <c r="H95"/>
      <c r="I95"/>
    </row>
    <row r="96" spans="1:9" s="440" customFormat="1" ht="13.95" customHeight="1">
      <c r="A96" s="436" t="s">
        <v>577</v>
      </c>
      <c r="B96"/>
      <c r="C96"/>
      <c r="D96"/>
      <c r="E96"/>
      <c r="F96"/>
      <c r="G96"/>
      <c r="H96"/>
      <c r="I96"/>
    </row>
    <row r="97" spans="1:9" s="440" customFormat="1" ht="13.95" customHeight="1">
      <c r="A97" s="436" t="s">
        <v>566</v>
      </c>
      <c r="B97"/>
      <c r="C97"/>
      <c r="D97"/>
      <c r="E97"/>
      <c r="F97"/>
      <c r="G97"/>
      <c r="H97"/>
      <c r="I97"/>
    </row>
    <row r="98" spans="1:9" s="440" customFormat="1" ht="13.95" customHeight="1">
      <c r="B98"/>
      <c r="C98"/>
      <c r="D98"/>
      <c r="E98"/>
      <c r="F98"/>
      <c r="G98"/>
      <c r="H98"/>
      <c r="I98"/>
    </row>
    <row r="99" spans="1:9" s="440" customFormat="1" ht="13.95" customHeight="1">
      <c r="B99"/>
      <c r="C99"/>
      <c r="D99"/>
      <c r="E99"/>
      <c r="F99"/>
      <c r="G99"/>
      <c r="H99"/>
      <c r="I99"/>
    </row>
    <row r="100" spans="1:9" s="440" customFormat="1" ht="13.95" customHeight="1">
      <c r="B100"/>
      <c r="C100"/>
      <c r="D100"/>
      <c r="E100"/>
      <c r="F100"/>
      <c r="G100"/>
      <c r="H100"/>
      <c r="I100"/>
    </row>
    <row r="101" spans="1:9" s="440" customFormat="1" ht="13.95" customHeight="1"/>
    <row r="102" spans="1:9" s="440" customFormat="1" ht="13.95" customHeight="1"/>
    <row r="103" spans="1:9" s="440" customFormat="1" ht="13.95" customHeight="1"/>
    <row r="104" spans="1:9" s="440" customFormat="1" ht="13.95" customHeight="1">
      <c r="A104" s="436"/>
      <c r="B104"/>
      <c r="C104"/>
      <c r="D104"/>
      <c r="E104"/>
      <c r="F104"/>
      <c r="G104"/>
      <c r="H104"/>
      <c r="I104"/>
    </row>
    <row r="105" spans="1:9" s="440" customFormat="1" ht="13.95" customHeight="1">
      <c r="A105" s="436"/>
      <c r="B105"/>
      <c r="C105"/>
      <c r="D105"/>
      <c r="E105"/>
      <c r="F105"/>
      <c r="G105"/>
      <c r="H105"/>
      <c r="I105"/>
    </row>
    <row r="106" spans="1:9" s="440" customFormat="1" ht="13.95" customHeight="1">
      <c r="A106" s="436" t="s">
        <v>579</v>
      </c>
    </row>
    <row r="107" spans="1:9" s="440" customFormat="1" ht="13.95" customHeight="1">
      <c r="A107" s="436" t="s">
        <v>578</v>
      </c>
      <c r="B107"/>
      <c r="C107"/>
      <c r="D107"/>
      <c r="E107"/>
      <c r="F107"/>
      <c r="G107"/>
      <c r="H107"/>
      <c r="I107"/>
    </row>
    <row r="108" spans="1:9" s="440" customFormat="1" ht="13.95" customHeight="1">
      <c r="A108" s="436" t="s">
        <v>567</v>
      </c>
      <c r="B108"/>
      <c r="C108"/>
      <c r="D108"/>
      <c r="E108"/>
      <c r="F108"/>
      <c r="G108"/>
      <c r="H108"/>
      <c r="I108"/>
    </row>
    <row r="109" spans="1:9" s="440" customFormat="1" ht="13.95" customHeight="1">
      <c r="A109" s="436"/>
      <c r="B109"/>
      <c r="C109"/>
      <c r="D109"/>
      <c r="E109"/>
      <c r="F109"/>
      <c r="G109"/>
      <c r="H109"/>
      <c r="I109"/>
    </row>
    <row r="110" spans="1:9" s="440" customFormat="1" ht="13.95" customHeight="1">
      <c r="A110" s="436" t="s">
        <v>568</v>
      </c>
      <c r="B110"/>
      <c r="C110"/>
      <c r="D110"/>
      <c r="E110"/>
      <c r="F110"/>
      <c r="G110"/>
      <c r="H110"/>
      <c r="I110"/>
    </row>
    <row r="111" spans="1:9" ht="13.95" customHeight="1" thickBot="1">
      <c r="A111" s="434"/>
      <c r="B111"/>
      <c r="C111"/>
      <c r="D111"/>
      <c r="E111"/>
      <c r="F111"/>
      <c r="G111"/>
      <c r="H111"/>
      <c r="I111"/>
    </row>
    <row r="112" spans="1:9" ht="15.6" customHeight="1">
      <c r="A112" s="465"/>
      <c r="B112" s="468" t="s">
        <v>569</v>
      </c>
      <c r="C112" s="469"/>
      <c r="D112" s="469"/>
      <c r="E112" s="469"/>
      <c r="F112" s="470"/>
      <c r="G112" s="477" t="s">
        <v>572</v>
      </c>
      <c r="H112" s="478"/>
      <c r="I112" s="479"/>
    </row>
    <row r="113" spans="1:9" ht="15.6" customHeight="1">
      <c r="A113" s="466"/>
      <c r="B113" s="471" t="s">
        <v>570</v>
      </c>
      <c r="C113" s="472"/>
      <c r="D113" s="472"/>
      <c r="E113" s="472"/>
      <c r="F113" s="473"/>
      <c r="G113" s="480" t="s">
        <v>573</v>
      </c>
      <c r="H113" s="481"/>
      <c r="I113" s="482"/>
    </row>
    <row r="114" spans="1:9" ht="15.6" customHeight="1" thickBot="1">
      <c r="A114" s="467"/>
      <c r="B114" s="474" t="s">
        <v>571</v>
      </c>
      <c r="C114" s="475"/>
      <c r="D114" s="475"/>
      <c r="E114" s="475"/>
      <c r="F114" s="476"/>
      <c r="G114" s="483"/>
      <c r="H114" s="484"/>
      <c r="I114" s="485"/>
    </row>
    <row r="115" spans="1:9" ht="13.95" customHeight="1" thickBot="1">
      <c r="A115" s="435"/>
      <c r="B115" s="462" t="s">
        <v>574</v>
      </c>
      <c r="C115" s="463"/>
      <c r="D115" s="463"/>
      <c r="E115" s="463"/>
      <c r="F115" s="463"/>
      <c r="G115" s="463"/>
      <c r="H115" s="463"/>
      <c r="I115" s="464"/>
    </row>
    <row r="116" spans="1:9" ht="13.95" customHeight="1" thickBot="1">
      <c r="A116" s="437" t="s">
        <v>168</v>
      </c>
      <c r="B116" s="441">
        <v>0.01</v>
      </c>
      <c r="C116" s="441">
        <v>0.02</v>
      </c>
      <c r="D116" s="441">
        <v>0.03</v>
      </c>
      <c r="E116" s="441">
        <v>0.04</v>
      </c>
      <c r="F116" s="441">
        <v>0.05</v>
      </c>
      <c r="G116" s="441">
        <v>0.06</v>
      </c>
      <c r="H116" s="441">
        <v>7.0000000000000007E-2</v>
      </c>
      <c r="I116" s="441">
        <v>0.08</v>
      </c>
    </row>
    <row r="117" spans="1:9" ht="13.95" customHeight="1" thickBot="1">
      <c r="A117" s="438">
        <v>0.01</v>
      </c>
      <c r="B117" s="449">
        <v>69.3</v>
      </c>
      <c r="C117" s="449">
        <v>55</v>
      </c>
      <c r="D117" s="449">
        <v>46.3</v>
      </c>
      <c r="E117" s="449">
        <v>40.299999999999997</v>
      </c>
      <c r="F117" s="449">
        <v>35.9</v>
      </c>
      <c r="G117" s="449">
        <v>32.5</v>
      </c>
      <c r="H117" s="449">
        <v>29.8</v>
      </c>
      <c r="I117" s="449">
        <v>27.6</v>
      </c>
    </row>
    <row r="118" spans="1:9" ht="13.95" customHeight="1" thickBot="1">
      <c r="A118" s="438">
        <v>0.02</v>
      </c>
      <c r="B118" s="449">
        <v>40.6</v>
      </c>
      <c r="C118" s="449">
        <v>34.700000000000003</v>
      </c>
      <c r="D118" s="449">
        <v>30.6</v>
      </c>
      <c r="E118" s="449">
        <v>27.5</v>
      </c>
      <c r="F118" s="449">
        <v>25.1</v>
      </c>
      <c r="G118" s="449">
        <v>23.2</v>
      </c>
      <c r="H118" s="449">
        <v>21.5</v>
      </c>
      <c r="I118" s="449">
        <v>20.2</v>
      </c>
    </row>
    <row r="119" spans="1:9" ht="13.95" customHeight="1" thickBot="1">
      <c r="A119" s="438">
        <v>0.03</v>
      </c>
      <c r="B119" s="449">
        <v>28.8</v>
      </c>
      <c r="C119" s="449">
        <v>25.6</v>
      </c>
      <c r="D119" s="449">
        <v>23.1</v>
      </c>
      <c r="E119" s="449">
        <v>21.2</v>
      </c>
      <c r="F119" s="449">
        <v>19.7</v>
      </c>
      <c r="G119" s="449">
        <v>18.399999999999999</v>
      </c>
      <c r="H119" s="449">
        <v>17.2</v>
      </c>
      <c r="I119" s="449">
        <v>16.3</v>
      </c>
    </row>
    <row r="120" spans="1:9" ht="13.95" customHeight="1" thickBot="1">
      <c r="A120" s="438">
        <v>0.04</v>
      </c>
      <c r="B120" s="449">
        <v>22.3</v>
      </c>
      <c r="C120" s="449">
        <v>20.3</v>
      </c>
      <c r="D120" s="449">
        <v>18.7</v>
      </c>
      <c r="E120" s="449">
        <v>17.399999999999999</v>
      </c>
      <c r="F120" s="449">
        <v>16.3</v>
      </c>
      <c r="G120" s="449">
        <v>15.3</v>
      </c>
      <c r="H120" s="449">
        <v>14.5</v>
      </c>
      <c r="I120" s="449">
        <v>13.8</v>
      </c>
    </row>
    <row r="121" spans="1:9" ht="13.95" customHeight="1" thickBot="1">
      <c r="A121" s="438">
        <v>0.05</v>
      </c>
      <c r="B121" s="449">
        <v>18.2</v>
      </c>
      <c r="C121" s="449">
        <v>16.8</v>
      </c>
      <c r="D121" s="449">
        <v>15.7</v>
      </c>
      <c r="E121" s="449">
        <v>14.7</v>
      </c>
      <c r="F121" s="449">
        <v>13.9</v>
      </c>
      <c r="G121" s="449">
        <v>13.2</v>
      </c>
      <c r="H121" s="449">
        <v>12.5</v>
      </c>
      <c r="I121" s="449">
        <v>12</v>
      </c>
    </row>
    <row r="122" spans="1:9" ht="13.95" customHeight="1" thickBot="1">
      <c r="A122" s="438">
        <v>0.06</v>
      </c>
      <c r="B122" s="449">
        <v>15.4</v>
      </c>
      <c r="C122" s="449">
        <v>14.4</v>
      </c>
      <c r="D122" s="449">
        <v>13.5</v>
      </c>
      <c r="E122" s="449">
        <v>12.8</v>
      </c>
      <c r="F122" s="449">
        <v>12.1</v>
      </c>
      <c r="G122" s="449">
        <v>11.6</v>
      </c>
      <c r="H122" s="449">
        <v>11.1</v>
      </c>
      <c r="I122" s="449">
        <v>10.6</v>
      </c>
    </row>
    <row r="123" spans="1:9" ht="13.95" customHeight="1" thickBot="1">
      <c r="A123" s="438">
        <v>7.0000000000000007E-2</v>
      </c>
      <c r="B123" s="449">
        <v>13.4</v>
      </c>
      <c r="C123" s="449">
        <v>12.6</v>
      </c>
      <c r="D123" s="449">
        <v>11.9</v>
      </c>
      <c r="E123" s="449">
        <v>11.3</v>
      </c>
      <c r="F123" s="449">
        <v>10.8</v>
      </c>
      <c r="G123" s="449">
        <v>10.3</v>
      </c>
      <c r="H123" s="449">
        <v>9.9</v>
      </c>
      <c r="I123" s="449">
        <v>9.6</v>
      </c>
    </row>
    <row r="124" spans="1:9" ht="13.95" customHeight="1" thickBot="1">
      <c r="A124" s="438">
        <v>0.08</v>
      </c>
      <c r="B124" s="449">
        <v>11.8</v>
      </c>
      <c r="C124" s="449">
        <v>11.2</v>
      </c>
      <c r="D124" s="449">
        <v>10.6</v>
      </c>
      <c r="E124" s="449">
        <v>10.199999999999999</v>
      </c>
      <c r="F124" s="449">
        <v>9.6999999999999993</v>
      </c>
      <c r="G124" s="449">
        <v>9.4</v>
      </c>
      <c r="H124" s="449">
        <v>9</v>
      </c>
      <c r="I124" s="449">
        <v>8.6999999999999993</v>
      </c>
    </row>
    <row r="125" spans="1:9" ht="13.95" customHeight="1" thickBot="1">
      <c r="A125" s="438">
        <v>0.09</v>
      </c>
      <c r="B125" s="449">
        <v>10.5</v>
      </c>
      <c r="C125" s="449">
        <v>10</v>
      </c>
      <c r="D125" s="449">
        <v>9.6</v>
      </c>
      <c r="E125" s="449">
        <v>9.1999999999999993</v>
      </c>
      <c r="F125" s="449">
        <v>8.9</v>
      </c>
      <c r="G125" s="449">
        <v>8.5</v>
      </c>
      <c r="H125" s="449">
        <v>8.1999999999999993</v>
      </c>
      <c r="I125" s="449">
        <v>8</v>
      </c>
    </row>
    <row r="126" spans="1:9" ht="13.95" customHeight="1" thickBot="1">
      <c r="A126" s="438">
        <v>0.1</v>
      </c>
      <c r="B126" s="449">
        <v>9.5</v>
      </c>
      <c r="C126" s="449">
        <v>9.1</v>
      </c>
      <c r="D126" s="449">
        <v>8.8000000000000007</v>
      </c>
      <c r="E126" s="449">
        <v>8.4</v>
      </c>
      <c r="F126" s="449">
        <v>8.1</v>
      </c>
      <c r="G126" s="449">
        <v>7.9</v>
      </c>
      <c r="H126" s="449">
        <v>7.6</v>
      </c>
      <c r="I126" s="449">
        <v>7.4</v>
      </c>
    </row>
    <row r="127" spans="1:9" ht="13.95" customHeight="1">
      <c r="A127" s="436"/>
      <c r="B127"/>
      <c r="C127"/>
      <c r="D127"/>
      <c r="E127"/>
      <c r="F127"/>
      <c r="G127"/>
      <c r="H127"/>
      <c r="I127"/>
    </row>
    <row r="128" spans="1:9" s="440" customFormat="1" ht="13.95" customHeight="1">
      <c r="A128" s="436" t="s">
        <v>575</v>
      </c>
      <c r="B128"/>
      <c r="C128"/>
      <c r="D128"/>
      <c r="E128"/>
      <c r="F128"/>
      <c r="G128"/>
      <c r="H128"/>
      <c r="I128"/>
    </row>
    <row r="134" spans="1:2" ht="33" customHeight="1">
      <c r="A134" s="443" t="s">
        <v>583</v>
      </c>
      <c r="B134" s="442" t="s">
        <v>582</v>
      </c>
    </row>
  </sheetData>
  <sheetProtection selectLockedCells="1" selectUnlockedCells="1"/>
  <mergeCells count="13">
    <mergeCell ref="A44:C44"/>
    <mergeCell ref="A77:I77"/>
    <mergeCell ref="A82:I82"/>
    <mergeCell ref="A83:I83"/>
    <mergeCell ref="A84:I84"/>
    <mergeCell ref="B115:I115"/>
    <mergeCell ref="A112:A114"/>
    <mergeCell ref="B112:F112"/>
    <mergeCell ref="B113:F113"/>
    <mergeCell ref="B114:F114"/>
    <mergeCell ref="G112:I112"/>
    <mergeCell ref="G113:I113"/>
    <mergeCell ref="G114:I114"/>
  </mergeCells>
  <hyperlinks>
    <hyperlink ref="A53" r:id="rId1" xr:uid="{00000000-0004-0000-0000-000001000000}"/>
    <hyperlink ref="A54" r:id="rId2" xr:uid="{00000000-0004-0000-0000-000002000000}"/>
    <hyperlink ref="A55" r:id="rId3" xr:uid="{00000000-0004-0000-0000-000003000000}"/>
    <hyperlink ref="A56" r:id="rId4" xr:uid="{00000000-0004-0000-0000-000004000000}"/>
    <hyperlink ref="A57" r:id="rId5" xr:uid="{00000000-0004-0000-0000-000005000000}"/>
    <hyperlink ref="A58" r:id="rId6" xr:uid="{00000000-0004-0000-0000-000006000000}"/>
    <hyperlink ref="B66" r:id="rId7" xr:uid="{0667BEA2-B50E-43AC-AF4A-8A88A415B780}"/>
    <hyperlink ref="B81" r:id="rId8" xr:uid="{F647D757-6A0B-46D0-A5D4-933445C1C1E2}"/>
    <hyperlink ref="B86" r:id="rId9" xr:uid="{FA8D1986-0B23-4B2F-9E00-B16C7CA6EE99}"/>
    <hyperlink ref="A59" r:id="rId10" xr:uid="{1B395890-031A-4171-B5D2-BCC069DC5D9A}"/>
    <hyperlink ref="B87" r:id="rId11" xr:uid="{D90CC781-5CF5-4D69-B821-A2ECEDB346F0}"/>
    <hyperlink ref="B134" r:id="rId12" xr:uid="{566ED60A-E0D6-4F40-A3D9-092FE1E38000}"/>
    <hyperlink ref="A60" r:id="rId13" xr:uid="{F62A26BA-8FC9-45C0-980C-A6941B70AE53}"/>
    <hyperlink ref="A61" r:id="rId14" xr:uid="{E5CFD6D5-EF8C-47FC-9AB6-A5BF4DCEEB25}"/>
  </hyperlinks>
  <pageMargins left="0.78749999999999998" right="0.78749999999999998" top="1.0527777777777778" bottom="1.0527777777777778" header="0.78749999999999998" footer="0.78749999999999998"/>
  <pageSetup paperSize="9" firstPageNumber="0" orientation="portrait" horizontalDpi="300" verticalDpi="300" r:id="rId15"/>
  <headerFooter alignWithMargins="0">
    <oddHeader>&amp;C&amp;"Times New Roman,Regular"&amp;12&amp;A</oddHeader>
    <oddFooter>&amp;C&amp;"Times New Roman,Regular"&amp;12Page &amp;P</oddFooter>
  </headerFooter>
  <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9"/>
  <sheetViews>
    <sheetView topLeftCell="A53" zoomScale="90" zoomScaleNormal="90" workbookViewId="0">
      <pane xSplit="1" topLeftCell="B1" activePane="topRight" state="frozen"/>
      <selection pane="topRight" activeCell="D58" sqref="D58"/>
    </sheetView>
  </sheetViews>
  <sheetFormatPr defaultColWidth="11.5546875" defaultRowHeight="13.8"/>
  <cols>
    <col min="1" max="1" width="50.109375" style="3" customWidth="1"/>
    <col min="2" max="2" width="22.109375" style="3" customWidth="1"/>
    <col min="3" max="3" width="13.44140625" style="3" customWidth="1"/>
    <col min="4" max="4" width="6.88671875" style="3" customWidth="1"/>
    <col min="5" max="7" width="11.5546875" style="3"/>
    <col min="8" max="8" width="13.77734375" style="7" customWidth="1"/>
    <col min="9" max="9" width="14" style="7" customWidth="1"/>
    <col min="10" max="10" width="6.21875" style="7" customWidth="1"/>
    <col min="11" max="11" width="54.77734375" style="7" customWidth="1"/>
    <col min="12" max="12" width="19.21875" style="7" customWidth="1"/>
    <col min="13" max="13" width="13.6640625" style="7" customWidth="1"/>
    <col min="14" max="14" width="13.109375" style="7" customWidth="1"/>
    <col min="15" max="15" width="8.77734375" style="7" customWidth="1"/>
    <col min="16" max="16" width="8.44140625" style="7" customWidth="1"/>
    <col min="17" max="17" width="20.6640625" style="7" customWidth="1"/>
    <col min="18" max="18" width="7.5546875" style="7" customWidth="1"/>
    <col min="19" max="19" width="8.44140625" style="7" customWidth="1"/>
    <col min="20" max="16384" width="11.5546875" style="7"/>
  </cols>
  <sheetData>
    <row r="1" spans="1:16" ht="15" thickBot="1">
      <c r="A1" s="62" t="s">
        <v>0</v>
      </c>
      <c r="B1" s="61" t="s">
        <v>1</v>
      </c>
      <c r="C1" s="19"/>
      <c r="D1" s="4"/>
      <c r="F1" s="494" t="s">
        <v>183</v>
      </c>
      <c r="G1" s="495"/>
      <c r="H1" s="495"/>
      <c r="I1" s="496"/>
      <c r="M1" s="9" t="s">
        <v>125</v>
      </c>
      <c r="N1" s="10"/>
    </row>
    <row r="2" spans="1:16" ht="14.4">
      <c r="A2" s="6" t="s">
        <v>156</v>
      </c>
      <c r="B2" s="365" t="s">
        <v>448</v>
      </c>
      <c r="C2" s="366">
        <v>45684</v>
      </c>
      <c r="F2" s="81" t="s">
        <v>146</v>
      </c>
      <c r="G2" s="497" t="s">
        <v>194</v>
      </c>
      <c r="H2" s="497"/>
      <c r="I2" s="498"/>
      <c r="M2" s="11" t="s">
        <v>126</v>
      </c>
      <c r="N2" s="12">
        <v>0.05</v>
      </c>
      <c r="O2"/>
      <c r="P2"/>
    </row>
    <row r="3" spans="1:16" ht="15" thickBot="1">
      <c r="A3" s="26" t="s">
        <v>10</v>
      </c>
      <c r="B3" s="27">
        <v>45658</v>
      </c>
      <c r="C3" s="20" t="s">
        <v>11</v>
      </c>
      <c r="D3" s="22">
        <v>0</v>
      </c>
      <c r="F3" s="74" t="s">
        <v>228</v>
      </c>
      <c r="G3" s="83">
        <f>B7</f>
        <v>330</v>
      </c>
      <c r="H3" s="82" t="s">
        <v>178</v>
      </c>
      <c r="I3" s="84">
        <v>200</v>
      </c>
      <c r="M3" s="13" t="s">
        <v>127</v>
      </c>
      <c r="N3" s="14">
        <v>3.5000000000000003E-2</v>
      </c>
      <c r="O3"/>
      <c r="P3"/>
    </row>
    <row r="4" spans="1:16" ht="14.4">
      <c r="A4" s="28" t="s">
        <v>12</v>
      </c>
      <c r="B4" s="29">
        <f>Grundstück+Gebäude</f>
        <v>490000</v>
      </c>
      <c r="C4" s="22" t="str">
        <f>IF(C5+C6&lt;&gt;1," Check Anteile!","")</f>
        <v/>
      </c>
      <c r="M4" s="13" t="s">
        <v>128</v>
      </c>
      <c r="N4" s="14">
        <v>0.06</v>
      </c>
      <c r="O4"/>
      <c r="P4"/>
    </row>
    <row r="5" spans="1:16" ht="14.4">
      <c r="A5" s="26" t="s">
        <v>13</v>
      </c>
      <c r="B5" s="30">
        <v>120000</v>
      </c>
      <c r="C5" s="34">
        <f>Grundstück/B4</f>
        <v>0.24489795918367346</v>
      </c>
      <c r="D5" s="3" t="s">
        <v>160</v>
      </c>
      <c r="E5" s="5"/>
      <c r="H5" s="98">
        <f>Grundstück/I3</f>
        <v>600</v>
      </c>
      <c r="I5" s="99" t="s">
        <v>585</v>
      </c>
      <c r="J5" s="102" t="s">
        <v>224</v>
      </c>
      <c r="M5" s="13" t="s">
        <v>129</v>
      </c>
      <c r="N5" s="14">
        <v>6.5000000000000002E-2</v>
      </c>
      <c r="O5"/>
      <c r="P5"/>
    </row>
    <row r="6" spans="1:16" ht="14.4">
      <c r="A6" s="26" t="s">
        <v>14</v>
      </c>
      <c r="B6" s="30">
        <v>370000</v>
      </c>
      <c r="C6" s="34">
        <f>Gebäude/B4</f>
        <v>0.75510204081632648</v>
      </c>
      <c r="D6" s="3" t="s">
        <v>387</v>
      </c>
      <c r="M6" s="13" t="s">
        <v>130</v>
      </c>
      <c r="N6" s="14">
        <v>0.05</v>
      </c>
      <c r="O6" s="356"/>
      <c r="P6" s="356"/>
    </row>
    <row r="7" spans="1:16" ht="14.4">
      <c r="A7" s="26" t="s">
        <v>231</v>
      </c>
      <c r="B7" s="60">
        <v>330</v>
      </c>
      <c r="C7" s="35">
        <f>B4/B7</f>
        <v>1484.8484848484848</v>
      </c>
      <c r="D7" s="3" t="s">
        <v>232</v>
      </c>
      <c r="M7" s="13" t="s">
        <v>131</v>
      </c>
      <c r="N7" s="14">
        <v>4.4999999999999998E-2</v>
      </c>
      <c r="O7" s="356"/>
      <c r="P7" s="356"/>
    </row>
    <row r="8" spans="1:16" ht="14.4">
      <c r="A8" s="26" t="s">
        <v>15</v>
      </c>
      <c r="B8" s="31">
        <f>(Gebäude+Grundstück)*C8</f>
        <v>17493</v>
      </c>
      <c r="C8" s="36">
        <v>3.5700000000000003E-2</v>
      </c>
      <c r="D8" s="3" t="s">
        <v>16</v>
      </c>
      <c r="M8" s="13" t="s">
        <v>132</v>
      </c>
      <c r="N8" s="14">
        <v>0.06</v>
      </c>
      <c r="O8" s="356"/>
      <c r="P8" s="356"/>
    </row>
    <row r="9" spans="1:16" ht="14.4">
      <c r="A9" s="26" t="s">
        <v>17</v>
      </c>
      <c r="B9" s="31">
        <f>(Gebäude+Grundstück)*C9</f>
        <v>17493</v>
      </c>
      <c r="C9" s="36">
        <v>3.5700000000000003E-2</v>
      </c>
      <c r="D9" s="3" t="s">
        <v>201</v>
      </c>
      <c r="M9" s="13" t="s">
        <v>133</v>
      </c>
      <c r="N9" s="14">
        <v>0.05</v>
      </c>
      <c r="O9" s="356"/>
      <c r="P9" s="356"/>
    </row>
    <row r="10" spans="1:16" ht="14.4">
      <c r="A10" s="26" t="s">
        <v>124</v>
      </c>
      <c r="B10" s="31">
        <f>(Gebäude+Grundstück)*C10</f>
        <v>2450</v>
      </c>
      <c r="C10" s="37">
        <v>5.0000000000000001E-3</v>
      </c>
      <c r="D10" s="3" t="s">
        <v>225</v>
      </c>
      <c r="F10" s="8"/>
      <c r="M10" s="13" t="s">
        <v>134</v>
      </c>
      <c r="N10" s="14">
        <v>0.05</v>
      </c>
      <c r="O10" s="356"/>
      <c r="P10" s="356"/>
    </row>
    <row r="11" spans="1:16" ht="14.4">
      <c r="A11" s="26" t="s">
        <v>18</v>
      </c>
      <c r="B11" s="31">
        <f>(Gebäude+Grundstück)*C11</f>
        <v>7350</v>
      </c>
      <c r="C11" s="36">
        <v>1.4999999999999999E-2</v>
      </c>
      <c r="D11" s="3" t="s">
        <v>189</v>
      </c>
      <c r="M11" s="13" t="s">
        <v>135</v>
      </c>
      <c r="N11" s="14">
        <v>6.5000000000000002E-2</v>
      </c>
      <c r="O11" s="356"/>
      <c r="P11" s="356"/>
    </row>
    <row r="12" spans="1:16" ht="14.4">
      <c r="A12" s="354" t="s">
        <v>421</v>
      </c>
      <c r="B12" s="355">
        <v>0</v>
      </c>
      <c r="M12" s="13" t="s">
        <v>136</v>
      </c>
      <c r="N12" s="14">
        <v>0.05</v>
      </c>
      <c r="P12"/>
    </row>
    <row r="13" spans="1:16" ht="14.4">
      <c r="A13" s="32" t="s">
        <v>532</v>
      </c>
      <c r="B13" s="29">
        <f>SUM(B8:B12)</f>
        <v>44786</v>
      </c>
      <c r="C13" s="38">
        <f>SUM(C8:C11)</f>
        <v>9.1400000000000009E-2</v>
      </c>
      <c r="M13" s="13" t="s">
        <v>137</v>
      </c>
      <c r="N13" s="14">
        <v>6.5000000000000002E-2</v>
      </c>
      <c r="O13"/>
      <c r="P13"/>
    </row>
    <row r="14" spans="1:16" ht="14.4">
      <c r="A14" s="26" t="s">
        <v>247</v>
      </c>
      <c r="B14" s="30">
        <v>0</v>
      </c>
      <c r="C14" s="3" t="s">
        <v>245</v>
      </c>
      <c r="M14" s="13" t="s">
        <v>138</v>
      </c>
      <c r="N14" s="14">
        <v>3.5000000000000003E-2</v>
      </c>
      <c r="O14"/>
      <c r="P14"/>
    </row>
    <row r="15" spans="1:16" ht="14.4">
      <c r="A15" s="26" t="s">
        <v>242</v>
      </c>
      <c r="B15" s="30">
        <v>0</v>
      </c>
      <c r="C15" s="3" t="s">
        <v>400</v>
      </c>
      <c r="M15" s="13" t="s">
        <v>139</v>
      </c>
      <c r="N15" s="14">
        <v>0.05</v>
      </c>
      <c r="O15"/>
      <c r="P15"/>
    </row>
    <row r="16" spans="1:16" ht="14.4">
      <c r="A16" s="28" t="s">
        <v>19</v>
      </c>
      <c r="B16" s="33">
        <f>(Instanhaltungskosten_am_Anfang-Instanhaltungskosten_am_Anfang)+FittingUp+B4+B13</f>
        <v>534786</v>
      </c>
      <c r="C16" s="3" t="s">
        <v>186</v>
      </c>
      <c r="M16" s="13" t="s">
        <v>140</v>
      </c>
      <c r="N16" s="14">
        <v>6.5000000000000002E-2</v>
      </c>
      <c r="O16"/>
      <c r="P16"/>
    </row>
    <row r="17" spans="1:20" ht="15" thickBot="1">
      <c r="A17" s="6"/>
      <c r="M17" s="15" t="s">
        <v>141</v>
      </c>
      <c r="N17" s="16">
        <v>6.5000000000000002E-2</v>
      </c>
      <c r="O17"/>
      <c r="P17"/>
    </row>
    <row r="18" spans="1:20">
      <c r="A18" s="28" t="s">
        <v>367</v>
      </c>
      <c r="B18" s="100">
        <v>50</v>
      </c>
      <c r="C18" s="3" t="s">
        <v>148</v>
      </c>
      <c r="D18" s="361" t="s">
        <v>440</v>
      </c>
      <c r="N18"/>
      <c r="O18"/>
      <c r="P18"/>
    </row>
    <row r="19" spans="1:20">
      <c r="A19" s="384" t="s">
        <v>441</v>
      </c>
      <c r="B19" s="383" t="s">
        <v>473</v>
      </c>
      <c r="C19" s="385" t="s">
        <v>444</v>
      </c>
      <c r="D19" s="362"/>
      <c r="E19" s="362"/>
      <c r="H19" s="363"/>
      <c r="O19"/>
      <c r="P19"/>
    </row>
    <row r="20" spans="1:20">
      <c r="A20" s="26" t="s">
        <v>359</v>
      </c>
      <c r="B20" s="30">
        <f>Gebäude+FittingUp+B13*C6</f>
        <v>403818</v>
      </c>
      <c r="C20" s="6" t="s">
        <v>360</v>
      </c>
      <c r="O20"/>
      <c r="P20"/>
    </row>
    <row r="21" spans="1:20">
      <c r="A21" s="26"/>
      <c r="B21" s="26"/>
      <c r="C21" s="6"/>
      <c r="M21"/>
      <c r="N21"/>
      <c r="O21"/>
      <c r="P21"/>
    </row>
    <row r="22" spans="1:20">
      <c r="A22" s="28" t="s">
        <v>531</v>
      </c>
      <c r="B22" s="6"/>
      <c r="C22" s="6"/>
      <c r="M22"/>
      <c r="N22"/>
      <c r="O22"/>
      <c r="P22"/>
    </row>
    <row r="23" spans="1:20" ht="14.4" thickBot="1">
      <c r="A23" s="26" t="s">
        <v>25</v>
      </c>
      <c r="B23" s="37">
        <v>0.01</v>
      </c>
      <c r="C23" s="3" t="s">
        <v>211</v>
      </c>
      <c r="O23"/>
      <c r="P23"/>
    </row>
    <row r="24" spans="1:20">
      <c r="A24" s="26" t="s">
        <v>384</v>
      </c>
      <c r="B24" s="37">
        <v>0.01</v>
      </c>
      <c r="C24" s="3" t="s">
        <v>209</v>
      </c>
      <c r="L24" s="103" t="s">
        <v>278</v>
      </c>
      <c r="M24" s="103" t="s">
        <v>199</v>
      </c>
      <c r="N24" s="104" t="s">
        <v>389</v>
      </c>
      <c r="O24"/>
      <c r="P24"/>
      <c r="T24"/>
    </row>
    <row r="25" spans="1:20">
      <c r="A25" s="26" t="s">
        <v>210</v>
      </c>
      <c r="B25" s="37">
        <v>2.5000000000000001E-2</v>
      </c>
      <c r="C25" s="3" t="s">
        <v>209</v>
      </c>
      <c r="L25" s="105" t="s">
        <v>196</v>
      </c>
      <c r="M25" s="113">
        <v>4.3749999999999983E-2</v>
      </c>
      <c r="N25" s="106" t="s">
        <v>200</v>
      </c>
      <c r="O25"/>
      <c r="P25"/>
    </row>
    <row r="26" spans="1:20">
      <c r="L26" s="105"/>
      <c r="M26" s="113"/>
      <c r="N26" s="106"/>
      <c r="O26"/>
      <c r="P26"/>
    </row>
    <row r="27" spans="1:20">
      <c r="A27" s="4" t="s">
        <v>507</v>
      </c>
      <c r="B27" s="4"/>
      <c r="C27" s="4"/>
      <c r="D27" s="4"/>
      <c r="E27" s="4"/>
      <c r="F27" s="4"/>
      <c r="G27" s="4"/>
      <c r="L27" s="105" t="s">
        <v>197</v>
      </c>
      <c r="M27" s="114">
        <v>3.5699999999999996E-2</v>
      </c>
      <c r="N27" s="106"/>
      <c r="O27"/>
      <c r="P27"/>
    </row>
    <row r="28" spans="1:20">
      <c r="L28" s="105" t="s">
        <v>127</v>
      </c>
      <c r="M28" s="114">
        <v>3.5699999999999996E-2</v>
      </c>
      <c r="N28" s="106"/>
    </row>
    <row r="29" spans="1:20" ht="18.600000000000001" customHeight="1">
      <c r="A29" s="18" t="s">
        <v>250</v>
      </c>
      <c r="B29" s="22"/>
      <c r="C29" s="3" t="s">
        <v>259</v>
      </c>
      <c r="L29" s="105" t="s">
        <v>129</v>
      </c>
      <c r="M29" s="114">
        <v>7.1399999999999991E-2</v>
      </c>
      <c r="N29" s="106"/>
    </row>
    <row r="30" spans="1:20">
      <c r="A30" s="26" t="s">
        <v>249</v>
      </c>
      <c r="B30" s="120">
        <v>300</v>
      </c>
      <c r="C30" s="18" t="s">
        <v>248</v>
      </c>
      <c r="L30" s="105" t="s">
        <v>132</v>
      </c>
      <c r="M30" s="114">
        <v>5.9500000000000004E-2</v>
      </c>
      <c r="N30" s="106"/>
    </row>
    <row r="31" spans="1:20">
      <c r="A31" s="26" t="s">
        <v>244</v>
      </c>
      <c r="B31" s="40">
        <f>B7*C31</f>
        <v>2640</v>
      </c>
      <c r="C31" s="50">
        <v>8</v>
      </c>
      <c r="D31" s="18" t="s">
        <v>391</v>
      </c>
      <c r="L31" s="105" t="s">
        <v>133</v>
      </c>
      <c r="M31" s="114">
        <v>3.5699999999999996E-2</v>
      </c>
      <c r="N31" s="106"/>
    </row>
    <row r="32" spans="1:20">
      <c r="A32" s="26" t="s">
        <v>243</v>
      </c>
      <c r="B32" s="40">
        <f>B7*C32</f>
        <v>2640</v>
      </c>
      <c r="C32" s="50">
        <v>8</v>
      </c>
      <c r="D32" s="18" t="s">
        <v>391</v>
      </c>
      <c r="L32" s="105" t="s">
        <v>134</v>
      </c>
      <c r="M32" s="114">
        <v>0.05</v>
      </c>
      <c r="N32" s="106" t="s">
        <v>198</v>
      </c>
    </row>
    <row r="33" spans="1:14" ht="27.6">
      <c r="A33" s="41" t="s">
        <v>233</v>
      </c>
      <c r="B33" s="40">
        <f>SUM(B30:B32)</f>
        <v>5580</v>
      </c>
      <c r="C33" s="119">
        <f>Unterhaltskosten_p.a./B7</f>
        <v>16.90909090909091</v>
      </c>
      <c r="D33" s="18" t="s">
        <v>390</v>
      </c>
      <c r="L33" s="105" t="s">
        <v>135</v>
      </c>
      <c r="M33" s="114">
        <v>3.5699999999999996E-2</v>
      </c>
      <c r="N33" s="106"/>
    </row>
    <row r="34" spans="1:14">
      <c r="A34" s="26" t="s">
        <v>162</v>
      </c>
      <c r="B34" s="37">
        <v>2.5000000000000001E-2</v>
      </c>
      <c r="C34" s="18" t="s">
        <v>187</v>
      </c>
      <c r="L34" s="105" t="s">
        <v>136</v>
      </c>
      <c r="M34" s="114">
        <v>3.5699999999999996E-2</v>
      </c>
      <c r="N34" s="106"/>
    </row>
    <row r="35" spans="1:14">
      <c r="L35" s="105" t="s">
        <v>137</v>
      </c>
      <c r="M35" s="114">
        <v>3.5699999999999996E-2</v>
      </c>
      <c r="N35" s="106"/>
    </row>
    <row r="36" spans="1:14">
      <c r="B36" s="21"/>
      <c r="L36" s="105" t="s">
        <v>139</v>
      </c>
      <c r="M36" s="114">
        <v>3.5699999999999996E-2</v>
      </c>
      <c r="N36" s="106"/>
    </row>
    <row r="37" spans="1:14">
      <c r="A37" s="26" t="s">
        <v>20</v>
      </c>
      <c r="B37" s="30">
        <v>3000</v>
      </c>
      <c r="C37" s="51">
        <f>B37/B7</f>
        <v>9.0909090909090917</v>
      </c>
      <c r="D37" s="3" t="s">
        <v>246</v>
      </c>
      <c r="L37" s="105" t="s">
        <v>138</v>
      </c>
      <c r="M37" s="114">
        <v>3.5699999999999996E-2</v>
      </c>
      <c r="N37" s="106"/>
    </row>
    <row r="38" spans="1:14" ht="14.4" thickBot="1">
      <c r="A38" s="28" t="s">
        <v>21</v>
      </c>
      <c r="B38" s="29">
        <f>B37*12</f>
        <v>36000</v>
      </c>
      <c r="L38" s="105" t="s">
        <v>140</v>
      </c>
      <c r="M38" s="114">
        <v>3.5699999999999996E-2</v>
      </c>
      <c r="N38" s="106"/>
    </row>
    <row r="39" spans="1:14" ht="14.4" thickBot="1">
      <c r="A39" s="26" t="s">
        <v>145</v>
      </c>
      <c r="B39" s="37">
        <v>2.5000000000000001E-2</v>
      </c>
      <c r="C39" s="26" t="s">
        <v>157</v>
      </c>
      <c r="D39" s="3" t="s">
        <v>142</v>
      </c>
      <c r="J39" s="454">
        <f>10*12*B39</f>
        <v>3</v>
      </c>
      <c r="K39" s="453" t="s">
        <v>586</v>
      </c>
      <c r="L39" s="105" t="s">
        <v>141</v>
      </c>
      <c r="M39" s="114">
        <v>3.5699999999999996E-2</v>
      </c>
      <c r="N39" s="106"/>
    </row>
    <row r="40" spans="1:14">
      <c r="A40" s="32" t="s">
        <v>144</v>
      </c>
      <c r="B40" s="29">
        <f>B38*(1-B39)</f>
        <v>35100</v>
      </c>
      <c r="C40" s="3" t="s">
        <v>179</v>
      </c>
      <c r="L40" s="105" t="s">
        <v>128</v>
      </c>
      <c r="M40" s="114">
        <v>7.1399999999999991E-2</v>
      </c>
      <c r="N40" s="106"/>
    </row>
    <row r="41" spans="1:14">
      <c r="A41" s="26" t="s">
        <v>239</v>
      </c>
      <c r="B41" s="38">
        <f>B40/B16</f>
        <v>6.5633730127565043E-2</v>
      </c>
      <c r="C41" s="3" t="s">
        <v>240</v>
      </c>
      <c r="L41" s="105" t="s">
        <v>130</v>
      </c>
      <c r="M41" s="114">
        <v>5.9500000000000004E-2</v>
      </c>
      <c r="N41" s="106"/>
    </row>
    <row r="42" spans="1:14" ht="15" customHeight="1" thickBot="1">
      <c r="A42" s="26" t="s">
        <v>241</v>
      </c>
      <c r="B42" s="118">
        <f>B16/B40</f>
        <v>15.236068376068376</v>
      </c>
      <c r="C42" s="3" t="str">
        <f>" Investitionsvolumen entspricht dem "&amp;ROUND(B42,1)&amp;" fachen einer nachh. Jahresmiete"</f>
        <v xml:space="preserve"> Investitionsvolumen entspricht dem 15.2 fachen einer nachh. Jahresmiete</v>
      </c>
      <c r="L42" s="107" t="s">
        <v>131</v>
      </c>
      <c r="M42" s="115">
        <v>3.1200000000000002E-2</v>
      </c>
      <c r="N42" s="108"/>
    </row>
    <row r="43" spans="1:14">
      <c r="A43" s="26" t="s">
        <v>22</v>
      </c>
      <c r="B43" s="27">
        <f>Startjahr</f>
        <v>45658</v>
      </c>
      <c r="C43" s="20" t="s">
        <v>11</v>
      </c>
      <c r="D43" s="22">
        <v>1</v>
      </c>
    </row>
    <row r="44" spans="1:14" ht="15.6" customHeight="1">
      <c r="A44" s="26" t="s">
        <v>23</v>
      </c>
      <c r="B44" s="37">
        <v>0.02</v>
      </c>
      <c r="C44" s="18" t="s">
        <v>226</v>
      </c>
    </row>
    <row r="46" spans="1:14" ht="25.2" customHeight="1">
      <c r="B46" s="23"/>
    </row>
    <row r="47" spans="1:14" ht="49.8" customHeight="1">
      <c r="A47" s="85" t="s">
        <v>26</v>
      </c>
      <c r="B47" s="86">
        <v>0.3</v>
      </c>
      <c r="C47" s="488" t="s">
        <v>515</v>
      </c>
      <c r="D47" s="489"/>
      <c r="E47" s="489"/>
      <c r="F47" s="489"/>
      <c r="G47" s="489"/>
      <c r="H47" s="489"/>
      <c r="I47" s="489"/>
    </row>
    <row r="48" spans="1:14">
      <c r="C48" s="3" t="s">
        <v>35</v>
      </c>
    </row>
    <row r="49" spans="1:4">
      <c r="A49" s="7"/>
      <c r="B49" s="7"/>
      <c r="C49" s="7"/>
    </row>
    <row r="50" spans="1:4" ht="12" customHeight="1">
      <c r="A50" s="492" t="s">
        <v>161</v>
      </c>
      <c r="B50" s="493"/>
      <c r="C50" s="3" t="s">
        <v>195</v>
      </c>
    </row>
    <row r="51" spans="1:4" ht="18" customHeight="1">
      <c r="A51" s="26" t="s">
        <v>27</v>
      </c>
      <c r="B51" s="30">
        <v>50000</v>
      </c>
    </row>
    <row r="52" spans="1:4">
      <c r="A52" s="26" t="s">
        <v>28</v>
      </c>
      <c r="B52" s="30">
        <f>B16</f>
        <v>534786</v>
      </c>
      <c r="C52" s="3" t="s">
        <v>186</v>
      </c>
    </row>
    <row r="53" spans="1:4">
      <c r="A53" s="43" t="s">
        <v>29</v>
      </c>
      <c r="B53" s="289">
        <f>B52-B51</f>
        <v>484786</v>
      </c>
    </row>
    <row r="54" spans="1:4" ht="16.2">
      <c r="A54" s="43" t="s">
        <v>30</v>
      </c>
      <c r="B54" s="44">
        <v>30</v>
      </c>
      <c r="C54" s="6" t="s">
        <v>148</v>
      </c>
      <c r="D54" s="431" t="str">
        <f>IF(Lebensdauer&lt;FinZeitraum,"ACHTUNG: Finanzierungszeitraum sollte die Restnutzungsdauer nicht übersteigen!","")</f>
        <v/>
      </c>
    </row>
    <row r="55" spans="1:4">
      <c r="A55" s="3" t="s">
        <v>561</v>
      </c>
      <c r="B55" s="432">
        <f>'Cash &amp; Assets'!K8</f>
        <v>1.9371331607423548E-2</v>
      </c>
      <c r="C55" s="3" t="s">
        <v>562</v>
      </c>
    </row>
    <row r="56" spans="1:4">
      <c r="A56" s="43" t="s">
        <v>31</v>
      </c>
      <c r="B56" s="52" t="s">
        <v>158</v>
      </c>
    </row>
    <row r="57" spans="1:4">
      <c r="A57" s="26" t="s">
        <v>150</v>
      </c>
      <c r="B57" s="357">
        <v>10</v>
      </c>
    </row>
    <row r="58" spans="1:4">
      <c r="A58" s="26" t="s">
        <v>159</v>
      </c>
      <c r="B58" s="26">
        <f>YEAR(Startjahr)+LaufzeitKredit1</f>
        <v>2035</v>
      </c>
    </row>
    <row r="59" spans="1:4">
      <c r="A59" s="26" t="s">
        <v>32</v>
      </c>
      <c r="B59" s="39">
        <f>Finanzbedarf</f>
        <v>484786</v>
      </c>
    </row>
    <row r="60" spans="1:4">
      <c r="A60" s="26" t="s">
        <v>33</v>
      </c>
      <c r="B60" s="45">
        <f>1-B61</f>
        <v>1</v>
      </c>
    </row>
    <row r="61" spans="1:4">
      <c r="A61" s="26" t="s">
        <v>34</v>
      </c>
      <c r="B61" s="37">
        <v>0</v>
      </c>
      <c r="C61" s="3" t="s">
        <v>401</v>
      </c>
    </row>
    <row r="62" spans="1:4">
      <c r="A62" s="26" t="s">
        <v>36</v>
      </c>
      <c r="B62" s="42">
        <f>AuszahungKredit1-Kreditbedarf</f>
        <v>0</v>
      </c>
      <c r="C62" s="3" t="s">
        <v>184</v>
      </c>
    </row>
    <row r="63" spans="1:4">
      <c r="A63" s="26" t="s">
        <v>37</v>
      </c>
      <c r="B63" s="39">
        <f>B53/B60</f>
        <v>484786</v>
      </c>
      <c r="C63" s="3" t="s">
        <v>227</v>
      </c>
    </row>
    <row r="64" spans="1:4">
      <c r="A64" s="26" t="s">
        <v>38</v>
      </c>
      <c r="B64" s="46">
        <v>3.5000000000000003E-2</v>
      </c>
    </row>
    <row r="65" spans="1:5">
      <c r="A65" s="26" t="s">
        <v>163</v>
      </c>
      <c r="B65" s="45">
        <f>EFFECT(Kreditzins1,12)</f>
        <v>3.5566952945970565E-2</v>
      </c>
      <c r="C65" s="3" t="s">
        <v>40</v>
      </c>
      <c r="E65" s="24"/>
    </row>
    <row r="66" spans="1:5">
      <c r="A66" s="26" t="s">
        <v>153</v>
      </c>
      <c r="B66" s="47">
        <f>-PMT(Kreditzins1,FinZeitraum,AuszahungKredit1,0,0)</f>
        <v>26358.460364636434</v>
      </c>
    </row>
    <row r="67" spans="1:5">
      <c r="A67" s="26" t="s">
        <v>154</v>
      </c>
      <c r="B67" s="39">
        <f>B66/12</f>
        <v>2196.5383637197028</v>
      </c>
    </row>
    <row r="68" spans="1:5">
      <c r="B68" s="24"/>
    </row>
    <row r="69" spans="1:5">
      <c r="A69" s="48" t="s">
        <v>41</v>
      </c>
      <c r="B69" s="49" t="s">
        <v>155</v>
      </c>
      <c r="C69" s="20" t="s">
        <v>357</v>
      </c>
      <c r="D69" s="3">
        <f>LaufzeitKredit1+1</f>
        <v>11</v>
      </c>
      <c r="E69" s="25" t="s">
        <v>43</v>
      </c>
    </row>
    <row r="70" spans="1:5">
      <c r="A70" s="26" t="s">
        <v>42</v>
      </c>
      <c r="B70" s="47">
        <f>VLOOKUP(D69,'Cash &amp; Assets'!A8:D37,4)</f>
        <v>374617.06912073737</v>
      </c>
    </row>
    <row r="71" spans="1:5" ht="12" customHeight="1">
      <c r="A71" s="26" t="s">
        <v>38</v>
      </c>
      <c r="B71" s="46">
        <v>3.2500000000000001E-2</v>
      </c>
      <c r="C71" s="18" t="s">
        <v>188</v>
      </c>
    </row>
    <row r="72" spans="1:5">
      <c r="A72" s="26" t="s">
        <v>39</v>
      </c>
      <c r="B72" s="45">
        <f>EFFECT(Kreditzins2,12)</f>
        <v>3.2988511810589927E-2</v>
      </c>
      <c r="C72" s="3" t="s">
        <v>40</v>
      </c>
    </row>
    <row r="73" spans="1:5">
      <c r="A73" s="26" t="s">
        <v>149</v>
      </c>
      <c r="B73" s="32">
        <f>B54-B57</f>
        <v>20</v>
      </c>
    </row>
    <row r="74" spans="1:5">
      <c r="A74" s="26" t="s">
        <v>44</v>
      </c>
      <c r="B74" s="26">
        <f>B58+Restlaufzeit</f>
        <v>2055</v>
      </c>
    </row>
    <row r="75" spans="1:5">
      <c r="A75" s="26" t="s">
        <v>151</v>
      </c>
      <c r="B75" s="47">
        <f>-PMT(Kreditzins2,Restlaufzeit,Anschlusskredit,0,0)</f>
        <v>25765.743887989716</v>
      </c>
    </row>
    <row r="76" spans="1:5">
      <c r="A76" s="26" t="s">
        <v>152</v>
      </c>
      <c r="B76" s="39">
        <f>B75/12</f>
        <v>2147.1453239991429</v>
      </c>
    </row>
    <row r="77" spans="1:5" ht="14.4" customHeight="1">
      <c r="B77" s="21"/>
    </row>
    <row r="78" spans="1:5" ht="14.4" customHeight="1">
      <c r="A78" s="492" t="s">
        <v>409</v>
      </c>
      <c r="B78" s="493"/>
    </row>
    <row r="79" spans="1:5">
      <c r="A79" s="3" t="s">
        <v>535</v>
      </c>
      <c r="B79" s="413">
        <v>7.1999999999999995E-2</v>
      </c>
      <c r="C79" s="3" t="s">
        <v>563</v>
      </c>
    </row>
    <row r="80" spans="1:5">
      <c r="A80" s="415" t="s">
        <v>534</v>
      </c>
      <c r="B80" s="323">
        <f>Grenzsteuersatz</f>
        <v>0.3</v>
      </c>
    </row>
    <row r="81" spans="1:19" ht="27.6">
      <c r="A81" s="414" t="s">
        <v>410</v>
      </c>
      <c r="B81" s="412">
        <f>B79*(1-B80)</f>
        <v>5.0399999999999993E-2</v>
      </c>
      <c r="C81" s="490" t="s">
        <v>533</v>
      </c>
      <c r="D81" s="491"/>
      <c r="E81" s="491"/>
      <c r="F81" s="491"/>
      <c r="G81" s="491"/>
    </row>
    <row r="82" spans="1:19" ht="14.4">
      <c r="C82" s="182"/>
    </row>
    <row r="83" spans="1:19" ht="14.4">
      <c r="C83" s="182"/>
    </row>
    <row r="85" spans="1:19">
      <c r="A85" s="6" t="s">
        <v>45</v>
      </c>
    </row>
    <row r="86" spans="1:19">
      <c r="A86" s="3" t="s">
        <v>46</v>
      </c>
    </row>
    <row r="87" spans="1:19">
      <c r="A87" s="3" t="s">
        <v>47</v>
      </c>
    </row>
    <row r="88" spans="1:19" ht="16.2">
      <c r="A88" s="3" t="s">
        <v>143</v>
      </c>
      <c r="L88" s="55"/>
      <c r="M88" s="55"/>
      <c r="N88" s="55"/>
      <c r="O88" s="55"/>
      <c r="P88" s="55"/>
      <c r="Q88" s="55"/>
      <c r="R88" s="55"/>
      <c r="S88" s="55"/>
    </row>
    <row r="89" spans="1:19" s="55" customFormat="1" ht="20.7" customHeight="1">
      <c r="A89" s="3" t="s">
        <v>276</v>
      </c>
      <c r="B89" s="3"/>
      <c r="C89" s="3"/>
      <c r="D89" s="3"/>
      <c r="E89" s="3"/>
      <c r="F89" s="3"/>
      <c r="G89" s="3"/>
      <c r="H89" s="7"/>
      <c r="I89" s="7"/>
      <c r="J89" s="7"/>
      <c r="K89" s="7"/>
      <c r="L89" s="7"/>
      <c r="M89" s="7"/>
      <c r="N89" s="7"/>
      <c r="O89" s="7"/>
      <c r="P89" s="7"/>
      <c r="Q89" s="7"/>
      <c r="R89" s="7"/>
      <c r="S89" s="7"/>
    </row>
    <row r="90" spans="1:19">
      <c r="A90" s="3" t="s">
        <v>277</v>
      </c>
      <c r="K90" s="3"/>
    </row>
    <row r="92" spans="1:19">
      <c r="A92" s="22" t="s">
        <v>174</v>
      </c>
    </row>
    <row r="94" spans="1:19">
      <c r="J94" s="3"/>
    </row>
    <row r="95" spans="1:19" ht="16.2">
      <c r="A95" s="109" t="s">
        <v>9</v>
      </c>
      <c r="B95" s="110"/>
      <c r="H95" s="3"/>
    </row>
    <row r="96" spans="1:19">
      <c r="I96" s="3"/>
    </row>
    <row r="98" spans="1:1" ht="16.2">
      <c r="A98" s="127"/>
    </row>
    <row r="99" spans="1:1" ht="16.2">
      <c r="A99" s="59"/>
    </row>
  </sheetData>
  <sheetProtection selectLockedCells="1" selectUnlockedCells="1"/>
  <sortState xmlns:xlrd2="http://schemas.microsoft.com/office/spreadsheetml/2017/richdata2" ref="X18:Y20">
    <sortCondition ref="X18:X20"/>
  </sortState>
  <mergeCells count="6">
    <mergeCell ref="C47:I47"/>
    <mergeCell ref="C81:G81"/>
    <mergeCell ref="A78:B78"/>
    <mergeCell ref="F1:I1"/>
    <mergeCell ref="G2:I2"/>
    <mergeCell ref="A50:B50"/>
  </mergeCells>
  <dataValidations xWindow="381" yWindow="370" count="5">
    <dataValidation allowBlank="1" showInputMessage="1" promptTitle="Grunderwerbsteuer" prompt="Hier kannst du bei Bedarf die Grunderwerbsteuer-Sätze für einzelne Bundesländer anpassen." sqref="M1" xr:uid="{00000000-0002-0000-0100-000000000000}"/>
    <dataValidation allowBlank="1" showInputMessage="1" promptTitle="Adresse" prompt="Diese Adresse hast du im roten Faden festgelegt. Kehre bitte dorthin zurück, um sie zu ändern." sqref="G2:I2" xr:uid="{00000000-0002-0000-0100-000001000000}"/>
    <dataValidation operator="greaterThan" showInputMessage="1" errorTitle="Wohnfläche" error="Bitte gib die Wohnfläche in m² als positive Zahl ein, bspw. 31." promptTitle="Wohnfläche" prompt="Diese Wohnfläche hast du im roten Faden festgelegt. Bitte kehre dorthin zurück, um sie zu ändern." sqref="G3 I3" xr:uid="{00000000-0002-0000-0100-000002000000}"/>
    <dataValidation allowBlank="1" showInputMessage="1" showErrorMessage="1" promptTitle="Objekt" prompt="Hier gibst du einige Basisdaten zum Objekt ein. Insbesondere die Wohnfläche sowie das Kaufdatum wird in vielen Berechnungen verwendet und ist deshalb Pflicht." sqref="F1:I1" xr:uid="{00000000-0002-0000-0100-000003000000}"/>
    <dataValidation type="custom" allowBlank="1" showInputMessage="1" showErrorMessage="1" promptTitle="Kaufpreis &gt;0" prompt="Muss größer Null sein!" sqref="B4" xr:uid="{00000000-0002-0000-0100-000004000000}">
      <formula1>"&gt;0"</formula1>
    </dataValidation>
  </dataValidations>
  <hyperlinks>
    <hyperlink ref="J5" r:id="rId1" display="Bodenrichtwert" xr:uid="{00000000-0004-0000-0100-000001000000}"/>
    <hyperlink ref="D18" r:id="rId2" xr:uid="{F3C8C4C9-3F72-4189-89D3-AC2150400171}"/>
  </hyperlinks>
  <pageMargins left="0.78749999999999998" right="0.78749999999999998" top="1.0527777777777778" bottom="1.0527777777777778" header="0.78749999999999998" footer="0.78749999999999998"/>
  <pageSetup paperSize="9" orientation="portrait" useFirstPageNumber="1" horizontalDpi="300" verticalDpi="300" r:id="rId3"/>
  <headerFooter alignWithMargins="0">
    <oddHeader>&amp;C&amp;"Times New Roman,Regular"&amp;12&amp;A</oddHeader>
    <oddFooter>&amp;C&amp;"Times New Roman,Regular"&amp;12Page &amp;P</oddFooter>
  </headerFooter>
  <legacyDrawing r:id="rId4"/>
  <extLst>
    <ext xmlns:x14="http://schemas.microsoft.com/office/spreadsheetml/2009/9/main" uri="{CCE6A557-97BC-4b89-ADB6-D9C93CAAB3DF}">
      <x14:dataValidations xmlns:xm="http://schemas.microsoft.com/office/excel/2006/main" xWindow="381" yWindow="370" count="1">
        <x14:dataValidation type="list" allowBlank="1" showInputMessage="1" showErrorMessage="1" xr:uid="{30A3557B-936F-47B7-B1DC-5501F528614D}">
          <x14:formula1>
            <xm:f>AfA!$B$15:$F$15</xm:f>
          </x14:formula1>
          <xm:sqref>B19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32A4-7635-4FDA-AEF7-8930F99D737D}">
  <dimension ref="A1:U84"/>
  <sheetViews>
    <sheetView zoomScale="110" zoomScaleNormal="110" workbookViewId="0">
      <selection activeCell="E98" sqref="E98"/>
    </sheetView>
  </sheetViews>
  <sheetFormatPr defaultColWidth="11.5546875" defaultRowHeight="13.2"/>
  <cols>
    <col min="2" max="5" width="15.77734375" customWidth="1"/>
  </cols>
  <sheetData>
    <row r="1" spans="1:21" ht="21">
      <c r="A1" s="373" t="s">
        <v>468</v>
      </c>
    </row>
    <row r="2" spans="1:21" ht="21">
      <c r="A2" s="373"/>
      <c r="B2" s="7"/>
      <c r="C2" s="7"/>
      <c r="D2" s="7"/>
      <c r="E2" s="7"/>
      <c r="F2" s="7"/>
      <c r="I2" s="400" t="s">
        <v>508</v>
      </c>
      <c r="J2" s="401"/>
      <c r="K2" s="401"/>
      <c r="L2" s="401"/>
      <c r="M2" s="401"/>
      <c r="N2" s="401"/>
      <c r="O2" s="401"/>
      <c r="P2" s="401"/>
      <c r="Q2" s="401"/>
      <c r="R2" s="401"/>
      <c r="S2" s="401"/>
      <c r="T2" s="401"/>
      <c r="U2" s="401"/>
    </row>
    <row r="3" spans="1:21" ht="21">
      <c r="A3" s="373"/>
      <c r="B3" s="375" t="s">
        <v>446</v>
      </c>
      <c r="C3" s="376"/>
      <c r="D3" s="374"/>
      <c r="E3" s="374"/>
      <c r="F3" s="374"/>
      <c r="G3" s="374"/>
    </row>
    <row r="4" spans="1:21" ht="21">
      <c r="A4" s="373"/>
      <c r="B4" s="392" t="s">
        <v>516</v>
      </c>
      <c r="C4" s="393"/>
      <c r="D4" s="510" t="s">
        <v>485</v>
      </c>
      <c r="E4" s="511"/>
      <c r="F4" s="511"/>
      <c r="G4" s="512"/>
    </row>
    <row r="5" spans="1:21" ht="21">
      <c r="A5" s="373"/>
      <c r="B5" s="392" t="s">
        <v>517</v>
      </c>
      <c r="C5" s="393"/>
      <c r="D5" s="510" t="s">
        <v>484</v>
      </c>
      <c r="E5" s="511"/>
      <c r="F5" s="511"/>
      <c r="G5" s="512"/>
    </row>
    <row r="6" spans="1:21" ht="21">
      <c r="A6" s="373"/>
      <c r="B6" s="392" t="s">
        <v>443</v>
      </c>
      <c r="C6" s="393"/>
      <c r="D6" s="510" t="s">
        <v>483</v>
      </c>
      <c r="E6" s="511"/>
      <c r="F6" s="511"/>
      <c r="G6" s="512"/>
    </row>
    <row r="7" spans="1:21" ht="21">
      <c r="A7" s="373"/>
      <c r="B7" s="392" t="s">
        <v>442</v>
      </c>
      <c r="C7" s="393"/>
      <c r="D7" s="510" t="s">
        <v>482</v>
      </c>
      <c r="E7" s="511"/>
      <c r="F7" s="511"/>
      <c r="G7" s="512"/>
    </row>
    <row r="8" spans="1:21" ht="21">
      <c r="A8" s="373"/>
      <c r="B8" s="392" t="s">
        <v>481</v>
      </c>
      <c r="C8" s="393" t="s">
        <v>491</v>
      </c>
      <c r="D8" s="513" t="s">
        <v>469</v>
      </c>
      <c r="E8" s="514"/>
      <c r="F8" s="514"/>
      <c r="G8" s="515"/>
    </row>
    <row r="9" spans="1:21">
      <c r="B9" s="378" t="s">
        <v>445</v>
      </c>
      <c r="C9" s="379"/>
      <c r="D9" s="379"/>
      <c r="E9" s="379"/>
      <c r="F9" s="379"/>
      <c r="G9" s="380"/>
    </row>
    <row r="10" spans="1:21">
      <c r="B10" s="377"/>
      <c r="C10" s="377"/>
      <c r="D10" s="377"/>
      <c r="E10" s="377"/>
      <c r="F10" s="377"/>
    </row>
    <row r="11" spans="1:21">
      <c r="F11" s="7"/>
    </row>
    <row r="12" spans="1:21" ht="14.4" customHeight="1">
      <c r="B12" s="499" t="s">
        <v>496</v>
      </c>
      <c r="C12" s="500"/>
      <c r="D12" s="500"/>
      <c r="E12" s="500"/>
      <c r="F12" s="501"/>
    </row>
    <row r="13" spans="1:21" ht="14.4" customHeight="1">
      <c r="B13" s="502"/>
      <c r="C13" s="503"/>
      <c r="D13" s="503"/>
      <c r="E13" s="503"/>
      <c r="F13" s="504"/>
    </row>
    <row r="14" spans="1:21">
      <c r="B14" s="505"/>
      <c r="C14" s="506"/>
      <c r="D14" s="506"/>
      <c r="E14" s="506"/>
      <c r="F14" s="507"/>
    </row>
    <row r="15" spans="1:21" ht="29.4" customHeight="1">
      <c r="A15" s="399" t="s">
        <v>49</v>
      </c>
      <c r="B15" s="381" t="s">
        <v>470</v>
      </c>
      <c r="C15" s="381" t="s">
        <v>471</v>
      </c>
      <c r="D15" s="382" t="s">
        <v>472</v>
      </c>
      <c r="E15" s="382" t="s">
        <v>473</v>
      </c>
      <c r="F15" s="382" t="s">
        <v>474</v>
      </c>
    </row>
    <row r="16" spans="1:21" ht="14.4">
      <c r="A16" s="173">
        <v>1</v>
      </c>
      <c r="B16" s="176">
        <v>0.05</v>
      </c>
      <c r="C16" s="176">
        <v>0.05</v>
      </c>
      <c r="D16" s="176">
        <v>0.03</v>
      </c>
      <c r="E16" s="176">
        <v>0.02</v>
      </c>
      <c r="F16" s="386">
        <f t="shared" ref="F16:F46" si="0">1/Lebensdauer*(A16&lt;=Lebensdauer)</f>
        <v>0.02</v>
      </c>
    </row>
    <row r="17" spans="1:6" ht="14.4">
      <c r="A17" s="173">
        <v>2</v>
      </c>
      <c r="B17" s="176">
        <v>0.05</v>
      </c>
      <c r="C17" s="176">
        <v>0.05</v>
      </c>
      <c r="D17" s="176">
        <v>0.03</v>
      </c>
      <c r="E17" s="176">
        <v>0.02</v>
      </c>
      <c r="F17" s="386">
        <f t="shared" si="0"/>
        <v>0.02</v>
      </c>
    </row>
    <row r="18" spans="1:6" ht="14.4">
      <c r="A18" s="173">
        <v>3</v>
      </c>
      <c r="B18" s="176">
        <v>0.05</v>
      </c>
      <c r="C18" s="176">
        <v>0.05</v>
      </c>
      <c r="D18" s="176">
        <v>0.03</v>
      </c>
      <c r="E18" s="176">
        <v>0.02</v>
      </c>
      <c r="F18" s="386">
        <f t="shared" si="0"/>
        <v>0.02</v>
      </c>
    </row>
    <row r="19" spans="1:6" ht="14.4">
      <c r="A19" s="173">
        <v>4</v>
      </c>
      <c r="B19" s="176">
        <v>0.05</v>
      </c>
      <c r="C19" s="176">
        <v>0.05</v>
      </c>
      <c r="D19" s="176">
        <v>0.03</v>
      </c>
      <c r="E19" s="176">
        <v>0.02</v>
      </c>
      <c r="F19" s="386">
        <f t="shared" si="0"/>
        <v>0.02</v>
      </c>
    </row>
    <row r="20" spans="1:6" ht="14.4">
      <c r="A20" s="173">
        <v>5</v>
      </c>
      <c r="B20" s="176">
        <v>0.05</v>
      </c>
      <c r="C20" s="176">
        <v>0.05</v>
      </c>
      <c r="D20" s="176">
        <v>0.03</v>
      </c>
      <c r="E20" s="176">
        <v>0.02</v>
      </c>
      <c r="F20" s="386">
        <f t="shared" si="0"/>
        <v>0.02</v>
      </c>
    </row>
    <row r="21" spans="1:6" ht="14.4">
      <c r="A21" s="173">
        <v>6</v>
      </c>
      <c r="B21" s="176">
        <v>0.05</v>
      </c>
      <c r="C21" s="176">
        <v>0.05</v>
      </c>
      <c r="D21" s="176">
        <v>0.03</v>
      </c>
      <c r="E21" s="176">
        <v>0.02</v>
      </c>
      <c r="F21" s="386">
        <f t="shared" si="0"/>
        <v>0.02</v>
      </c>
    </row>
    <row r="22" spans="1:6" ht="14.4">
      <c r="A22" s="173">
        <v>7</v>
      </c>
      <c r="B22" s="176">
        <v>0.03</v>
      </c>
      <c r="C22" s="176">
        <v>0.02</v>
      </c>
      <c r="D22" s="176">
        <v>0.03</v>
      </c>
      <c r="E22" s="176">
        <v>0.02</v>
      </c>
      <c r="F22" s="386">
        <f t="shared" si="0"/>
        <v>0.02</v>
      </c>
    </row>
    <row r="23" spans="1:6" ht="14.4">
      <c r="A23" s="173">
        <v>8</v>
      </c>
      <c r="B23" s="176">
        <v>0.03</v>
      </c>
      <c r="C23" s="176">
        <v>0.02</v>
      </c>
      <c r="D23" s="176">
        <v>0.03</v>
      </c>
      <c r="E23" s="176">
        <v>0.02</v>
      </c>
      <c r="F23" s="386">
        <f t="shared" si="0"/>
        <v>0.02</v>
      </c>
    </row>
    <row r="24" spans="1:6" ht="14.4">
      <c r="A24" s="173">
        <v>9</v>
      </c>
      <c r="B24" s="176">
        <v>0.03</v>
      </c>
      <c r="C24" s="176">
        <v>0.02</v>
      </c>
      <c r="D24" s="176">
        <v>0.03</v>
      </c>
      <c r="E24" s="176">
        <v>0.02</v>
      </c>
      <c r="F24" s="386">
        <f t="shared" si="0"/>
        <v>0.02</v>
      </c>
    </row>
    <row r="25" spans="1:6" ht="14.4">
      <c r="A25" s="173">
        <v>10</v>
      </c>
      <c r="B25" s="176">
        <v>0.03</v>
      </c>
      <c r="C25" s="176">
        <v>0.02</v>
      </c>
      <c r="D25" s="176">
        <v>0.03</v>
      </c>
      <c r="E25" s="176">
        <v>0.02</v>
      </c>
      <c r="F25" s="386">
        <f t="shared" si="0"/>
        <v>0.02</v>
      </c>
    </row>
    <row r="26" spans="1:6" ht="14.4">
      <c r="A26" s="173">
        <v>11</v>
      </c>
      <c r="B26" s="176">
        <v>0.03</v>
      </c>
      <c r="C26" s="176">
        <v>0.02</v>
      </c>
      <c r="D26" s="176">
        <v>0.03</v>
      </c>
      <c r="E26" s="176">
        <v>0.02</v>
      </c>
      <c r="F26" s="386">
        <f t="shared" si="0"/>
        <v>0.02</v>
      </c>
    </row>
    <row r="27" spans="1:6" ht="14.4">
      <c r="A27" s="173">
        <v>12</v>
      </c>
      <c r="B27" s="176">
        <v>0.03</v>
      </c>
      <c r="C27" s="176">
        <v>0.02</v>
      </c>
      <c r="D27" s="176">
        <v>0.03</v>
      </c>
      <c r="E27" s="176">
        <v>0.02</v>
      </c>
      <c r="F27" s="386">
        <f t="shared" si="0"/>
        <v>0.02</v>
      </c>
    </row>
    <row r="28" spans="1:6" ht="14.4">
      <c r="A28" s="173">
        <v>13</v>
      </c>
      <c r="B28" s="176">
        <v>0.03</v>
      </c>
      <c r="C28" s="176">
        <v>0.02</v>
      </c>
      <c r="D28" s="176">
        <v>0.03</v>
      </c>
      <c r="E28" s="176">
        <v>0.02</v>
      </c>
      <c r="F28" s="386">
        <f t="shared" si="0"/>
        <v>0.02</v>
      </c>
    </row>
    <row r="29" spans="1:6" ht="14.4">
      <c r="A29" s="173">
        <v>14</v>
      </c>
      <c r="B29" s="176">
        <v>0.03</v>
      </c>
      <c r="C29" s="176">
        <v>0.02</v>
      </c>
      <c r="D29" s="176">
        <v>0.03</v>
      </c>
      <c r="E29" s="176">
        <v>0.02</v>
      </c>
      <c r="F29" s="386">
        <f t="shared" si="0"/>
        <v>0.02</v>
      </c>
    </row>
    <row r="30" spans="1:6" ht="14.4">
      <c r="A30" s="173">
        <v>15</v>
      </c>
      <c r="B30" s="176">
        <v>0.03</v>
      </c>
      <c r="C30" s="176">
        <v>0.02</v>
      </c>
      <c r="D30" s="176">
        <v>0.03</v>
      </c>
      <c r="E30" s="176">
        <v>0.02</v>
      </c>
      <c r="F30" s="386">
        <f t="shared" si="0"/>
        <v>0.02</v>
      </c>
    </row>
    <row r="31" spans="1:6" ht="14.4">
      <c r="A31" s="173">
        <v>16</v>
      </c>
      <c r="B31" s="176">
        <v>0.03</v>
      </c>
      <c r="C31" s="176">
        <v>0.02</v>
      </c>
      <c r="D31" s="176">
        <v>0.03</v>
      </c>
      <c r="E31" s="176">
        <v>0.02</v>
      </c>
      <c r="F31" s="386">
        <f t="shared" si="0"/>
        <v>0.02</v>
      </c>
    </row>
    <row r="32" spans="1:6" ht="14.4">
      <c r="A32" s="173">
        <v>17</v>
      </c>
      <c r="B32" s="176">
        <v>0.03</v>
      </c>
      <c r="C32" s="176">
        <v>0.02</v>
      </c>
      <c r="D32" s="176">
        <v>0.03</v>
      </c>
      <c r="E32" s="176">
        <v>0.02</v>
      </c>
      <c r="F32" s="386">
        <f t="shared" si="0"/>
        <v>0.02</v>
      </c>
    </row>
    <row r="33" spans="1:6" ht="14.4">
      <c r="A33" s="173">
        <v>18</v>
      </c>
      <c r="B33" s="176">
        <v>0.03</v>
      </c>
      <c r="C33" s="176">
        <v>0.02</v>
      </c>
      <c r="D33" s="176">
        <v>0.03</v>
      </c>
      <c r="E33" s="176">
        <v>0.02</v>
      </c>
      <c r="F33" s="386">
        <f t="shared" si="0"/>
        <v>0.02</v>
      </c>
    </row>
    <row r="34" spans="1:6" ht="14.4">
      <c r="A34" s="173">
        <v>19</v>
      </c>
      <c r="B34" s="176">
        <v>0.03</v>
      </c>
      <c r="C34" s="176">
        <v>0.02</v>
      </c>
      <c r="D34" s="176">
        <v>0.03</v>
      </c>
      <c r="E34" s="176">
        <v>0.02</v>
      </c>
      <c r="F34" s="386">
        <f t="shared" si="0"/>
        <v>0.02</v>
      </c>
    </row>
    <row r="35" spans="1:6" ht="14.4">
      <c r="A35" s="173">
        <v>20</v>
      </c>
      <c r="B35" s="176">
        <v>0.03</v>
      </c>
      <c r="C35" s="176">
        <v>0.02</v>
      </c>
      <c r="D35" s="176">
        <v>0.03</v>
      </c>
      <c r="E35" s="176">
        <v>0.02</v>
      </c>
      <c r="F35" s="386">
        <f t="shared" si="0"/>
        <v>0.02</v>
      </c>
    </row>
    <row r="36" spans="1:6" ht="14.4">
      <c r="A36" s="173">
        <v>21</v>
      </c>
      <c r="B36" s="176">
        <v>0.03</v>
      </c>
      <c r="C36" s="176">
        <v>0.02</v>
      </c>
      <c r="D36" s="176">
        <v>0.03</v>
      </c>
      <c r="E36" s="176">
        <v>0.02</v>
      </c>
      <c r="F36" s="386">
        <f t="shared" si="0"/>
        <v>0.02</v>
      </c>
    </row>
    <row r="37" spans="1:6" ht="14.4">
      <c r="A37" s="173">
        <v>22</v>
      </c>
      <c r="B37" s="176">
        <v>0.03</v>
      </c>
      <c r="C37" s="176">
        <v>0.02</v>
      </c>
      <c r="D37" s="176">
        <v>0.03</v>
      </c>
      <c r="E37" s="176">
        <v>0.02</v>
      </c>
      <c r="F37" s="386">
        <f t="shared" si="0"/>
        <v>0.02</v>
      </c>
    </row>
    <row r="38" spans="1:6" ht="14.4">
      <c r="A38" s="173">
        <v>23</v>
      </c>
      <c r="B38" s="176">
        <v>0.03</v>
      </c>
      <c r="C38" s="176">
        <v>0.02</v>
      </c>
      <c r="D38" s="176">
        <v>0.03</v>
      </c>
      <c r="E38" s="176">
        <v>0.02</v>
      </c>
      <c r="F38" s="386">
        <f t="shared" si="0"/>
        <v>0.02</v>
      </c>
    </row>
    <row r="39" spans="1:6" ht="14.4">
      <c r="A39" s="173">
        <v>24</v>
      </c>
      <c r="B39" s="176">
        <v>0.03</v>
      </c>
      <c r="C39" s="176">
        <v>0.02</v>
      </c>
      <c r="D39" s="176">
        <v>0.03</v>
      </c>
      <c r="E39" s="176">
        <v>0.02</v>
      </c>
      <c r="F39" s="386">
        <f t="shared" si="0"/>
        <v>0.02</v>
      </c>
    </row>
    <row r="40" spans="1:6" ht="14.4">
      <c r="A40" s="173">
        <v>25</v>
      </c>
      <c r="B40" s="176">
        <v>0.03</v>
      </c>
      <c r="C40" s="176">
        <v>0.02</v>
      </c>
      <c r="D40" s="176">
        <v>0.03</v>
      </c>
      <c r="E40" s="176">
        <v>0.02</v>
      </c>
      <c r="F40" s="386">
        <f t="shared" si="0"/>
        <v>0.02</v>
      </c>
    </row>
    <row r="41" spans="1:6" ht="14.4">
      <c r="A41" s="173">
        <v>26</v>
      </c>
      <c r="B41" s="176">
        <v>0.03</v>
      </c>
      <c r="C41" s="176">
        <v>0.02</v>
      </c>
      <c r="D41" s="176">
        <v>0.03</v>
      </c>
      <c r="E41" s="176">
        <v>0.02</v>
      </c>
      <c r="F41" s="386">
        <f t="shared" si="0"/>
        <v>0.02</v>
      </c>
    </row>
    <row r="42" spans="1:6" ht="14.4">
      <c r="A42" s="173">
        <v>27</v>
      </c>
      <c r="B42" s="176">
        <v>0.03</v>
      </c>
      <c r="C42" s="176">
        <v>0.02</v>
      </c>
      <c r="D42" s="176">
        <v>0.03</v>
      </c>
      <c r="E42" s="176">
        <v>0.02</v>
      </c>
      <c r="F42" s="386">
        <f t="shared" si="0"/>
        <v>0.02</v>
      </c>
    </row>
    <row r="43" spans="1:6" ht="14.4">
      <c r="A43" s="173">
        <v>28</v>
      </c>
      <c r="B43" s="176">
        <v>0.03</v>
      </c>
      <c r="C43" s="176">
        <v>0.02</v>
      </c>
      <c r="D43" s="176">
        <v>0.03</v>
      </c>
      <c r="E43" s="176">
        <v>0.02</v>
      </c>
      <c r="F43" s="386">
        <f t="shared" si="0"/>
        <v>0.02</v>
      </c>
    </row>
    <row r="44" spans="1:6" ht="14.4">
      <c r="A44" s="173">
        <v>29</v>
      </c>
      <c r="B44" s="176">
        <v>0.03</v>
      </c>
      <c r="C44" s="176">
        <v>0.02</v>
      </c>
      <c r="D44" s="176">
        <v>0.03</v>
      </c>
      <c r="E44" s="176">
        <v>0.02</v>
      </c>
      <c r="F44" s="386">
        <f t="shared" si="0"/>
        <v>0.02</v>
      </c>
    </row>
    <row r="45" spans="1:6" ht="14.4">
      <c r="A45" s="173">
        <v>30</v>
      </c>
      <c r="B45" s="176">
        <v>0.03</v>
      </c>
      <c r="C45" s="176">
        <v>0.02</v>
      </c>
      <c r="D45" s="176">
        <v>0.03</v>
      </c>
      <c r="E45" s="176">
        <v>0.02</v>
      </c>
      <c r="F45" s="386">
        <f t="shared" si="0"/>
        <v>0.02</v>
      </c>
    </row>
    <row r="46" spans="1:6" ht="14.4">
      <c r="A46" s="173">
        <v>31</v>
      </c>
      <c r="B46" s="176">
        <v>0.03</v>
      </c>
      <c r="C46" s="176">
        <v>0.02</v>
      </c>
      <c r="D46" s="176">
        <v>0.03</v>
      </c>
      <c r="E46" s="176">
        <v>0.02</v>
      </c>
      <c r="F46" s="386">
        <f t="shared" si="0"/>
        <v>0.02</v>
      </c>
    </row>
    <row r="47" spans="1:6" ht="14.4">
      <c r="F47" s="182" t="s">
        <v>280</v>
      </c>
    </row>
    <row r="48" spans="1:6" ht="14.4">
      <c r="F48" s="232" t="s">
        <v>475</v>
      </c>
    </row>
    <row r="49" spans="1:7" ht="14.4">
      <c r="F49" s="185" t="s">
        <v>476</v>
      </c>
    </row>
    <row r="50" spans="1:7" ht="14.4">
      <c r="F50" s="167" t="s">
        <v>477</v>
      </c>
    </row>
    <row r="51" spans="1:7" ht="14.4">
      <c r="F51" s="192" t="s">
        <v>478</v>
      </c>
    </row>
    <row r="52" spans="1:7">
      <c r="F52" t="s">
        <v>479</v>
      </c>
    </row>
    <row r="53" spans="1:7">
      <c r="F53" t="s">
        <v>480</v>
      </c>
    </row>
    <row r="55" spans="1:7">
      <c r="F55" s="397" t="s">
        <v>492</v>
      </c>
      <c r="G55" s="397"/>
    </row>
    <row r="56" spans="1:7">
      <c r="F56" s="397" t="s">
        <v>493</v>
      </c>
      <c r="G56" s="397"/>
    </row>
    <row r="57" spans="1:7">
      <c r="F57" s="397" t="s">
        <v>494</v>
      </c>
      <c r="G57" s="397"/>
    </row>
    <row r="58" spans="1:7" ht="13.8">
      <c r="F58" s="398" t="s">
        <v>498</v>
      </c>
      <c r="G58" s="397"/>
    </row>
    <row r="59" spans="1:7">
      <c r="F59" s="397" t="s">
        <v>495</v>
      </c>
      <c r="G59" s="397"/>
    </row>
    <row r="60" spans="1:7">
      <c r="F60" s="397" t="s">
        <v>519</v>
      </c>
      <c r="G60" s="397"/>
    </row>
    <row r="63" spans="1:7" s="55" customFormat="1" ht="20.7" customHeight="1">
      <c r="A63" s="358" t="s">
        <v>422</v>
      </c>
    </row>
    <row r="64" spans="1:7" s="55" customFormat="1" ht="20.7" customHeight="1">
      <c r="A64" s="360" t="s">
        <v>432</v>
      </c>
      <c r="B64" s="101" t="s">
        <v>431</v>
      </c>
    </row>
    <row r="65" spans="1:9" s="55" customFormat="1" ht="20.7" customHeight="1">
      <c r="A65" s="360"/>
      <c r="B65" s="101"/>
    </row>
    <row r="66" spans="1:9" s="55" customFormat="1" ht="32.4" customHeight="1">
      <c r="A66" s="508" t="s">
        <v>423</v>
      </c>
      <c r="B66" s="508"/>
      <c r="C66" s="508"/>
      <c r="D66" s="508"/>
      <c r="E66" s="508"/>
      <c r="F66" s="508"/>
      <c r="G66" s="508"/>
      <c r="H66" s="394"/>
    </row>
    <row r="67" spans="1:9" s="55" customFormat="1" ht="27" customHeight="1">
      <c r="A67" s="508" t="s">
        <v>424</v>
      </c>
      <c r="B67" s="508"/>
      <c r="C67" s="508"/>
      <c r="D67" s="508"/>
      <c r="E67" s="508"/>
      <c r="F67" s="508"/>
      <c r="G67" s="508"/>
      <c r="H67" s="508"/>
    </row>
    <row r="68" spans="1:9" s="55" customFormat="1" ht="20.7" customHeight="1">
      <c r="A68" s="508" t="s">
        <v>425</v>
      </c>
      <c r="B68" s="508"/>
      <c r="C68" s="508"/>
      <c r="D68" s="508"/>
      <c r="E68" s="508"/>
      <c r="F68" s="508"/>
      <c r="G68" s="508"/>
      <c r="H68" s="394"/>
    </row>
    <row r="69" spans="1:9" s="55" customFormat="1" ht="20.7" customHeight="1">
      <c r="A69" s="509" t="s">
        <v>426</v>
      </c>
      <c r="B69" s="509"/>
      <c r="C69" s="509"/>
      <c r="D69" s="509"/>
      <c r="E69" s="509"/>
      <c r="F69" s="509"/>
      <c r="G69" s="509"/>
      <c r="H69" s="509"/>
    </row>
    <row r="70" spans="1:9" s="55" customFormat="1" ht="58.2" customHeight="1">
      <c r="A70" s="508" t="s">
        <v>427</v>
      </c>
      <c r="B70" s="508"/>
      <c r="C70" s="508"/>
      <c r="D70" s="508"/>
      <c r="E70" s="508"/>
      <c r="F70" s="508"/>
      <c r="G70" s="508"/>
      <c r="H70" s="508"/>
    </row>
    <row r="71" spans="1:9" s="55" customFormat="1" ht="31.2" customHeight="1">
      <c r="A71" s="508" t="s">
        <v>428</v>
      </c>
      <c r="B71" s="508"/>
      <c r="C71" s="508"/>
      <c r="D71" s="508"/>
      <c r="E71" s="508"/>
      <c r="F71" s="508"/>
      <c r="G71" s="508"/>
      <c r="H71" s="508"/>
    </row>
    <row r="72" spans="1:9" s="55" customFormat="1" ht="51.6" customHeight="1">
      <c r="A72" s="508" t="s">
        <v>429</v>
      </c>
      <c r="B72" s="508"/>
      <c r="C72" s="508"/>
      <c r="D72" s="508"/>
      <c r="E72" s="508"/>
      <c r="F72" s="508"/>
      <c r="G72" s="508"/>
      <c r="H72" s="508"/>
    </row>
    <row r="73" spans="1:9" s="55" customFormat="1" ht="59.4" customHeight="1">
      <c r="A73" s="508" t="s">
        <v>430</v>
      </c>
      <c r="B73" s="508"/>
      <c r="C73" s="508"/>
      <c r="D73" s="508"/>
      <c r="E73" s="508"/>
      <c r="F73" s="508"/>
      <c r="G73" s="508"/>
      <c r="H73" s="508"/>
    </row>
    <row r="74" spans="1:9" s="55" customFormat="1" ht="20.7" customHeight="1">
      <c r="A74" s="116" t="s">
        <v>433</v>
      </c>
    </row>
    <row r="75" spans="1:9" s="55" customFormat="1" ht="67.2" customHeight="1">
      <c r="A75" s="487" t="s">
        <v>434</v>
      </c>
      <c r="B75" s="487"/>
      <c r="C75" s="487"/>
      <c r="D75" s="487"/>
      <c r="E75" s="487"/>
      <c r="F75" s="487"/>
      <c r="G75" s="487"/>
      <c r="H75" s="487"/>
      <c r="I75" s="487"/>
    </row>
    <row r="76" spans="1:9" s="55" customFormat="1" ht="20.7" customHeight="1"/>
    <row r="77" spans="1:9" s="55" customFormat="1" ht="20.7" customHeight="1"/>
    <row r="78" spans="1:9" s="55" customFormat="1" ht="20.7" customHeight="1">
      <c r="A78" s="358" t="s">
        <v>435</v>
      </c>
    </row>
    <row r="79" spans="1:9" s="55" customFormat="1" ht="20.7" customHeight="1">
      <c r="A79" s="360" t="s">
        <v>432</v>
      </c>
      <c r="B79" s="101" t="s">
        <v>439</v>
      </c>
    </row>
    <row r="80" spans="1:9" s="55" customFormat="1" ht="33.6" customHeight="1">
      <c r="A80" s="487" t="s">
        <v>436</v>
      </c>
      <c r="B80" s="487"/>
      <c r="C80" s="487"/>
      <c r="D80" s="487"/>
      <c r="E80" s="487"/>
      <c r="F80" s="487"/>
      <c r="G80" s="487"/>
      <c r="H80" s="487"/>
      <c r="I80" s="487"/>
    </row>
    <row r="81" spans="1:9" s="55" customFormat="1" ht="33.6" customHeight="1">
      <c r="A81" s="487" t="s">
        <v>437</v>
      </c>
      <c r="B81" s="487"/>
      <c r="C81" s="487"/>
      <c r="D81" s="487"/>
      <c r="E81" s="487"/>
      <c r="F81" s="487"/>
      <c r="G81" s="487"/>
      <c r="H81" s="487"/>
      <c r="I81" s="487"/>
    </row>
    <row r="82" spans="1:9" s="55" customFormat="1" ht="18" customHeight="1">
      <c r="A82" s="487" t="s">
        <v>438</v>
      </c>
      <c r="B82" s="487"/>
      <c r="C82" s="487"/>
      <c r="D82" s="487"/>
      <c r="E82" s="487"/>
      <c r="F82" s="487"/>
      <c r="G82" s="487"/>
      <c r="H82" s="487"/>
      <c r="I82" s="487"/>
    </row>
    <row r="83" spans="1:9" s="55" customFormat="1" ht="13.95" customHeight="1"/>
    <row r="84" spans="1:9" s="55" customFormat="1" ht="13.95" customHeight="1">
      <c r="A84" s="367" t="s">
        <v>497</v>
      </c>
      <c r="B84" s="101" t="s">
        <v>449</v>
      </c>
    </row>
  </sheetData>
  <mergeCells count="18">
    <mergeCell ref="D4:G4"/>
    <mergeCell ref="D5:G5"/>
    <mergeCell ref="D6:G6"/>
    <mergeCell ref="D7:G7"/>
    <mergeCell ref="D8:G8"/>
    <mergeCell ref="A81:I81"/>
    <mergeCell ref="A82:I82"/>
    <mergeCell ref="A70:H70"/>
    <mergeCell ref="A71:H71"/>
    <mergeCell ref="A72:H72"/>
    <mergeCell ref="A73:H73"/>
    <mergeCell ref="B12:F14"/>
    <mergeCell ref="A75:I75"/>
    <mergeCell ref="A80:I80"/>
    <mergeCell ref="A67:H67"/>
    <mergeCell ref="A66:G66"/>
    <mergeCell ref="A68:G68"/>
    <mergeCell ref="A69:H69"/>
  </mergeCells>
  <hyperlinks>
    <hyperlink ref="B64" r:id="rId1" xr:uid="{3A5261DF-FF10-441F-BEDB-845F09FD7EF1}"/>
    <hyperlink ref="B79" r:id="rId2" xr:uid="{E1E03A64-0A83-4B3D-8919-13C6F1BECD17}"/>
    <hyperlink ref="B84" r:id="rId3" xr:uid="{675B92B9-FE61-42C3-93D7-745E0FDA0DBA}"/>
    <hyperlink ref="F58" r:id="rId4" display="der Restnutzungsdauer" xr:uid="{625CE15E-180D-4DC0-91B6-B67947560E97}"/>
    <hyperlink ref="D8" r:id="rId5" display="der Restnutzungsdauer" xr:uid="{76097630-B723-4FD0-A1EE-6573804194C9}"/>
  </hyperlinks>
  <pageMargins left="0.7" right="0.7" top="0.78740157499999996" bottom="0.78740157499999996" header="0.3" footer="0.3"/>
  <pageSetup paperSize="9" orientation="portrait" r:id="rId6"/>
  <drawing r:id="rId7"/>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76"/>
  <sheetViews>
    <sheetView tabSelected="1" zoomScaleNormal="100" workbookViewId="0">
      <pane xSplit="2" ySplit="6" topLeftCell="C7" activePane="bottomRight" state="frozen"/>
      <selection pane="topRight" activeCell="C1" sqref="C1"/>
      <selection pane="bottomLeft" activeCell="A7" sqref="A7"/>
      <selection pane="bottomRight" activeCell="C72" sqref="C72"/>
    </sheetView>
  </sheetViews>
  <sheetFormatPr defaultColWidth="11.6640625" defaultRowHeight="14.1" customHeight="1"/>
  <cols>
    <col min="1" max="1" width="6.6640625" style="167" customWidth="1"/>
    <col min="2" max="2" width="10.88671875" style="167" customWidth="1"/>
    <col min="3" max="4" width="11.77734375" style="167" customWidth="1"/>
    <col min="5" max="6" width="10.21875" style="167" customWidth="1"/>
    <col min="7" max="7" width="9.77734375" style="167" customWidth="1"/>
    <col min="8" max="8" width="11.33203125" style="167" customWidth="1"/>
    <col min="9" max="10" width="12.6640625" style="167" customWidth="1"/>
    <col min="11" max="11" width="12.109375" style="167" customWidth="1"/>
    <col min="12" max="12" width="14.33203125" style="167" customWidth="1"/>
    <col min="13" max="13" width="12.6640625" style="167" customWidth="1"/>
    <col min="14" max="14" width="12.109375" style="167" customWidth="1"/>
    <col min="15" max="15" width="13.21875" style="167" customWidth="1"/>
    <col min="16" max="16" width="12" style="167" customWidth="1"/>
    <col min="17" max="17" width="13.77734375" style="167" customWidth="1"/>
    <col min="18" max="18" width="12.33203125" style="167" customWidth="1"/>
    <col min="19" max="19" width="14.109375" style="167" customWidth="1"/>
    <col min="20" max="20" width="10.6640625" style="167" customWidth="1"/>
    <col min="21" max="21" width="14.88671875" style="167" customWidth="1"/>
    <col min="22" max="22" width="16.77734375" style="167" customWidth="1"/>
    <col min="23" max="23" width="15.33203125" style="167" customWidth="1"/>
    <col min="24" max="24" width="13.6640625" style="167" customWidth="1"/>
    <col min="25" max="25" width="17" style="322" customWidth="1"/>
    <col min="26" max="26" width="18.109375" style="336" customWidth="1"/>
    <col min="27" max="27" width="17.5546875" style="336" customWidth="1"/>
    <col min="28" max="28" width="13.33203125" style="337" customWidth="1"/>
    <col min="29" max="29" width="14.88671875" style="167" customWidth="1"/>
    <col min="30" max="30" width="13.77734375" style="167" customWidth="1"/>
    <col min="31" max="32" width="15.109375" style="183" customWidth="1"/>
    <col min="33" max="34" width="15.6640625" style="167" customWidth="1"/>
    <col min="35" max="35" width="17.21875" style="167" customWidth="1"/>
    <col min="36" max="38" width="17.6640625" style="167" customWidth="1"/>
    <col min="39" max="40" width="18.33203125" style="167" customWidth="1"/>
    <col min="41" max="41" width="11.5546875" style="167" customWidth="1"/>
    <col min="42" max="42" width="18.33203125" style="167" customWidth="1"/>
    <col min="43" max="247" width="11.5546875" style="167" customWidth="1"/>
    <col min="248" max="16384" width="11.6640625" style="167"/>
  </cols>
  <sheetData>
    <row r="1" spans="1:41" ht="14.1" customHeight="1">
      <c r="A1" s="199" t="s">
        <v>388</v>
      </c>
      <c r="B1" s="161"/>
      <c r="C1" s="161"/>
      <c r="D1" s="161"/>
      <c r="E1" s="162"/>
      <c r="F1" s="162"/>
      <c r="G1" s="163"/>
      <c r="H1" s="163"/>
      <c r="K1" s="218"/>
      <c r="L1" s="523" t="s">
        <v>368</v>
      </c>
      <c r="M1" s="524"/>
      <c r="N1" s="524"/>
      <c r="O1" s="524"/>
      <c r="P1" s="524"/>
      <c r="Q1" s="524"/>
      <c r="R1" s="524"/>
      <c r="S1" s="525"/>
      <c r="T1" s="219"/>
      <c r="U1" s="526" t="s">
        <v>369</v>
      </c>
      <c r="V1" s="527"/>
      <c r="W1" s="527"/>
      <c r="X1" s="528"/>
      <c r="Y1" s="534" t="s">
        <v>411</v>
      </c>
      <c r="Z1" s="535"/>
      <c r="AA1" s="536"/>
      <c r="AB1" s="338"/>
      <c r="AC1" s="531" t="s">
        <v>370</v>
      </c>
      <c r="AD1" s="532"/>
      <c r="AE1" s="532"/>
      <c r="AF1" s="532"/>
      <c r="AG1" s="533"/>
      <c r="AH1" s="450"/>
      <c r="AI1" s="520" t="s">
        <v>385</v>
      </c>
      <c r="AJ1" s="521"/>
      <c r="AK1" s="521"/>
      <c r="AL1" s="521"/>
      <c r="AM1" s="522"/>
      <c r="AN1" s="459"/>
    </row>
    <row r="2" spans="1:41" ht="14.1" customHeight="1">
      <c r="A2" s="199" t="s">
        <v>358</v>
      </c>
      <c r="B2" s="163"/>
      <c r="C2" s="163"/>
      <c r="D2" s="163"/>
      <c r="E2" s="163"/>
      <c r="F2" s="163"/>
      <c r="G2" s="163"/>
      <c r="H2" s="163"/>
      <c r="K2" s="239" t="s">
        <v>283</v>
      </c>
      <c r="L2" s="240" t="s">
        <v>281</v>
      </c>
      <c r="M2" s="241"/>
      <c r="N2" s="242" t="s">
        <v>282</v>
      </c>
      <c r="O2" s="242"/>
      <c r="P2" s="242"/>
      <c r="Q2" s="241"/>
      <c r="R2" s="241"/>
      <c r="S2" s="242"/>
      <c r="V2" s="226" t="s">
        <v>54</v>
      </c>
      <c r="W2" s="226" t="s">
        <v>54</v>
      </c>
      <c r="X2" s="226" t="s">
        <v>55</v>
      </c>
      <c r="Y2" s="343" t="s">
        <v>412</v>
      </c>
      <c r="Z2" s="344" t="s">
        <v>48</v>
      </c>
      <c r="AA2" s="345" t="s">
        <v>308</v>
      </c>
      <c r="AB2" s="333"/>
      <c r="AE2" s="224" t="s">
        <v>52</v>
      </c>
      <c r="AF2" s="202" t="s">
        <v>52</v>
      </c>
      <c r="AG2" s="255" t="s">
        <v>56</v>
      </c>
      <c r="AH2" s="255" t="s">
        <v>56</v>
      </c>
      <c r="AI2" s="276" t="s">
        <v>337</v>
      </c>
      <c r="AJ2" s="209" t="s">
        <v>364</v>
      </c>
      <c r="AK2" s="280" t="s">
        <v>335</v>
      </c>
      <c r="AL2" s="280" t="s">
        <v>335</v>
      </c>
      <c r="AM2" s="270" t="s">
        <v>364</v>
      </c>
      <c r="AN2" s="270" t="s">
        <v>364</v>
      </c>
    </row>
    <row r="3" spans="1:41" ht="14.1" customHeight="1">
      <c r="A3" s="169"/>
      <c r="B3" s="170"/>
      <c r="C3" s="212"/>
      <c r="I3" s="220"/>
      <c r="K3" s="214" t="s">
        <v>60</v>
      </c>
      <c r="L3" s="249" t="s">
        <v>279</v>
      </c>
      <c r="M3" s="249" t="s">
        <v>164</v>
      </c>
      <c r="N3" s="537" t="str">
        <f>AfA_Art</f>
        <v>Linear 2%</v>
      </c>
      <c r="O3" s="538"/>
      <c r="P3" s="405" t="s">
        <v>457</v>
      </c>
      <c r="Q3" s="402" t="s">
        <v>462</v>
      </c>
      <c r="R3" s="214" t="s">
        <v>488</v>
      </c>
      <c r="S3" s="249" t="s">
        <v>63</v>
      </c>
      <c r="V3" s="227" t="s">
        <v>65</v>
      </c>
      <c r="W3" s="227" t="s">
        <v>65</v>
      </c>
      <c r="X3" s="227" t="s">
        <v>54</v>
      </c>
      <c r="Y3" s="346" t="s">
        <v>408</v>
      </c>
      <c r="Z3" s="345" t="s">
        <v>307</v>
      </c>
      <c r="AA3" s="345" t="s">
        <v>413</v>
      </c>
      <c r="AB3" s="324"/>
      <c r="AC3" s="224" t="s">
        <v>386</v>
      </c>
      <c r="AD3" s="224" t="s">
        <v>386</v>
      </c>
      <c r="AE3" s="225" t="s">
        <v>66</v>
      </c>
      <c r="AF3" s="203" t="s">
        <v>66</v>
      </c>
      <c r="AG3" s="256" t="s">
        <v>67</v>
      </c>
      <c r="AH3" s="256" t="s">
        <v>67</v>
      </c>
      <c r="AI3" s="277" t="s">
        <v>338</v>
      </c>
      <c r="AJ3" s="210" t="s">
        <v>371</v>
      </c>
      <c r="AK3" s="281" t="s">
        <v>375</v>
      </c>
      <c r="AL3" s="281" t="s">
        <v>375</v>
      </c>
      <c r="AM3" s="271" t="s">
        <v>374</v>
      </c>
      <c r="AN3" s="271" t="s">
        <v>374</v>
      </c>
    </row>
    <row r="4" spans="1:41" ht="14.1" customHeight="1">
      <c r="A4" s="171"/>
      <c r="B4" s="172"/>
      <c r="C4" s="213"/>
      <c r="D4" s="214" t="s">
        <v>70</v>
      </c>
      <c r="E4" s="235" t="s">
        <v>58</v>
      </c>
      <c r="F4" s="214" t="s">
        <v>61</v>
      </c>
      <c r="G4" s="370" t="s">
        <v>72</v>
      </c>
      <c r="H4" s="448" t="s">
        <v>450</v>
      </c>
      <c r="I4" s="371" t="s">
        <v>60</v>
      </c>
      <c r="J4" s="290" t="s">
        <v>59</v>
      </c>
      <c r="K4" s="215" t="s">
        <v>73</v>
      </c>
      <c r="L4" s="250" t="s">
        <v>86</v>
      </c>
      <c r="M4" s="250" t="s">
        <v>62</v>
      </c>
      <c r="N4" s="235" t="s">
        <v>50</v>
      </c>
      <c r="O4" s="214" t="s">
        <v>459</v>
      </c>
      <c r="P4" s="406" t="s">
        <v>458</v>
      </c>
      <c r="Q4" s="403" t="s">
        <v>461</v>
      </c>
      <c r="R4" s="215" t="s">
        <v>489</v>
      </c>
      <c r="S4" s="250" t="s">
        <v>77</v>
      </c>
      <c r="T4" s="235" t="s">
        <v>64</v>
      </c>
      <c r="U4" s="264" t="s">
        <v>361</v>
      </c>
      <c r="V4" s="227" t="s">
        <v>79</v>
      </c>
      <c r="W4" s="227" t="s">
        <v>79</v>
      </c>
      <c r="X4" s="227" t="s">
        <v>80</v>
      </c>
      <c r="Y4" s="346" t="s">
        <v>414</v>
      </c>
      <c r="Z4" s="345" t="s">
        <v>415</v>
      </c>
      <c r="AA4" s="345" t="s">
        <v>416</v>
      </c>
      <c r="AB4" s="324"/>
      <c r="AC4" s="225" t="s">
        <v>331</v>
      </c>
      <c r="AD4" s="225" t="s">
        <v>331</v>
      </c>
      <c r="AE4" s="225" t="s">
        <v>81</v>
      </c>
      <c r="AF4" s="203" t="s">
        <v>216</v>
      </c>
      <c r="AG4" s="256" t="s">
        <v>82</v>
      </c>
      <c r="AH4" s="256" t="s">
        <v>82</v>
      </c>
      <c r="AI4" s="277" t="s">
        <v>83</v>
      </c>
      <c r="AJ4" s="210" t="s">
        <v>372</v>
      </c>
      <c r="AK4" s="281" t="s">
        <v>376</v>
      </c>
      <c r="AL4" s="281" t="s">
        <v>376</v>
      </c>
      <c r="AM4" s="271" t="s">
        <v>378</v>
      </c>
      <c r="AN4" s="271" t="s">
        <v>378</v>
      </c>
    </row>
    <row r="5" spans="1:41" ht="14.1" customHeight="1">
      <c r="A5" s="207"/>
      <c r="B5" s="208"/>
      <c r="C5" s="206" t="s">
        <v>304</v>
      </c>
      <c r="D5" s="215" t="s">
        <v>351</v>
      </c>
      <c r="E5" s="221" t="s">
        <v>71</v>
      </c>
      <c r="F5" s="215" t="s">
        <v>74</v>
      </c>
      <c r="G5" s="368" t="s">
        <v>24</v>
      </c>
      <c r="H5" s="387" t="s">
        <v>60</v>
      </c>
      <c r="I5" s="371" t="s">
        <v>514</v>
      </c>
      <c r="J5" s="221" t="s">
        <v>60</v>
      </c>
      <c r="K5" s="215" t="s">
        <v>349</v>
      </c>
      <c r="L5" s="250" t="s">
        <v>330</v>
      </c>
      <c r="M5" s="250" t="s">
        <v>75</v>
      </c>
      <c r="N5" s="221" t="s">
        <v>76</v>
      </c>
      <c r="O5" s="215" t="s">
        <v>50</v>
      </c>
      <c r="P5" s="406" t="s">
        <v>50</v>
      </c>
      <c r="Q5" s="403" t="s">
        <v>463</v>
      </c>
      <c r="R5" s="215" t="s">
        <v>490</v>
      </c>
      <c r="S5" s="250" t="s">
        <v>90</v>
      </c>
      <c r="T5" s="221" t="s">
        <v>78</v>
      </c>
      <c r="U5" s="265" t="s">
        <v>284</v>
      </c>
      <c r="V5" s="243" t="s">
        <v>236</v>
      </c>
      <c r="W5" s="243" t="s">
        <v>92</v>
      </c>
      <c r="X5" s="243" t="s">
        <v>92</v>
      </c>
      <c r="Y5" s="346" t="s">
        <v>417</v>
      </c>
      <c r="Z5" s="345" t="s">
        <v>418</v>
      </c>
      <c r="AA5" s="346" t="s">
        <v>417</v>
      </c>
      <c r="AB5" s="325"/>
      <c r="AC5" s="225" t="s">
        <v>332</v>
      </c>
      <c r="AD5" s="260" t="s">
        <v>50</v>
      </c>
      <c r="AE5" s="225" t="s">
        <v>93</v>
      </c>
      <c r="AF5" s="203" t="s">
        <v>321</v>
      </c>
      <c r="AG5" s="256" t="s">
        <v>94</v>
      </c>
      <c r="AH5" s="256" t="s">
        <v>94</v>
      </c>
      <c r="AI5" s="278">
        <f>Investment</f>
        <v>534786</v>
      </c>
      <c r="AJ5" s="210" t="s">
        <v>53</v>
      </c>
      <c r="AK5" s="281" t="s">
        <v>377</v>
      </c>
      <c r="AL5" s="281" t="s">
        <v>377</v>
      </c>
      <c r="AM5" s="271" t="s">
        <v>53</v>
      </c>
      <c r="AN5" s="271" t="s">
        <v>53</v>
      </c>
    </row>
    <row r="6" spans="1:41" ht="14.1" customHeight="1">
      <c r="A6" s="217" t="s">
        <v>350</v>
      </c>
      <c r="B6" s="173" t="s">
        <v>49</v>
      </c>
      <c r="C6" s="211" t="s">
        <v>305</v>
      </c>
      <c r="D6" s="216" t="s">
        <v>95</v>
      </c>
      <c r="E6" s="221" t="s">
        <v>24</v>
      </c>
      <c r="F6" s="215" t="s">
        <v>85</v>
      </c>
      <c r="G6" s="368" t="s">
        <v>84</v>
      </c>
      <c r="H6" s="388" t="s">
        <v>451</v>
      </c>
      <c r="I6" s="369" t="s">
        <v>84</v>
      </c>
      <c r="J6" s="222" t="s">
        <v>84</v>
      </c>
      <c r="K6" s="216" t="s">
        <v>115</v>
      </c>
      <c r="L6" s="251" t="s">
        <v>329</v>
      </c>
      <c r="M6" s="251" t="s">
        <v>87</v>
      </c>
      <c r="N6" s="221" t="s">
        <v>88</v>
      </c>
      <c r="O6" s="215" t="s">
        <v>460</v>
      </c>
      <c r="P6" s="407" t="s">
        <v>89</v>
      </c>
      <c r="Q6" s="403" t="s">
        <v>50</v>
      </c>
      <c r="R6" s="193" t="s">
        <v>447</v>
      </c>
      <c r="S6" s="251" t="s">
        <v>96</v>
      </c>
      <c r="T6" s="221" t="s">
        <v>91</v>
      </c>
      <c r="U6" s="265" t="s">
        <v>285</v>
      </c>
      <c r="V6" s="227" t="s">
        <v>24</v>
      </c>
      <c r="W6" s="227" t="s">
        <v>24</v>
      </c>
      <c r="X6" s="230" t="s">
        <v>24</v>
      </c>
      <c r="Y6" s="353">
        <f>Parameter!B81</f>
        <v>5.0399999999999993E-2</v>
      </c>
      <c r="Z6" s="347" t="s">
        <v>419</v>
      </c>
      <c r="AA6" s="353">
        <f>Y6</f>
        <v>5.0399999999999993E-2</v>
      </c>
      <c r="AB6" s="326"/>
      <c r="AC6" s="252" t="s">
        <v>89</v>
      </c>
      <c r="AD6" s="261" t="s">
        <v>89</v>
      </c>
      <c r="AE6" s="252" t="s">
        <v>51</v>
      </c>
      <c r="AF6" s="204" t="s">
        <v>70</v>
      </c>
      <c r="AG6" s="257" t="s">
        <v>51</v>
      </c>
      <c r="AH6" s="257" t="s">
        <v>51</v>
      </c>
      <c r="AI6" s="279" t="s">
        <v>302</v>
      </c>
      <c r="AJ6" s="284" t="s">
        <v>373</v>
      </c>
      <c r="AK6" s="282" t="s">
        <v>299</v>
      </c>
      <c r="AL6" s="282" t="s">
        <v>299</v>
      </c>
      <c r="AM6" s="272" t="s">
        <v>373</v>
      </c>
      <c r="AN6" s="272" t="s">
        <v>373</v>
      </c>
      <c r="AO6" s="233" t="s">
        <v>49</v>
      </c>
    </row>
    <row r="7" spans="1:41" ht="21.6" customHeight="1">
      <c r="A7" s="173">
        <f>Start</f>
        <v>0</v>
      </c>
      <c r="B7" s="174">
        <f>YEAR(Parameter!B3)</f>
        <v>2025</v>
      </c>
      <c r="C7" s="179">
        <f>Eigenkapital</f>
        <v>50000</v>
      </c>
      <c r="D7" s="175">
        <f>AuszahungKredit1</f>
        <v>484786</v>
      </c>
      <c r="E7" s="236">
        <f>-Kreditzins1</f>
        <v>-3.5000000000000003E-2</v>
      </c>
      <c r="F7" s="216" t="s">
        <v>24</v>
      </c>
      <c r="G7" s="248"/>
      <c r="H7" s="390" t="s">
        <v>486</v>
      </c>
      <c r="I7" s="177"/>
      <c r="J7" s="177"/>
      <c r="K7" s="238"/>
      <c r="L7" s="248"/>
      <c r="M7" s="248"/>
      <c r="N7" s="176"/>
      <c r="O7" s="364"/>
      <c r="P7" s="408" t="s">
        <v>486</v>
      </c>
      <c r="Q7" s="248"/>
      <c r="R7" s="237">
        <f>AFABasis</f>
        <v>403818</v>
      </c>
      <c r="S7" s="395" t="s">
        <v>363</v>
      </c>
      <c r="T7" s="223"/>
      <c r="U7" s="229"/>
      <c r="V7" s="228">
        <f>Kreditbedarf</f>
        <v>484786</v>
      </c>
      <c r="W7" s="228">
        <f>-(Finanzbedarf+Eigenkapital)</f>
        <v>-534786</v>
      </c>
      <c r="X7" s="229"/>
      <c r="Y7" s="346" t="s">
        <v>92</v>
      </c>
      <c r="Z7" s="347"/>
      <c r="AA7" s="347" t="s">
        <v>92</v>
      </c>
      <c r="AB7" s="339"/>
      <c r="AC7" s="262">
        <f>Grundstück</f>
        <v>120000</v>
      </c>
      <c r="AD7" s="262">
        <f>Gebäude+FittingUp</f>
        <v>370000</v>
      </c>
      <c r="AE7" s="253">
        <f>AC7+AD7</f>
        <v>490000</v>
      </c>
      <c r="AF7" s="205">
        <f>(AE7-D7)*(D7&gt;0)</f>
        <v>5214</v>
      </c>
      <c r="AG7" s="258">
        <f>AE7+J7+X7-Investment</f>
        <v>-44786</v>
      </c>
      <c r="AH7" s="353">
        <f>Y6</f>
        <v>5.0399999999999993E-2</v>
      </c>
      <c r="AI7" s="180">
        <f>AG7/$AI$5</f>
        <v>-8.3745647791827013E-2</v>
      </c>
      <c r="AJ7" s="283">
        <f>(1+AG7/$AI$5)-1</f>
        <v>-8.3745647791827027E-2</v>
      </c>
      <c r="AK7" s="273">
        <f t="shared" ref="AK7:AK38" si="0">IF(Eigenkapital&gt;0,AG7/Eigenkapital,"n/a")</f>
        <v>-0.89571999999999996</v>
      </c>
      <c r="AL7" s="353">
        <f>Y6</f>
        <v>5.0399999999999993E-2</v>
      </c>
      <c r="AM7" s="452">
        <f>IF(Eigenkapital&gt;0,(1+AK7)-1,"n/a")</f>
        <v>-0.89571999999999996</v>
      </c>
      <c r="AN7" s="353">
        <f>Y6</f>
        <v>5.0399999999999993E-2</v>
      </c>
      <c r="AO7" s="234">
        <f t="shared" ref="AO7:AO38" si="1">B7</f>
        <v>2025</v>
      </c>
    </row>
    <row r="8" spans="1:41" ht="14.1" customHeight="1">
      <c r="A8" s="173">
        <v>1</v>
      </c>
      <c r="B8" s="174">
        <f t="shared" ref="B8:B38" si="2">B7+1</f>
        <v>2026</v>
      </c>
      <c r="C8" s="164"/>
      <c r="D8" s="175">
        <f>D7</f>
        <v>484786</v>
      </c>
      <c r="E8" s="176">
        <f t="shared" ref="E8:E38" si="3">IF(A8&lt;=LaufzeitKredit1,-Kreditzins1,IF(A8&lt;=FinZeitraum,-Kreditzins2,0))</f>
        <v>-3.5000000000000003E-2</v>
      </c>
      <c r="F8" s="237">
        <f t="shared" ref="F8:F38" si="4">IF(A8&lt;=LaufzeitKredit1,-Annuität_Kredit_1_p.a.,IF(A8&lt;=FinZeitraum,-Annuität_Kredit_2_p.a.,0))</f>
        <v>-26358.460364636434</v>
      </c>
      <c r="G8" s="248">
        <f>D8*E8</f>
        <v>-16967.510000000002</v>
      </c>
      <c r="H8" s="389">
        <v>0</v>
      </c>
      <c r="I8" s="175">
        <f>+F8-G8+H8</f>
        <v>-9390.9503646364319</v>
      </c>
      <c r="J8" s="175">
        <f>-I7-I8</f>
        <v>9390.9503646364319</v>
      </c>
      <c r="K8" s="176">
        <f>IF(D8&gt;0,-I8/D$8,0)</f>
        <v>1.9371331607423548E-2</v>
      </c>
      <c r="L8" s="248">
        <f>-Unterhaltskosten_p.a.-Instanhaltungskosten_am_Anfang</f>
        <v>-5580</v>
      </c>
      <c r="M8" s="248">
        <f>Parameter!B40</f>
        <v>35100</v>
      </c>
      <c r="N8" s="176">
        <f>IF(AfA_Art=AfA!B$15,VLOOKUP(A8,AfA_Tabelle,2),IF(AfA_Art=AfA!C$15,VLOOKUP(A8,AfA_Tabelle,3),IF(AfA_Art=AfA!D$15,VLOOKUP(A8,AfA_Tabelle,4),IF(AfA_Art=AfA!E$15,VLOOKUP(A8,AfA_Tabelle,5),IF(AfA_Art=AfA!F$15,VLOOKUP(A8,AfA_Tabelle,6),"tbd")))))</f>
        <v>0.02</v>
      </c>
      <c r="O8" s="364">
        <f>IF(OR(AfA_Art=AfA!B$15,AfA_Art=AfA!C$15),-N8*R7,IF(OR(AfA_Art=AfA!D$15,AfA_Art=AfA!E$15,AfA_Art=AfA!F$15),AFABasis*-N8,"check"))</f>
        <v>-8076.3600000000006</v>
      </c>
      <c r="P8" s="409">
        <v>0</v>
      </c>
      <c r="Q8" s="248">
        <f>O8+P8</f>
        <v>-8076.3600000000006</v>
      </c>
      <c r="R8" s="364">
        <f>IF(R7+Q8&gt;=0,R7+Q8,0)</f>
        <v>395741.64</v>
      </c>
      <c r="S8" s="248">
        <f>M8+L8+G8+Q8-Disagio</f>
        <v>4476.1299999999974</v>
      </c>
      <c r="T8" s="178">
        <f t="shared" ref="T8:T38" si="5">-Grenzsteuersatz</f>
        <v>-0.3</v>
      </c>
      <c r="U8" s="248">
        <f>S8*T8</f>
        <v>-1342.8389999999993</v>
      </c>
      <c r="V8" s="248">
        <f>M8+L8+G8+I8</f>
        <v>3161.539635363566</v>
      </c>
      <c r="W8" s="248">
        <f t="shared" ref="W8:W36" si="6">V8+U8</f>
        <v>1818.7006353635668</v>
      </c>
      <c r="X8" s="229">
        <f t="shared" ref="X8:X38" si="7">+W8+X7</f>
        <v>1818.7006353635668</v>
      </c>
      <c r="Y8" s="348">
        <f>W8+(W8/2)*Y6</f>
        <v>1864.5318913747287</v>
      </c>
      <c r="Z8" s="349">
        <f>+X8+J8</f>
        <v>11209.650999999998</v>
      </c>
      <c r="AA8" s="349">
        <f>+Y8+J8</f>
        <v>11255.482256011161</v>
      </c>
      <c r="AB8" s="327"/>
      <c r="AC8" s="262">
        <f t="shared" ref="AC8:AC38" si="8">AC7*(1+Wertzuwachst_des_Grundstücks_p.a.)</f>
        <v>121200</v>
      </c>
      <c r="AD8" s="262">
        <f t="shared" ref="AD8:AD38" si="9">AD7*(1-Wertverlust_des_Gebäudes_p.a.+Baukostensteigerung_p.a)</f>
        <v>375549.99999999994</v>
      </c>
      <c r="AE8" s="253">
        <f>AD8+AC8</f>
        <v>496749.99999999994</v>
      </c>
      <c r="AF8" s="205">
        <f t="shared" ref="AF8:AF38" si="10">(AE8-D8)</f>
        <v>11963.999999999942</v>
      </c>
      <c r="AG8" s="258">
        <f t="shared" ref="AG8:AG37" si="11">AE8+Z8-Investment</f>
        <v>-26826.349000000046</v>
      </c>
      <c r="AH8" s="258">
        <f t="shared" ref="AH8:AH38" si="12">AE8+J8+Y8-Investment</f>
        <v>-26780.517743988894</v>
      </c>
      <c r="AI8" s="180">
        <f>AG8/$AI$5</f>
        <v>-5.0162773520623288E-2</v>
      </c>
      <c r="AJ8" s="180">
        <f t="shared" ref="AJ8:AJ38" si="13">(1+AI8)^(1/A8)-1</f>
        <v>-5.0162773520623261E-2</v>
      </c>
      <c r="AK8" s="273">
        <f t="shared" si="0"/>
        <v>-0.53652698000000087</v>
      </c>
      <c r="AL8" s="273">
        <f t="shared" ref="AL8:AL38" si="14">IF(Eigenkapital&gt;0,AH8/Eigenkapital,"n/a")</f>
        <v>-0.53561035487977793</v>
      </c>
      <c r="AM8" s="451">
        <f t="shared" ref="AM8:AM38" si="15">IF(Eigenkapital&gt;0,(1+AK8)^(1/A8)-1,"n/a")</f>
        <v>-0.53652698000000087</v>
      </c>
      <c r="AN8" s="451">
        <f t="shared" ref="AN8:AN38" si="16">IF(Eigenkapital&gt;0,(1+AL8)^(1/A8)-1,"n/a")</f>
        <v>-0.53561035487977793</v>
      </c>
      <c r="AO8" s="234">
        <f t="shared" si="1"/>
        <v>2026</v>
      </c>
    </row>
    <row r="9" spans="1:41" ht="14.1" customHeight="1">
      <c r="A9" s="173">
        <v>2</v>
      </c>
      <c r="B9" s="174">
        <f t="shared" si="2"/>
        <v>2027</v>
      </c>
      <c r="C9" s="164"/>
      <c r="D9" s="175">
        <f t="shared" ref="D9:D38" si="17">(A9&lt;=FinZeitraum)*(D8+I8)</f>
        <v>475395.04963536357</v>
      </c>
      <c r="E9" s="176">
        <f t="shared" si="3"/>
        <v>-3.5000000000000003E-2</v>
      </c>
      <c r="F9" s="175">
        <f t="shared" si="4"/>
        <v>-26358.460364636434</v>
      </c>
      <c r="G9" s="248">
        <f t="shared" ref="G9:G38" si="18">D9*E9</f>
        <v>-16638.826737237727</v>
      </c>
      <c r="H9" s="389">
        <v>0</v>
      </c>
      <c r="I9" s="175">
        <f>+F9-G9+H9</f>
        <v>-9719.6336273987072</v>
      </c>
      <c r="J9" s="175">
        <f>J8-I9</f>
        <v>19110.583992035139</v>
      </c>
      <c r="K9" s="176">
        <f t="shared" ref="K9:K38" si="19">IF(D9&gt;0,-I9/D$8,0)</f>
        <v>2.0049328213683371E-2</v>
      </c>
      <c r="L9" s="248">
        <f>-Unterhaltskosten_p.a.*(1+Unterhaltskostensteigerung)^2</f>
        <v>-5862.4874999999993</v>
      </c>
      <c r="M9" s="248">
        <f t="shared" ref="M9:M38" si="20">M8*(1+Mietpreissteigerung_p.a.)</f>
        <v>35802</v>
      </c>
      <c r="N9" s="176">
        <f>IF(AfA_Art=AfA!B$15,VLOOKUP(A9,AfA_Tabelle,2),IF(AfA_Art=AfA!C$15,VLOOKUP(A9,AfA_Tabelle,3),IF(AfA_Art=AfA!D$15,VLOOKUP(A9,AfA_Tabelle,4),IF(AfA_Art=AfA!E$15,VLOOKUP(A9,AfA_Tabelle,5),IF(AfA_Art=AfA!F$15,VLOOKUP(A9,AfA_Tabelle,6),"tbd")))))</f>
        <v>0.02</v>
      </c>
      <c r="O9" s="364">
        <f>IF(OR(AfA_Art=AfA!B$15,AfA_Art=AfA!C$15),-N9*R8,IF(OR(AfA_Art=AfA!D$15,AfA_Art=AfA!E$15,AfA_Art=AfA!F$15),AFABasis*-N9,"check"))</f>
        <v>-8076.3600000000006</v>
      </c>
      <c r="P9" s="409">
        <v>0</v>
      </c>
      <c r="Q9" s="248">
        <f>O9+P9</f>
        <v>-8076.3600000000006</v>
      </c>
      <c r="R9" s="364">
        <f t="shared" ref="R9:R12" si="21">IF(R8+Q9&gt;=0,R8+Q9,0)</f>
        <v>387665.28</v>
      </c>
      <c r="S9" s="248">
        <f>M9+L9+G9+Q9</f>
        <v>5224.3257627622734</v>
      </c>
      <c r="T9" s="178">
        <f t="shared" si="5"/>
        <v>-0.3</v>
      </c>
      <c r="U9" s="248">
        <f>S9*T9</f>
        <v>-1567.297728828682</v>
      </c>
      <c r="V9" s="248">
        <f>M9+L9+G9+I9</f>
        <v>3581.0521353635668</v>
      </c>
      <c r="W9" s="248">
        <f t="shared" si="6"/>
        <v>2013.7544065348848</v>
      </c>
      <c r="X9" s="229">
        <f t="shared" si="7"/>
        <v>3832.4550418984518</v>
      </c>
      <c r="Y9" s="348">
        <f>Y8*(1+Y$6)+(W9/2)*Y$6+W9</f>
        <v>4023.0053162795793</v>
      </c>
      <c r="Z9" s="349">
        <f>+X9+J9</f>
        <v>22943.03903393359</v>
      </c>
      <c r="AA9" s="349">
        <f t="shared" ref="AA9:AA37" si="22">+Y9+J9</f>
        <v>23133.589308314717</v>
      </c>
      <c r="AB9" s="327"/>
      <c r="AC9" s="262">
        <f t="shared" si="8"/>
        <v>122412</v>
      </c>
      <c r="AD9" s="262">
        <f t="shared" si="9"/>
        <v>381183.24999999988</v>
      </c>
      <c r="AE9" s="253">
        <f>AD9+AC9</f>
        <v>503595.24999999988</v>
      </c>
      <c r="AF9" s="205">
        <f t="shared" si="10"/>
        <v>28200.200364636315</v>
      </c>
      <c r="AG9" s="258">
        <f t="shared" si="11"/>
        <v>-8247.7109660665737</v>
      </c>
      <c r="AH9" s="258">
        <f t="shared" si="12"/>
        <v>-8057.1606916853925</v>
      </c>
      <c r="AI9" s="180">
        <f>AG9/$AI$5</f>
        <v>-1.54224511600277E-2</v>
      </c>
      <c r="AJ9" s="180">
        <f>(1+AI9)^(1/A9)-1</f>
        <v>-7.7411885803320146E-3</v>
      </c>
      <c r="AK9" s="273">
        <f t="shared" si="0"/>
        <v>-0.16495421932133147</v>
      </c>
      <c r="AL9" s="273">
        <f t="shared" si="14"/>
        <v>-0.16114321383370786</v>
      </c>
      <c r="AM9" s="451">
        <f t="shared" si="15"/>
        <v>-8.6191606145649136E-2</v>
      </c>
      <c r="AN9" s="451">
        <f t="shared" si="16"/>
        <v>-8.4108747630870728E-2</v>
      </c>
      <c r="AO9" s="234">
        <f t="shared" si="1"/>
        <v>2027</v>
      </c>
    </row>
    <row r="10" spans="1:41" ht="14.1" customHeight="1">
      <c r="A10" s="173">
        <v>3</v>
      </c>
      <c r="B10" s="174">
        <f t="shared" si="2"/>
        <v>2028</v>
      </c>
      <c r="C10" s="164"/>
      <c r="D10" s="175">
        <f t="shared" si="17"/>
        <v>465675.41600796487</v>
      </c>
      <c r="E10" s="176">
        <f t="shared" si="3"/>
        <v>-3.5000000000000003E-2</v>
      </c>
      <c r="F10" s="175">
        <f t="shared" si="4"/>
        <v>-26358.460364636434</v>
      </c>
      <c r="G10" s="248">
        <f t="shared" si="18"/>
        <v>-16298.639560278772</v>
      </c>
      <c r="H10" s="389">
        <v>0</v>
      </c>
      <c r="I10" s="175">
        <f t="shared" ref="I10:I38" si="23">+F10-G10+H10</f>
        <v>-10059.820804357661</v>
      </c>
      <c r="J10" s="175">
        <f t="shared" ref="J10:J38" si="24">J9-I10</f>
        <v>29170.404796392802</v>
      </c>
      <c r="K10" s="176">
        <f t="shared" si="19"/>
        <v>2.0751054701162289E-2</v>
      </c>
      <c r="L10" s="248">
        <f t="shared" ref="L10:L38" si="25">L9*(1+Unterhaltskostensteigerung)</f>
        <v>-6009.049687499999</v>
      </c>
      <c r="M10" s="248">
        <f t="shared" si="20"/>
        <v>36518.04</v>
      </c>
      <c r="N10" s="176">
        <f>IF(AfA_Art=AfA!B$15,VLOOKUP(A10,AfA_Tabelle,2),IF(AfA_Art=AfA!C$15,VLOOKUP(A10,AfA_Tabelle,3),IF(AfA_Art=AfA!D$15,VLOOKUP(A10,AfA_Tabelle,4),IF(AfA_Art=AfA!E$15,VLOOKUP(A10,AfA_Tabelle,5),IF(AfA_Art=AfA!F$15,VLOOKUP(A10,AfA_Tabelle,6),"tbd")))))</f>
        <v>0.02</v>
      </c>
      <c r="O10" s="364">
        <f>IF(OR(AfA_Art=AfA!B$15,AfA_Art=AfA!C$15),-N10*R9,IF(OR(AfA_Art=AfA!D$15,AfA_Art=AfA!E$15,AfA_Art=AfA!F$15),AFABasis*-N10,"check"))</f>
        <v>-8076.3600000000006</v>
      </c>
      <c r="P10" s="409">
        <v>0</v>
      </c>
      <c r="Q10" s="248">
        <f t="shared" ref="Q10:Q38" si="26">O10+P10</f>
        <v>-8076.3600000000006</v>
      </c>
      <c r="R10" s="364">
        <f t="shared" si="21"/>
        <v>379588.92000000004</v>
      </c>
      <c r="S10" s="248">
        <f t="shared" ref="S10:S38" si="27">M10+L10+G10+Q10</f>
        <v>6133.9907522212288</v>
      </c>
      <c r="T10" s="178">
        <f t="shared" si="5"/>
        <v>-0.3</v>
      </c>
      <c r="U10" s="248">
        <f t="shared" ref="U10:U38" si="28">S10*T10</f>
        <v>-1840.1972256663687</v>
      </c>
      <c r="V10" s="248">
        <f>M10+L10+G10+I10</f>
        <v>4150.5299478635679</v>
      </c>
      <c r="W10" s="248">
        <f t="shared" si="6"/>
        <v>2310.3327221971995</v>
      </c>
      <c r="X10" s="229">
        <f t="shared" si="7"/>
        <v>6142.7877640956513</v>
      </c>
      <c r="Y10" s="348">
        <f>Y9*(1+Y$6)+(W10/2)*Y$6+W10</f>
        <v>6594.3178910166389</v>
      </c>
      <c r="Z10" s="349">
        <f t="shared" ref="Z10:Z38" si="29">+X10+J10</f>
        <v>35313.192560488453</v>
      </c>
      <c r="AA10" s="349">
        <f t="shared" si="22"/>
        <v>35764.722687409441</v>
      </c>
      <c r="AB10" s="327"/>
      <c r="AC10" s="262">
        <f t="shared" si="8"/>
        <v>123636.12</v>
      </c>
      <c r="AD10" s="262">
        <f t="shared" si="9"/>
        <v>386900.99874999985</v>
      </c>
      <c r="AE10" s="253">
        <f t="shared" ref="AE10:AE37" si="30">AD10+AC10</f>
        <v>510537.11874999985</v>
      </c>
      <c r="AF10" s="205">
        <f t="shared" si="10"/>
        <v>44861.702742034977</v>
      </c>
      <c r="AG10" s="258">
        <f t="shared" si="11"/>
        <v>11064.311310488265</v>
      </c>
      <c r="AH10" s="258">
        <f t="shared" si="12"/>
        <v>11515.841437409283</v>
      </c>
      <c r="AI10" s="180">
        <f t="shared" ref="AI10:AI38" si="31">AG10/$AI$5</f>
        <v>2.0689231413104053E-2</v>
      </c>
      <c r="AJ10" s="180">
        <f t="shared" si="13"/>
        <v>6.8493892271970225E-3</v>
      </c>
      <c r="AK10" s="273">
        <f t="shared" si="0"/>
        <v>0.22128622620976529</v>
      </c>
      <c r="AL10" s="273">
        <f t="shared" si="14"/>
        <v>0.23031682874818565</v>
      </c>
      <c r="AM10" s="451">
        <f t="shared" si="15"/>
        <v>6.8905109448110347E-2</v>
      </c>
      <c r="AN10" s="451">
        <f t="shared" si="16"/>
        <v>7.153325729336979E-2</v>
      </c>
      <c r="AO10" s="234">
        <f t="shared" si="1"/>
        <v>2028</v>
      </c>
    </row>
    <row r="11" spans="1:41" ht="14.1" customHeight="1">
      <c r="A11" s="173">
        <v>4</v>
      </c>
      <c r="B11" s="174">
        <f t="shared" si="2"/>
        <v>2029</v>
      </c>
      <c r="C11" s="164"/>
      <c r="D11" s="175">
        <f t="shared" si="17"/>
        <v>455615.59520360723</v>
      </c>
      <c r="E11" s="176">
        <f t="shared" si="3"/>
        <v>-3.5000000000000003E-2</v>
      </c>
      <c r="F11" s="175">
        <f t="shared" si="4"/>
        <v>-26358.460364636434</v>
      </c>
      <c r="G11" s="248">
        <f t="shared" si="18"/>
        <v>-15946.545832126254</v>
      </c>
      <c r="H11" s="389">
        <v>0</v>
      </c>
      <c r="I11" s="175">
        <f t="shared" si="23"/>
        <v>-10411.91453251018</v>
      </c>
      <c r="J11" s="175">
        <f t="shared" si="24"/>
        <v>39582.31932890298</v>
      </c>
      <c r="K11" s="176">
        <f t="shared" si="19"/>
        <v>2.1477341615702968E-2</v>
      </c>
      <c r="L11" s="248">
        <f t="shared" si="25"/>
        <v>-6159.2759296874983</v>
      </c>
      <c r="M11" s="248">
        <f t="shared" si="20"/>
        <v>37248.400800000003</v>
      </c>
      <c r="N11" s="176">
        <f>IF(AfA_Art=AfA!B$15,VLOOKUP(A11,AfA_Tabelle,2),IF(AfA_Art=AfA!C$15,VLOOKUP(A11,AfA_Tabelle,3),IF(AfA_Art=AfA!D$15,VLOOKUP(A11,AfA_Tabelle,4),IF(AfA_Art=AfA!E$15,VLOOKUP(A11,AfA_Tabelle,5),IF(AfA_Art=AfA!F$15,VLOOKUP(A11,AfA_Tabelle,6),"tbd")))))</f>
        <v>0.02</v>
      </c>
      <c r="O11" s="364">
        <f>IF(OR(AfA_Art=AfA!B$15,AfA_Art=AfA!C$15),-N11*R10,IF(OR(AfA_Art=AfA!D$15,AfA_Art=AfA!E$15,AfA_Art=AfA!F$15),AFABasis*-N11,"check"))</f>
        <v>-8076.3600000000006</v>
      </c>
      <c r="P11" s="409">
        <v>0</v>
      </c>
      <c r="Q11" s="248">
        <f t="shared" si="26"/>
        <v>-8076.3600000000006</v>
      </c>
      <c r="R11" s="364">
        <f t="shared" si="21"/>
        <v>371512.56000000006</v>
      </c>
      <c r="S11" s="248">
        <f t="shared" si="27"/>
        <v>7066.2190381862511</v>
      </c>
      <c r="T11" s="178">
        <f t="shared" si="5"/>
        <v>-0.3</v>
      </c>
      <c r="U11" s="248">
        <f t="shared" si="28"/>
        <v>-2119.865711455875</v>
      </c>
      <c r="V11" s="248">
        <f t="shared" ref="V11:V37" si="32">M11+L11+G11+I11</f>
        <v>4730.6645056760717</v>
      </c>
      <c r="W11" s="248">
        <f t="shared" si="6"/>
        <v>2610.7987942201967</v>
      </c>
      <c r="X11" s="229">
        <f t="shared" si="7"/>
        <v>8753.5865583158484</v>
      </c>
      <c r="Y11" s="348">
        <f t="shared" ref="Y11:Y38" si="33">Y10*(1+Y$6)+(W11/2)*Y$6+W11</f>
        <v>9603.2624365584234</v>
      </c>
      <c r="Z11" s="349">
        <f t="shared" si="29"/>
        <v>48335.905887218833</v>
      </c>
      <c r="AA11" s="349">
        <f t="shared" si="22"/>
        <v>49185.581765461407</v>
      </c>
      <c r="AB11" s="327"/>
      <c r="AC11" s="262">
        <f t="shared" si="8"/>
        <v>124872.48119999999</v>
      </c>
      <c r="AD11" s="262">
        <f t="shared" si="9"/>
        <v>392704.51373124984</v>
      </c>
      <c r="AE11" s="253">
        <f t="shared" si="30"/>
        <v>517576.99493124982</v>
      </c>
      <c r="AF11" s="205">
        <f t="shared" si="10"/>
        <v>61961.399727642594</v>
      </c>
      <c r="AG11" s="258">
        <f t="shared" si="11"/>
        <v>31126.900818468654</v>
      </c>
      <c r="AH11" s="258">
        <f t="shared" si="12"/>
        <v>31976.576696711127</v>
      </c>
      <c r="AI11" s="180">
        <f t="shared" si="31"/>
        <v>5.8204404787089888E-2</v>
      </c>
      <c r="AJ11" s="180">
        <f t="shared" si="13"/>
        <v>1.4243869280320398E-2</v>
      </c>
      <c r="AK11" s="273">
        <f t="shared" si="0"/>
        <v>0.62253801636937312</v>
      </c>
      <c r="AL11" s="273">
        <f t="shared" si="14"/>
        <v>0.63953153393422257</v>
      </c>
      <c r="AM11" s="451">
        <f t="shared" si="15"/>
        <v>0.12862254227380943</v>
      </c>
      <c r="AN11" s="451">
        <f t="shared" si="16"/>
        <v>0.13156613998186395</v>
      </c>
      <c r="AO11" s="234">
        <f t="shared" si="1"/>
        <v>2029</v>
      </c>
    </row>
    <row r="12" spans="1:41" ht="14.1" customHeight="1">
      <c r="A12" s="173">
        <v>5</v>
      </c>
      <c r="B12" s="174">
        <f t="shared" si="2"/>
        <v>2030</v>
      </c>
      <c r="C12" s="164"/>
      <c r="D12" s="175">
        <f t="shared" si="17"/>
        <v>445203.68067109707</v>
      </c>
      <c r="E12" s="176">
        <f t="shared" si="3"/>
        <v>-3.5000000000000003E-2</v>
      </c>
      <c r="F12" s="175">
        <f t="shared" si="4"/>
        <v>-26358.460364636434</v>
      </c>
      <c r="G12" s="248">
        <f t="shared" si="18"/>
        <v>-15582.1288234884</v>
      </c>
      <c r="H12" s="389">
        <v>0</v>
      </c>
      <c r="I12" s="175">
        <f t="shared" si="23"/>
        <v>-10776.331541148034</v>
      </c>
      <c r="J12" s="175">
        <f t="shared" si="24"/>
        <v>50358.650870051017</v>
      </c>
      <c r="K12" s="176">
        <f t="shared" si="19"/>
        <v>2.2229048572252569E-2</v>
      </c>
      <c r="L12" s="248">
        <f t="shared" si="25"/>
        <v>-6313.2578279296849</v>
      </c>
      <c r="M12" s="248">
        <f t="shared" si="20"/>
        <v>37993.368816000002</v>
      </c>
      <c r="N12" s="176">
        <f>IF(AfA_Art=AfA!B$15,VLOOKUP(A12,AfA_Tabelle,2),IF(AfA_Art=AfA!C$15,VLOOKUP(A12,AfA_Tabelle,3),IF(AfA_Art=AfA!D$15,VLOOKUP(A12,AfA_Tabelle,4),IF(AfA_Art=AfA!E$15,VLOOKUP(A12,AfA_Tabelle,5),IF(AfA_Art=AfA!F$15,VLOOKUP(A12,AfA_Tabelle,6),"tbd")))))</f>
        <v>0.02</v>
      </c>
      <c r="O12" s="364">
        <f>IF(OR(AfA_Art=AfA!B$15,AfA_Art=AfA!C$15),-N12*R11,IF(OR(AfA_Art=AfA!D$15,AfA_Art=AfA!E$15,AfA_Art=AfA!F$15),AFABasis*-N12,"check"))</f>
        <v>-8076.3600000000006</v>
      </c>
      <c r="P12" s="409">
        <v>0</v>
      </c>
      <c r="Q12" s="248">
        <f t="shared" si="26"/>
        <v>-8076.3600000000006</v>
      </c>
      <c r="R12" s="364">
        <f t="shared" si="21"/>
        <v>363436.20000000007</v>
      </c>
      <c r="S12" s="248">
        <f t="shared" si="27"/>
        <v>8021.6221645819151</v>
      </c>
      <c r="T12" s="178">
        <f t="shared" si="5"/>
        <v>-0.3</v>
      </c>
      <c r="U12" s="248">
        <f t="shared" si="28"/>
        <v>-2406.4866493745744</v>
      </c>
      <c r="V12" s="248">
        <f t="shared" si="32"/>
        <v>5321.6506234338813</v>
      </c>
      <c r="W12" s="248">
        <f t="shared" si="6"/>
        <v>2915.1639740593068</v>
      </c>
      <c r="X12" s="229">
        <f t="shared" si="7"/>
        <v>11668.750532375156</v>
      </c>
      <c r="Y12" s="348">
        <f t="shared" si="33"/>
        <v>13075.89296956657</v>
      </c>
      <c r="Z12" s="349">
        <f t="shared" si="29"/>
        <v>62027.401402426171</v>
      </c>
      <c r="AA12" s="349">
        <f t="shared" si="22"/>
        <v>63434.543839617589</v>
      </c>
      <c r="AB12" s="327"/>
      <c r="AC12" s="262">
        <f t="shared" si="8"/>
        <v>126121.206012</v>
      </c>
      <c r="AD12" s="262">
        <f t="shared" si="9"/>
        <v>398595.08143721853</v>
      </c>
      <c r="AE12" s="253">
        <f t="shared" si="30"/>
        <v>524716.28744921857</v>
      </c>
      <c r="AF12" s="205">
        <f t="shared" si="10"/>
        <v>79512.606778121495</v>
      </c>
      <c r="AG12" s="258">
        <f t="shared" si="11"/>
        <v>51957.688851644751</v>
      </c>
      <c r="AH12" s="258">
        <f t="shared" si="12"/>
        <v>53364.831288836082</v>
      </c>
      <c r="AI12" s="180">
        <f t="shared" si="31"/>
        <v>9.7156037838770554E-2</v>
      </c>
      <c r="AJ12" s="180">
        <f t="shared" si="13"/>
        <v>1.8717295353811281E-2</v>
      </c>
      <c r="AK12" s="273">
        <f t="shared" si="0"/>
        <v>1.0391537770328949</v>
      </c>
      <c r="AL12" s="273">
        <f t="shared" si="14"/>
        <v>1.0672966257767216</v>
      </c>
      <c r="AM12" s="451">
        <f t="shared" si="15"/>
        <v>0.15316113151995658</v>
      </c>
      <c r="AN12" s="451">
        <f t="shared" si="16"/>
        <v>0.15632671432955458</v>
      </c>
      <c r="AO12" s="234">
        <f t="shared" si="1"/>
        <v>2030</v>
      </c>
    </row>
    <row r="13" spans="1:41" ht="14.1" customHeight="1">
      <c r="A13" s="173">
        <v>6</v>
      </c>
      <c r="B13" s="174">
        <f t="shared" si="2"/>
        <v>2031</v>
      </c>
      <c r="C13" s="164"/>
      <c r="D13" s="175">
        <f t="shared" si="17"/>
        <v>434427.34912994906</v>
      </c>
      <c r="E13" s="176">
        <f t="shared" si="3"/>
        <v>-3.5000000000000003E-2</v>
      </c>
      <c r="F13" s="175">
        <f t="shared" si="4"/>
        <v>-26358.460364636434</v>
      </c>
      <c r="G13" s="248">
        <f t="shared" si="18"/>
        <v>-15204.957219548218</v>
      </c>
      <c r="H13" s="389">
        <v>0</v>
      </c>
      <c r="I13" s="175">
        <f t="shared" si="23"/>
        <v>-11153.503145088216</v>
      </c>
      <c r="J13" s="175">
        <f t="shared" si="24"/>
        <v>61512.154015139233</v>
      </c>
      <c r="K13" s="176">
        <f t="shared" si="19"/>
        <v>2.3007065272281409E-2</v>
      </c>
      <c r="L13" s="248">
        <f t="shared" si="25"/>
        <v>-6471.0892736279266</v>
      </c>
      <c r="M13" s="248">
        <f t="shared" si="20"/>
        <v>38753.236192320001</v>
      </c>
      <c r="N13" s="176">
        <f>IF(AfA_Art=AfA!B$15,VLOOKUP(A13,AfA_Tabelle,2),IF(AfA_Art=AfA!C$15,VLOOKUP(A13,AfA_Tabelle,3),IF(AfA_Art=AfA!D$15,VLOOKUP(A13,AfA_Tabelle,4),IF(AfA_Art=AfA!E$15,VLOOKUP(A13,AfA_Tabelle,5),IF(AfA_Art=AfA!F$15,VLOOKUP(A13,AfA_Tabelle,6),"tbd")))))</f>
        <v>0.02</v>
      </c>
      <c r="O13" s="364">
        <f>IF(OR(AfA_Art=AfA!B$15,AfA_Art=AfA!C$15),-N13*R12,IF(OR(AfA_Art=AfA!D$15,AfA_Art=AfA!E$15,AfA_Art=AfA!F$15),AFABasis*-N13,"check"))</f>
        <v>-8076.3600000000006</v>
      </c>
      <c r="P13" s="409">
        <v>0</v>
      </c>
      <c r="Q13" s="248">
        <f t="shared" si="26"/>
        <v>-8076.3600000000006</v>
      </c>
      <c r="R13" s="364">
        <f>IF(R12+Q13&gt;=0,R12+Q13,0)</f>
        <v>355359.84000000008</v>
      </c>
      <c r="S13" s="248">
        <f t="shared" si="27"/>
        <v>9000.8296991438547</v>
      </c>
      <c r="T13" s="178">
        <f t="shared" si="5"/>
        <v>-0.3</v>
      </c>
      <c r="U13" s="248">
        <f t="shared" si="28"/>
        <v>-2700.2489097431562</v>
      </c>
      <c r="V13" s="248">
        <f t="shared" si="32"/>
        <v>5923.6865540556391</v>
      </c>
      <c r="W13" s="248">
        <f t="shared" si="6"/>
        <v>3223.4376443124829</v>
      </c>
      <c r="X13" s="229">
        <f t="shared" si="7"/>
        <v>14892.188176687639</v>
      </c>
      <c r="Y13" s="348">
        <f t="shared" si="33"/>
        <v>17039.586248181884</v>
      </c>
      <c r="Z13" s="349">
        <f t="shared" si="29"/>
        <v>76404.342191826872</v>
      </c>
      <c r="AA13" s="349">
        <f t="shared" si="22"/>
        <v>78551.740263321117</v>
      </c>
      <c r="AB13" s="327"/>
      <c r="AC13" s="262">
        <f t="shared" si="8"/>
        <v>127382.41807212</v>
      </c>
      <c r="AD13" s="262">
        <f t="shared" si="9"/>
        <v>404574.00765877677</v>
      </c>
      <c r="AE13" s="253">
        <f t="shared" si="30"/>
        <v>531956.42573089676</v>
      </c>
      <c r="AF13" s="205">
        <f t="shared" si="10"/>
        <v>97529.076600947708</v>
      </c>
      <c r="AG13" s="258">
        <f t="shared" si="11"/>
        <v>73574.767922723666</v>
      </c>
      <c r="AH13" s="258">
        <f t="shared" si="12"/>
        <v>75722.165994217852</v>
      </c>
      <c r="AI13" s="180">
        <f t="shared" si="31"/>
        <v>0.13757796188143231</v>
      </c>
      <c r="AJ13" s="180">
        <f t="shared" si="13"/>
        <v>2.1716001261997908E-2</v>
      </c>
      <c r="AK13" s="273">
        <f t="shared" si="0"/>
        <v>1.4714953584544732</v>
      </c>
      <c r="AL13" s="273">
        <f t="shared" si="14"/>
        <v>1.514443319884357</v>
      </c>
      <c r="AM13" s="451">
        <f t="shared" si="15"/>
        <v>0.16276861209499405</v>
      </c>
      <c r="AN13" s="451">
        <f t="shared" si="16"/>
        <v>0.1661121177474163</v>
      </c>
      <c r="AO13" s="234">
        <f t="shared" si="1"/>
        <v>2031</v>
      </c>
    </row>
    <row r="14" spans="1:41" ht="14.1" customHeight="1">
      <c r="A14" s="173">
        <v>7</v>
      </c>
      <c r="B14" s="174">
        <f t="shared" si="2"/>
        <v>2032</v>
      </c>
      <c r="C14" s="164"/>
      <c r="D14" s="175">
        <f t="shared" si="17"/>
        <v>423273.84598486085</v>
      </c>
      <c r="E14" s="176">
        <f t="shared" si="3"/>
        <v>-3.5000000000000003E-2</v>
      </c>
      <c r="F14" s="175">
        <f t="shared" si="4"/>
        <v>-26358.460364636434</v>
      </c>
      <c r="G14" s="248">
        <f t="shared" si="18"/>
        <v>-14814.584609470132</v>
      </c>
      <c r="H14" s="389">
        <v>0</v>
      </c>
      <c r="I14" s="175">
        <f t="shared" si="23"/>
        <v>-11543.875755166302</v>
      </c>
      <c r="J14" s="175">
        <f t="shared" si="24"/>
        <v>73056.02977030554</v>
      </c>
      <c r="K14" s="176">
        <f t="shared" si="19"/>
        <v>2.3812312556811255E-2</v>
      </c>
      <c r="L14" s="248">
        <f t="shared" si="25"/>
        <v>-6632.8665054686244</v>
      </c>
      <c r="M14" s="248">
        <f t="shared" si="20"/>
        <v>39528.300916166401</v>
      </c>
      <c r="N14" s="176">
        <f>IF(AfA_Art=AfA!B$15,VLOOKUP(A14,AfA_Tabelle,2),IF(AfA_Art=AfA!C$15,VLOOKUP(A14,AfA_Tabelle,3),IF(AfA_Art=AfA!D$15,VLOOKUP(A14,AfA_Tabelle,4),IF(AfA_Art=AfA!E$15,VLOOKUP(A14,AfA_Tabelle,5),IF(AfA_Art=AfA!F$15,VLOOKUP(A14,AfA_Tabelle,6),"tbd")))))</f>
        <v>0.02</v>
      </c>
      <c r="O14" s="364">
        <f>IF(OR(AfA_Art=AfA!B$15,AfA_Art=AfA!C$15),-N14*RBWnach6Jahren*(A14&gt;=7),IF(OR(AfA_Art=AfA!D$15,AfA_Art=AfA!E$15,AfA_Art=AfA!F$15),AFABasis*-N14,"check"))</f>
        <v>-8076.3600000000006</v>
      </c>
      <c r="P14" s="409">
        <v>0</v>
      </c>
      <c r="Q14" s="248">
        <f t="shared" si="26"/>
        <v>-8076.3600000000006</v>
      </c>
      <c r="R14" s="364">
        <f>IF(R13+Q14&gt;=0,R13+Q14,0)</f>
        <v>347283.4800000001</v>
      </c>
      <c r="S14" s="248">
        <f t="shared" si="27"/>
        <v>10004.489801227646</v>
      </c>
      <c r="T14" s="178">
        <f t="shared" si="5"/>
        <v>-0.3</v>
      </c>
      <c r="U14" s="248">
        <f t="shared" si="28"/>
        <v>-3001.3469403682939</v>
      </c>
      <c r="V14" s="248">
        <f t="shared" si="32"/>
        <v>6536.9740460613448</v>
      </c>
      <c r="W14" s="248">
        <f t="shared" si="6"/>
        <v>3535.6271056930509</v>
      </c>
      <c r="X14" s="229">
        <f t="shared" si="7"/>
        <v>18427.815282380689</v>
      </c>
      <c r="Y14" s="348">
        <f t="shared" si="33"/>
        <v>21523.106303846769</v>
      </c>
      <c r="Z14" s="349">
        <f t="shared" si="29"/>
        <v>91483.845052686229</v>
      </c>
      <c r="AA14" s="349">
        <f t="shared" si="22"/>
        <v>94579.136074152309</v>
      </c>
      <c r="AB14" s="327"/>
      <c r="AC14" s="262">
        <f t="shared" si="8"/>
        <v>128656.2422528412</v>
      </c>
      <c r="AD14" s="262">
        <f t="shared" si="9"/>
        <v>410642.61777365836</v>
      </c>
      <c r="AE14" s="253">
        <f t="shared" si="30"/>
        <v>539298.86002649961</v>
      </c>
      <c r="AF14" s="205">
        <f t="shared" si="10"/>
        <v>116025.01404163876</v>
      </c>
      <c r="AG14" s="258">
        <f t="shared" si="11"/>
        <v>95996.705079185776</v>
      </c>
      <c r="AH14" s="258">
        <f t="shared" si="12"/>
        <v>99091.996100651915</v>
      </c>
      <c r="AI14" s="180">
        <f t="shared" si="31"/>
        <v>0.17950489556418039</v>
      </c>
      <c r="AJ14" s="180">
        <f t="shared" si="13"/>
        <v>2.3865292017751782E-2</v>
      </c>
      <c r="AK14" s="273">
        <f t="shared" si="0"/>
        <v>1.9199341015837155</v>
      </c>
      <c r="AL14" s="273">
        <f t="shared" si="14"/>
        <v>1.9818399220130383</v>
      </c>
      <c r="AM14" s="451">
        <f t="shared" si="15"/>
        <v>0.16541838316240498</v>
      </c>
      <c r="AN14" s="451">
        <f t="shared" si="16"/>
        <v>0.16891646224610657</v>
      </c>
      <c r="AO14" s="234">
        <f t="shared" si="1"/>
        <v>2032</v>
      </c>
    </row>
    <row r="15" spans="1:41" ht="14.1" customHeight="1">
      <c r="A15" s="173">
        <v>8</v>
      </c>
      <c r="B15" s="174">
        <f t="shared" si="2"/>
        <v>2033</v>
      </c>
      <c r="C15" s="164"/>
      <c r="D15" s="175">
        <f t="shared" si="17"/>
        <v>411729.97022969456</v>
      </c>
      <c r="E15" s="176">
        <f t="shared" si="3"/>
        <v>-3.5000000000000003E-2</v>
      </c>
      <c r="F15" s="175">
        <f t="shared" si="4"/>
        <v>-26358.460364636434</v>
      </c>
      <c r="G15" s="248">
        <f t="shared" si="18"/>
        <v>-14410.548958039311</v>
      </c>
      <c r="H15" s="389">
        <v>0</v>
      </c>
      <c r="I15" s="175">
        <f t="shared" si="23"/>
        <v>-11947.911406597123</v>
      </c>
      <c r="J15" s="175">
        <f t="shared" si="24"/>
        <v>85003.941176902663</v>
      </c>
      <c r="K15" s="176">
        <f t="shared" si="19"/>
        <v>2.4645743496299652E-2</v>
      </c>
      <c r="L15" s="248">
        <f t="shared" si="25"/>
        <v>-6798.6881681053392</v>
      </c>
      <c r="M15" s="248">
        <f t="shared" si="20"/>
        <v>40318.866934489728</v>
      </c>
      <c r="N15" s="176">
        <f>IF(AfA_Art=AfA!B$15,VLOOKUP(A15,AfA_Tabelle,2),IF(AfA_Art=AfA!C$15,VLOOKUP(A15,AfA_Tabelle,3),IF(AfA_Art=AfA!D$15,VLOOKUP(A15,AfA_Tabelle,4),IF(AfA_Art=AfA!E$15,VLOOKUP(A15,AfA_Tabelle,5),IF(AfA_Art=AfA!F$15,VLOOKUP(A15,AfA_Tabelle,6),"tbd")))))</f>
        <v>0.02</v>
      </c>
      <c r="O15" s="364">
        <f>IF(OR(AfA_Art=AfA!B$15,AfA_Art=AfA!C$15),-N15*RBWnach6Jahren*(A15&gt;=7),IF(OR(AfA_Art=AfA!D$15,AfA_Art=AfA!E$15,AfA_Art=AfA!F$15),AFABasis*-N15,"check"))</f>
        <v>-8076.3600000000006</v>
      </c>
      <c r="P15" s="409">
        <v>0</v>
      </c>
      <c r="Q15" s="248">
        <f t="shared" si="26"/>
        <v>-8076.3600000000006</v>
      </c>
      <c r="R15" s="364">
        <f t="shared" ref="R15:R38" si="34">IF(R14+Q15&gt;=0,R14+Q15,0)</f>
        <v>339207.12000000011</v>
      </c>
      <c r="S15" s="248">
        <f t="shared" si="27"/>
        <v>11033.269808345074</v>
      </c>
      <c r="T15" s="178">
        <f t="shared" si="5"/>
        <v>-0.3</v>
      </c>
      <c r="U15" s="248">
        <f t="shared" si="28"/>
        <v>-3309.9809425035223</v>
      </c>
      <c r="V15" s="248">
        <f t="shared" si="32"/>
        <v>7161.7184017479522</v>
      </c>
      <c r="W15" s="248">
        <f>V15+U15</f>
        <v>3851.7374592444298</v>
      </c>
      <c r="X15" s="229">
        <f t="shared" si="7"/>
        <v>22279.552741625117</v>
      </c>
      <c r="Y15" s="348">
        <f t="shared" si="33"/>
        <v>26556.672104778034</v>
      </c>
      <c r="Z15" s="349">
        <f t="shared" si="29"/>
        <v>107283.49391852778</v>
      </c>
      <c r="AA15" s="349">
        <f t="shared" si="22"/>
        <v>111560.61328168069</v>
      </c>
      <c r="AB15" s="327"/>
      <c r="AC15" s="262">
        <f t="shared" si="8"/>
        <v>129942.80467536961</v>
      </c>
      <c r="AD15" s="262">
        <f t="shared" si="9"/>
        <v>416802.25704026321</v>
      </c>
      <c r="AE15" s="253">
        <f t="shared" si="30"/>
        <v>546745.06171563279</v>
      </c>
      <c r="AF15" s="205">
        <f t="shared" si="10"/>
        <v>135015.09148593823</v>
      </c>
      <c r="AG15" s="258">
        <f t="shared" si="11"/>
        <v>119242.55563416053</v>
      </c>
      <c r="AH15" s="258">
        <f t="shared" si="12"/>
        <v>123519.67499731341</v>
      </c>
      <c r="AI15" s="180">
        <f t="shared" si="31"/>
        <v>0.22297247054739752</v>
      </c>
      <c r="AJ15" s="180">
        <f t="shared" si="13"/>
        <v>2.5479741247138366E-2</v>
      </c>
      <c r="AK15" s="273">
        <f t="shared" si="0"/>
        <v>2.3848511126832106</v>
      </c>
      <c r="AL15" s="273">
        <f t="shared" si="14"/>
        <v>2.4703934999462684</v>
      </c>
      <c r="AM15" s="451">
        <f t="shared" si="15"/>
        <v>0.16464199588285733</v>
      </c>
      <c r="AN15" s="451">
        <f t="shared" si="16"/>
        <v>0.16828107108841195</v>
      </c>
      <c r="AO15" s="234">
        <f t="shared" si="1"/>
        <v>2033</v>
      </c>
    </row>
    <row r="16" spans="1:41" ht="14.1" customHeight="1">
      <c r="A16" s="173">
        <v>9</v>
      </c>
      <c r="B16" s="174">
        <f t="shared" si="2"/>
        <v>2034</v>
      </c>
      <c r="C16" s="164"/>
      <c r="D16" s="175">
        <f t="shared" si="17"/>
        <v>399782.05882309744</v>
      </c>
      <c r="E16" s="176">
        <f t="shared" si="3"/>
        <v>-3.5000000000000003E-2</v>
      </c>
      <c r="F16" s="175">
        <f t="shared" si="4"/>
        <v>-26358.460364636434</v>
      </c>
      <c r="G16" s="248">
        <f t="shared" si="18"/>
        <v>-13992.372058808412</v>
      </c>
      <c r="H16" s="389">
        <v>0</v>
      </c>
      <c r="I16" s="175">
        <f t="shared" si="23"/>
        <v>-12366.088305828021</v>
      </c>
      <c r="J16" s="175">
        <f t="shared" si="24"/>
        <v>97370.029482730679</v>
      </c>
      <c r="K16" s="176">
        <f t="shared" si="19"/>
        <v>2.5508344518670137E-2</v>
      </c>
      <c r="L16" s="248">
        <f t="shared" si="25"/>
        <v>-6968.6553723079724</v>
      </c>
      <c r="M16" s="248">
        <f t="shared" si="20"/>
        <v>41125.244273179524</v>
      </c>
      <c r="N16" s="176">
        <f>IF(AfA_Art=AfA!B$15,VLOOKUP(A16,AfA_Tabelle,2),IF(AfA_Art=AfA!C$15,VLOOKUP(A16,AfA_Tabelle,3),IF(AfA_Art=AfA!D$15,VLOOKUP(A16,AfA_Tabelle,4),IF(AfA_Art=AfA!E$15,VLOOKUP(A16,AfA_Tabelle,5),IF(AfA_Art=AfA!F$15,VLOOKUP(A16,AfA_Tabelle,6),"tbd")))))</f>
        <v>0.02</v>
      </c>
      <c r="O16" s="364">
        <f>IF(OR(AfA_Art=AfA!B$15,AfA_Art=AfA!C$15),-N16*RBWnach6Jahren*(A16&gt;=7),IF(OR(AfA_Art=AfA!D$15,AfA_Art=AfA!E$15,AfA_Art=AfA!F$15),AFABasis*-N16,"check"))</f>
        <v>-8076.3600000000006</v>
      </c>
      <c r="P16" s="409">
        <v>0</v>
      </c>
      <c r="Q16" s="248">
        <f t="shared" si="26"/>
        <v>-8076.3600000000006</v>
      </c>
      <c r="R16" s="364">
        <f t="shared" si="34"/>
        <v>331130.76000000013</v>
      </c>
      <c r="S16" s="248">
        <f t="shared" si="27"/>
        <v>12087.856842063142</v>
      </c>
      <c r="T16" s="178">
        <f t="shared" si="5"/>
        <v>-0.3</v>
      </c>
      <c r="U16" s="248">
        <f t="shared" si="28"/>
        <v>-3626.3570526189424</v>
      </c>
      <c r="V16" s="248">
        <f t="shared" si="32"/>
        <v>7798.1285362351209</v>
      </c>
      <c r="W16" s="248">
        <f t="shared" si="6"/>
        <v>4171.7714836161786</v>
      </c>
      <c r="X16" s="229">
        <f t="shared" si="7"/>
        <v>26451.324225241297</v>
      </c>
      <c r="Y16" s="348">
        <f t="shared" si="33"/>
        <v>32172.028503862155</v>
      </c>
      <c r="Z16" s="349">
        <f t="shared" si="29"/>
        <v>123821.35370797198</v>
      </c>
      <c r="AA16" s="349">
        <f t="shared" si="22"/>
        <v>129542.05798659283</v>
      </c>
      <c r="AB16" s="327"/>
      <c r="AC16" s="262">
        <f t="shared" si="8"/>
        <v>131242.2327221233</v>
      </c>
      <c r="AD16" s="262">
        <f t="shared" si="9"/>
        <v>423054.2908958671</v>
      </c>
      <c r="AE16" s="253">
        <f t="shared" si="30"/>
        <v>554296.52361799043</v>
      </c>
      <c r="AF16" s="205">
        <f t="shared" si="10"/>
        <v>154514.46479489299</v>
      </c>
      <c r="AG16" s="258">
        <f t="shared" si="11"/>
        <v>143331.87732596241</v>
      </c>
      <c r="AH16" s="258">
        <f t="shared" si="12"/>
        <v>149052.58160458331</v>
      </c>
      <c r="AI16" s="180">
        <f t="shared" si="31"/>
        <v>0.26801725797975717</v>
      </c>
      <c r="AJ16" s="180">
        <f t="shared" si="13"/>
        <v>2.6734964112234527E-2</v>
      </c>
      <c r="AK16" s="273">
        <f t="shared" si="0"/>
        <v>2.8666375465192484</v>
      </c>
      <c r="AL16" s="273">
        <f t="shared" si="14"/>
        <v>2.981051632091666</v>
      </c>
      <c r="AM16" s="451">
        <f t="shared" si="15"/>
        <v>0.16214220554271752</v>
      </c>
      <c r="AN16" s="451">
        <f t="shared" si="16"/>
        <v>0.16591374797858305</v>
      </c>
      <c r="AO16" s="234">
        <f t="shared" si="1"/>
        <v>2034</v>
      </c>
    </row>
    <row r="17" spans="1:41" ht="14.1" customHeight="1">
      <c r="A17" s="173">
        <v>10</v>
      </c>
      <c r="B17" s="174">
        <f t="shared" si="2"/>
        <v>2035</v>
      </c>
      <c r="C17" s="164"/>
      <c r="D17" s="175">
        <f t="shared" si="17"/>
        <v>387415.97051726939</v>
      </c>
      <c r="E17" s="176">
        <f t="shared" si="3"/>
        <v>-3.5000000000000003E-2</v>
      </c>
      <c r="F17" s="175">
        <f t="shared" si="4"/>
        <v>-26358.460364636434</v>
      </c>
      <c r="G17" s="248">
        <f t="shared" si="18"/>
        <v>-13559.558968104429</v>
      </c>
      <c r="H17" s="389">
        <v>0</v>
      </c>
      <c r="I17" s="175">
        <f>+F17-G17+H17</f>
        <v>-12798.901396532005</v>
      </c>
      <c r="J17" s="175">
        <f t="shared" si="24"/>
        <v>110168.93087926268</v>
      </c>
      <c r="K17" s="176">
        <f t="shared" si="19"/>
        <v>2.6401136576823598E-2</v>
      </c>
      <c r="L17" s="248">
        <f t="shared" si="25"/>
        <v>-7142.8717566156711</v>
      </c>
      <c r="M17" s="248">
        <f t="shared" si="20"/>
        <v>41947.749158643113</v>
      </c>
      <c r="N17" s="176">
        <f>IF(AfA_Art=AfA!B$15,VLOOKUP(A17,AfA_Tabelle,2),IF(AfA_Art=AfA!C$15,VLOOKUP(A17,AfA_Tabelle,3),IF(AfA_Art=AfA!D$15,VLOOKUP(A17,AfA_Tabelle,4),IF(AfA_Art=AfA!E$15,VLOOKUP(A17,AfA_Tabelle,5),IF(AfA_Art=AfA!F$15,VLOOKUP(A17,AfA_Tabelle,6),"tbd")))))</f>
        <v>0.02</v>
      </c>
      <c r="O17" s="364">
        <f>IF(OR(AfA_Art=AfA!B$15,AfA_Art=AfA!C$15),-N17*RBWnach6Jahren*(A17&gt;=7),IF(OR(AfA_Art=AfA!D$15,AfA_Art=AfA!E$15,AfA_Art=AfA!F$15),AFABasis*-N17,"check"))</f>
        <v>-8076.3600000000006</v>
      </c>
      <c r="P17" s="409">
        <v>0</v>
      </c>
      <c r="Q17" s="248">
        <f t="shared" si="26"/>
        <v>-8076.3600000000006</v>
      </c>
      <c r="R17" s="364">
        <f t="shared" si="34"/>
        <v>323054.40000000014</v>
      </c>
      <c r="S17" s="248">
        <f t="shared" si="27"/>
        <v>13168.958433923013</v>
      </c>
      <c r="T17" s="178">
        <f t="shared" si="5"/>
        <v>-0.3</v>
      </c>
      <c r="U17" s="248">
        <f t="shared" si="28"/>
        <v>-3950.6875301769037</v>
      </c>
      <c r="V17" s="248">
        <f>M17+L17+G17+I17</f>
        <v>8446.4170373910092</v>
      </c>
      <c r="W17" s="248">
        <f>V17+U17</f>
        <v>4495.729507214106</v>
      </c>
      <c r="X17" s="229">
        <f t="shared" si="7"/>
        <v>30947.053732455402</v>
      </c>
      <c r="Y17" s="348">
        <f t="shared" si="33"/>
        <v>38402.520631252708</v>
      </c>
      <c r="Z17" s="349">
        <f t="shared" si="29"/>
        <v>141115.9846117181</v>
      </c>
      <c r="AA17" s="349">
        <f t="shared" si="22"/>
        <v>148571.45151051538</v>
      </c>
      <c r="AB17" s="327"/>
      <c r="AC17" s="262">
        <f t="shared" si="8"/>
        <v>132554.65504934452</v>
      </c>
      <c r="AD17" s="262">
        <f t="shared" si="9"/>
        <v>429400.10525930504</v>
      </c>
      <c r="AE17" s="253">
        <f t="shared" si="30"/>
        <v>561954.76030864962</v>
      </c>
      <c r="AF17" s="205">
        <f t="shared" si="10"/>
        <v>174538.78979138023</v>
      </c>
      <c r="AG17" s="258">
        <f t="shared" si="11"/>
        <v>168284.74492036772</v>
      </c>
      <c r="AH17" s="258">
        <f t="shared" si="12"/>
        <v>175740.21181916504</v>
      </c>
      <c r="AI17" s="180">
        <f t="shared" si="31"/>
        <v>0.31467679580312075</v>
      </c>
      <c r="AJ17" s="180">
        <f t="shared" si="13"/>
        <v>2.7736781658080023E-2</v>
      </c>
      <c r="AK17" s="273">
        <f t="shared" si="0"/>
        <v>3.3656948984073547</v>
      </c>
      <c r="AL17" s="273">
        <f t="shared" si="14"/>
        <v>3.5148042363833008</v>
      </c>
      <c r="AM17" s="451">
        <f t="shared" si="15"/>
        <v>0.15879159934377163</v>
      </c>
      <c r="AN17" s="451">
        <f t="shared" si="16"/>
        <v>0.1626898799622003</v>
      </c>
      <c r="AO17" s="234">
        <f t="shared" si="1"/>
        <v>2035</v>
      </c>
    </row>
    <row r="18" spans="1:41" ht="14.1" customHeight="1">
      <c r="A18" s="173">
        <v>11</v>
      </c>
      <c r="B18" s="174">
        <f t="shared" si="2"/>
        <v>2036</v>
      </c>
      <c r="C18" s="164"/>
      <c r="D18" s="175">
        <f t="shared" si="17"/>
        <v>374617.06912073737</v>
      </c>
      <c r="E18" s="176">
        <f t="shared" si="3"/>
        <v>-3.2500000000000001E-2</v>
      </c>
      <c r="F18" s="175">
        <f t="shared" si="4"/>
        <v>-25765.743887989716</v>
      </c>
      <c r="G18" s="248">
        <f t="shared" si="18"/>
        <v>-12175.054746423964</v>
      </c>
      <c r="H18" s="389">
        <v>0</v>
      </c>
      <c r="I18" s="175">
        <f t="shared" si="23"/>
        <v>-13590.689141565752</v>
      </c>
      <c r="J18" s="175">
        <f t="shared" si="24"/>
        <v>123759.62002082844</v>
      </c>
      <c r="K18" s="176">
        <f t="shared" si="19"/>
        <v>2.8034409288976481E-2</v>
      </c>
      <c r="L18" s="248">
        <f t="shared" si="25"/>
        <v>-7321.4435505310621</v>
      </c>
      <c r="M18" s="248">
        <f t="shared" si="20"/>
        <v>42786.704141815979</v>
      </c>
      <c r="N18" s="176">
        <f>IF(AfA_Art=AfA!B$15,VLOOKUP(A18,AfA_Tabelle,2),IF(AfA_Art=AfA!C$15,VLOOKUP(A18,AfA_Tabelle,3),IF(AfA_Art=AfA!D$15,VLOOKUP(A18,AfA_Tabelle,4),IF(AfA_Art=AfA!E$15,VLOOKUP(A18,AfA_Tabelle,5),IF(AfA_Art=AfA!F$15,VLOOKUP(A18,AfA_Tabelle,6),"tbd")))))</f>
        <v>0.02</v>
      </c>
      <c r="O18" s="364">
        <f>IF(OR(AfA_Art=AfA!B$15,AfA_Art=AfA!C$15),-N18*RBWnach6Jahren*(A18&gt;=7),IF(OR(AfA_Art=AfA!D$15,AfA_Art=AfA!E$15,AfA_Art=AfA!F$15),AFABasis*-N18,"check"))</f>
        <v>-8076.3600000000006</v>
      </c>
      <c r="P18" s="409">
        <v>0</v>
      </c>
      <c r="Q18" s="248">
        <f t="shared" si="26"/>
        <v>-8076.3600000000006</v>
      </c>
      <c r="R18" s="364">
        <f t="shared" si="34"/>
        <v>314978.04000000015</v>
      </c>
      <c r="S18" s="248">
        <f t="shared" si="27"/>
        <v>15213.845844860953</v>
      </c>
      <c r="T18" s="178">
        <f t="shared" si="5"/>
        <v>-0.3</v>
      </c>
      <c r="U18" s="248">
        <f t="shared" si="28"/>
        <v>-4564.1537534582858</v>
      </c>
      <c r="V18" s="248">
        <f t="shared" si="32"/>
        <v>9699.5167032952013</v>
      </c>
      <c r="W18" s="248">
        <f t="shared" si="6"/>
        <v>5135.3629498369155</v>
      </c>
      <c r="X18" s="229">
        <f t="shared" si="7"/>
        <v>36082.416682292314</v>
      </c>
      <c r="Y18" s="348">
        <f t="shared" si="33"/>
        <v>45602.781767240653</v>
      </c>
      <c r="Z18" s="349">
        <f>+X18+J18</f>
        <v>159842.03670312074</v>
      </c>
      <c r="AA18" s="349">
        <f t="shared" si="22"/>
        <v>169362.40178806911</v>
      </c>
      <c r="AB18" s="327"/>
      <c r="AC18" s="262">
        <f t="shared" si="8"/>
        <v>133880.20159983798</v>
      </c>
      <c r="AD18" s="262">
        <f t="shared" si="9"/>
        <v>435841.1068381946</v>
      </c>
      <c r="AE18" s="253">
        <f t="shared" si="30"/>
        <v>569721.30843803263</v>
      </c>
      <c r="AF18" s="205">
        <f t="shared" si="10"/>
        <v>195104.23931729526</v>
      </c>
      <c r="AG18" s="258">
        <f t="shared" si="11"/>
        <v>194777.34514115332</v>
      </c>
      <c r="AH18" s="258">
        <f t="shared" si="12"/>
        <v>204297.71022610168</v>
      </c>
      <c r="AI18" s="180">
        <f>AG18/$AI$5</f>
        <v>0.36421549019823501</v>
      </c>
      <c r="AJ18" s="180">
        <f t="shared" si="13"/>
        <v>2.8636874382590216E-2</v>
      </c>
      <c r="AK18" s="273">
        <f t="shared" si="0"/>
        <v>3.8955469028230665</v>
      </c>
      <c r="AL18" s="273">
        <f t="shared" si="14"/>
        <v>4.0859542045220341</v>
      </c>
      <c r="AM18" s="451">
        <f t="shared" si="15"/>
        <v>0.155338381908531</v>
      </c>
      <c r="AN18" s="451">
        <f t="shared" si="16"/>
        <v>0.15935296447323366</v>
      </c>
      <c r="AO18" s="234">
        <f t="shared" si="1"/>
        <v>2036</v>
      </c>
    </row>
    <row r="19" spans="1:41" ht="14.1" customHeight="1">
      <c r="A19" s="173">
        <v>12</v>
      </c>
      <c r="B19" s="174">
        <f t="shared" si="2"/>
        <v>2037</v>
      </c>
      <c r="C19" s="164"/>
      <c r="D19" s="175">
        <f t="shared" si="17"/>
        <v>361026.37997917162</v>
      </c>
      <c r="E19" s="176">
        <f t="shared" si="3"/>
        <v>-3.2500000000000001E-2</v>
      </c>
      <c r="F19" s="175">
        <f t="shared" si="4"/>
        <v>-25765.743887989716</v>
      </c>
      <c r="G19" s="248">
        <f t="shared" si="18"/>
        <v>-11733.357349323078</v>
      </c>
      <c r="H19" s="389">
        <v>0</v>
      </c>
      <c r="I19" s="175">
        <f t="shared" si="23"/>
        <v>-14032.386538666638</v>
      </c>
      <c r="J19" s="175">
        <f t="shared" si="24"/>
        <v>137792.00655949509</v>
      </c>
      <c r="K19" s="176">
        <f t="shared" si="19"/>
        <v>2.8945527590868214E-2</v>
      </c>
      <c r="L19" s="248">
        <f t="shared" si="25"/>
        <v>-7504.4796392943381</v>
      </c>
      <c r="M19" s="248">
        <f t="shared" si="20"/>
        <v>43642.438224652302</v>
      </c>
      <c r="N19" s="176">
        <f>IF(AfA_Art=AfA!B$15,VLOOKUP(A19,AfA_Tabelle,2),IF(AfA_Art=AfA!C$15,VLOOKUP(A19,AfA_Tabelle,3),IF(AfA_Art=AfA!D$15,VLOOKUP(A19,AfA_Tabelle,4),IF(AfA_Art=AfA!E$15,VLOOKUP(A19,AfA_Tabelle,5),IF(AfA_Art=AfA!F$15,VLOOKUP(A19,AfA_Tabelle,6),"tbd")))))</f>
        <v>0.02</v>
      </c>
      <c r="O19" s="364">
        <f>IF(OR(AfA_Art=AfA!B$15,AfA_Art=AfA!C$15),-N19*RBWnach6Jahren*(A19&gt;=7),IF(OR(AfA_Art=AfA!D$15,AfA_Art=AfA!E$15,AfA_Art=AfA!F$15),AFABasis*-N19,"check"))</f>
        <v>-8076.3600000000006</v>
      </c>
      <c r="P19" s="409">
        <v>0</v>
      </c>
      <c r="Q19" s="248">
        <f t="shared" si="26"/>
        <v>-8076.3600000000006</v>
      </c>
      <c r="R19" s="364">
        <f t="shared" si="34"/>
        <v>306901.68000000017</v>
      </c>
      <c r="S19" s="248">
        <f t="shared" si="27"/>
        <v>16328.241236034883</v>
      </c>
      <c r="T19" s="178">
        <f t="shared" si="5"/>
        <v>-0.3</v>
      </c>
      <c r="U19" s="248">
        <f t="shared" si="28"/>
        <v>-4898.4723708104648</v>
      </c>
      <c r="V19" s="248">
        <f t="shared" si="32"/>
        <v>10372.214697368245</v>
      </c>
      <c r="W19" s="248">
        <f t="shared" si="6"/>
        <v>5473.74232655778</v>
      </c>
      <c r="X19" s="229">
        <f t="shared" si="7"/>
        <v>41556.159008850096</v>
      </c>
      <c r="Y19" s="348">
        <f t="shared" si="33"/>
        <v>53512.842601496624</v>
      </c>
      <c r="Z19" s="349">
        <f t="shared" si="29"/>
        <v>179348.16556834517</v>
      </c>
      <c r="AA19" s="349">
        <f t="shared" si="22"/>
        <v>191304.84916099173</v>
      </c>
      <c r="AB19" s="327"/>
      <c r="AC19" s="262">
        <f t="shared" si="8"/>
        <v>135219.00361583635</v>
      </c>
      <c r="AD19" s="262">
        <f t="shared" si="9"/>
        <v>442378.7234407675</v>
      </c>
      <c r="AE19" s="253">
        <f t="shared" si="30"/>
        <v>577597.72705660388</v>
      </c>
      <c r="AF19" s="205">
        <f t="shared" si="10"/>
        <v>216571.34707743226</v>
      </c>
      <c r="AG19" s="258">
        <f t="shared" si="11"/>
        <v>222159.89262494911</v>
      </c>
      <c r="AH19" s="258">
        <f t="shared" si="12"/>
        <v>234116.5762175956</v>
      </c>
      <c r="AI19" s="180">
        <f t="shared" si="31"/>
        <v>0.41541830306879596</v>
      </c>
      <c r="AJ19" s="180">
        <f t="shared" si="13"/>
        <v>2.9375278321949416E-2</v>
      </c>
      <c r="AK19" s="273">
        <f t="shared" si="0"/>
        <v>4.4431978524989821</v>
      </c>
      <c r="AL19" s="273">
        <f t="shared" si="14"/>
        <v>4.6823315243519117</v>
      </c>
      <c r="AM19" s="451">
        <f t="shared" si="15"/>
        <v>0.15165176285972626</v>
      </c>
      <c r="AN19" s="451">
        <f t="shared" si="16"/>
        <v>0.15578542635254222</v>
      </c>
      <c r="AO19" s="234">
        <f t="shared" si="1"/>
        <v>2037</v>
      </c>
    </row>
    <row r="20" spans="1:41" ht="14.1" customHeight="1">
      <c r="A20" s="173">
        <v>13</v>
      </c>
      <c r="B20" s="174">
        <f t="shared" si="2"/>
        <v>2038</v>
      </c>
      <c r="C20" s="164"/>
      <c r="D20" s="175">
        <f t="shared" si="17"/>
        <v>346993.993440505</v>
      </c>
      <c r="E20" s="176">
        <f t="shared" si="3"/>
        <v>-3.2500000000000001E-2</v>
      </c>
      <c r="F20" s="175">
        <f t="shared" si="4"/>
        <v>-25765.743887989716</v>
      </c>
      <c r="G20" s="248">
        <f t="shared" si="18"/>
        <v>-11277.304786816412</v>
      </c>
      <c r="H20" s="389">
        <v>0</v>
      </c>
      <c r="I20" s="175">
        <f t="shared" si="23"/>
        <v>-14488.439101173304</v>
      </c>
      <c r="J20" s="175">
        <f t="shared" si="24"/>
        <v>152280.4456606684</v>
      </c>
      <c r="K20" s="176">
        <f t="shared" si="19"/>
        <v>2.9886257237571431E-2</v>
      </c>
      <c r="L20" s="248">
        <f t="shared" si="25"/>
        <v>-7692.0916302766955</v>
      </c>
      <c r="M20" s="248">
        <f t="shared" si="20"/>
        <v>44515.286989145352</v>
      </c>
      <c r="N20" s="176">
        <f>IF(AfA_Art=AfA!B$15,VLOOKUP(A20,AfA_Tabelle,2),IF(AfA_Art=AfA!C$15,VLOOKUP(A20,AfA_Tabelle,3),IF(AfA_Art=AfA!D$15,VLOOKUP(A20,AfA_Tabelle,4),IF(AfA_Art=AfA!E$15,VLOOKUP(A20,AfA_Tabelle,5),IF(AfA_Art=AfA!F$15,VLOOKUP(A20,AfA_Tabelle,6),"tbd")))))</f>
        <v>0.02</v>
      </c>
      <c r="O20" s="364">
        <f>IF(OR(AfA_Art=AfA!B$15,AfA_Art=AfA!C$15),-N20*RBWnach6Jahren*(A20&gt;=7),IF(OR(AfA_Art=AfA!D$15,AfA_Art=AfA!E$15,AfA_Art=AfA!F$15),AFABasis*-N20,"check"))</f>
        <v>-8076.3600000000006</v>
      </c>
      <c r="P20" s="409">
        <v>0</v>
      </c>
      <c r="Q20" s="248">
        <f t="shared" si="26"/>
        <v>-8076.3600000000006</v>
      </c>
      <c r="R20" s="364">
        <f t="shared" si="34"/>
        <v>298825.32000000018</v>
      </c>
      <c r="S20" s="248">
        <f>M20+L20+G20+Q20</f>
        <v>17469.530572052245</v>
      </c>
      <c r="T20" s="178">
        <f t="shared" si="5"/>
        <v>-0.3</v>
      </c>
      <c r="U20" s="248">
        <f t="shared" si="28"/>
        <v>-5240.8591716156734</v>
      </c>
      <c r="V20" s="248">
        <f t="shared" si="32"/>
        <v>11057.451470878941</v>
      </c>
      <c r="W20" s="248">
        <f t="shared" si="6"/>
        <v>5816.5922992632677</v>
      </c>
      <c r="X20" s="229">
        <f t="shared" si="7"/>
        <v>47372.751308113366</v>
      </c>
      <c r="Y20" s="348">
        <f t="shared" si="33"/>
        <v>62173.060293816758</v>
      </c>
      <c r="Z20" s="349">
        <f t="shared" si="29"/>
        <v>199653.19696878176</v>
      </c>
      <c r="AA20" s="349">
        <f t="shared" si="22"/>
        <v>214453.50595448515</v>
      </c>
      <c r="AB20" s="327"/>
      <c r="AC20" s="262">
        <f t="shared" si="8"/>
        <v>136571.19365199472</v>
      </c>
      <c r="AD20" s="262">
        <f t="shared" si="9"/>
        <v>449014.40429237898</v>
      </c>
      <c r="AE20" s="253">
        <f t="shared" si="30"/>
        <v>585585.59794437373</v>
      </c>
      <c r="AF20" s="205">
        <f t="shared" si="10"/>
        <v>238591.60450386873</v>
      </c>
      <c r="AG20" s="258">
        <f t="shared" si="11"/>
        <v>250452.79491315549</v>
      </c>
      <c r="AH20" s="258">
        <f t="shared" si="12"/>
        <v>265253.10389885888</v>
      </c>
      <c r="AI20" s="180">
        <f t="shared" si="31"/>
        <v>0.46832339461608102</v>
      </c>
      <c r="AJ20" s="180">
        <f t="shared" si="13"/>
        <v>2.9988652065293886E-2</v>
      </c>
      <c r="AK20" s="273">
        <f t="shared" si="0"/>
        <v>5.0090558982631102</v>
      </c>
      <c r="AL20" s="273">
        <f t="shared" si="14"/>
        <v>5.305062077977178</v>
      </c>
      <c r="AM20" s="451">
        <f t="shared" si="15"/>
        <v>0.14791088113439033</v>
      </c>
      <c r="AN20" s="451">
        <f t="shared" si="16"/>
        <v>0.15216470396531556</v>
      </c>
      <c r="AO20" s="234">
        <f t="shared" si="1"/>
        <v>2038</v>
      </c>
    </row>
    <row r="21" spans="1:41" ht="14.1" customHeight="1">
      <c r="A21" s="173">
        <v>14</v>
      </c>
      <c r="B21" s="174">
        <f t="shared" si="2"/>
        <v>2039</v>
      </c>
      <c r="C21" s="164"/>
      <c r="D21" s="175">
        <f t="shared" si="17"/>
        <v>332505.55433933169</v>
      </c>
      <c r="E21" s="176">
        <f t="shared" si="3"/>
        <v>-3.2500000000000001E-2</v>
      </c>
      <c r="F21" s="175">
        <f t="shared" si="4"/>
        <v>-25765.743887989716</v>
      </c>
      <c r="G21" s="248">
        <f t="shared" si="18"/>
        <v>-10806.43051602828</v>
      </c>
      <c r="H21" s="389">
        <v>0</v>
      </c>
      <c r="I21" s="175">
        <f t="shared" si="23"/>
        <v>-14959.313371961436</v>
      </c>
      <c r="J21" s="175">
        <f t="shared" si="24"/>
        <v>167239.75903262984</v>
      </c>
      <c r="K21" s="176">
        <f t="shared" si="19"/>
        <v>3.0857560597792502E-2</v>
      </c>
      <c r="L21" s="248">
        <f t="shared" si="25"/>
        <v>-7884.3939210336121</v>
      </c>
      <c r="M21" s="248">
        <f t="shared" si="20"/>
        <v>45405.592728928263</v>
      </c>
      <c r="N21" s="176">
        <f>IF(AfA_Art=AfA!B$15,VLOOKUP(A21,AfA_Tabelle,2),IF(AfA_Art=AfA!C$15,VLOOKUP(A21,AfA_Tabelle,3),IF(AfA_Art=AfA!D$15,VLOOKUP(A21,AfA_Tabelle,4),IF(AfA_Art=AfA!E$15,VLOOKUP(A21,AfA_Tabelle,5),IF(AfA_Art=AfA!F$15,VLOOKUP(A21,AfA_Tabelle,6),"tbd")))))</f>
        <v>0.02</v>
      </c>
      <c r="O21" s="364">
        <f>IF(OR(AfA_Art=AfA!B$15,AfA_Art=AfA!C$15),-N21*RBWnach6Jahren*(A21&gt;=7),IF(OR(AfA_Art=AfA!D$15,AfA_Art=AfA!E$15,AfA_Art=AfA!F$15),AFABasis*-N21,"check"))</f>
        <v>-8076.3600000000006</v>
      </c>
      <c r="P21" s="409">
        <v>0</v>
      </c>
      <c r="Q21" s="248">
        <f t="shared" si="26"/>
        <v>-8076.3600000000006</v>
      </c>
      <c r="R21" s="364">
        <f t="shared" si="34"/>
        <v>290748.9600000002</v>
      </c>
      <c r="S21" s="248">
        <f t="shared" si="27"/>
        <v>18638.40829186637</v>
      </c>
      <c r="T21" s="178">
        <f t="shared" si="5"/>
        <v>-0.3</v>
      </c>
      <c r="U21" s="248">
        <f t="shared" si="28"/>
        <v>-5591.5224875599106</v>
      </c>
      <c r="V21" s="248">
        <f t="shared" si="32"/>
        <v>11755.454919904934</v>
      </c>
      <c r="W21" s="248">
        <f t="shared" si="6"/>
        <v>6163.9324323450237</v>
      </c>
      <c r="X21" s="229">
        <f t="shared" si="7"/>
        <v>53536.683740458393</v>
      </c>
      <c r="Y21" s="348">
        <f t="shared" si="33"/>
        <v>71625.846062265235</v>
      </c>
      <c r="Z21" s="349">
        <f t="shared" si="29"/>
        <v>220776.44277308823</v>
      </c>
      <c r="AA21" s="349">
        <f t="shared" si="22"/>
        <v>238865.60509489506</v>
      </c>
      <c r="AB21" s="327"/>
      <c r="AC21" s="262">
        <f t="shared" si="8"/>
        <v>137936.90558851467</v>
      </c>
      <c r="AD21" s="262">
        <f t="shared" si="9"/>
        <v>455749.62035676464</v>
      </c>
      <c r="AE21" s="253">
        <f t="shared" si="30"/>
        <v>593686.52594527928</v>
      </c>
      <c r="AF21" s="205">
        <f t="shared" si="10"/>
        <v>261180.97160594759</v>
      </c>
      <c r="AG21" s="258">
        <f t="shared" si="11"/>
        <v>279676.96871836751</v>
      </c>
      <c r="AH21" s="258">
        <f t="shared" si="12"/>
        <v>297766.1310401744</v>
      </c>
      <c r="AI21" s="180">
        <f t="shared" si="31"/>
        <v>0.52296987714406795</v>
      </c>
      <c r="AJ21" s="180">
        <f t="shared" si="13"/>
        <v>3.0503282604721793E-2</v>
      </c>
      <c r="AK21" s="273">
        <f t="shared" si="0"/>
        <v>5.5935393743673503</v>
      </c>
      <c r="AL21" s="273">
        <f t="shared" si="14"/>
        <v>5.9553226208034875</v>
      </c>
      <c r="AM21" s="451">
        <f t="shared" si="15"/>
        <v>0.14421719966277324</v>
      </c>
      <c r="AN21" s="451">
        <f t="shared" si="16"/>
        <v>0.14859129355592993</v>
      </c>
      <c r="AO21" s="234">
        <f t="shared" si="1"/>
        <v>2039</v>
      </c>
    </row>
    <row r="22" spans="1:41" ht="14.1" customHeight="1">
      <c r="A22" s="173">
        <v>15</v>
      </c>
      <c r="B22" s="174">
        <f t="shared" si="2"/>
        <v>2040</v>
      </c>
      <c r="C22" s="164"/>
      <c r="D22" s="175">
        <f t="shared" si="17"/>
        <v>317546.24096737028</v>
      </c>
      <c r="E22" s="176">
        <f t="shared" si="3"/>
        <v>-3.2500000000000001E-2</v>
      </c>
      <c r="F22" s="175">
        <f t="shared" si="4"/>
        <v>-25765.743887989716</v>
      </c>
      <c r="G22" s="248">
        <f t="shared" si="18"/>
        <v>-10320.252831439535</v>
      </c>
      <c r="H22" s="389">
        <v>0</v>
      </c>
      <c r="I22" s="175">
        <f t="shared" si="23"/>
        <v>-15445.491056550181</v>
      </c>
      <c r="J22" s="175">
        <f t="shared" si="24"/>
        <v>182685.25008918002</v>
      </c>
      <c r="K22" s="176">
        <f t="shared" si="19"/>
        <v>3.1860431317220758E-2</v>
      </c>
      <c r="L22" s="248">
        <f t="shared" si="25"/>
        <v>-8081.5037690594518</v>
      </c>
      <c r="M22" s="248">
        <f t="shared" si="20"/>
        <v>46313.704583506827</v>
      </c>
      <c r="N22" s="176">
        <f>IF(AfA_Art=AfA!B$15,VLOOKUP(A22,AfA_Tabelle,2),IF(AfA_Art=AfA!C$15,VLOOKUP(A22,AfA_Tabelle,3),IF(AfA_Art=AfA!D$15,VLOOKUP(A22,AfA_Tabelle,4),IF(AfA_Art=AfA!E$15,VLOOKUP(A22,AfA_Tabelle,5),IF(AfA_Art=AfA!F$15,VLOOKUP(A22,AfA_Tabelle,6),"tbd")))))</f>
        <v>0.02</v>
      </c>
      <c r="O22" s="364">
        <f>IF(OR(AfA_Art=AfA!B$15,AfA_Art=AfA!C$15),-N22*RBWnach6Jahren*(A22&gt;=7),IF(OR(AfA_Art=AfA!D$15,AfA_Art=AfA!E$15,AfA_Art=AfA!F$15),AFABasis*-N22,"check"))</f>
        <v>-8076.3600000000006</v>
      </c>
      <c r="P22" s="409">
        <v>0</v>
      </c>
      <c r="Q22" s="248">
        <f t="shared" si="26"/>
        <v>-8076.3600000000006</v>
      </c>
      <c r="R22" s="364">
        <f t="shared" si="34"/>
        <v>282672.60000000021</v>
      </c>
      <c r="S22" s="248">
        <f t="shared" si="27"/>
        <v>19835.587983007837</v>
      </c>
      <c r="T22" s="178">
        <f t="shared" si="5"/>
        <v>-0.3</v>
      </c>
      <c r="U22" s="248">
        <f t="shared" si="28"/>
        <v>-5950.6763949023507</v>
      </c>
      <c r="V22" s="248">
        <f t="shared" si="32"/>
        <v>12466.456926457657</v>
      </c>
      <c r="W22" s="248">
        <f t="shared" si="6"/>
        <v>6515.780531555306</v>
      </c>
      <c r="X22" s="229">
        <f t="shared" si="7"/>
        <v>60052.464272013698</v>
      </c>
      <c r="Y22" s="348">
        <f t="shared" si="33"/>
        <v>81915.766904753909</v>
      </c>
      <c r="Z22" s="349">
        <f t="shared" si="29"/>
        <v>242737.71436119371</v>
      </c>
      <c r="AA22" s="349">
        <f t="shared" si="22"/>
        <v>264601.01699393394</v>
      </c>
      <c r="AB22" s="327"/>
      <c r="AC22" s="262">
        <f t="shared" si="8"/>
        <v>139316.27464439982</v>
      </c>
      <c r="AD22" s="262">
        <f t="shared" si="9"/>
        <v>462585.86466211604</v>
      </c>
      <c r="AE22" s="253">
        <f t="shared" si="30"/>
        <v>601902.13930651592</v>
      </c>
      <c r="AF22" s="205">
        <f t="shared" si="10"/>
        <v>284355.89833914564</v>
      </c>
      <c r="AG22" s="258">
        <f t="shared" si="11"/>
        <v>309853.85366770963</v>
      </c>
      <c r="AH22" s="258">
        <f t="shared" si="12"/>
        <v>331717.15630044974</v>
      </c>
      <c r="AI22" s="180">
        <f t="shared" si="31"/>
        <v>0.57939784075819045</v>
      </c>
      <c r="AJ22" s="180">
        <f t="shared" si="13"/>
        <v>3.0938525738033906E-2</v>
      </c>
      <c r="AK22" s="273">
        <f t="shared" si="0"/>
        <v>6.1970770733541922</v>
      </c>
      <c r="AL22" s="273">
        <f t="shared" si="14"/>
        <v>6.6343431260089947</v>
      </c>
      <c r="AM22" s="451">
        <f t="shared" si="15"/>
        <v>0.14062725195581627</v>
      </c>
      <c r="AN22" s="451">
        <f t="shared" si="16"/>
        <v>0.14512117376926947</v>
      </c>
      <c r="AO22" s="234">
        <f t="shared" si="1"/>
        <v>2040</v>
      </c>
    </row>
    <row r="23" spans="1:41" ht="14.1" customHeight="1">
      <c r="A23" s="173">
        <v>16</v>
      </c>
      <c r="B23" s="174">
        <f t="shared" si="2"/>
        <v>2041</v>
      </c>
      <c r="C23" s="164"/>
      <c r="D23" s="175">
        <f t="shared" si="17"/>
        <v>302100.7499108201</v>
      </c>
      <c r="E23" s="176">
        <f t="shared" si="3"/>
        <v>-3.2500000000000001E-2</v>
      </c>
      <c r="F23" s="175">
        <f t="shared" si="4"/>
        <v>-25765.743887989716</v>
      </c>
      <c r="G23" s="248">
        <f t="shared" si="18"/>
        <v>-9818.2743721016541</v>
      </c>
      <c r="H23" s="389">
        <v>0</v>
      </c>
      <c r="I23" s="175">
        <f t="shared" si="23"/>
        <v>-15947.469515888062</v>
      </c>
      <c r="J23" s="175">
        <f t="shared" si="24"/>
        <v>198632.71960506806</v>
      </c>
      <c r="K23" s="176">
        <f t="shared" si="19"/>
        <v>3.2895895335030428E-2</v>
      </c>
      <c r="L23" s="248">
        <f t="shared" si="25"/>
        <v>-8283.5413632859381</v>
      </c>
      <c r="M23" s="248">
        <f t="shared" si="20"/>
        <v>47239.978675176964</v>
      </c>
      <c r="N23" s="176">
        <f>IF(AfA_Art=AfA!B$15,VLOOKUP(A23,AfA_Tabelle,2),IF(AfA_Art=AfA!C$15,VLOOKUP(A23,AfA_Tabelle,3),IF(AfA_Art=AfA!D$15,VLOOKUP(A23,AfA_Tabelle,4),IF(AfA_Art=AfA!E$15,VLOOKUP(A23,AfA_Tabelle,5),IF(AfA_Art=AfA!F$15,VLOOKUP(A23,AfA_Tabelle,6),"tbd")))))</f>
        <v>0.02</v>
      </c>
      <c r="O23" s="364">
        <f>IF(OR(AfA_Art=AfA!B$15,AfA_Art=AfA!C$15),-N23*RBWnach6Jahren*(A23&gt;=7),IF(OR(AfA_Art=AfA!D$15,AfA_Art=AfA!E$15,AfA_Art=AfA!F$15),AFABasis*-N23,"check"))</f>
        <v>-8076.3600000000006</v>
      </c>
      <c r="P23" s="409">
        <v>0</v>
      </c>
      <c r="Q23" s="248">
        <f t="shared" si="26"/>
        <v>-8076.3600000000006</v>
      </c>
      <c r="R23" s="364">
        <f t="shared" si="34"/>
        <v>274596.24000000022</v>
      </c>
      <c r="S23" s="248">
        <f t="shared" si="27"/>
        <v>21061.802939789377</v>
      </c>
      <c r="T23" s="178">
        <f t="shared" si="5"/>
        <v>-0.3</v>
      </c>
      <c r="U23" s="248">
        <f t="shared" si="28"/>
        <v>-6318.5408819368131</v>
      </c>
      <c r="V23" s="248">
        <f t="shared" si="32"/>
        <v>13190.693423901315</v>
      </c>
      <c r="W23" s="248">
        <f t="shared" si="6"/>
        <v>6872.1525419645022</v>
      </c>
      <c r="X23" s="229">
        <f t="shared" si="7"/>
        <v>66924.616813978195</v>
      </c>
      <c r="Y23" s="348">
        <f t="shared" si="33"/>
        <v>93089.652342775516</v>
      </c>
      <c r="Z23" s="349">
        <f t="shared" si="29"/>
        <v>265557.33641904627</v>
      </c>
      <c r="AA23" s="349">
        <f t="shared" si="22"/>
        <v>291722.37194784358</v>
      </c>
      <c r="AB23" s="327"/>
      <c r="AC23" s="262">
        <f t="shared" si="8"/>
        <v>140709.43739084381</v>
      </c>
      <c r="AD23" s="262">
        <f t="shared" si="9"/>
        <v>469524.65263204771</v>
      </c>
      <c r="AE23" s="253">
        <f t="shared" si="30"/>
        <v>610234.09002289153</v>
      </c>
      <c r="AF23" s="205">
        <f t="shared" si="10"/>
        <v>308133.34011207143</v>
      </c>
      <c r="AG23" s="258">
        <f t="shared" si="11"/>
        <v>341005.4264419378</v>
      </c>
      <c r="AH23" s="258">
        <f t="shared" si="12"/>
        <v>367170.46197073511</v>
      </c>
      <c r="AI23" s="180">
        <f t="shared" si="31"/>
        <v>0.6376483798041418</v>
      </c>
      <c r="AJ23" s="180">
        <f t="shared" si="13"/>
        <v>3.1308960785785489E-2</v>
      </c>
      <c r="AK23" s="273">
        <f t="shared" si="0"/>
        <v>6.8201085288387562</v>
      </c>
      <c r="AL23" s="273">
        <f t="shared" si="14"/>
        <v>7.3434092394147026</v>
      </c>
      <c r="AM23" s="451">
        <f t="shared" si="15"/>
        <v>0.13717106005782687</v>
      </c>
      <c r="AN23" s="451">
        <f t="shared" si="16"/>
        <v>0.14178404929231392</v>
      </c>
      <c r="AO23" s="234">
        <f t="shared" si="1"/>
        <v>2041</v>
      </c>
    </row>
    <row r="24" spans="1:41" ht="14.1" customHeight="1">
      <c r="A24" s="173">
        <v>17</v>
      </c>
      <c r="B24" s="174">
        <f t="shared" si="2"/>
        <v>2042</v>
      </c>
      <c r="C24" s="164"/>
      <c r="D24" s="175">
        <f t="shared" si="17"/>
        <v>286153.28039493202</v>
      </c>
      <c r="E24" s="176">
        <f t="shared" si="3"/>
        <v>-3.2500000000000001E-2</v>
      </c>
      <c r="F24" s="175">
        <f t="shared" si="4"/>
        <v>-25765.743887989716</v>
      </c>
      <c r="G24" s="248">
        <f t="shared" si="18"/>
        <v>-9299.9816128352904</v>
      </c>
      <c r="H24" s="389">
        <v>0</v>
      </c>
      <c r="I24" s="175">
        <f t="shared" si="23"/>
        <v>-16465.762275154426</v>
      </c>
      <c r="J24" s="175">
        <f t="shared" si="24"/>
        <v>215098.48188022251</v>
      </c>
      <c r="K24" s="176">
        <f t="shared" si="19"/>
        <v>3.3965011933418922E-2</v>
      </c>
      <c r="L24" s="248">
        <f t="shared" si="25"/>
        <v>-8490.6298973680859</v>
      </c>
      <c r="M24" s="248">
        <f t="shared" si="20"/>
        <v>48184.778248680501</v>
      </c>
      <c r="N24" s="176">
        <f>IF(AfA_Art=AfA!B$15,VLOOKUP(A24,AfA_Tabelle,2),IF(AfA_Art=AfA!C$15,VLOOKUP(A24,AfA_Tabelle,3),IF(AfA_Art=AfA!D$15,VLOOKUP(A24,AfA_Tabelle,4),IF(AfA_Art=AfA!E$15,VLOOKUP(A24,AfA_Tabelle,5),IF(AfA_Art=AfA!F$15,VLOOKUP(A24,AfA_Tabelle,6),"tbd")))))</f>
        <v>0.02</v>
      </c>
      <c r="O24" s="364">
        <f>IF(OR(AfA_Art=AfA!B$15,AfA_Art=AfA!C$15),-N24*RBWnach6Jahren*(A24&gt;=7),IF(OR(AfA_Art=AfA!D$15,AfA_Art=AfA!E$15,AfA_Art=AfA!F$15),AFABasis*-N24,"check"))</f>
        <v>-8076.3600000000006</v>
      </c>
      <c r="P24" s="409">
        <v>0</v>
      </c>
      <c r="Q24" s="248">
        <f t="shared" si="26"/>
        <v>-8076.3600000000006</v>
      </c>
      <c r="R24" s="364">
        <f t="shared" si="34"/>
        <v>266519.88000000024</v>
      </c>
      <c r="S24" s="248">
        <f t="shared" si="27"/>
        <v>22317.80673847712</v>
      </c>
      <c r="T24" s="178">
        <f t="shared" si="5"/>
        <v>-0.3</v>
      </c>
      <c r="U24" s="248">
        <f t="shared" si="28"/>
        <v>-6695.3420215431361</v>
      </c>
      <c r="V24" s="248">
        <f t="shared" si="32"/>
        <v>13928.404463322695</v>
      </c>
      <c r="W24" s="248">
        <f t="shared" si="6"/>
        <v>7233.0624417795589</v>
      </c>
      <c r="X24" s="229">
        <f t="shared" si="7"/>
        <v>74157.679255757757</v>
      </c>
      <c r="Y24" s="348">
        <f t="shared" si="33"/>
        <v>105196.7064361638</v>
      </c>
      <c r="Z24" s="349">
        <f t="shared" si="29"/>
        <v>289256.16113598028</v>
      </c>
      <c r="AA24" s="349">
        <f t="shared" si="22"/>
        <v>320295.18831638631</v>
      </c>
      <c r="AB24" s="327"/>
      <c r="AC24" s="262">
        <f t="shared" si="8"/>
        <v>142116.53176475226</v>
      </c>
      <c r="AD24" s="262">
        <f t="shared" si="9"/>
        <v>476567.52242152841</v>
      </c>
      <c r="AE24" s="253">
        <f t="shared" si="30"/>
        <v>618684.0541862807</v>
      </c>
      <c r="AF24" s="205">
        <f t="shared" si="10"/>
        <v>332530.77379134868</v>
      </c>
      <c r="AG24" s="258">
        <f t="shared" si="11"/>
        <v>373154.21532226098</v>
      </c>
      <c r="AH24" s="258">
        <f t="shared" si="12"/>
        <v>404193.24250266701</v>
      </c>
      <c r="AI24" s="180">
        <f t="shared" si="31"/>
        <v>0.69776362006907622</v>
      </c>
      <c r="AJ24" s="180">
        <f t="shared" si="13"/>
        <v>3.1625787408152695E-2</v>
      </c>
      <c r="AK24" s="273">
        <f t="shared" si="0"/>
        <v>7.4630843064452197</v>
      </c>
      <c r="AL24" s="273">
        <f t="shared" si="14"/>
        <v>8.0838648500533399</v>
      </c>
      <c r="AM24" s="451">
        <f t="shared" si="15"/>
        <v>0.1338628071212411</v>
      </c>
      <c r="AN24" s="451">
        <f t="shared" si="16"/>
        <v>0.13859392580214047</v>
      </c>
      <c r="AO24" s="234">
        <f t="shared" si="1"/>
        <v>2042</v>
      </c>
    </row>
    <row r="25" spans="1:41" ht="14.1" customHeight="1">
      <c r="A25" s="173">
        <v>18</v>
      </c>
      <c r="B25" s="174">
        <f t="shared" si="2"/>
        <v>2043</v>
      </c>
      <c r="C25" s="164"/>
      <c r="D25" s="175">
        <f t="shared" si="17"/>
        <v>269687.51811977761</v>
      </c>
      <c r="E25" s="176">
        <f t="shared" si="3"/>
        <v>-3.2500000000000001E-2</v>
      </c>
      <c r="F25" s="175">
        <f t="shared" si="4"/>
        <v>-25765.743887989716</v>
      </c>
      <c r="G25" s="248">
        <f t="shared" si="18"/>
        <v>-8764.8443388927735</v>
      </c>
      <c r="H25" s="389">
        <v>0</v>
      </c>
      <c r="I25" s="175">
        <f t="shared" si="23"/>
        <v>-17000.899549096943</v>
      </c>
      <c r="J25" s="175">
        <f t="shared" si="24"/>
        <v>232099.38142931944</v>
      </c>
      <c r="K25" s="176">
        <f t="shared" si="19"/>
        <v>3.5068874821255036E-2</v>
      </c>
      <c r="L25" s="248">
        <f t="shared" si="25"/>
        <v>-8702.8956448022873</v>
      </c>
      <c r="M25" s="248">
        <f t="shared" si="20"/>
        <v>49148.473813654113</v>
      </c>
      <c r="N25" s="176">
        <f>IF(AfA_Art=AfA!B$15,VLOOKUP(A25,AfA_Tabelle,2),IF(AfA_Art=AfA!C$15,VLOOKUP(A25,AfA_Tabelle,3),IF(AfA_Art=AfA!D$15,VLOOKUP(A25,AfA_Tabelle,4),IF(AfA_Art=AfA!E$15,VLOOKUP(A25,AfA_Tabelle,5),IF(AfA_Art=AfA!F$15,VLOOKUP(A25,AfA_Tabelle,6),"tbd")))))</f>
        <v>0.02</v>
      </c>
      <c r="O25" s="364">
        <f>IF(OR(AfA_Art=AfA!B$15,AfA_Art=AfA!C$15),-N25*RBWnach6Jahren*(A25&gt;=7),IF(OR(AfA_Art=AfA!D$15,AfA_Art=AfA!E$15,AfA_Art=AfA!F$15),AFABasis*-N25,"check"))</f>
        <v>-8076.3600000000006</v>
      </c>
      <c r="P25" s="409">
        <v>0</v>
      </c>
      <c r="Q25" s="248">
        <f t="shared" si="26"/>
        <v>-8076.3600000000006</v>
      </c>
      <c r="R25" s="364">
        <f t="shared" si="34"/>
        <v>258443.52000000025</v>
      </c>
      <c r="S25" s="248">
        <f t="shared" si="27"/>
        <v>23604.373829959051</v>
      </c>
      <c r="T25" s="178">
        <f t="shared" si="5"/>
        <v>-0.3</v>
      </c>
      <c r="U25" s="248">
        <f t="shared" si="28"/>
        <v>-7081.3121489877149</v>
      </c>
      <c r="V25" s="248">
        <f t="shared" si="32"/>
        <v>14679.834280862109</v>
      </c>
      <c r="W25" s="248">
        <f t="shared" si="6"/>
        <v>7598.5221318743943</v>
      </c>
      <c r="X25" s="229">
        <f t="shared" si="7"/>
        <v>81756.201387632158</v>
      </c>
      <c r="Y25" s="348">
        <f t="shared" si="33"/>
        <v>118288.6253301441</v>
      </c>
      <c r="Z25" s="349">
        <f t="shared" si="29"/>
        <v>313855.58281695162</v>
      </c>
      <c r="AA25" s="349">
        <f t="shared" si="22"/>
        <v>350388.00675946358</v>
      </c>
      <c r="AB25" s="327"/>
      <c r="AC25" s="262">
        <f t="shared" si="8"/>
        <v>143537.6970823998</v>
      </c>
      <c r="AD25" s="262">
        <f t="shared" si="9"/>
        <v>483716.0352578513</v>
      </c>
      <c r="AE25" s="253">
        <f t="shared" si="30"/>
        <v>627253.7323402511</v>
      </c>
      <c r="AF25" s="205">
        <f t="shared" si="10"/>
        <v>357566.21422047348</v>
      </c>
      <c r="AG25" s="258">
        <f t="shared" si="11"/>
        <v>406323.31515720277</v>
      </c>
      <c r="AH25" s="258">
        <f t="shared" si="12"/>
        <v>442855.73909971467</v>
      </c>
      <c r="AI25" s="180">
        <f t="shared" si="31"/>
        <v>0.7597867467682452</v>
      </c>
      <c r="AJ25" s="180">
        <f t="shared" si="13"/>
        <v>3.1897758405392551E-2</v>
      </c>
      <c r="AK25" s="273">
        <f t="shared" si="0"/>
        <v>8.1264663031440563</v>
      </c>
      <c r="AL25" s="273">
        <f t="shared" si="14"/>
        <v>8.8571147819942926</v>
      </c>
      <c r="AM25" s="451">
        <f t="shared" si="15"/>
        <v>0.1307071735636951</v>
      </c>
      <c r="AN25" s="451">
        <f t="shared" si="16"/>
        <v>0.13555538985443727</v>
      </c>
      <c r="AO25" s="234">
        <f t="shared" si="1"/>
        <v>2043</v>
      </c>
    </row>
    <row r="26" spans="1:41" ht="14.1" customHeight="1">
      <c r="A26" s="173">
        <v>19</v>
      </c>
      <c r="B26" s="174">
        <f t="shared" si="2"/>
        <v>2044</v>
      </c>
      <c r="C26" s="164"/>
      <c r="D26" s="175">
        <f t="shared" si="17"/>
        <v>252686.61857068067</v>
      </c>
      <c r="E26" s="176">
        <f t="shared" si="3"/>
        <v>-3.2500000000000001E-2</v>
      </c>
      <c r="F26" s="175">
        <f t="shared" si="4"/>
        <v>-25765.743887989716</v>
      </c>
      <c r="G26" s="248">
        <f t="shared" si="18"/>
        <v>-8212.3151035471219</v>
      </c>
      <c r="H26" s="389">
        <v>0</v>
      </c>
      <c r="I26" s="175">
        <f t="shared" si="23"/>
        <v>-17553.428784442593</v>
      </c>
      <c r="J26" s="175">
        <f t="shared" si="24"/>
        <v>249652.81021376204</v>
      </c>
      <c r="K26" s="176">
        <f t="shared" si="19"/>
        <v>3.6208613252945818E-2</v>
      </c>
      <c r="L26" s="248">
        <f t="shared" si="25"/>
        <v>-8920.4680359223439</v>
      </c>
      <c r="M26" s="248">
        <f t="shared" si="20"/>
        <v>50131.443289927192</v>
      </c>
      <c r="N26" s="176">
        <f>IF(AfA_Art=AfA!B$15,VLOOKUP(A26,AfA_Tabelle,2),IF(AfA_Art=AfA!C$15,VLOOKUP(A26,AfA_Tabelle,3),IF(AfA_Art=AfA!D$15,VLOOKUP(A26,AfA_Tabelle,4),IF(AfA_Art=AfA!E$15,VLOOKUP(A26,AfA_Tabelle,5),IF(AfA_Art=AfA!F$15,VLOOKUP(A26,AfA_Tabelle,6),"tbd")))))</f>
        <v>0.02</v>
      </c>
      <c r="O26" s="364">
        <f>IF(OR(AfA_Art=AfA!B$15,AfA_Art=AfA!C$15),-N26*RBWnach6Jahren*(A26&gt;=7),IF(OR(AfA_Art=AfA!D$15,AfA_Art=AfA!E$15,AfA_Art=AfA!F$15),AFABasis*-N26,"check"))</f>
        <v>-8076.3600000000006</v>
      </c>
      <c r="P26" s="409">
        <v>0</v>
      </c>
      <c r="Q26" s="248">
        <f t="shared" si="26"/>
        <v>-8076.3600000000006</v>
      </c>
      <c r="R26" s="364">
        <f t="shared" si="34"/>
        <v>250367.16000000027</v>
      </c>
      <c r="S26" s="248">
        <f t="shared" si="27"/>
        <v>24922.300150457726</v>
      </c>
      <c r="T26" s="178">
        <f t="shared" si="5"/>
        <v>-0.3</v>
      </c>
      <c r="U26" s="248">
        <f t="shared" si="28"/>
        <v>-7476.6900451373176</v>
      </c>
      <c r="V26" s="248">
        <f t="shared" si="32"/>
        <v>15445.231366015134</v>
      </c>
      <c r="W26" s="248">
        <f t="shared" si="6"/>
        <v>7968.5413208778164</v>
      </c>
      <c r="X26" s="229">
        <f t="shared" si="7"/>
        <v>89724.742708509977</v>
      </c>
      <c r="Y26" s="348">
        <f t="shared" si="33"/>
        <v>132419.7206089473</v>
      </c>
      <c r="Z26" s="349">
        <f t="shared" si="29"/>
        <v>339377.55292227201</v>
      </c>
      <c r="AA26" s="349">
        <f t="shared" si="22"/>
        <v>382072.53082270932</v>
      </c>
      <c r="AB26" s="327"/>
      <c r="AC26" s="262">
        <f t="shared" si="8"/>
        <v>144973.0740532238</v>
      </c>
      <c r="AD26" s="262">
        <f t="shared" si="9"/>
        <v>490971.77578671899</v>
      </c>
      <c r="AE26" s="253">
        <f t="shared" si="30"/>
        <v>635944.84983994276</v>
      </c>
      <c r="AF26" s="205">
        <f t="shared" si="10"/>
        <v>383258.23126926209</v>
      </c>
      <c r="AG26" s="258">
        <f t="shared" si="11"/>
        <v>440536.40276221477</v>
      </c>
      <c r="AH26" s="258">
        <f t="shared" si="12"/>
        <v>483231.3806626522</v>
      </c>
      <c r="AI26" s="180">
        <f t="shared" si="31"/>
        <v>0.82376203334084053</v>
      </c>
      <c r="AJ26" s="180">
        <f t="shared" si="13"/>
        <v>3.2131818979609594E-2</v>
      </c>
      <c r="AK26" s="273">
        <f t="shared" si="0"/>
        <v>8.8107280552442955</v>
      </c>
      <c r="AL26" s="273">
        <f t="shared" si="14"/>
        <v>9.6646276132530442</v>
      </c>
      <c r="AM26" s="451">
        <f t="shared" si="15"/>
        <v>0.12770317190279057</v>
      </c>
      <c r="AN26" s="451">
        <f t="shared" si="16"/>
        <v>0.13266741050398267</v>
      </c>
      <c r="AO26" s="234">
        <f t="shared" si="1"/>
        <v>2044</v>
      </c>
    </row>
    <row r="27" spans="1:41" ht="14.1" customHeight="1">
      <c r="A27" s="173">
        <v>20</v>
      </c>
      <c r="B27" s="174">
        <f t="shared" si="2"/>
        <v>2045</v>
      </c>
      <c r="C27" s="164"/>
      <c r="D27" s="175">
        <f t="shared" si="17"/>
        <v>235133.18978623807</v>
      </c>
      <c r="E27" s="176">
        <f t="shared" si="3"/>
        <v>-3.2500000000000001E-2</v>
      </c>
      <c r="F27" s="175">
        <f t="shared" si="4"/>
        <v>-25765.743887989716</v>
      </c>
      <c r="G27" s="248">
        <f t="shared" si="18"/>
        <v>-7641.8286680527372</v>
      </c>
      <c r="H27" s="389">
        <v>0</v>
      </c>
      <c r="I27" s="175">
        <f t="shared" si="23"/>
        <v>-18123.915219936978</v>
      </c>
      <c r="J27" s="175">
        <f t="shared" si="24"/>
        <v>267776.72543369903</v>
      </c>
      <c r="K27" s="176">
        <f t="shared" si="19"/>
        <v>3.7385393183666564E-2</v>
      </c>
      <c r="L27" s="248">
        <f t="shared" si="25"/>
        <v>-9143.4797368204017</v>
      </c>
      <c r="M27" s="248">
        <f t="shared" si="20"/>
        <v>51134.072155725735</v>
      </c>
      <c r="N27" s="176">
        <f>IF(AfA_Art=AfA!B$15,VLOOKUP(A27,AfA_Tabelle,2),IF(AfA_Art=AfA!C$15,VLOOKUP(A27,AfA_Tabelle,3),IF(AfA_Art=AfA!D$15,VLOOKUP(A27,AfA_Tabelle,4),IF(AfA_Art=AfA!E$15,VLOOKUP(A27,AfA_Tabelle,5),IF(AfA_Art=AfA!F$15,VLOOKUP(A27,AfA_Tabelle,6),"tbd")))))</f>
        <v>0.02</v>
      </c>
      <c r="O27" s="364">
        <f>IF(OR(AfA_Art=AfA!B$15,AfA_Art=AfA!C$15),-N27*RBWnach6Jahren*(A27&gt;=7),IF(OR(AfA_Art=AfA!D$15,AfA_Art=AfA!E$15,AfA_Art=AfA!F$15),AFABasis*-N27,"check"))</f>
        <v>-8076.3600000000006</v>
      </c>
      <c r="P27" s="409">
        <v>0</v>
      </c>
      <c r="Q27" s="248">
        <f t="shared" si="26"/>
        <v>-8076.3600000000006</v>
      </c>
      <c r="R27" s="364">
        <f t="shared" si="34"/>
        <v>242290.80000000028</v>
      </c>
      <c r="S27" s="248">
        <f t="shared" si="27"/>
        <v>26272.403750852594</v>
      </c>
      <c r="T27" s="178">
        <f t="shared" si="5"/>
        <v>-0.3</v>
      </c>
      <c r="U27" s="248">
        <f t="shared" si="28"/>
        <v>-7881.7211252557781</v>
      </c>
      <c r="V27" s="248">
        <f t="shared" si="32"/>
        <v>16224.848530915617</v>
      </c>
      <c r="W27" s="248">
        <f t="shared" si="6"/>
        <v>8343.1274056598377</v>
      </c>
      <c r="X27" s="229">
        <f t="shared" si="7"/>
        <v>98067.870114169811</v>
      </c>
      <c r="Y27" s="348">
        <f t="shared" si="33"/>
        <v>147647.04874392072</v>
      </c>
      <c r="Z27" s="349">
        <f t="shared" si="29"/>
        <v>365844.59554786887</v>
      </c>
      <c r="AA27" s="349">
        <f t="shared" si="22"/>
        <v>415423.77417761972</v>
      </c>
      <c r="AB27" s="327"/>
      <c r="AC27" s="262">
        <f t="shared" si="8"/>
        <v>146422.80479375605</v>
      </c>
      <c r="AD27" s="262">
        <f t="shared" si="9"/>
        <v>498336.35242351971</v>
      </c>
      <c r="AE27" s="253">
        <f t="shared" si="30"/>
        <v>644759.15721727582</v>
      </c>
      <c r="AF27" s="205">
        <f t="shared" si="10"/>
        <v>409625.96743103774</v>
      </c>
      <c r="AG27" s="258">
        <f t="shared" si="11"/>
        <v>475817.75276514469</v>
      </c>
      <c r="AH27" s="258">
        <f t="shared" si="12"/>
        <v>525396.93139489554</v>
      </c>
      <c r="AI27" s="180">
        <f t="shared" si="31"/>
        <v>0.88973487107954341</v>
      </c>
      <c r="AJ27" s="180">
        <f t="shared" si="13"/>
        <v>3.2333554919588003E-2</v>
      </c>
      <c r="AK27" s="273">
        <f t="shared" si="0"/>
        <v>9.5163550553028937</v>
      </c>
      <c r="AL27" s="273">
        <f t="shared" si="14"/>
        <v>10.507938627897911</v>
      </c>
      <c r="AM27" s="451">
        <f t="shared" si="15"/>
        <v>0.12484650177661272</v>
      </c>
      <c r="AN27" s="451">
        <f t="shared" si="16"/>
        <v>0.12992567433253432</v>
      </c>
      <c r="AO27" s="234">
        <f t="shared" si="1"/>
        <v>2045</v>
      </c>
    </row>
    <row r="28" spans="1:41" ht="14.1" customHeight="1">
      <c r="A28" s="173">
        <v>21</v>
      </c>
      <c r="B28" s="174">
        <f t="shared" si="2"/>
        <v>2046</v>
      </c>
      <c r="C28" s="164"/>
      <c r="D28" s="175">
        <f t="shared" si="17"/>
        <v>217009.27456630109</v>
      </c>
      <c r="E28" s="176">
        <f t="shared" si="3"/>
        <v>-3.2500000000000001E-2</v>
      </c>
      <c r="F28" s="175">
        <f t="shared" si="4"/>
        <v>-25765.743887989716</v>
      </c>
      <c r="G28" s="248">
        <f t="shared" si="18"/>
        <v>-7052.801423404786</v>
      </c>
      <c r="H28" s="389">
        <v>0</v>
      </c>
      <c r="I28" s="175">
        <f t="shared" si="23"/>
        <v>-18712.942464584929</v>
      </c>
      <c r="J28" s="175">
        <f t="shared" si="24"/>
        <v>286489.66789828398</v>
      </c>
      <c r="K28" s="176">
        <f t="shared" si="19"/>
        <v>3.8600418462135723E-2</v>
      </c>
      <c r="L28" s="248">
        <f t="shared" si="25"/>
        <v>-9372.0667302409111</v>
      </c>
      <c r="M28" s="248">
        <f t="shared" si="20"/>
        <v>52156.753598840252</v>
      </c>
      <c r="N28" s="176">
        <f>IF(AfA_Art=AfA!B$15,VLOOKUP(A28,AfA_Tabelle,2),IF(AfA_Art=AfA!C$15,VLOOKUP(A28,AfA_Tabelle,3),IF(AfA_Art=AfA!D$15,VLOOKUP(A28,AfA_Tabelle,4),IF(AfA_Art=AfA!E$15,VLOOKUP(A28,AfA_Tabelle,5),IF(AfA_Art=AfA!F$15,VLOOKUP(A28,AfA_Tabelle,6),"tbd")))))</f>
        <v>0.02</v>
      </c>
      <c r="O28" s="364">
        <f>IF(OR(AfA_Art=AfA!B$15,AfA_Art=AfA!C$15),-N28*RBWnach6Jahren*(A28&gt;=7),IF(OR(AfA_Art=AfA!D$15,AfA_Art=AfA!E$15,AfA_Art=AfA!F$15),AFABasis*-N28,"check"))</f>
        <v>-8076.3600000000006</v>
      </c>
      <c r="P28" s="409">
        <v>0</v>
      </c>
      <c r="Q28" s="248">
        <f t="shared" si="26"/>
        <v>-8076.3600000000006</v>
      </c>
      <c r="R28" s="364">
        <f t="shared" si="34"/>
        <v>234214.44000000029</v>
      </c>
      <c r="S28" s="248">
        <f t="shared" si="27"/>
        <v>27655.525445194551</v>
      </c>
      <c r="T28" s="178">
        <f t="shared" si="5"/>
        <v>-0.3</v>
      </c>
      <c r="U28" s="248">
        <f t="shared" si="28"/>
        <v>-8296.657633558365</v>
      </c>
      <c r="V28" s="248">
        <f>M28+L28+G28+I28</f>
        <v>17018.942980609623</v>
      </c>
      <c r="W28" s="248">
        <f t="shared" si="6"/>
        <v>8722.2853470512582</v>
      </c>
      <c r="X28" s="229">
        <f t="shared" si="7"/>
        <v>106790.15546122107</v>
      </c>
      <c r="Y28" s="348">
        <f t="shared" si="33"/>
        <v>164030.54693841125</v>
      </c>
      <c r="Z28" s="349">
        <f t="shared" si="29"/>
        <v>393279.82335950504</v>
      </c>
      <c r="AA28" s="349">
        <f t="shared" si="22"/>
        <v>450520.21483669523</v>
      </c>
      <c r="AB28" s="327"/>
      <c r="AC28" s="262">
        <f t="shared" si="8"/>
        <v>147887.03284169361</v>
      </c>
      <c r="AD28" s="262">
        <f t="shared" si="9"/>
        <v>505811.39770987246</v>
      </c>
      <c r="AE28" s="253">
        <f t="shared" si="30"/>
        <v>653698.43055156607</v>
      </c>
      <c r="AF28" s="205">
        <f t="shared" si="10"/>
        <v>436689.15598526498</v>
      </c>
      <c r="AG28" s="258">
        <f t="shared" si="11"/>
        <v>512192.25391107111</v>
      </c>
      <c r="AH28" s="258">
        <f t="shared" si="12"/>
        <v>569432.64538826118</v>
      </c>
      <c r="AI28" s="180">
        <f>AG28/$AI$5</f>
        <v>0.957751799619046</v>
      </c>
      <c r="AJ28" s="180">
        <f t="shared" si="13"/>
        <v>3.250751323299883E-2</v>
      </c>
      <c r="AK28" s="273">
        <f t="shared" si="0"/>
        <v>10.243845078221423</v>
      </c>
      <c r="AL28" s="273">
        <f t="shared" si="14"/>
        <v>11.388652907765223</v>
      </c>
      <c r="AM28" s="451">
        <f t="shared" si="15"/>
        <v>0.12213101053370368</v>
      </c>
      <c r="AN28" s="451">
        <f t="shared" si="16"/>
        <v>0.12732403381677004</v>
      </c>
      <c r="AO28" s="234">
        <f t="shared" si="1"/>
        <v>2046</v>
      </c>
    </row>
    <row r="29" spans="1:41" ht="14.1" customHeight="1">
      <c r="A29" s="173">
        <v>22</v>
      </c>
      <c r="B29" s="174">
        <f t="shared" si="2"/>
        <v>2047</v>
      </c>
      <c r="C29" s="164"/>
      <c r="D29" s="175">
        <f t="shared" si="17"/>
        <v>198296.33210171617</v>
      </c>
      <c r="E29" s="176">
        <f t="shared" si="3"/>
        <v>-3.2500000000000001E-2</v>
      </c>
      <c r="F29" s="175">
        <f t="shared" si="4"/>
        <v>-25765.743887989716</v>
      </c>
      <c r="G29" s="248">
        <f t="shared" si="18"/>
        <v>-6444.630793305776</v>
      </c>
      <c r="H29" s="389">
        <v>0</v>
      </c>
      <c r="I29" s="175">
        <f t="shared" si="23"/>
        <v>-19321.11309468394</v>
      </c>
      <c r="J29" s="175">
        <f t="shared" si="24"/>
        <v>305810.78099296789</v>
      </c>
      <c r="K29" s="176">
        <f t="shared" si="19"/>
        <v>3.9854932062155138E-2</v>
      </c>
      <c r="L29" s="248">
        <f t="shared" si="25"/>
        <v>-9606.3683984969339</v>
      </c>
      <c r="M29" s="248">
        <f t="shared" si="20"/>
        <v>53199.888670817061</v>
      </c>
      <c r="N29" s="176">
        <f>IF(AfA_Art=AfA!B$15,VLOOKUP(A29,AfA_Tabelle,2),IF(AfA_Art=AfA!C$15,VLOOKUP(A29,AfA_Tabelle,3),IF(AfA_Art=AfA!D$15,VLOOKUP(A29,AfA_Tabelle,4),IF(AfA_Art=AfA!E$15,VLOOKUP(A29,AfA_Tabelle,5),IF(AfA_Art=AfA!F$15,VLOOKUP(A29,AfA_Tabelle,6),"tbd")))))</f>
        <v>0.02</v>
      </c>
      <c r="O29" s="364">
        <f>IF(OR(AfA_Art=AfA!B$15,AfA_Art=AfA!C$15),-N29*RBWnach6Jahren*(A29&gt;=7),IF(OR(AfA_Art=AfA!D$15,AfA_Art=AfA!E$15,AfA_Art=AfA!F$15),AFABasis*-N29,"check"))</f>
        <v>-8076.3600000000006</v>
      </c>
      <c r="P29" s="409">
        <v>0</v>
      </c>
      <c r="Q29" s="248">
        <f t="shared" si="26"/>
        <v>-8076.3600000000006</v>
      </c>
      <c r="R29" s="364">
        <f t="shared" si="34"/>
        <v>226138.08000000031</v>
      </c>
      <c r="S29" s="248">
        <f t="shared" si="27"/>
        <v>29072.529479014353</v>
      </c>
      <c r="T29" s="178">
        <f t="shared" si="5"/>
        <v>-0.3</v>
      </c>
      <c r="U29" s="248">
        <f t="shared" si="28"/>
        <v>-8721.758843704305</v>
      </c>
      <c r="V29" s="248">
        <f t="shared" si="32"/>
        <v>17827.776384330413</v>
      </c>
      <c r="W29" s="248">
        <f t="shared" si="6"/>
        <v>9106.0175406261078</v>
      </c>
      <c r="X29" s="229">
        <f t="shared" si="7"/>
        <v>115896.17300184719</v>
      </c>
      <c r="Y29" s="348">
        <f t="shared" si="33"/>
        <v>181633.17568675705</v>
      </c>
      <c r="Z29" s="349">
        <f t="shared" si="29"/>
        <v>421706.95399481506</v>
      </c>
      <c r="AA29" s="349">
        <f t="shared" si="22"/>
        <v>487443.95667972497</v>
      </c>
      <c r="AB29" s="327"/>
      <c r="AC29" s="262">
        <f t="shared" si="8"/>
        <v>149365.90317011054</v>
      </c>
      <c r="AD29" s="262">
        <f t="shared" si="9"/>
        <v>513398.56867552048</v>
      </c>
      <c r="AE29" s="253">
        <f t="shared" si="30"/>
        <v>662764.47184563102</v>
      </c>
      <c r="AF29" s="205">
        <f t="shared" si="10"/>
        <v>464468.13974391483</v>
      </c>
      <c r="AG29" s="258">
        <f t="shared" si="11"/>
        <v>549685.42584044603</v>
      </c>
      <c r="AH29" s="258">
        <f t="shared" si="12"/>
        <v>615422.42852535588</v>
      </c>
      <c r="AI29" s="180">
        <f t="shared" si="31"/>
        <v>1.0278605383096155</v>
      </c>
      <c r="AJ29" s="180">
        <f t="shared" si="13"/>
        <v>3.2657435704718019E-2</v>
      </c>
      <c r="AK29" s="273">
        <f t="shared" si="0"/>
        <v>10.993708516808921</v>
      </c>
      <c r="AL29" s="273">
        <f t="shared" si="14"/>
        <v>12.308448570507117</v>
      </c>
      <c r="AM29" s="451">
        <f t="shared" si="15"/>
        <v>0.11954960343608412</v>
      </c>
      <c r="AN29" s="451">
        <f t="shared" si="16"/>
        <v>0.12485540997320554</v>
      </c>
      <c r="AO29" s="234">
        <f t="shared" si="1"/>
        <v>2047</v>
      </c>
    </row>
    <row r="30" spans="1:41" ht="14.1" customHeight="1">
      <c r="A30" s="173">
        <v>23</v>
      </c>
      <c r="B30" s="174">
        <f t="shared" si="2"/>
        <v>2048</v>
      </c>
      <c r="C30" s="164"/>
      <c r="D30" s="175">
        <f t="shared" si="17"/>
        <v>178975.21900703222</v>
      </c>
      <c r="E30" s="176">
        <f t="shared" si="3"/>
        <v>-3.2500000000000001E-2</v>
      </c>
      <c r="F30" s="175">
        <f t="shared" si="4"/>
        <v>-25765.743887989716</v>
      </c>
      <c r="G30" s="248">
        <f t="shared" si="18"/>
        <v>-5816.6946177285472</v>
      </c>
      <c r="H30" s="389">
        <v>0</v>
      </c>
      <c r="I30" s="175">
        <f t="shared" si="23"/>
        <v>-19949.04927026117</v>
      </c>
      <c r="J30" s="175">
        <f t="shared" si="24"/>
        <v>325759.83026322909</v>
      </c>
      <c r="K30" s="176">
        <f t="shared" si="19"/>
        <v>4.1150217354175185E-2</v>
      </c>
      <c r="L30" s="248">
        <f t="shared" si="25"/>
        <v>-9846.527608459357</v>
      </c>
      <c r="M30" s="248">
        <f t="shared" si="20"/>
        <v>54263.886444233402</v>
      </c>
      <c r="N30" s="176">
        <f>IF(AfA_Art=AfA!B$15,VLOOKUP(A30,AfA_Tabelle,2),IF(AfA_Art=AfA!C$15,VLOOKUP(A30,AfA_Tabelle,3),IF(AfA_Art=AfA!D$15,VLOOKUP(A30,AfA_Tabelle,4),IF(AfA_Art=AfA!E$15,VLOOKUP(A30,AfA_Tabelle,5),IF(AfA_Art=AfA!F$15,VLOOKUP(A30,AfA_Tabelle,6),"tbd")))))</f>
        <v>0.02</v>
      </c>
      <c r="O30" s="364">
        <f>IF(OR(AfA_Art=AfA!B$15,AfA_Art=AfA!C$15),-N30*RBWnach6Jahren*(A30&gt;=7),IF(OR(AfA_Art=AfA!D$15,AfA_Art=AfA!E$15,AfA_Art=AfA!F$15),AFABasis*-N30,"check"))</f>
        <v>-8076.3600000000006</v>
      </c>
      <c r="P30" s="409">
        <v>0</v>
      </c>
      <c r="Q30" s="248">
        <f t="shared" si="26"/>
        <v>-8076.3600000000006</v>
      </c>
      <c r="R30" s="364">
        <f t="shared" si="34"/>
        <v>218061.72000000032</v>
      </c>
      <c r="S30" s="248">
        <f t="shared" si="27"/>
        <v>30524.304218045494</v>
      </c>
      <c r="T30" s="178">
        <f t="shared" si="5"/>
        <v>-0.3</v>
      </c>
      <c r="U30" s="248">
        <f t="shared" si="28"/>
        <v>-9157.2912654136471</v>
      </c>
      <c r="V30" s="248">
        <f t="shared" si="32"/>
        <v>18651.614947784325</v>
      </c>
      <c r="W30" s="248">
        <f t="shared" si="6"/>
        <v>9494.3236823706775</v>
      </c>
      <c r="X30" s="229">
        <f t="shared" si="7"/>
        <v>125390.49668421787</v>
      </c>
      <c r="Y30" s="348">
        <f t="shared" si="33"/>
        <v>200521.06838053605</v>
      </c>
      <c r="Z30" s="349">
        <f t="shared" si="29"/>
        <v>451150.32694744697</v>
      </c>
      <c r="AA30" s="349">
        <f t="shared" si="22"/>
        <v>526280.89864376513</v>
      </c>
      <c r="AB30" s="327"/>
      <c r="AC30" s="262">
        <f t="shared" si="8"/>
        <v>150859.56220181164</v>
      </c>
      <c r="AD30" s="262">
        <f t="shared" si="9"/>
        <v>521099.54720565322</v>
      </c>
      <c r="AE30" s="253">
        <f t="shared" si="30"/>
        <v>671959.10940746486</v>
      </c>
      <c r="AF30" s="205">
        <f t="shared" si="10"/>
        <v>492983.89040043263</v>
      </c>
      <c r="AG30" s="258">
        <f t="shared" si="11"/>
        <v>588323.43635491189</v>
      </c>
      <c r="AH30" s="258">
        <f t="shared" si="12"/>
        <v>663454.00805123011</v>
      </c>
      <c r="AI30" s="180">
        <f t="shared" si="31"/>
        <v>1.1001100185025634</v>
      </c>
      <c r="AJ30" s="180">
        <f t="shared" si="13"/>
        <v>3.2786431812195094E-2</v>
      </c>
      <c r="AK30" s="273">
        <f t="shared" si="0"/>
        <v>11.766468727098237</v>
      </c>
      <c r="AL30" s="273">
        <f t="shared" si="14"/>
        <v>13.269080161024602</v>
      </c>
      <c r="AM30" s="451">
        <f t="shared" si="15"/>
        <v>0.11709481017508905</v>
      </c>
      <c r="AN30" s="451">
        <f t="shared" si="16"/>
        <v>0.12251235416579487</v>
      </c>
      <c r="AO30" s="234">
        <f t="shared" si="1"/>
        <v>2048</v>
      </c>
    </row>
    <row r="31" spans="1:41" ht="14.1" customHeight="1">
      <c r="A31" s="173">
        <v>24</v>
      </c>
      <c r="B31" s="174">
        <f t="shared" si="2"/>
        <v>2049</v>
      </c>
      <c r="C31" s="164"/>
      <c r="D31" s="175">
        <f t="shared" si="17"/>
        <v>159026.16973677106</v>
      </c>
      <c r="E31" s="176">
        <f t="shared" si="3"/>
        <v>-3.2500000000000001E-2</v>
      </c>
      <c r="F31" s="175">
        <f t="shared" si="4"/>
        <v>-25765.743887989716</v>
      </c>
      <c r="G31" s="248">
        <f t="shared" si="18"/>
        <v>-5168.3505164450598</v>
      </c>
      <c r="H31" s="389">
        <v>0</v>
      </c>
      <c r="I31" s="175">
        <f t="shared" si="23"/>
        <v>-20597.393371544655</v>
      </c>
      <c r="J31" s="175">
        <f t="shared" si="24"/>
        <v>346357.22363477375</v>
      </c>
      <c r="K31" s="176">
        <f t="shared" si="19"/>
        <v>4.2487599418185869E-2</v>
      </c>
      <c r="L31" s="248">
        <f t="shared" si="25"/>
        <v>-10092.690798670839</v>
      </c>
      <c r="M31" s="248">
        <f t="shared" si="20"/>
        <v>55349.164173118072</v>
      </c>
      <c r="N31" s="176">
        <f>IF(AfA_Art=AfA!B$15,VLOOKUP(A31,AfA_Tabelle,2),IF(AfA_Art=AfA!C$15,VLOOKUP(A31,AfA_Tabelle,3),IF(AfA_Art=AfA!D$15,VLOOKUP(A31,AfA_Tabelle,4),IF(AfA_Art=AfA!E$15,VLOOKUP(A31,AfA_Tabelle,5),IF(AfA_Art=AfA!F$15,VLOOKUP(A31,AfA_Tabelle,6),"tbd")))))</f>
        <v>0.02</v>
      </c>
      <c r="O31" s="364">
        <f>IF(OR(AfA_Art=AfA!B$15,AfA_Art=AfA!C$15),-N31*RBWnach6Jahren*(A31&gt;=7),IF(OR(AfA_Art=AfA!D$15,AfA_Art=AfA!E$15,AfA_Art=AfA!F$15),AFABasis*-N31,"check"))</f>
        <v>-8076.3600000000006</v>
      </c>
      <c r="P31" s="409">
        <v>0</v>
      </c>
      <c r="Q31" s="248">
        <f t="shared" si="26"/>
        <v>-8076.3600000000006</v>
      </c>
      <c r="R31" s="364">
        <f t="shared" si="34"/>
        <v>209985.36000000034</v>
      </c>
      <c r="S31" s="248">
        <f t="shared" si="27"/>
        <v>32011.76285800217</v>
      </c>
      <c r="T31" s="178">
        <f t="shared" si="5"/>
        <v>-0.3</v>
      </c>
      <c r="U31" s="248">
        <f t="shared" si="28"/>
        <v>-9603.5288574006499</v>
      </c>
      <c r="V31" s="248">
        <f t="shared" si="32"/>
        <v>19490.729486457516</v>
      </c>
      <c r="W31" s="248">
        <f t="shared" si="6"/>
        <v>9887.2006290568661</v>
      </c>
      <c r="X31" s="229">
        <f t="shared" si="7"/>
        <v>135277.69731327472</v>
      </c>
      <c r="Y31" s="348">
        <f t="shared" si="33"/>
        <v>220763.68831182417</v>
      </c>
      <c r="Z31" s="349">
        <f t="shared" si="29"/>
        <v>481634.92094804847</v>
      </c>
      <c r="AA31" s="349">
        <f t="shared" si="22"/>
        <v>567120.91194659797</v>
      </c>
      <c r="AB31" s="327"/>
      <c r="AC31" s="262">
        <f t="shared" si="8"/>
        <v>152368.15782382977</v>
      </c>
      <c r="AD31" s="262">
        <f t="shared" si="9"/>
        <v>528916.040413738</v>
      </c>
      <c r="AE31" s="253">
        <f t="shared" si="30"/>
        <v>681284.19823756779</v>
      </c>
      <c r="AF31" s="205">
        <f t="shared" si="10"/>
        <v>522258.02850079676</v>
      </c>
      <c r="AG31" s="258">
        <f t="shared" si="11"/>
        <v>628133.11918561626</v>
      </c>
      <c r="AH31" s="258">
        <f t="shared" si="12"/>
        <v>713619.11018416565</v>
      </c>
      <c r="AI31" s="180">
        <f t="shared" si="31"/>
        <v>1.1745504167753387</v>
      </c>
      <c r="AJ31" s="180">
        <f t="shared" si="13"/>
        <v>3.2897108637742978E-2</v>
      </c>
      <c r="AK31" s="273">
        <f t="shared" si="0"/>
        <v>12.562662383712325</v>
      </c>
      <c r="AL31" s="273">
        <f t="shared" si="14"/>
        <v>14.272382203683312</v>
      </c>
      <c r="AM31" s="451">
        <f t="shared" si="15"/>
        <v>0.11475913428084739</v>
      </c>
      <c r="AN31" s="451">
        <f t="shared" si="16"/>
        <v>0.12028739457491988</v>
      </c>
      <c r="AO31" s="234">
        <f t="shared" si="1"/>
        <v>2049</v>
      </c>
    </row>
    <row r="32" spans="1:41" ht="14.1" customHeight="1">
      <c r="A32" s="173">
        <v>25</v>
      </c>
      <c r="B32" s="174">
        <f t="shared" si="2"/>
        <v>2050</v>
      </c>
      <c r="C32" s="164"/>
      <c r="D32" s="175">
        <f t="shared" si="17"/>
        <v>138428.7763652264</v>
      </c>
      <c r="E32" s="176">
        <f t="shared" si="3"/>
        <v>-3.2500000000000001E-2</v>
      </c>
      <c r="F32" s="175">
        <f t="shared" si="4"/>
        <v>-25765.743887989716</v>
      </c>
      <c r="G32" s="248">
        <f t="shared" si="18"/>
        <v>-4498.9352318698584</v>
      </c>
      <c r="H32" s="389">
        <v>0</v>
      </c>
      <c r="I32" s="175">
        <f t="shared" si="23"/>
        <v>-21266.808656119858</v>
      </c>
      <c r="J32" s="175">
        <f t="shared" si="24"/>
        <v>367624.03229089361</v>
      </c>
      <c r="K32" s="176">
        <f t="shared" si="19"/>
        <v>4.3868446399276916E-2</v>
      </c>
      <c r="L32" s="248">
        <f t="shared" si="25"/>
        <v>-10345.00806863761</v>
      </c>
      <c r="M32" s="248">
        <f t="shared" si="20"/>
        <v>56456.147456580431</v>
      </c>
      <c r="N32" s="176">
        <f>IF(AfA_Art=AfA!B$15,VLOOKUP(A32,AfA_Tabelle,2),IF(AfA_Art=AfA!C$15,VLOOKUP(A32,AfA_Tabelle,3),IF(AfA_Art=AfA!D$15,VLOOKUP(A32,AfA_Tabelle,4),IF(AfA_Art=AfA!E$15,VLOOKUP(A32,AfA_Tabelle,5),IF(AfA_Art=AfA!F$15,VLOOKUP(A32,AfA_Tabelle,6),"tbd")))))</f>
        <v>0.02</v>
      </c>
      <c r="O32" s="364">
        <f>IF(OR(AfA_Art=AfA!B$15,AfA_Art=AfA!C$15),-N32*RBWnach6Jahren*(A32&gt;=7),IF(OR(AfA_Art=AfA!D$15,AfA_Art=AfA!E$15,AfA_Art=AfA!F$15),AFABasis*-N32,"check"))</f>
        <v>-8076.3600000000006</v>
      </c>
      <c r="P32" s="409">
        <v>0</v>
      </c>
      <c r="Q32" s="248">
        <f t="shared" si="26"/>
        <v>-8076.3600000000006</v>
      </c>
      <c r="R32" s="364">
        <f t="shared" si="34"/>
        <v>201909.00000000035</v>
      </c>
      <c r="S32" s="248">
        <f t="shared" si="27"/>
        <v>33535.844156072963</v>
      </c>
      <c r="T32" s="178">
        <f t="shared" si="5"/>
        <v>-0.3</v>
      </c>
      <c r="U32" s="248">
        <f t="shared" si="28"/>
        <v>-10060.753246821889</v>
      </c>
      <c r="V32" s="248">
        <f t="shared" si="32"/>
        <v>20345.395499953105</v>
      </c>
      <c r="W32" s="248">
        <f t="shared" si="6"/>
        <v>10284.642253131216</v>
      </c>
      <c r="X32" s="229">
        <f t="shared" si="7"/>
        <v>145562.33956640595</v>
      </c>
      <c r="Y32" s="348">
        <f t="shared" si="33"/>
        <v>242433.99344065023</v>
      </c>
      <c r="Z32" s="349">
        <f t="shared" si="29"/>
        <v>513186.37185729959</v>
      </c>
      <c r="AA32" s="349">
        <f t="shared" si="22"/>
        <v>610058.02573154378</v>
      </c>
      <c r="AB32" s="327"/>
      <c r="AC32" s="262">
        <f t="shared" si="8"/>
        <v>153891.83940206806</v>
      </c>
      <c r="AD32" s="262">
        <f t="shared" si="9"/>
        <v>536849.781019944</v>
      </c>
      <c r="AE32" s="253">
        <f t="shared" si="30"/>
        <v>690741.62042201206</v>
      </c>
      <c r="AF32" s="205">
        <f t="shared" si="10"/>
        <v>552312.84405678569</v>
      </c>
      <c r="AG32" s="258">
        <f t="shared" si="11"/>
        <v>669141.99227931164</v>
      </c>
      <c r="AH32" s="258">
        <f t="shared" si="12"/>
        <v>766013.64615355595</v>
      </c>
      <c r="AI32" s="180">
        <f t="shared" si="31"/>
        <v>1.2512331891248305</v>
      </c>
      <c r="AJ32" s="180">
        <f t="shared" si="13"/>
        <v>3.2991669784862676E-2</v>
      </c>
      <c r="AK32" s="273">
        <f t="shared" si="0"/>
        <v>13.382839845586233</v>
      </c>
      <c r="AL32" s="273">
        <f t="shared" si="14"/>
        <v>15.320272923071119</v>
      </c>
      <c r="AM32" s="451">
        <f t="shared" si="15"/>
        <v>0.11253526423339233</v>
      </c>
      <c r="AN32" s="451">
        <f t="shared" si="16"/>
        <v>0.11817324547802199</v>
      </c>
      <c r="AO32" s="234">
        <f t="shared" si="1"/>
        <v>2050</v>
      </c>
    </row>
    <row r="33" spans="1:41" ht="14.1" customHeight="1">
      <c r="A33" s="173">
        <v>26</v>
      </c>
      <c r="B33" s="174">
        <f t="shared" si="2"/>
        <v>2051</v>
      </c>
      <c r="C33" s="164"/>
      <c r="D33" s="175">
        <f t="shared" si="17"/>
        <v>117161.96770910654</v>
      </c>
      <c r="E33" s="176">
        <f t="shared" si="3"/>
        <v>-3.2500000000000001E-2</v>
      </c>
      <c r="F33" s="175">
        <f t="shared" si="4"/>
        <v>-25765.743887989716</v>
      </c>
      <c r="G33" s="248">
        <f t="shared" si="18"/>
        <v>-3807.7639505459624</v>
      </c>
      <c r="H33" s="389">
        <v>0</v>
      </c>
      <c r="I33" s="175">
        <f t="shared" si="23"/>
        <v>-21957.979937443753</v>
      </c>
      <c r="J33" s="175">
        <f t="shared" si="24"/>
        <v>389582.01222833735</v>
      </c>
      <c r="K33" s="176">
        <f t="shared" si="19"/>
        <v>4.5294170907253413E-2</v>
      </c>
      <c r="L33" s="248">
        <f t="shared" si="25"/>
        <v>-10603.633270353548</v>
      </c>
      <c r="M33" s="248">
        <f t="shared" si="20"/>
        <v>57585.270405712043</v>
      </c>
      <c r="N33" s="176">
        <f>IF(AfA_Art=AfA!B$15,VLOOKUP(A33,AfA_Tabelle,2),IF(AfA_Art=AfA!C$15,VLOOKUP(A33,AfA_Tabelle,3),IF(AfA_Art=AfA!D$15,VLOOKUP(A33,AfA_Tabelle,4),IF(AfA_Art=AfA!E$15,VLOOKUP(A33,AfA_Tabelle,5),IF(AfA_Art=AfA!F$15,VLOOKUP(A33,AfA_Tabelle,6),"tbd")))))</f>
        <v>0.02</v>
      </c>
      <c r="O33" s="364">
        <f>IF(OR(AfA_Art=AfA!B$15,AfA_Art=AfA!C$15),-N33*RBWnach6Jahren*(A33&gt;=7),IF(OR(AfA_Art=AfA!D$15,AfA_Art=AfA!E$15,AfA_Art=AfA!F$15),AFABasis*-N33,"check"))</f>
        <v>-8076.3600000000006</v>
      </c>
      <c r="P33" s="409">
        <v>0</v>
      </c>
      <c r="Q33" s="248">
        <f t="shared" si="26"/>
        <v>-8076.3600000000006</v>
      </c>
      <c r="R33" s="364">
        <f t="shared" si="34"/>
        <v>193832.64000000036</v>
      </c>
      <c r="S33" s="248">
        <f t="shared" si="27"/>
        <v>35097.513184812538</v>
      </c>
      <c r="T33" s="178">
        <f t="shared" si="5"/>
        <v>-0.3</v>
      </c>
      <c r="U33" s="248">
        <f t="shared" si="28"/>
        <v>-10529.253955443761</v>
      </c>
      <c r="V33" s="248">
        <f t="shared" si="32"/>
        <v>21215.893247368786</v>
      </c>
      <c r="W33" s="248">
        <f t="shared" si="6"/>
        <v>10686.639291925025</v>
      </c>
      <c r="X33" s="229">
        <f t="shared" si="7"/>
        <v>156248.97885833099</v>
      </c>
      <c r="Y33" s="348">
        <f t="shared" si="33"/>
        <v>265608.60931214056</v>
      </c>
      <c r="Z33" s="349">
        <f t="shared" si="29"/>
        <v>545830.99108666833</v>
      </c>
      <c r="AA33" s="349">
        <f t="shared" si="22"/>
        <v>655190.62154047797</v>
      </c>
      <c r="AB33" s="327"/>
      <c r="AC33" s="262">
        <f t="shared" si="8"/>
        <v>155430.75779608873</v>
      </c>
      <c r="AD33" s="262">
        <f t="shared" si="9"/>
        <v>544902.52773524309</v>
      </c>
      <c r="AE33" s="253">
        <f t="shared" si="30"/>
        <v>700333.28553133179</v>
      </c>
      <c r="AF33" s="205">
        <f t="shared" si="10"/>
        <v>583171.31782222528</v>
      </c>
      <c r="AG33" s="258">
        <f t="shared" si="11"/>
        <v>711378.27661800012</v>
      </c>
      <c r="AH33" s="258">
        <f t="shared" si="12"/>
        <v>820737.90707180975</v>
      </c>
      <c r="AI33" s="180">
        <f t="shared" si="31"/>
        <v>1.3302111061583515</v>
      </c>
      <c r="AJ33" s="180">
        <f t="shared" si="13"/>
        <v>3.3071991618955465E-2</v>
      </c>
      <c r="AK33" s="273">
        <f t="shared" si="0"/>
        <v>14.227565532360002</v>
      </c>
      <c r="AL33" s="273">
        <f t="shared" si="14"/>
        <v>16.414758141436195</v>
      </c>
      <c r="AM33" s="451">
        <f t="shared" si="15"/>
        <v>0.11041619603848951</v>
      </c>
      <c r="AN33" s="451">
        <f t="shared" si="16"/>
        <v>0.11616292869859279</v>
      </c>
      <c r="AO33" s="234">
        <f t="shared" si="1"/>
        <v>2051</v>
      </c>
    </row>
    <row r="34" spans="1:41" ht="14.1" customHeight="1">
      <c r="A34" s="173">
        <v>27</v>
      </c>
      <c r="B34" s="174">
        <f t="shared" si="2"/>
        <v>2052</v>
      </c>
      <c r="C34" s="164"/>
      <c r="D34" s="175">
        <f t="shared" si="17"/>
        <v>95203.987771662782</v>
      </c>
      <c r="E34" s="176">
        <f t="shared" si="3"/>
        <v>-3.2500000000000001E-2</v>
      </c>
      <c r="F34" s="175">
        <f t="shared" si="4"/>
        <v>-25765.743887989716</v>
      </c>
      <c r="G34" s="248">
        <f t="shared" si="18"/>
        <v>-3094.1296025790407</v>
      </c>
      <c r="H34" s="389">
        <v>0</v>
      </c>
      <c r="I34" s="175">
        <f t="shared" si="23"/>
        <v>-22671.614285410677</v>
      </c>
      <c r="J34" s="175">
        <f t="shared" si="24"/>
        <v>412253.62651374802</v>
      </c>
      <c r="K34" s="176">
        <f t="shared" si="19"/>
        <v>4.6766231461739152E-2</v>
      </c>
      <c r="L34" s="248">
        <f t="shared" si="25"/>
        <v>-10868.724102112386</v>
      </c>
      <c r="M34" s="248">
        <f t="shared" si="20"/>
        <v>58736.975813826284</v>
      </c>
      <c r="N34" s="176">
        <f>IF(AfA_Art=AfA!B$15,VLOOKUP(A34,AfA_Tabelle,2),IF(AfA_Art=AfA!C$15,VLOOKUP(A34,AfA_Tabelle,3),IF(AfA_Art=AfA!D$15,VLOOKUP(A34,AfA_Tabelle,4),IF(AfA_Art=AfA!E$15,VLOOKUP(A34,AfA_Tabelle,5),IF(AfA_Art=AfA!F$15,VLOOKUP(A34,AfA_Tabelle,6),"tbd")))))</f>
        <v>0.02</v>
      </c>
      <c r="O34" s="364">
        <f>IF(OR(AfA_Art=AfA!B$15,AfA_Art=AfA!C$15),-N34*RBWnach6Jahren*(A34&gt;=7),IF(OR(AfA_Art=AfA!D$15,AfA_Art=AfA!E$15,AfA_Art=AfA!F$15),AFABasis*-N34,"check"))</f>
        <v>-8076.3600000000006</v>
      </c>
      <c r="P34" s="409">
        <v>0</v>
      </c>
      <c r="Q34" s="248">
        <f t="shared" si="26"/>
        <v>-8076.3600000000006</v>
      </c>
      <c r="R34" s="364">
        <f t="shared" si="34"/>
        <v>185756.28000000038</v>
      </c>
      <c r="S34" s="248">
        <f t="shared" si="27"/>
        <v>36697.762109134856</v>
      </c>
      <c r="T34" s="178">
        <f t="shared" si="5"/>
        <v>-0.3</v>
      </c>
      <c r="U34" s="248">
        <f t="shared" si="28"/>
        <v>-11009.328632740457</v>
      </c>
      <c r="V34" s="248">
        <f t="shared" si="32"/>
        <v>22102.50782372418</v>
      </c>
      <c r="W34" s="248">
        <f t="shared" si="6"/>
        <v>11093.179190983723</v>
      </c>
      <c r="X34" s="229">
        <f t="shared" si="7"/>
        <v>167342.15804931472</v>
      </c>
      <c r="Y34" s="348">
        <f t="shared" si="33"/>
        <v>290368.01052806893</v>
      </c>
      <c r="Z34" s="349">
        <f t="shared" si="29"/>
        <v>579595.78456306271</v>
      </c>
      <c r="AA34" s="349">
        <f t="shared" si="22"/>
        <v>702621.63704181695</v>
      </c>
      <c r="AB34" s="327"/>
      <c r="AC34" s="262">
        <f t="shared" si="8"/>
        <v>156985.06537404962</v>
      </c>
      <c r="AD34" s="262">
        <f t="shared" si="9"/>
        <v>553076.06565127173</v>
      </c>
      <c r="AE34" s="253">
        <f t="shared" si="30"/>
        <v>710061.13102532132</v>
      </c>
      <c r="AF34" s="205">
        <f t="shared" si="10"/>
        <v>614857.14325365855</v>
      </c>
      <c r="AG34" s="258">
        <f t="shared" si="11"/>
        <v>754870.91558838403</v>
      </c>
      <c r="AH34" s="258">
        <f t="shared" si="12"/>
        <v>877896.76806713827</v>
      </c>
      <c r="AI34" s="180">
        <f t="shared" si="31"/>
        <v>1.4115382893127046</v>
      </c>
      <c r="AJ34" s="180">
        <f t="shared" si="13"/>
        <v>3.3139682692589822E-2</v>
      </c>
      <c r="AK34" s="273">
        <f t="shared" si="0"/>
        <v>15.097418311767681</v>
      </c>
      <c r="AL34" s="273">
        <f t="shared" si="14"/>
        <v>17.557935361342764</v>
      </c>
      <c r="AM34" s="451">
        <f t="shared" si="15"/>
        <v>0.10839529906575929</v>
      </c>
      <c r="AN34" s="451">
        <f t="shared" si="16"/>
        <v>0.11424983876642969</v>
      </c>
      <c r="AO34" s="234">
        <f t="shared" si="1"/>
        <v>2052</v>
      </c>
    </row>
    <row r="35" spans="1:41" ht="14.1" customHeight="1">
      <c r="A35" s="173">
        <v>28</v>
      </c>
      <c r="B35" s="174">
        <f t="shared" si="2"/>
        <v>2053</v>
      </c>
      <c r="C35" s="164"/>
      <c r="D35" s="175">
        <f t="shared" si="17"/>
        <v>72532.373486252109</v>
      </c>
      <c r="E35" s="176">
        <f t="shared" si="3"/>
        <v>-3.2500000000000001E-2</v>
      </c>
      <c r="F35" s="175">
        <f t="shared" si="4"/>
        <v>-25765.743887989716</v>
      </c>
      <c r="G35" s="248">
        <f t="shared" si="18"/>
        <v>-2357.3021383031937</v>
      </c>
      <c r="H35" s="389">
        <v>0</v>
      </c>
      <c r="I35" s="175">
        <f t="shared" si="23"/>
        <v>-23408.441749686521</v>
      </c>
      <c r="J35" s="175">
        <f t="shared" si="24"/>
        <v>435662.06826343457</v>
      </c>
      <c r="K35" s="176">
        <f t="shared" si="19"/>
        <v>4.8286133984245666E-2</v>
      </c>
      <c r="L35" s="248">
        <f t="shared" si="25"/>
        <v>-11140.442204665194</v>
      </c>
      <c r="M35" s="248">
        <f t="shared" si="20"/>
        <v>59911.715330102808</v>
      </c>
      <c r="N35" s="176">
        <f>IF(AfA_Art=AfA!B$15,VLOOKUP(A35,AfA_Tabelle,2),IF(AfA_Art=AfA!C$15,VLOOKUP(A35,AfA_Tabelle,3),IF(AfA_Art=AfA!D$15,VLOOKUP(A35,AfA_Tabelle,4),IF(AfA_Art=AfA!E$15,VLOOKUP(A35,AfA_Tabelle,5),IF(AfA_Art=AfA!F$15,VLOOKUP(A35,AfA_Tabelle,6),"tbd")))))</f>
        <v>0.02</v>
      </c>
      <c r="O35" s="364">
        <f>IF(OR(AfA_Art=AfA!B$15,AfA_Art=AfA!C$15),-N35*RBWnach6Jahren*(A35&gt;=7),IF(OR(AfA_Art=AfA!D$15,AfA_Art=AfA!E$15,AfA_Art=AfA!F$15),AFABasis*-N35,"check"))</f>
        <v>-8076.3600000000006</v>
      </c>
      <c r="P35" s="409">
        <v>0</v>
      </c>
      <c r="Q35" s="248">
        <f>O35+P35</f>
        <v>-8076.3600000000006</v>
      </c>
      <c r="R35" s="364">
        <f t="shared" si="34"/>
        <v>177679.92000000039</v>
      </c>
      <c r="S35" s="248">
        <f t="shared" si="27"/>
        <v>38337.610987134416</v>
      </c>
      <c r="T35" s="178">
        <f t="shared" si="5"/>
        <v>-0.3</v>
      </c>
      <c r="U35" s="248">
        <f t="shared" si="28"/>
        <v>-11501.283296140324</v>
      </c>
      <c r="V35" s="248">
        <f t="shared" si="32"/>
        <v>23005.529237447896</v>
      </c>
      <c r="W35" s="248">
        <f t="shared" si="6"/>
        <v>11504.245941307572</v>
      </c>
      <c r="X35" s="229">
        <f t="shared" si="7"/>
        <v>178846.40399062229</v>
      </c>
      <c r="Y35" s="348">
        <f t="shared" si="33"/>
        <v>316796.71119771211</v>
      </c>
      <c r="Z35" s="349">
        <f t="shared" si="29"/>
        <v>614508.47225405683</v>
      </c>
      <c r="AA35" s="349">
        <f t="shared" si="22"/>
        <v>752458.77946114668</v>
      </c>
      <c r="AB35" s="327"/>
      <c r="AC35" s="262">
        <f t="shared" si="8"/>
        <v>158554.91602779011</v>
      </c>
      <c r="AD35" s="262">
        <f t="shared" si="9"/>
        <v>561372.2066360407</v>
      </c>
      <c r="AE35" s="253">
        <f t="shared" si="30"/>
        <v>719927.12266383087</v>
      </c>
      <c r="AF35" s="205">
        <f t="shared" si="10"/>
        <v>647394.74917757872</v>
      </c>
      <c r="AG35" s="258">
        <f>AE35+Z35-Investment</f>
        <v>799649.59491788782</v>
      </c>
      <c r="AH35" s="258">
        <f t="shared" si="12"/>
        <v>937599.90212497767</v>
      </c>
      <c r="AI35" s="180">
        <f t="shared" si="31"/>
        <v>1.4952702481326883</v>
      </c>
      <c r="AJ35" s="180">
        <f t="shared" si="13"/>
        <v>3.3196130544657754E-2</v>
      </c>
      <c r="AK35" s="273">
        <f t="shared" si="0"/>
        <v>15.992991898357756</v>
      </c>
      <c r="AL35" s="273">
        <f t="shared" si="14"/>
        <v>18.751998042499554</v>
      </c>
      <c r="AM35" s="451">
        <f t="shared" si="15"/>
        <v>0.10646634566373891</v>
      </c>
      <c r="AN35" s="451">
        <f t="shared" si="16"/>
        <v>0.11242777214225397</v>
      </c>
      <c r="AO35" s="234">
        <f t="shared" si="1"/>
        <v>2053</v>
      </c>
    </row>
    <row r="36" spans="1:41" ht="14.1" customHeight="1">
      <c r="A36" s="173">
        <v>29</v>
      </c>
      <c r="B36" s="174">
        <f t="shared" si="2"/>
        <v>2054</v>
      </c>
      <c r="C36" s="164"/>
      <c r="D36" s="175">
        <f t="shared" si="17"/>
        <v>49123.931736565588</v>
      </c>
      <c r="E36" s="176">
        <f t="shared" si="3"/>
        <v>-3.2500000000000001E-2</v>
      </c>
      <c r="F36" s="175">
        <f t="shared" si="4"/>
        <v>-25765.743887989716</v>
      </c>
      <c r="G36" s="248">
        <f t="shared" si="18"/>
        <v>-1596.5277814383817</v>
      </c>
      <c r="H36" s="389">
        <v>0</v>
      </c>
      <c r="I36" s="175">
        <f t="shared" si="23"/>
        <v>-24169.216106551336</v>
      </c>
      <c r="J36" s="175">
        <f t="shared" si="24"/>
        <v>459831.28436998592</v>
      </c>
      <c r="K36" s="176">
        <f t="shared" si="19"/>
        <v>4.9855433338733657E-2</v>
      </c>
      <c r="L36" s="248">
        <f t="shared" si="25"/>
        <v>-11418.953259781823</v>
      </c>
      <c r="M36" s="248">
        <f t="shared" si="20"/>
        <v>61109.949636704863</v>
      </c>
      <c r="N36" s="176">
        <f>IF(AfA_Art=AfA!B$15,VLOOKUP(A36,AfA_Tabelle,2),IF(AfA_Art=AfA!C$15,VLOOKUP(A36,AfA_Tabelle,3),IF(AfA_Art=AfA!D$15,VLOOKUP(A36,AfA_Tabelle,4),IF(AfA_Art=AfA!E$15,VLOOKUP(A36,AfA_Tabelle,5),IF(AfA_Art=AfA!F$15,VLOOKUP(A36,AfA_Tabelle,6),"tbd")))))</f>
        <v>0.02</v>
      </c>
      <c r="O36" s="364">
        <f>IF(OR(AfA_Art=AfA!B$15,AfA_Art=AfA!C$15),-N36*RBWnach6Jahren*(A36&gt;=7),IF(OR(AfA_Art=AfA!D$15,AfA_Art=AfA!E$15,AfA_Art=AfA!F$15),AFABasis*-N36,"check"))</f>
        <v>-8076.3600000000006</v>
      </c>
      <c r="P36" s="409">
        <v>0</v>
      </c>
      <c r="Q36" s="248">
        <f t="shared" si="26"/>
        <v>-8076.3600000000006</v>
      </c>
      <c r="R36" s="364">
        <f t="shared" si="34"/>
        <v>169603.56000000041</v>
      </c>
      <c r="S36" s="248">
        <f t="shared" si="27"/>
        <v>40018.108595484657</v>
      </c>
      <c r="T36" s="178">
        <f t="shared" si="5"/>
        <v>-0.3</v>
      </c>
      <c r="U36" s="248">
        <f t="shared" si="28"/>
        <v>-12005.432578645397</v>
      </c>
      <c r="V36" s="248">
        <f t="shared" si="32"/>
        <v>23925.252488933322</v>
      </c>
      <c r="W36" s="248">
        <f t="shared" si="6"/>
        <v>11919.819910287924</v>
      </c>
      <c r="X36" s="229">
        <f t="shared" si="7"/>
        <v>190766.2239009102</v>
      </c>
      <c r="Y36" s="348">
        <f t="shared" si="33"/>
        <v>344983.46481410397</v>
      </c>
      <c r="Z36" s="349">
        <f t="shared" si="29"/>
        <v>650597.50827089616</v>
      </c>
      <c r="AA36" s="349">
        <f t="shared" si="22"/>
        <v>804814.74918408995</v>
      </c>
      <c r="AB36" s="327"/>
      <c r="AC36" s="262">
        <f t="shared" si="8"/>
        <v>160140.46518806802</v>
      </c>
      <c r="AD36" s="262">
        <f t="shared" si="9"/>
        <v>569792.78973558126</v>
      </c>
      <c r="AE36" s="253">
        <f t="shared" si="30"/>
        <v>729933.25492364925</v>
      </c>
      <c r="AF36" s="205">
        <f t="shared" si="10"/>
        <v>680809.3231870837</v>
      </c>
      <c r="AG36" s="258">
        <f t="shared" si="11"/>
        <v>845744.7631945454</v>
      </c>
      <c r="AH36" s="258">
        <f t="shared" si="12"/>
        <v>999962.00410773908</v>
      </c>
      <c r="AI36" s="180">
        <f t="shared" si="31"/>
        <v>1.5814639186413733</v>
      </c>
      <c r="AJ36" s="180">
        <f t="shared" si="13"/>
        <v>3.3242538909513897E-2</v>
      </c>
      <c r="AK36" s="273">
        <f t="shared" si="0"/>
        <v>16.914895263890909</v>
      </c>
      <c r="AL36" s="273">
        <f t="shared" si="14"/>
        <v>19.999240082154781</v>
      </c>
      <c r="AM36" s="451">
        <f t="shared" si="15"/>
        <v>0.10462351788505608</v>
      </c>
      <c r="AN36" s="451">
        <f t="shared" si="16"/>
        <v>0.1106909337363553</v>
      </c>
      <c r="AO36" s="234">
        <f t="shared" si="1"/>
        <v>2054</v>
      </c>
    </row>
    <row r="37" spans="1:41" ht="14.1" customHeight="1">
      <c r="A37" s="173">
        <v>30</v>
      </c>
      <c r="B37" s="174">
        <f t="shared" si="2"/>
        <v>2055</v>
      </c>
      <c r="C37" s="164"/>
      <c r="D37" s="175">
        <f t="shared" si="17"/>
        <v>24954.715630014252</v>
      </c>
      <c r="E37" s="176">
        <f t="shared" si="3"/>
        <v>-3.2500000000000001E-2</v>
      </c>
      <c r="F37" s="175">
        <f t="shared" si="4"/>
        <v>-25765.743887989716</v>
      </c>
      <c r="G37" s="248">
        <f t="shared" si="18"/>
        <v>-811.02825797546325</v>
      </c>
      <c r="H37" s="389">
        <v>0</v>
      </c>
      <c r="I37" s="175">
        <f t="shared" si="23"/>
        <v>-24954.715630014252</v>
      </c>
      <c r="J37" s="175">
        <f t="shared" si="24"/>
        <v>484786.00000000017</v>
      </c>
      <c r="K37" s="176">
        <f t="shared" si="19"/>
        <v>5.14757349222425E-2</v>
      </c>
      <c r="L37" s="248">
        <f t="shared" si="25"/>
        <v>-11704.427091276368</v>
      </c>
      <c r="M37" s="248">
        <f t="shared" si="20"/>
        <v>62332.148629438962</v>
      </c>
      <c r="N37" s="176">
        <f>IF(AfA_Art=AfA!B$15,VLOOKUP(A37,AfA_Tabelle,2),IF(AfA_Art=AfA!C$15,VLOOKUP(A37,AfA_Tabelle,3),IF(AfA_Art=AfA!D$15,VLOOKUP(A37,AfA_Tabelle,4),IF(AfA_Art=AfA!E$15,VLOOKUP(A37,AfA_Tabelle,5),IF(AfA_Art=AfA!F$15,VLOOKUP(A37,AfA_Tabelle,6),"tbd")))))</f>
        <v>0.02</v>
      </c>
      <c r="O37" s="364">
        <f>IF(OR(AfA_Art=AfA!B$15,AfA_Art=AfA!C$15),-N37*RBWnach6Jahren*(A37&gt;=7),IF(OR(AfA_Art=AfA!D$15,AfA_Art=AfA!E$15,AfA_Art=AfA!F$15),AFABasis*-N37,"check"))</f>
        <v>-8076.3600000000006</v>
      </c>
      <c r="P37" s="409">
        <v>0</v>
      </c>
      <c r="Q37" s="248">
        <f t="shared" si="26"/>
        <v>-8076.3600000000006</v>
      </c>
      <c r="R37" s="364">
        <f t="shared" si="34"/>
        <v>161527.20000000042</v>
      </c>
      <c r="S37" s="248">
        <f t="shared" si="27"/>
        <v>41740.333280187129</v>
      </c>
      <c r="T37" s="178">
        <f t="shared" si="5"/>
        <v>-0.3</v>
      </c>
      <c r="U37" s="248">
        <f t="shared" si="28"/>
        <v>-12522.099984056138</v>
      </c>
      <c r="V37" s="248">
        <f t="shared" si="32"/>
        <v>24861.977650172877</v>
      </c>
      <c r="W37" s="248">
        <f t="shared" ref="W37" si="35">V37+U37</f>
        <v>12339.877666116739</v>
      </c>
      <c r="X37" s="229">
        <f t="shared" si="7"/>
        <v>203106.10156702696</v>
      </c>
      <c r="Y37" s="348">
        <f t="shared" si="33"/>
        <v>375021.47402403766</v>
      </c>
      <c r="Z37" s="349">
        <f>+X37+J37</f>
        <v>687892.10156702716</v>
      </c>
      <c r="AA37" s="349">
        <f t="shared" si="22"/>
        <v>859807.47402403783</v>
      </c>
      <c r="AB37" s="327"/>
      <c r="AC37" s="262">
        <f t="shared" si="8"/>
        <v>161741.86983994869</v>
      </c>
      <c r="AD37" s="262">
        <f t="shared" si="9"/>
        <v>578339.68158161489</v>
      </c>
      <c r="AE37" s="253">
        <f t="shared" si="30"/>
        <v>740081.55142156361</v>
      </c>
      <c r="AF37" s="205">
        <f t="shared" si="10"/>
        <v>715126.83579154941</v>
      </c>
      <c r="AG37" s="258">
        <f t="shared" si="11"/>
        <v>893187.65298859077</v>
      </c>
      <c r="AH37" s="258">
        <f t="shared" si="12"/>
        <v>1065103.0254456014</v>
      </c>
      <c r="AI37" s="180">
        <f t="shared" si="31"/>
        <v>1.6701777028355094</v>
      </c>
      <c r="AJ37" s="180">
        <f t="shared" si="13"/>
        <v>3.3279957564340101E-2</v>
      </c>
      <c r="AK37" s="273">
        <f t="shared" si="0"/>
        <v>17.863753059771817</v>
      </c>
      <c r="AL37" s="273">
        <f t="shared" si="14"/>
        <v>21.302060508912028</v>
      </c>
      <c r="AM37" s="451">
        <f t="shared" si="15"/>
        <v>0.10286140003043731</v>
      </c>
      <c r="AN37" s="451">
        <f t="shared" si="16"/>
        <v>0.10903392936310308</v>
      </c>
      <c r="AO37" s="234">
        <f t="shared" si="1"/>
        <v>2055</v>
      </c>
    </row>
    <row r="38" spans="1:41" ht="14.1" customHeight="1">
      <c r="A38" s="173">
        <v>31</v>
      </c>
      <c r="B38" s="174">
        <f t="shared" si="2"/>
        <v>2056</v>
      </c>
      <c r="C38" s="164"/>
      <c r="D38" s="175">
        <f t="shared" si="17"/>
        <v>0</v>
      </c>
      <c r="E38" s="176">
        <f t="shared" si="3"/>
        <v>0</v>
      </c>
      <c r="F38" s="175">
        <f t="shared" si="4"/>
        <v>0</v>
      </c>
      <c r="G38" s="248">
        <f t="shared" si="18"/>
        <v>0</v>
      </c>
      <c r="H38" s="389">
        <v>0</v>
      </c>
      <c r="I38" s="175">
        <f t="shared" si="23"/>
        <v>0</v>
      </c>
      <c r="J38" s="175">
        <f t="shared" si="24"/>
        <v>484786.00000000017</v>
      </c>
      <c r="K38" s="176">
        <f t="shared" si="19"/>
        <v>0</v>
      </c>
      <c r="L38" s="248">
        <f t="shared" si="25"/>
        <v>-11997.037768558275</v>
      </c>
      <c r="M38" s="248">
        <f t="shared" si="20"/>
        <v>63578.791602027741</v>
      </c>
      <c r="N38" s="176">
        <f>IF(AfA_Art=AfA!B$15,VLOOKUP(A38,AfA_Tabelle,2),IF(AfA_Art=AfA!C$15,VLOOKUP(A38,AfA_Tabelle,3),IF(AfA_Art=AfA!D$15,VLOOKUP(A38,AfA_Tabelle,4),IF(AfA_Art=AfA!E$15,VLOOKUP(A38,AfA_Tabelle,5),IF(AfA_Art=AfA!F$15,VLOOKUP(A38,AfA_Tabelle,6),"tbd")))))</f>
        <v>0.02</v>
      </c>
      <c r="O38" s="364">
        <f>IF(OR(AfA_Art=AfA!B$15,AfA_Art=AfA!C$15),-N38*RBWnach6Jahren*(A38&gt;=7),IF(OR(AfA_Art=AfA!D$15,AfA_Art=AfA!E$15,AfA_Art=AfA!F$15),AFABasis*-N38,"check"))</f>
        <v>-8076.3600000000006</v>
      </c>
      <c r="P38" s="409">
        <v>0</v>
      </c>
      <c r="Q38" s="248">
        <f t="shared" si="26"/>
        <v>-8076.3600000000006</v>
      </c>
      <c r="R38" s="364">
        <f t="shared" si="34"/>
        <v>153450.84000000043</v>
      </c>
      <c r="S38" s="248">
        <f t="shared" si="27"/>
        <v>43505.393833469469</v>
      </c>
      <c r="T38" s="178">
        <f t="shared" si="5"/>
        <v>-0.3</v>
      </c>
      <c r="U38" s="248">
        <f t="shared" si="28"/>
        <v>-13051.61815004084</v>
      </c>
      <c r="V38" s="248">
        <f>M38+L38+G38+I38</f>
        <v>51581.753833469469</v>
      </c>
      <c r="W38" s="248">
        <f>V38+U38</f>
        <v>38530.135683428627</v>
      </c>
      <c r="X38" s="229">
        <f t="shared" si="7"/>
        <v>241636.2372504556</v>
      </c>
      <c r="Y38" s="348">
        <f t="shared" si="33"/>
        <v>433423.65141750016</v>
      </c>
      <c r="Z38" s="349">
        <f t="shared" si="29"/>
        <v>726422.23725045577</v>
      </c>
      <c r="AA38" s="349">
        <f>+Y38+J38</f>
        <v>918209.65141750034</v>
      </c>
      <c r="AB38" s="327"/>
      <c r="AC38" s="262">
        <f t="shared" si="8"/>
        <v>163359.28853834819</v>
      </c>
      <c r="AD38" s="262">
        <f t="shared" si="9"/>
        <v>587014.77680533903</v>
      </c>
      <c r="AE38" s="253">
        <f>AD38+AC38</f>
        <v>750374.06534368719</v>
      </c>
      <c r="AF38" s="205">
        <f t="shared" si="10"/>
        <v>750374.06534368719</v>
      </c>
      <c r="AG38" s="258">
        <f>AE38+Z38-Investment</f>
        <v>942010.30259414297</v>
      </c>
      <c r="AH38" s="258">
        <f t="shared" si="12"/>
        <v>1133797.7167611874</v>
      </c>
      <c r="AI38" s="180">
        <f t="shared" si="31"/>
        <v>1.761471509340452</v>
      </c>
      <c r="AJ38" s="180">
        <f t="shared" si="13"/>
        <v>3.3309306469256672E-2</v>
      </c>
      <c r="AK38" s="273">
        <f t="shared" si="0"/>
        <v>18.840206051882859</v>
      </c>
      <c r="AL38" s="273">
        <f t="shared" si="14"/>
        <v>22.67595433522375</v>
      </c>
      <c r="AM38" s="451">
        <f t="shared" si="15"/>
        <v>0.10117496271252935</v>
      </c>
      <c r="AN38" s="451">
        <f t="shared" si="16"/>
        <v>0.10747134959702587</v>
      </c>
      <c r="AO38" s="234">
        <f t="shared" si="1"/>
        <v>2056</v>
      </c>
    </row>
    <row r="39" spans="1:41" ht="14.1" customHeight="1">
      <c r="A39" s="168"/>
      <c r="B39" s="168"/>
      <c r="C39" s="168"/>
      <c r="D39" s="168"/>
      <c r="E39" s="168"/>
      <c r="F39" s="168"/>
      <c r="G39" s="168"/>
      <c r="H39" s="168"/>
      <c r="I39" s="168"/>
      <c r="J39" s="168"/>
      <c r="K39" s="168"/>
      <c r="L39" s="181"/>
      <c r="M39" s="181"/>
      <c r="N39" s="168"/>
      <c r="P39" s="168"/>
      <c r="R39" s="181"/>
      <c r="S39" s="168"/>
      <c r="T39" s="168"/>
      <c r="U39" s="168"/>
      <c r="V39" s="181"/>
      <c r="W39" s="168"/>
      <c r="X39" s="168"/>
      <c r="Y39" s="319" t="s">
        <v>280</v>
      </c>
      <c r="Z39" s="319" t="s">
        <v>280</v>
      </c>
      <c r="AA39" s="319" t="s">
        <v>280</v>
      </c>
      <c r="AB39" s="328"/>
      <c r="AC39" s="182" t="s">
        <v>280</v>
      </c>
      <c r="AD39" s="182" t="s">
        <v>280</v>
      </c>
      <c r="AF39" s="201" t="s">
        <v>280</v>
      </c>
      <c r="AI39" s="184"/>
    </row>
    <row r="40" spans="1:41" ht="14.1" customHeight="1">
      <c r="A40" s="185"/>
      <c r="B40" s="185"/>
      <c r="C40" s="185"/>
      <c r="D40" s="186" t="s">
        <v>97</v>
      </c>
      <c r="E40" s="186" t="s">
        <v>98</v>
      </c>
      <c r="F40" s="187" t="s">
        <v>99</v>
      </c>
      <c r="G40" s="187" t="s">
        <v>100</v>
      </c>
      <c r="H40" s="187" t="s">
        <v>101</v>
      </c>
      <c r="I40" s="187" t="s">
        <v>102</v>
      </c>
      <c r="J40" s="187" t="s">
        <v>103</v>
      </c>
      <c r="K40" s="187" t="s">
        <v>453</v>
      </c>
      <c r="L40" s="188" t="s">
        <v>455</v>
      </c>
      <c r="M40" s="187" t="s">
        <v>104</v>
      </c>
      <c r="N40" s="187" t="s">
        <v>105</v>
      </c>
      <c r="O40" s="187" t="s">
        <v>106</v>
      </c>
      <c r="P40" s="187" t="s">
        <v>107</v>
      </c>
      <c r="Q40" s="187" t="s">
        <v>108</v>
      </c>
      <c r="R40" s="187" t="s">
        <v>109</v>
      </c>
      <c r="S40" s="187" t="s">
        <v>110</v>
      </c>
      <c r="T40" s="187" t="s">
        <v>111</v>
      </c>
      <c r="U40" s="187" t="s">
        <v>112</v>
      </c>
      <c r="V40" s="187" t="s">
        <v>500</v>
      </c>
      <c r="W40" s="187" t="s">
        <v>501</v>
      </c>
      <c r="X40" s="187" t="s">
        <v>503</v>
      </c>
      <c r="Y40" s="319" t="s">
        <v>280</v>
      </c>
      <c r="Z40" s="319" t="s">
        <v>280</v>
      </c>
      <c r="AA40" s="319" t="s">
        <v>280</v>
      </c>
      <c r="AB40" s="328"/>
      <c r="AC40" s="167" t="s">
        <v>325</v>
      </c>
      <c r="AD40" s="167" t="s">
        <v>325</v>
      </c>
      <c r="AE40" s="187" t="s">
        <v>504</v>
      </c>
      <c r="AF40" s="201" t="s">
        <v>280</v>
      </c>
      <c r="AG40" s="187" t="s">
        <v>505</v>
      </c>
      <c r="AH40" s="187"/>
      <c r="AK40" s="187" t="s">
        <v>398</v>
      </c>
      <c r="AL40" s="187"/>
    </row>
    <row r="41" spans="1:41" ht="14.1" customHeight="1">
      <c r="A41" s="185"/>
      <c r="B41" s="185"/>
      <c r="C41" s="185"/>
      <c r="D41" s="185"/>
      <c r="E41" s="185"/>
      <c r="F41" s="186" t="s">
        <v>113</v>
      </c>
      <c r="G41" s="186" t="s">
        <v>113</v>
      </c>
      <c r="H41" s="186"/>
      <c r="I41" s="186" t="s">
        <v>113</v>
      </c>
      <c r="J41" s="182" t="s">
        <v>280</v>
      </c>
      <c r="K41" s="186" t="s">
        <v>113</v>
      </c>
      <c r="L41" s="189"/>
      <c r="M41" s="189"/>
      <c r="N41" s="185"/>
      <c r="O41" s="187" t="s">
        <v>522</v>
      </c>
      <c r="P41" s="185"/>
      <c r="Q41" s="186" t="s">
        <v>113</v>
      </c>
      <c r="R41" s="396" t="s">
        <v>466</v>
      </c>
      <c r="S41" s="186" t="s">
        <v>113</v>
      </c>
      <c r="T41" s="185"/>
      <c r="U41" s="186" t="s">
        <v>113</v>
      </c>
      <c r="V41" s="186" t="s">
        <v>113</v>
      </c>
      <c r="W41" s="186" t="s">
        <v>113</v>
      </c>
      <c r="X41" s="186"/>
      <c r="Y41" s="320" t="s">
        <v>280</v>
      </c>
      <c r="Z41" s="329" t="s">
        <v>527</v>
      </c>
      <c r="AA41" s="320" t="s">
        <v>280</v>
      </c>
      <c r="AB41" s="330"/>
      <c r="AC41" s="167" t="s">
        <v>346</v>
      </c>
      <c r="AD41" s="167" t="s">
        <v>326</v>
      </c>
      <c r="AE41" s="186"/>
      <c r="AF41" s="291" t="s">
        <v>394</v>
      </c>
      <c r="AG41" s="197" t="s">
        <v>297</v>
      </c>
      <c r="AH41" s="197"/>
      <c r="AK41" s="187" t="s">
        <v>399</v>
      </c>
      <c r="AL41" s="187"/>
    </row>
    <row r="42" spans="1:41" ht="14.1" customHeight="1">
      <c r="A42" s="185"/>
      <c r="B42" s="185"/>
      <c r="C42" s="185"/>
      <c r="D42" s="185"/>
      <c r="E42" s="185"/>
      <c r="F42" s="186" t="s">
        <v>366</v>
      </c>
      <c r="G42" s="186" t="s">
        <v>114</v>
      </c>
      <c r="H42" s="186"/>
      <c r="I42" s="186" t="s">
        <v>452</v>
      </c>
      <c r="J42" s="232" t="s">
        <v>365</v>
      </c>
      <c r="K42" s="185" t="s">
        <v>454</v>
      </c>
      <c r="L42" s="189"/>
      <c r="M42" s="189"/>
      <c r="N42" s="185"/>
      <c r="O42" s="539" t="s">
        <v>524</v>
      </c>
      <c r="P42" s="185"/>
      <c r="Q42" s="186" t="s">
        <v>465</v>
      </c>
      <c r="R42" s="396" t="s">
        <v>467</v>
      </c>
      <c r="S42" s="186" t="s">
        <v>520</v>
      </c>
      <c r="T42" s="185"/>
      <c r="U42" s="187" t="s">
        <v>499</v>
      </c>
      <c r="V42" s="186" t="s">
        <v>511</v>
      </c>
      <c r="W42" s="186" t="s">
        <v>502</v>
      </c>
      <c r="X42" s="182" t="s">
        <v>280</v>
      </c>
      <c r="Y42" s="320" t="s">
        <v>280</v>
      </c>
      <c r="Z42" s="329" t="s">
        <v>420</v>
      </c>
      <c r="AA42" s="320" t="s">
        <v>280</v>
      </c>
      <c r="AB42" s="330"/>
      <c r="AC42" s="167" t="s">
        <v>347</v>
      </c>
      <c r="AD42" s="167" t="s">
        <v>221</v>
      </c>
      <c r="AE42" s="182" t="s">
        <v>280</v>
      </c>
      <c r="AF42" s="291" t="s">
        <v>395</v>
      </c>
      <c r="AG42" s="197" t="s">
        <v>334</v>
      </c>
      <c r="AH42" s="197"/>
      <c r="AK42" s="232" t="s">
        <v>397</v>
      </c>
      <c r="AL42" s="232"/>
    </row>
    <row r="43" spans="1:41" ht="14.1" customHeight="1">
      <c r="A43" s="185"/>
      <c r="B43" s="185"/>
      <c r="C43" s="185"/>
      <c r="D43" s="185"/>
      <c r="E43" s="185"/>
      <c r="F43" s="185"/>
      <c r="G43" s="185"/>
      <c r="H43" s="185"/>
      <c r="I43" s="185"/>
      <c r="J43" s="186" t="s">
        <v>48</v>
      </c>
      <c r="K43" s="186" t="s">
        <v>115</v>
      </c>
      <c r="L43" s="185"/>
      <c r="M43" s="185"/>
      <c r="N43" s="185"/>
      <c r="O43" s="539"/>
      <c r="P43" s="542" t="s">
        <v>283</v>
      </c>
      <c r="Q43" s="542"/>
      <c r="R43" s="185"/>
      <c r="S43" s="185" t="s">
        <v>116</v>
      </c>
      <c r="T43" s="185"/>
      <c r="U43" s="187" t="s">
        <v>111</v>
      </c>
      <c r="V43" s="186" t="s">
        <v>113</v>
      </c>
      <c r="W43" s="186" t="s">
        <v>113</v>
      </c>
      <c r="X43" s="182" t="s">
        <v>280</v>
      </c>
      <c r="Y43" s="321" t="s">
        <v>280</v>
      </c>
      <c r="Z43" s="331" t="s">
        <v>456</v>
      </c>
      <c r="AA43" s="321" t="s">
        <v>280</v>
      </c>
      <c r="AB43" s="332"/>
      <c r="AC43" s="167" t="s">
        <v>348</v>
      </c>
      <c r="AD43" s="200" t="s">
        <v>342</v>
      </c>
      <c r="AE43" s="182" t="s">
        <v>280</v>
      </c>
      <c r="AF43" s="187" t="s">
        <v>344</v>
      </c>
      <c r="AG43" s="197" t="s">
        <v>333</v>
      </c>
      <c r="AH43" s="197"/>
      <c r="AK43" s="232" t="s">
        <v>27</v>
      </c>
      <c r="AL43" s="232"/>
    </row>
    <row r="44" spans="1:41" ht="14.1" customHeight="1">
      <c r="D44" s="190"/>
      <c r="J44" s="167" t="s">
        <v>487</v>
      </c>
      <c r="O44" s="411" t="s">
        <v>525</v>
      </c>
      <c r="P44" s="540" t="s">
        <v>521</v>
      </c>
      <c r="Q44" s="540"/>
      <c r="R44" s="372"/>
      <c r="V44" s="186" t="s">
        <v>117</v>
      </c>
      <c r="W44" s="186" t="s">
        <v>118</v>
      </c>
      <c r="X44" s="182" t="s">
        <v>280</v>
      </c>
      <c r="Y44" s="321" t="s">
        <v>518</v>
      </c>
      <c r="Z44" s="321" t="s">
        <v>280</v>
      </c>
      <c r="AA44" s="321" t="s">
        <v>518</v>
      </c>
      <c r="AB44" s="332"/>
      <c r="AD44" s="200" t="s">
        <v>343</v>
      </c>
      <c r="AE44" s="182" t="s">
        <v>280</v>
      </c>
      <c r="AF44" s="187" t="s">
        <v>345</v>
      </c>
      <c r="AG44" s="197" t="s">
        <v>122</v>
      </c>
      <c r="AH44" s="197"/>
    </row>
    <row r="45" spans="1:41" ht="14.1" customHeight="1">
      <c r="A45" s="191" t="s">
        <v>45</v>
      </c>
      <c r="B45" s="192"/>
      <c r="C45" s="192"/>
      <c r="D45" s="192"/>
      <c r="E45" s="192"/>
      <c r="F45" s="192"/>
      <c r="G45" s="192"/>
      <c r="H45" s="192"/>
      <c r="I45" s="192"/>
      <c r="J45" s="391" t="s">
        <v>48</v>
      </c>
      <c r="O45" s="232" t="s">
        <v>464</v>
      </c>
      <c r="P45" s="541" t="s">
        <v>513</v>
      </c>
      <c r="Q45" s="541"/>
      <c r="R45" s="372"/>
      <c r="S45" s="186" t="s">
        <v>113</v>
      </c>
      <c r="U45" s="186"/>
      <c r="V45" s="186" t="s">
        <v>120</v>
      </c>
      <c r="W45" s="186" t="s">
        <v>291</v>
      </c>
      <c r="X45" s="182" t="s">
        <v>280</v>
      </c>
      <c r="Y45" s="321" t="s">
        <v>530</v>
      </c>
      <c r="Z45" s="182" t="s">
        <v>280</v>
      </c>
      <c r="AA45" s="321" t="s">
        <v>530</v>
      </c>
      <c r="AB45" s="328"/>
      <c r="AD45" s="167" t="s">
        <v>340</v>
      </c>
      <c r="AE45" s="182" t="s">
        <v>280</v>
      </c>
      <c r="AF45" s="201" t="s">
        <v>280</v>
      </c>
      <c r="AG45" s="198" t="s">
        <v>182</v>
      </c>
      <c r="AH45" s="198"/>
    </row>
    <row r="46" spans="1:41" ht="12.75" customHeight="1" thickBot="1">
      <c r="A46" s="167" t="s">
        <v>46</v>
      </c>
      <c r="B46" s="192"/>
      <c r="C46" s="192"/>
      <c r="D46" s="192"/>
      <c r="E46" s="192"/>
      <c r="F46" s="192"/>
      <c r="G46" s="192"/>
      <c r="H46" s="192"/>
      <c r="I46" s="192"/>
      <c r="J46" s="391" t="s">
        <v>362</v>
      </c>
      <c r="O46" s="187" t="s">
        <v>526</v>
      </c>
      <c r="P46" s="540" t="s">
        <v>512</v>
      </c>
      <c r="Q46" s="540"/>
      <c r="S46" s="186" t="s">
        <v>117</v>
      </c>
      <c r="U46" s="182" t="s">
        <v>280</v>
      </c>
      <c r="V46" s="404" t="s">
        <v>510</v>
      </c>
      <c r="W46" s="167" t="s">
        <v>402</v>
      </c>
      <c r="X46" s="182" t="s">
        <v>280</v>
      </c>
      <c r="Y46" s="182" t="s">
        <v>528</v>
      </c>
      <c r="Z46" s="182" t="s">
        <v>280</v>
      </c>
      <c r="AA46" s="182" t="s">
        <v>528</v>
      </c>
      <c r="AB46" s="328"/>
      <c r="AD46" s="167" t="s">
        <v>327</v>
      </c>
      <c r="AE46" s="182" t="s">
        <v>280</v>
      </c>
      <c r="AF46" s="201" t="s">
        <v>280</v>
      </c>
    </row>
    <row r="47" spans="1:41" ht="14.25" customHeight="1">
      <c r="A47" s="167" t="s">
        <v>47</v>
      </c>
      <c r="B47" s="192"/>
      <c r="C47" s="192"/>
      <c r="D47" s="192"/>
      <c r="E47" s="192"/>
      <c r="F47" s="192"/>
      <c r="G47" s="192"/>
      <c r="H47" s="192"/>
      <c r="I47" s="192"/>
      <c r="J47" s="192"/>
      <c r="O47" s="187" t="s">
        <v>546</v>
      </c>
      <c r="S47" s="186" t="s">
        <v>119</v>
      </c>
      <c r="U47" s="193" t="s">
        <v>286</v>
      </c>
      <c r="V47" s="404" t="s">
        <v>509</v>
      </c>
      <c r="W47" s="197" t="s">
        <v>403</v>
      </c>
      <c r="X47" s="182"/>
      <c r="Y47" s="182" t="s">
        <v>529</v>
      </c>
      <c r="Z47" s="182" t="s">
        <v>280</v>
      </c>
      <c r="AA47" s="182" t="s">
        <v>529</v>
      </c>
      <c r="AB47" s="333"/>
      <c r="AD47" s="167" t="s">
        <v>356</v>
      </c>
      <c r="AF47" s="201" t="s">
        <v>280</v>
      </c>
      <c r="AG47" s="255" t="s">
        <v>52</v>
      </c>
      <c r="AH47" s="455"/>
      <c r="AI47" s="266" t="s">
        <v>335</v>
      </c>
      <c r="AJ47" s="209" t="s">
        <v>57</v>
      </c>
      <c r="AM47" s="270" t="s">
        <v>364</v>
      </c>
      <c r="AN47" s="460"/>
    </row>
    <row r="48" spans="1:41" ht="15.75" customHeight="1">
      <c r="A48" s="167" t="s">
        <v>143</v>
      </c>
      <c r="B48" s="192"/>
      <c r="C48" s="192"/>
      <c r="D48" s="192"/>
      <c r="E48" s="192"/>
      <c r="F48" s="192"/>
      <c r="G48" s="192"/>
      <c r="H48" s="192"/>
      <c r="I48" s="192"/>
      <c r="J48" s="192"/>
      <c r="O48" s="410" t="s">
        <v>523</v>
      </c>
      <c r="S48" s="187" t="s">
        <v>181</v>
      </c>
      <c r="U48" s="167" t="s">
        <v>287</v>
      </c>
      <c r="V48" s="186" t="s">
        <v>392</v>
      </c>
      <c r="X48" s="182" t="s">
        <v>280</v>
      </c>
      <c r="Y48" s="182" t="s">
        <v>280</v>
      </c>
      <c r="Z48" s="182" t="s">
        <v>280</v>
      </c>
      <c r="AA48" s="182" t="s">
        <v>280</v>
      </c>
      <c r="AB48" s="333"/>
      <c r="AD48" s="167" t="s">
        <v>352</v>
      </c>
      <c r="AE48" s="224" t="s">
        <v>52</v>
      </c>
      <c r="AF48" s="202" t="s">
        <v>52</v>
      </c>
      <c r="AG48" s="256" t="s">
        <v>56</v>
      </c>
      <c r="AH48" s="455"/>
      <c r="AI48" s="267" t="s">
        <v>336</v>
      </c>
      <c r="AJ48" s="210" t="s">
        <v>69</v>
      </c>
      <c r="AM48" s="271" t="s">
        <v>374</v>
      </c>
      <c r="AN48" s="460"/>
    </row>
    <row r="49" spans="1:40" ht="14.1" customHeight="1" thickBot="1">
      <c r="A49" s="167" t="s">
        <v>276</v>
      </c>
      <c r="B49" s="192"/>
      <c r="C49" s="192"/>
      <c r="D49" s="192"/>
      <c r="E49" s="192"/>
      <c r="F49" s="192"/>
      <c r="G49" s="192"/>
      <c r="H49" s="192"/>
      <c r="I49" s="192"/>
      <c r="J49" s="192"/>
      <c r="K49" s="192"/>
      <c r="S49" s="186" t="s">
        <v>121</v>
      </c>
      <c r="U49" s="167" t="s">
        <v>288</v>
      </c>
      <c r="V49" s="186" t="s">
        <v>393</v>
      </c>
      <c r="X49" s="182" t="s">
        <v>280</v>
      </c>
      <c r="Y49" s="321" t="s">
        <v>280</v>
      </c>
      <c r="Z49" s="182" t="s">
        <v>280</v>
      </c>
      <c r="AA49" s="182" t="s">
        <v>280</v>
      </c>
      <c r="AB49" s="333"/>
      <c r="AD49" s="167" t="s">
        <v>353</v>
      </c>
      <c r="AE49" s="225" t="s">
        <v>66</v>
      </c>
      <c r="AF49" s="203" t="s">
        <v>66</v>
      </c>
      <c r="AG49" s="256" t="s">
        <v>67</v>
      </c>
      <c r="AH49" s="455"/>
      <c r="AI49" s="267" t="s">
        <v>68</v>
      </c>
      <c r="AJ49" s="210" t="s">
        <v>300</v>
      </c>
      <c r="AM49" s="271" t="s">
        <v>381</v>
      </c>
      <c r="AN49" s="460"/>
    </row>
    <row r="50" spans="1:40" ht="14.1" customHeight="1" thickBot="1">
      <c r="A50" s="167" t="s">
        <v>277</v>
      </c>
      <c r="B50" s="192"/>
      <c r="C50" s="192"/>
      <c r="D50" s="192"/>
      <c r="E50" s="192"/>
      <c r="F50" s="192"/>
      <c r="G50" s="192"/>
      <c r="H50" s="192"/>
      <c r="I50" s="192"/>
      <c r="J50" s="192"/>
      <c r="K50" s="428" t="s">
        <v>557</v>
      </c>
      <c r="L50" s="429"/>
      <c r="M50" s="292"/>
      <c r="N50" s="416" t="s">
        <v>283</v>
      </c>
      <c r="O50" s="292"/>
      <c r="P50" s="292"/>
      <c r="Q50" s="417"/>
      <c r="S50" s="186" t="s">
        <v>123</v>
      </c>
      <c r="U50" s="167" t="s">
        <v>506</v>
      </c>
      <c r="X50" s="182" t="s">
        <v>280</v>
      </c>
      <c r="Y50" s="343" t="s">
        <v>412</v>
      </c>
      <c r="Z50" s="350"/>
      <c r="AA50" s="345" t="s">
        <v>308</v>
      </c>
      <c r="AB50" s="340"/>
      <c r="AD50" s="167" t="s">
        <v>354</v>
      </c>
      <c r="AE50" s="225" t="s">
        <v>81</v>
      </c>
      <c r="AF50" s="203" t="s">
        <v>216</v>
      </c>
      <c r="AG50" s="256" t="s">
        <v>82</v>
      </c>
      <c r="AH50" s="455"/>
      <c r="AI50" s="267" t="s">
        <v>83</v>
      </c>
      <c r="AJ50" s="210" t="s">
        <v>301</v>
      </c>
      <c r="AM50" s="271" t="s">
        <v>382</v>
      </c>
      <c r="AN50" s="460"/>
    </row>
    <row r="51" spans="1:40" ht="14.1" customHeight="1">
      <c r="K51" s="418"/>
      <c r="L51" s="529" t="s">
        <v>281</v>
      </c>
      <c r="M51" s="529"/>
      <c r="N51" s="529"/>
      <c r="O51" s="529"/>
      <c r="P51" s="529"/>
      <c r="Q51" s="530"/>
      <c r="S51" s="186" t="s">
        <v>116</v>
      </c>
      <c r="U51" s="167" t="s">
        <v>290</v>
      </c>
      <c r="W51" s="299" t="s">
        <v>407</v>
      </c>
      <c r="X51" s="292"/>
      <c r="Y51" s="346" t="s">
        <v>408</v>
      </c>
      <c r="Z51" s="344" t="s">
        <v>48</v>
      </c>
      <c r="AA51" s="345" t="s">
        <v>413</v>
      </c>
      <c r="AB51" s="341"/>
      <c r="AD51" s="167" t="s">
        <v>355</v>
      </c>
      <c r="AE51" s="225" t="s">
        <v>93</v>
      </c>
      <c r="AF51" s="203" t="s">
        <v>321</v>
      </c>
      <c r="AG51" s="256" t="s">
        <v>94</v>
      </c>
      <c r="AH51" s="455"/>
      <c r="AI51" s="268">
        <f>Investment</f>
        <v>534786</v>
      </c>
      <c r="AJ51" s="210" t="s">
        <v>379</v>
      </c>
      <c r="AM51" s="271" t="s">
        <v>379</v>
      </c>
      <c r="AN51" s="460"/>
    </row>
    <row r="52" spans="1:40" ht="14.1" customHeight="1">
      <c r="A52" s="167" t="s">
        <v>174</v>
      </c>
      <c r="K52" s="418"/>
      <c r="L52" s="529" t="s">
        <v>282</v>
      </c>
      <c r="M52" s="529"/>
      <c r="N52" s="529"/>
      <c r="O52" s="529"/>
      <c r="P52" s="529"/>
      <c r="Q52" s="530"/>
      <c r="U52" s="167" t="s">
        <v>339</v>
      </c>
      <c r="W52" s="317" t="s">
        <v>404</v>
      </c>
      <c r="X52" s="226" t="s">
        <v>55</v>
      </c>
      <c r="Y52" s="346" t="s">
        <v>414</v>
      </c>
      <c r="Z52" s="345" t="s">
        <v>307</v>
      </c>
      <c r="AA52" s="345" t="s">
        <v>416</v>
      </c>
      <c r="AB52" s="333"/>
      <c r="AE52" s="225" t="s">
        <v>51</v>
      </c>
      <c r="AF52" s="204" t="s">
        <v>70</v>
      </c>
      <c r="AG52" s="257" t="s">
        <v>51</v>
      </c>
      <c r="AH52" s="455"/>
      <c r="AI52" s="267" t="s">
        <v>302</v>
      </c>
      <c r="AJ52" s="284" t="s">
        <v>380</v>
      </c>
      <c r="AK52" s="269" t="s">
        <v>310</v>
      </c>
      <c r="AL52" s="456"/>
      <c r="AM52" s="272" t="s">
        <v>383</v>
      </c>
      <c r="AN52" s="460"/>
    </row>
    <row r="53" spans="1:40" ht="16.5" customHeight="1">
      <c r="A53" s="194"/>
      <c r="K53" s="430" t="s">
        <v>536</v>
      </c>
      <c r="Q53" s="419"/>
      <c r="S53" s="182" t="s">
        <v>280</v>
      </c>
      <c r="U53" s="167" t="s">
        <v>341</v>
      </c>
      <c r="V53" s="182" t="s">
        <v>280</v>
      </c>
      <c r="W53" s="317" t="s">
        <v>48</v>
      </c>
      <c r="X53" s="227" t="s">
        <v>54</v>
      </c>
      <c r="Y53" s="346" t="s">
        <v>417</v>
      </c>
      <c r="Z53" s="345" t="s">
        <v>308</v>
      </c>
      <c r="AA53" s="346" t="s">
        <v>417</v>
      </c>
      <c r="AB53" s="342"/>
      <c r="AD53" s="244" t="s">
        <v>292</v>
      </c>
      <c r="AE53" s="254">
        <f>AE12</f>
        <v>524716.28744921857</v>
      </c>
      <c r="AF53" s="205">
        <f t="shared" ref="AF53" si="36">AF12</f>
        <v>79512.606778121495</v>
      </c>
      <c r="AG53" s="259">
        <f t="shared" ref="AG53:AI53" si="37">AG12</f>
        <v>51957.688851644751</v>
      </c>
      <c r="AH53" s="259"/>
      <c r="AI53" s="165">
        <f t="shared" si="37"/>
        <v>9.7156037838770554E-2</v>
      </c>
      <c r="AJ53" s="180">
        <f>AJ12</f>
        <v>1.8717295353811281E-2</v>
      </c>
      <c r="AK53" s="244" t="s">
        <v>292</v>
      </c>
      <c r="AL53" s="457"/>
      <c r="AM53" s="274">
        <f>AM12</f>
        <v>0.15316113151995658</v>
      </c>
      <c r="AN53" s="461"/>
    </row>
    <row r="54" spans="1:40" ht="14.1" customHeight="1">
      <c r="K54" s="516" t="s">
        <v>548</v>
      </c>
      <c r="L54" s="517"/>
      <c r="M54" s="517"/>
      <c r="N54" s="517"/>
      <c r="O54" s="517"/>
      <c r="P54" s="517"/>
      <c r="Q54" s="518"/>
      <c r="S54" s="193" t="s">
        <v>286</v>
      </c>
      <c r="U54" s="186"/>
      <c r="V54" s="193" t="s">
        <v>286</v>
      </c>
      <c r="W54" s="317" t="s">
        <v>405</v>
      </c>
      <c r="X54" s="227" t="s">
        <v>80</v>
      </c>
      <c r="Y54" s="353">
        <f>Y6</f>
        <v>5.0399999999999993E-2</v>
      </c>
      <c r="Z54" s="345" t="s">
        <v>309</v>
      </c>
      <c r="AA54" s="353">
        <f>Y54</f>
        <v>5.0399999999999993E-2</v>
      </c>
      <c r="AB54" s="342"/>
      <c r="AD54" s="244" t="s">
        <v>293</v>
      </c>
      <c r="AE54" s="254">
        <f>AE17</f>
        <v>561954.76030864962</v>
      </c>
      <c r="AF54" s="205">
        <f t="shared" ref="AF54" si="38">AF17</f>
        <v>174538.78979138023</v>
      </c>
      <c r="AG54" s="259">
        <f t="shared" ref="AG54:AI54" si="39">AG17</f>
        <v>168284.74492036772</v>
      </c>
      <c r="AH54" s="259"/>
      <c r="AI54" s="165">
        <f t="shared" si="39"/>
        <v>0.31467679580312075</v>
      </c>
      <c r="AJ54" s="180">
        <f>AJ17</f>
        <v>2.7736781658080023E-2</v>
      </c>
      <c r="AK54" s="244" t="s">
        <v>293</v>
      </c>
      <c r="AL54" s="458"/>
      <c r="AM54" s="275">
        <f>AM17</f>
        <v>0.15879159934377163</v>
      </c>
      <c r="AN54" s="461"/>
    </row>
    <row r="55" spans="1:40" ht="14.1" customHeight="1">
      <c r="A55" s="195" t="s">
        <v>9</v>
      </c>
      <c r="B55" s="196"/>
      <c r="C55" s="196"/>
      <c r="D55" s="196"/>
      <c r="E55" s="196"/>
      <c r="F55" s="196"/>
      <c r="G55" s="196"/>
      <c r="H55" s="196"/>
      <c r="K55" s="516" t="s">
        <v>559</v>
      </c>
      <c r="L55" s="517"/>
      <c r="M55" s="517"/>
      <c r="N55" s="517"/>
      <c r="O55" s="517"/>
      <c r="P55" s="517"/>
      <c r="Q55" s="518"/>
      <c r="S55" s="167" t="s">
        <v>287</v>
      </c>
      <c r="U55" s="186"/>
      <c r="V55" s="167" t="s">
        <v>287</v>
      </c>
      <c r="W55" s="317"/>
      <c r="X55" s="263" t="s">
        <v>92</v>
      </c>
      <c r="Y55" s="346" t="s">
        <v>92</v>
      </c>
      <c r="Z55" s="347" t="s">
        <v>92</v>
      </c>
      <c r="AA55" s="347" t="s">
        <v>92</v>
      </c>
      <c r="AB55" s="342"/>
      <c r="AD55" s="244" t="s">
        <v>294</v>
      </c>
      <c r="AE55" s="254">
        <f>AE22</f>
        <v>601902.13930651592</v>
      </c>
      <c r="AF55" s="205">
        <f t="shared" ref="AF55" si="40">AF22</f>
        <v>284355.89833914564</v>
      </c>
      <c r="AG55" s="259">
        <f t="shared" ref="AG55:AI55" si="41">AG22</f>
        <v>309853.85366770963</v>
      </c>
      <c r="AH55" s="259"/>
      <c r="AI55" s="165">
        <f t="shared" si="41"/>
        <v>0.57939784075819045</v>
      </c>
      <c r="AJ55" s="180">
        <f>AJ22</f>
        <v>3.0938525738033906E-2</v>
      </c>
      <c r="AK55" s="244" t="s">
        <v>294</v>
      </c>
      <c r="AL55" s="458"/>
      <c r="AM55" s="275">
        <f>AM22</f>
        <v>0.14062725195581627</v>
      </c>
      <c r="AN55" s="461"/>
    </row>
    <row r="56" spans="1:40" ht="14.1" customHeight="1">
      <c r="K56" s="516"/>
      <c r="L56" s="517"/>
      <c r="M56" s="517"/>
      <c r="N56" s="517"/>
      <c r="O56" s="517"/>
      <c r="P56" s="519"/>
      <c r="Q56" s="518"/>
      <c r="S56" s="167" t="s">
        <v>288</v>
      </c>
      <c r="V56" s="167" t="s">
        <v>288</v>
      </c>
      <c r="W56" s="288" t="s">
        <v>292</v>
      </c>
      <c r="X56" s="231">
        <f>X12</f>
        <v>11668.750532375156</v>
      </c>
      <c r="Y56" s="351">
        <f>Y12</f>
        <v>13075.89296956657</v>
      </c>
      <c r="Z56" s="349">
        <f>Z12</f>
        <v>62027.401402426171</v>
      </c>
      <c r="AA56" s="349">
        <f>AA12</f>
        <v>63434.543839617589</v>
      </c>
      <c r="AB56" s="342"/>
      <c r="AD56" s="244" t="s">
        <v>295</v>
      </c>
      <c r="AE56" s="254">
        <f>AE27</f>
        <v>644759.15721727582</v>
      </c>
      <c r="AF56" s="205">
        <f t="shared" ref="AF56" si="42">AF27</f>
        <v>409625.96743103774</v>
      </c>
      <c r="AG56" s="259">
        <f t="shared" ref="AG56:AI56" si="43">AG27</f>
        <v>475817.75276514469</v>
      </c>
      <c r="AH56" s="259"/>
      <c r="AI56" s="165">
        <f t="shared" si="43"/>
        <v>0.88973487107954341</v>
      </c>
      <c r="AJ56" s="180">
        <f>AJ27</f>
        <v>3.2333554919588003E-2</v>
      </c>
      <c r="AK56" s="244" t="s">
        <v>295</v>
      </c>
      <c r="AL56" s="458"/>
      <c r="AM56" s="275">
        <f>AM27</f>
        <v>0.12484650177661272</v>
      </c>
      <c r="AN56" s="461"/>
    </row>
    <row r="57" spans="1:40" ht="14.1" customHeight="1">
      <c r="K57" s="516" t="s">
        <v>537</v>
      </c>
      <c r="L57" s="517"/>
      <c r="M57" s="517"/>
      <c r="N57" s="517"/>
      <c r="O57" s="517"/>
      <c r="P57" s="519"/>
      <c r="Q57" s="518"/>
      <c r="S57" s="167" t="s">
        <v>506</v>
      </c>
      <c r="V57" s="167" t="s">
        <v>289</v>
      </c>
      <c r="W57" s="288" t="s">
        <v>293</v>
      </c>
      <c r="X57" s="231">
        <f>X17</f>
        <v>30947.053732455402</v>
      </c>
      <c r="Y57" s="351">
        <f>Y17</f>
        <v>38402.520631252708</v>
      </c>
      <c r="Z57" s="349">
        <f>Z17</f>
        <v>141115.9846117181</v>
      </c>
      <c r="AA57" s="349">
        <f>AA17</f>
        <v>148571.45151051538</v>
      </c>
      <c r="AB57" s="342"/>
      <c r="AD57" s="244" t="s">
        <v>296</v>
      </c>
      <c r="AE57" s="254">
        <f>AE32</f>
        <v>690741.62042201206</v>
      </c>
      <c r="AF57" s="205">
        <f t="shared" ref="AF57" si="44">AF32</f>
        <v>552312.84405678569</v>
      </c>
      <c r="AG57" s="259">
        <f t="shared" ref="AG57:AI57" si="45">AG32</f>
        <v>669141.99227931164</v>
      </c>
      <c r="AH57" s="259"/>
      <c r="AI57" s="165">
        <f t="shared" si="45"/>
        <v>1.2512331891248305</v>
      </c>
      <c r="AJ57" s="180">
        <f>AJ32</f>
        <v>3.2991669784862676E-2</v>
      </c>
      <c r="AK57" s="244" t="s">
        <v>296</v>
      </c>
      <c r="AL57" s="458"/>
      <c r="AM57" s="275">
        <f>AM32</f>
        <v>0.11253526423339233</v>
      </c>
      <c r="AN57" s="461"/>
    </row>
    <row r="58" spans="1:40" ht="14.1" customHeight="1" thickBot="1">
      <c r="A58" s="127"/>
      <c r="K58" s="516" t="s">
        <v>549</v>
      </c>
      <c r="L58" s="517"/>
      <c r="M58" s="517"/>
      <c r="N58" s="517"/>
      <c r="O58" s="517"/>
      <c r="P58" s="517"/>
      <c r="Q58" s="518"/>
      <c r="S58" s="167" t="s">
        <v>290</v>
      </c>
      <c r="V58" s="167" t="s">
        <v>290</v>
      </c>
      <c r="W58" s="288" t="s">
        <v>294</v>
      </c>
      <c r="X58" s="231">
        <f>X22</f>
        <v>60052.464272013698</v>
      </c>
      <c r="Y58" s="351">
        <f>Y22</f>
        <v>81915.766904753909</v>
      </c>
      <c r="Z58" s="349">
        <f>Z22</f>
        <v>242737.71436119371</v>
      </c>
      <c r="AA58" s="349">
        <f>AA22</f>
        <v>264601.01699393394</v>
      </c>
      <c r="AB58" s="342"/>
      <c r="AD58" s="244" t="s">
        <v>298</v>
      </c>
      <c r="AE58" s="254">
        <f>AE37</f>
        <v>740081.55142156361</v>
      </c>
      <c r="AF58" s="205">
        <f t="shared" ref="AF58" si="46">AF37</f>
        <v>715126.83579154941</v>
      </c>
      <c r="AG58" s="444">
        <f t="shared" ref="AG58:AI58" si="47">AG37</f>
        <v>893187.65298859077</v>
      </c>
      <c r="AH58" s="444"/>
      <c r="AI58" s="165">
        <f t="shared" si="47"/>
        <v>1.6701777028355094</v>
      </c>
      <c r="AJ58" s="180">
        <f>AJ37</f>
        <v>3.3279957564340101E-2</v>
      </c>
      <c r="AK58" s="244" t="s">
        <v>298</v>
      </c>
      <c r="AL58" s="458"/>
      <c r="AM58" s="275">
        <f>AM37</f>
        <v>0.10286140003043731</v>
      </c>
      <c r="AN58" s="461"/>
    </row>
    <row r="59" spans="1:40" ht="14.1" customHeight="1">
      <c r="A59" s="59"/>
      <c r="K59" s="516" t="s">
        <v>550</v>
      </c>
      <c r="L59" s="517"/>
      <c r="M59" s="517"/>
      <c r="N59" s="517"/>
      <c r="O59" s="517"/>
      <c r="P59" s="517"/>
      <c r="Q59" s="518"/>
      <c r="S59" s="167" t="s">
        <v>339</v>
      </c>
      <c r="V59" s="167" t="s">
        <v>339</v>
      </c>
      <c r="W59" s="288" t="s">
        <v>295</v>
      </c>
      <c r="X59" s="231">
        <f>X27</f>
        <v>98067.870114169811</v>
      </c>
      <c r="Y59" s="351">
        <f>Y27</f>
        <v>147647.04874392072</v>
      </c>
      <c r="Z59" s="349">
        <f>Z27</f>
        <v>365844.59554786887</v>
      </c>
      <c r="AA59" s="349">
        <f>AA27</f>
        <v>415423.77417761972</v>
      </c>
      <c r="AB59" s="334"/>
      <c r="AF59" s="182" t="s">
        <v>280</v>
      </c>
      <c r="AG59" s="445" t="s">
        <v>306</v>
      </c>
      <c r="AH59" s="455"/>
    </row>
    <row r="60" spans="1:40" ht="14.1" customHeight="1">
      <c r="K60" s="516" t="s">
        <v>551</v>
      </c>
      <c r="L60" s="517"/>
      <c r="M60" s="517"/>
      <c r="N60" s="517"/>
      <c r="O60" s="517"/>
      <c r="P60" s="517"/>
      <c r="Q60" s="518"/>
      <c r="S60" s="167" t="s">
        <v>341</v>
      </c>
      <c r="V60" s="167" t="s">
        <v>341</v>
      </c>
      <c r="W60" s="288" t="s">
        <v>296</v>
      </c>
      <c r="X60" s="231">
        <f>X32</f>
        <v>145562.33956640595</v>
      </c>
      <c r="Y60" s="351">
        <f>Y32</f>
        <v>242433.99344065023</v>
      </c>
      <c r="Z60" s="349">
        <f>Z32</f>
        <v>513186.37185729959</v>
      </c>
      <c r="AA60" s="349">
        <f>AA32</f>
        <v>610058.02573154378</v>
      </c>
      <c r="AB60" s="335"/>
      <c r="AF60" s="166" t="s">
        <v>322</v>
      </c>
      <c r="AG60" s="446" t="s">
        <v>48</v>
      </c>
      <c r="AH60" s="455"/>
    </row>
    <row r="61" spans="1:40" ht="14.1" customHeight="1" thickBot="1">
      <c r="K61" s="516" t="s">
        <v>552</v>
      </c>
      <c r="L61" s="517"/>
      <c r="M61" s="517"/>
      <c r="N61" s="517"/>
      <c r="O61" s="517"/>
      <c r="P61" s="517"/>
      <c r="Q61" s="518"/>
      <c r="W61" s="296" t="s">
        <v>298</v>
      </c>
      <c r="X61" s="297">
        <f>X37</f>
        <v>203106.10156702696</v>
      </c>
      <c r="Y61" s="352">
        <f>Y37</f>
        <v>375021.47402403766</v>
      </c>
      <c r="Z61" s="349">
        <f>Z37</f>
        <v>687892.10156702716</v>
      </c>
      <c r="AA61" s="349">
        <f>AA37</f>
        <v>859807.47402403783</v>
      </c>
      <c r="AG61" s="447" t="s">
        <v>221</v>
      </c>
      <c r="AH61" s="455"/>
    </row>
    <row r="62" spans="1:40" ht="14.1" customHeight="1">
      <c r="K62" s="424"/>
      <c r="L62" s="426"/>
      <c r="M62" s="426"/>
      <c r="N62" s="426"/>
      <c r="O62" s="426"/>
      <c r="P62" s="426"/>
      <c r="Q62" s="421"/>
    </row>
    <row r="63" spans="1:40" ht="14.1" customHeight="1">
      <c r="K63" s="516" t="s">
        <v>556</v>
      </c>
      <c r="L63" s="517"/>
      <c r="M63" s="517"/>
      <c r="N63" s="517"/>
      <c r="O63" s="517"/>
      <c r="P63" s="517"/>
      <c r="Q63" s="518"/>
    </row>
    <row r="64" spans="1:40" ht="14.1" customHeight="1">
      <c r="K64" s="516" t="s">
        <v>555</v>
      </c>
      <c r="L64" s="517"/>
      <c r="M64" s="517"/>
      <c r="N64" s="517"/>
      <c r="O64" s="517"/>
      <c r="P64" s="517"/>
      <c r="Q64" s="518"/>
    </row>
    <row r="65" spans="11:17" ht="14.1" customHeight="1">
      <c r="K65" s="516" t="s">
        <v>553</v>
      </c>
      <c r="L65" s="517"/>
      <c r="M65" s="517"/>
      <c r="N65" s="517"/>
      <c r="O65" s="517"/>
      <c r="P65" s="517"/>
      <c r="Q65" s="518"/>
    </row>
    <row r="66" spans="11:17" ht="14.1" customHeight="1">
      <c r="K66" s="516" t="s">
        <v>540</v>
      </c>
      <c r="L66" s="517"/>
      <c r="M66" s="517"/>
      <c r="N66" s="517" t="s">
        <v>539</v>
      </c>
      <c r="O66" s="517"/>
      <c r="P66" s="517"/>
      <c r="Q66" s="421"/>
    </row>
    <row r="67" spans="11:17" ht="14.1" customHeight="1">
      <c r="K67" s="420" t="s">
        <v>538</v>
      </c>
      <c r="L67" s="426"/>
      <c r="M67" s="426"/>
      <c r="N67" s="426"/>
      <c r="O67" s="426"/>
      <c r="P67" s="426"/>
      <c r="Q67" s="421"/>
    </row>
    <row r="68" spans="11:17" ht="14.1" customHeight="1">
      <c r="K68" s="516" t="s">
        <v>541</v>
      </c>
      <c r="L68" s="517"/>
      <c r="M68" s="426"/>
      <c r="N68" s="426"/>
      <c r="O68" s="426"/>
      <c r="P68" s="426"/>
      <c r="Q68" s="421"/>
    </row>
    <row r="69" spans="11:17" ht="14.1" customHeight="1">
      <c r="K69" s="516" t="s">
        <v>542</v>
      </c>
      <c r="L69" s="517"/>
      <c r="M69" s="517"/>
      <c r="N69" s="517"/>
      <c r="O69" s="517"/>
      <c r="P69" s="426"/>
      <c r="Q69" s="421"/>
    </row>
    <row r="70" spans="11:17" ht="14.1" customHeight="1">
      <c r="K70" s="516" t="s">
        <v>543</v>
      </c>
      <c r="L70" s="517"/>
      <c r="M70" s="517"/>
      <c r="N70" s="426"/>
      <c r="O70" s="426"/>
      <c r="P70" s="426"/>
      <c r="Q70" s="421"/>
    </row>
    <row r="71" spans="11:17" ht="14.1" customHeight="1">
      <c r="K71" s="516" t="s">
        <v>544</v>
      </c>
      <c r="L71" s="517"/>
      <c r="M71" s="517"/>
      <c r="N71" s="426"/>
      <c r="O71" s="426"/>
      <c r="P71" s="426"/>
      <c r="Q71" s="421"/>
    </row>
    <row r="72" spans="11:17" ht="14.1" customHeight="1">
      <c r="K72" s="516" t="s">
        <v>547</v>
      </c>
      <c r="L72" s="517"/>
      <c r="M72" s="517"/>
      <c r="N72" s="517"/>
      <c r="O72" s="427"/>
      <c r="P72" s="427"/>
      <c r="Q72" s="421"/>
    </row>
    <row r="73" spans="11:17" ht="14.1" customHeight="1">
      <c r="K73" s="516"/>
      <c r="L73" s="517"/>
      <c r="M73" s="517"/>
      <c r="N73" s="517"/>
      <c r="O73" s="517"/>
      <c r="P73" s="517"/>
      <c r="Q73" s="518"/>
    </row>
    <row r="74" spans="11:17" ht="14.1" customHeight="1">
      <c r="K74" s="516" t="s">
        <v>545</v>
      </c>
      <c r="L74" s="517"/>
      <c r="M74" s="517"/>
      <c r="N74" s="517"/>
      <c r="O74" s="517"/>
      <c r="P74" s="517"/>
      <c r="Q74" s="518"/>
    </row>
    <row r="75" spans="11:17" ht="14.1" customHeight="1">
      <c r="K75" s="516" t="s">
        <v>554</v>
      </c>
      <c r="L75" s="517"/>
      <c r="M75" s="517"/>
      <c r="N75" s="517"/>
      <c r="O75" s="517"/>
      <c r="P75" s="517"/>
      <c r="Q75" s="518"/>
    </row>
    <row r="76" spans="11:17" ht="14.1" customHeight="1" thickBot="1">
      <c r="K76" s="425" t="s">
        <v>558</v>
      </c>
      <c r="L76" s="422"/>
      <c r="M76" s="422"/>
      <c r="N76" s="422"/>
      <c r="O76" s="422"/>
      <c r="P76" s="422"/>
      <c r="Q76" s="423"/>
    </row>
  </sheetData>
  <sheetProtection selectLockedCells="1" selectUnlockedCells="1"/>
  <mergeCells count="36">
    <mergeCell ref="AI1:AM1"/>
    <mergeCell ref="L1:S1"/>
    <mergeCell ref="U1:X1"/>
    <mergeCell ref="L51:Q51"/>
    <mergeCell ref="L52:Q52"/>
    <mergeCell ref="AC1:AG1"/>
    <mergeCell ref="Y1:AA1"/>
    <mergeCell ref="N3:O3"/>
    <mergeCell ref="O42:O43"/>
    <mergeCell ref="P44:Q44"/>
    <mergeCell ref="P45:Q45"/>
    <mergeCell ref="P43:Q43"/>
    <mergeCell ref="P46:Q46"/>
    <mergeCell ref="K54:Q54"/>
    <mergeCell ref="K55:Q55"/>
    <mergeCell ref="K56:O56"/>
    <mergeCell ref="K57:O57"/>
    <mergeCell ref="P56:P57"/>
    <mergeCell ref="Q56:Q57"/>
    <mergeCell ref="K58:Q58"/>
    <mergeCell ref="K59:Q59"/>
    <mergeCell ref="K60:Q60"/>
    <mergeCell ref="K61:Q61"/>
    <mergeCell ref="K63:Q63"/>
    <mergeCell ref="K64:Q64"/>
    <mergeCell ref="K65:Q65"/>
    <mergeCell ref="K66:M66"/>
    <mergeCell ref="N66:P66"/>
    <mergeCell ref="K68:L68"/>
    <mergeCell ref="K74:Q74"/>
    <mergeCell ref="K75:Q75"/>
    <mergeCell ref="K69:O69"/>
    <mergeCell ref="K70:M70"/>
    <mergeCell ref="K71:M71"/>
    <mergeCell ref="K72:N72"/>
    <mergeCell ref="K73:Q73"/>
  </mergeCells>
  <conditionalFormatting sqref="A8:XFD38">
    <cfRule type="expression" dxfId="5" priority="1">
      <formula>$D8=0</formula>
    </cfRule>
  </conditionalFormatting>
  <conditionalFormatting sqref="A36:XFD36">
    <cfRule type="expression" dxfId="4" priority="3">
      <formula>$D$36=0</formula>
    </cfRule>
  </conditionalFormatting>
  <conditionalFormatting sqref="A37:XFD37">
    <cfRule type="expression" dxfId="3" priority="4">
      <formula>$D$37=0</formula>
    </cfRule>
  </conditionalFormatting>
  <conditionalFormatting sqref="A38:XFD38">
    <cfRule type="expression" dxfId="2" priority="5">
      <formula>$D$38=0</formula>
    </cfRule>
  </conditionalFormatting>
  <conditionalFormatting sqref="U8:W38">
    <cfRule type="cellIs" dxfId="1" priority="8" operator="lessThan">
      <formula>0</formula>
    </cfRule>
    <cfRule type="cellIs" dxfId="0" priority="9" operator="greaterThan">
      <formula>0</formula>
    </cfRule>
  </conditionalFormatting>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0"/>
  <sheetViews>
    <sheetView workbookViewId="0">
      <pane xSplit="2" ySplit="1" topLeftCell="C30" activePane="bottomRight" state="frozen"/>
      <selection pane="topRight" activeCell="C1" sqref="C1"/>
      <selection pane="bottomLeft" activeCell="A2" sqref="A2"/>
      <selection pane="bottomRight" activeCell="E55" sqref="E55"/>
    </sheetView>
  </sheetViews>
  <sheetFormatPr defaultColWidth="11.5546875" defaultRowHeight="13.2"/>
  <cols>
    <col min="1" max="1" width="4.21875" customWidth="1"/>
    <col min="2" max="2" width="34.109375" customWidth="1"/>
    <col min="3" max="32" width="13" bestFit="1" customWidth="1"/>
  </cols>
  <sheetData>
    <row r="1" spans="1:32" ht="15.6">
      <c r="A1" s="67"/>
      <c r="B1" s="90" t="s">
        <v>49</v>
      </c>
      <c r="C1" s="89">
        <v>1</v>
      </c>
      <c r="D1" s="87">
        <f>C1+1</f>
        <v>2</v>
      </c>
      <c r="E1" s="87">
        <f t="shared" ref="E1" si="0">D1+1</f>
        <v>3</v>
      </c>
      <c r="F1" s="87">
        <f t="shared" ref="F1" si="1">E1+1</f>
        <v>4</v>
      </c>
      <c r="G1" s="87">
        <f t="shared" ref="G1" si="2">F1+1</f>
        <v>5</v>
      </c>
      <c r="H1" s="87">
        <f t="shared" ref="H1" si="3">G1+1</f>
        <v>6</v>
      </c>
      <c r="I1" s="87">
        <f t="shared" ref="I1" si="4">H1+1</f>
        <v>7</v>
      </c>
      <c r="J1" s="87">
        <f t="shared" ref="J1" si="5">I1+1</f>
        <v>8</v>
      </c>
      <c r="K1" s="87">
        <f t="shared" ref="K1" si="6">J1+1</f>
        <v>9</v>
      </c>
      <c r="L1" s="87">
        <f t="shared" ref="L1" si="7">K1+1</f>
        <v>10</v>
      </c>
      <c r="M1" s="87">
        <f t="shared" ref="M1" si="8">L1+1</f>
        <v>11</v>
      </c>
      <c r="N1" s="87">
        <f t="shared" ref="N1" si="9">M1+1</f>
        <v>12</v>
      </c>
      <c r="O1" s="87">
        <f t="shared" ref="O1" si="10">N1+1</f>
        <v>13</v>
      </c>
      <c r="P1" s="87">
        <f t="shared" ref="P1" si="11">O1+1</f>
        <v>14</v>
      </c>
      <c r="Q1" s="87">
        <f t="shared" ref="Q1" si="12">P1+1</f>
        <v>15</v>
      </c>
      <c r="R1" s="87">
        <f t="shared" ref="R1" si="13">Q1+1</f>
        <v>16</v>
      </c>
      <c r="S1" s="87">
        <f t="shared" ref="S1" si="14">R1+1</f>
        <v>17</v>
      </c>
      <c r="T1" s="87">
        <f t="shared" ref="T1" si="15">S1+1</f>
        <v>18</v>
      </c>
      <c r="U1" s="87">
        <f t="shared" ref="U1" si="16">T1+1</f>
        <v>19</v>
      </c>
      <c r="V1" s="87">
        <f t="shared" ref="V1" si="17">U1+1</f>
        <v>20</v>
      </c>
      <c r="W1" s="87">
        <f t="shared" ref="W1" si="18">V1+1</f>
        <v>21</v>
      </c>
      <c r="X1" s="87">
        <f t="shared" ref="X1" si="19">W1+1</f>
        <v>22</v>
      </c>
      <c r="Y1" s="87">
        <f t="shared" ref="Y1" si="20">X1+1</f>
        <v>23</v>
      </c>
      <c r="Z1" s="87">
        <f t="shared" ref="Z1" si="21">Y1+1</f>
        <v>24</v>
      </c>
      <c r="AA1" s="87">
        <f t="shared" ref="AA1" si="22">Z1+1</f>
        <v>25</v>
      </c>
      <c r="AB1" s="87">
        <f t="shared" ref="AB1" si="23">AA1+1</f>
        <v>26</v>
      </c>
      <c r="AC1" s="87">
        <f t="shared" ref="AC1" si="24">AB1+1</f>
        <v>27</v>
      </c>
      <c r="AD1" s="87">
        <f t="shared" ref="AD1" si="25">AC1+1</f>
        <v>28</v>
      </c>
      <c r="AE1" s="87">
        <f t="shared" ref="AE1" si="26">AD1+1</f>
        <v>29</v>
      </c>
      <c r="AF1" s="88">
        <f t="shared" ref="AF1" si="27">AE1+1</f>
        <v>30</v>
      </c>
    </row>
    <row r="2" spans="1:32" ht="16.2" thickBot="1">
      <c r="A2" s="67"/>
      <c r="B2" s="67"/>
      <c r="C2" s="67"/>
      <c r="D2" s="548" t="s">
        <v>281</v>
      </c>
      <c r="E2" s="548"/>
      <c r="F2" s="548"/>
      <c r="G2" s="548"/>
      <c r="H2" s="67"/>
      <c r="I2" s="548" t="s">
        <v>282</v>
      </c>
      <c r="J2" s="548"/>
      <c r="K2" s="548"/>
      <c r="L2" s="548"/>
      <c r="M2" s="17"/>
      <c r="N2" s="17"/>
      <c r="O2" s="17"/>
      <c r="P2" s="17"/>
      <c r="Q2" s="67"/>
      <c r="R2" s="67"/>
      <c r="S2" s="67"/>
      <c r="T2" s="67"/>
      <c r="U2" s="67"/>
      <c r="V2" s="67"/>
      <c r="W2" s="67"/>
      <c r="X2" s="67"/>
      <c r="Y2" s="67"/>
      <c r="Z2" s="67"/>
      <c r="AA2" s="67"/>
      <c r="AB2" s="67"/>
      <c r="AC2" s="67"/>
      <c r="AD2" s="67"/>
      <c r="AE2" s="67"/>
      <c r="AF2" s="67"/>
    </row>
    <row r="3" spans="1:32" ht="16.2" thickBot="1">
      <c r="A3" s="67"/>
      <c r="B3" s="79" t="s">
        <v>173</v>
      </c>
      <c r="C3" s="68">
        <f>'Cash &amp; Assets'!B7</f>
        <v>2025</v>
      </c>
      <c r="D3" s="69">
        <f>C3+1</f>
        <v>2026</v>
      </c>
      <c r="E3" s="69">
        <f t="shared" ref="E3:AF3" si="28">D3+1</f>
        <v>2027</v>
      </c>
      <c r="F3" s="69">
        <f t="shared" si="28"/>
        <v>2028</v>
      </c>
      <c r="G3" s="69">
        <f t="shared" si="28"/>
        <v>2029</v>
      </c>
      <c r="H3" s="69">
        <f t="shared" si="28"/>
        <v>2030</v>
      </c>
      <c r="I3" s="69">
        <f t="shared" si="28"/>
        <v>2031</v>
      </c>
      <c r="J3" s="69">
        <f t="shared" si="28"/>
        <v>2032</v>
      </c>
      <c r="K3" s="69">
        <f t="shared" si="28"/>
        <v>2033</v>
      </c>
      <c r="L3" s="69">
        <f t="shared" si="28"/>
        <v>2034</v>
      </c>
      <c r="M3" s="69">
        <f t="shared" si="28"/>
        <v>2035</v>
      </c>
      <c r="N3" s="69">
        <f t="shared" si="28"/>
        <v>2036</v>
      </c>
      <c r="O3" s="69">
        <f t="shared" si="28"/>
        <v>2037</v>
      </c>
      <c r="P3" s="69">
        <f t="shared" si="28"/>
        <v>2038</v>
      </c>
      <c r="Q3" s="69">
        <f t="shared" si="28"/>
        <v>2039</v>
      </c>
      <c r="R3" s="69">
        <f t="shared" si="28"/>
        <v>2040</v>
      </c>
      <c r="S3" s="69">
        <f t="shared" si="28"/>
        <v>2041</v>
      </c>
      <c r="T3" s="69">
        <f t="shared" si="28"/>
        <v>2042</v>
      </c>
      <c r="U3" s="69">
        <f t="shared" si="28"/>
        <v>2043</v>
      </c>
      <c r="V3" s="69">
        <f t="shared" si="28"/>
        <v>2044</v>
      </c>
      <c r="W3" s="69">
        <f t="shared" si="28"/>
        <v>2045</v>
      </c>
      <c r="X3" s="69">
        <f t="shared" si="28"/>
        <v>2046</v>
      </c>
      <c r="Y3" s="69">
        <f t="shared" si="28"/>
        <v>2047</v>
      </c>
      <c r="Z3" s="69">
        <f t="shared" si="28"/>
        <v>2048</v>
      </c>
      <c r="AA3" s="69">
        <f t="shared" si="28"/>
        <v>2049</v>
      </c>
      <c r="AB3" s="69">
        <f t="shared" si="28"/>
        <v>2050</v>
      </c>
      <c r="AC3" s="69">
        <f t="shared" si="28"/>
        <v>2051</v>
      </c>
      <c r="AD3" s="69">
        <f t="shared" si="28"/>
        <v>2052</v>
      </c>
      <c r="AE3" s="69">
        <f t="shared" si="28"/>
        <v>2053</v>
      </c>
      <c r="AF3" s="80">
        <f t="shared" si="28"/>
        <v>2054</v>
      </c>
    </row>
    <row r="4" spans="1:32" ht="14.4" thickBot="1">
      <c r="A4" s="67"/>
      <c r="B4" s="74" t="s">
        <v>172</v>
      </c>
      <c r="C4" s="73">
        <f>'Cash &amp; Assets'!$M$8</f>
        <v>35100</v>
      </c>
      <c r="D4" s="73">
        <f>'Cash &amp; Assets'!$M$9</f>
        <v>35802</v>
      </c>
      <c r="E4" s="73">
        <f>'Cash &amp; Assets'!M$10</f>
        <v>36518.04</v>
      </c>
      <c r="F4" s="73">
        <f>'Cash &amp; Assets'!M$11</f>
        <v>37248.400800000003</v>
      </c>
      <c r="G4" s="73">
        <f>'Cash &amp; Assets'!M$12</f>
        <v>37993.368816000002</v>
      </c>
      <c r="H4" s="73">
        <f>'Cash &amp; Assets'!M$13</f>
        <v>38753.236192320001</v>
      </c>
      <c r="I4" s="73">
        <f>'Cash &amp; Assets'!M$14</f>
        <v>39528.300916166401</v>
      </c>
      <c r="J4" s="73">
        <f>'Cash &amp; Assets'!M$15</f>
        <v>40318.866934489728</v>
      </c>
      <c r="K4" s="73">
        <f>'Cash &amp; Assets'!M$16</f>
        <v>41125.244273179524</v>
      </c>
      <c r="L4" s="73">
        <f>'Cash &amp; Assets'!M$17</f>
        <v>41947.749158643113</v>
      </c>
      <c r="M4" s="73">
        <f>'Cash &amp; Assets'!M$18</f>
        <v>42786.704141815979</v>
      </c>
      <c r="N4" s="73">
        <f>'Cash &amp; Assets'!M$19</f>
        <v>43642.438224652302</v>
      </c>
      <c r="O4" s="73">
        <f>'Cash &amp; Assets'!M$20</f>
        <v>44515.286989145352</v>
      </c>
      <c r="P4" s="73">
        <f>'Cash &amp; Assets'!M$21</f>
        <v>45405.592728928263</v>
      </c>
      <c r="Q4" s="73">
        <f>'Cash &amp; Assets'!M$22</f>
        <v>46313.704583506827</v>
      </c>
      <c r="R4" s="73">
        <f>'Cash &amp; Assets'!M$23</f>
        <v>47239.978675176964</v>
      </c>
      <c r="S4" s="73">
        <f>'Cash &amp; Assets'!M$24</f>
        <v>48184.778248680501</v>
      </c>
      <c r="T4" s="73">
        <f>'Cash &amp; Assets'!M$25</f>
        <v>49148.473813654113</v>
      </c>
      <c r="U4" s="73">
        <f>'Cash &amp; Assets'!M$26</f>
        <v>50131.443289927192</v>
      </c>
      <c r="V4" s="73">
        <f>'Cash &amp; Assets'!M$27</f>
        <v>51134.072155725735</v>
      </c>
      <c r="W4" s="73">
        <f>'Cash &amp; Assets'!M$28</f>
        <v>52156.753598840252</v>
      </c>
      <c r="X4" s="73">
        <f>'Cash &amp; Assets'!M$29</f>
        <v>53199.888670817061</v>
      </c>
      <c r="Y4" s="73">
        <f>'Cash &amp; Assets'!M$30</f>
        <v>54263.886444233402</v>
      </c>
      <c r="Z4" s="73">
        <f>'Cash &amp; Assets'!M$31</f>
        <v>55349.164173118072</v>
      </c>
      <c r="AA4" s="73">
        <f>'Cash &amp; Assets'!M$32</f>
        <v>56456.147456580431</v>
      </c>
      <c r="AB4" s="73">
        <f>'Cash &amp; Assets'!M$33</f>
        <v>57585.270405712043</v>
      </c>
      <c r="AC4" s="73">
        <f>'Cash &amp; Assets'!M$34</f>
        <v>58736.975813826284</v>
      </c>
      <c r="AD4" s="73">
        <f>'Cash &amp; Assets'!M$35</f>
        <v>59911.715330102808</v>
      </c>
      <c r="AE4" s="73">
        <f>'Cash &amp; Assets'!M$36</f>
        <v>61109.949636704863</v>
      </c>
      <c r="AF4" s="247">
        <f>'Cash &amp; Assets'!M$37</f>
        <v>62332.148629438962</v>
      </c>
    </row>
    <row r="5" spans="1:32" ht="14.4" thickBot="1">
      <c r="A5" s="67"/>
      <c r="B5" s="67"/>
      <c r="C5" s="67"/>
      <c r="D5" s="67"/>
      <c r="E5" s="67"/>
      <c r="F5" s="67"/>
      <c r="G5" s="67"/>
      <c r="H5" s="67"/>
      <c r="I5" s="67"/>
      <c r="J5" s="67"/>
      <c r="K5" s="67"/>
      <c r="L5" s="67"/>
      <c r="M5" s="17"/>
      <c r="N5" s="17"/>
      <c r="O5" s="17"/>
      <c r="P5" s="17"/>
      <c r="Q5" s="67"/>
      <c r="R5" s="67"/>
      <c r="S5" s="67"/>
      <c r="T5" s="67"/>
      <c r="U5" s="67"/>
      <c r="V5" s="67"/>
      <c r="W5" s="67"/>
      <c r="X5" s="67"/>
      <c r="Y5" s="67"/>
      <c r="Z5" s="67"/>
      <c r="AA5" s="67"/>
      <c r="AB5" s="67"/>
      <c r="AC5" s="67"/>
      <c r="AD5" s="67"/>
      <c r="AE5" s="67"/>
      <c r="AF5" s="67"/>
    </row>
    <row r="6" spans="1:32" ht="16.2" thickBot="1">
      <c r="A6" s="67"/>
      <c r="B6" s="79" t="s">
        <v>180</v>
      </c>
      <c r="C6" s="68">
        <f>C3</f>
        <v>2025</v>
      </c>
      <c r="D6" s="69">
        <f>C6+1</f>
        <v>2026</v>
      </c>
      <c r="E6" s="69">
        <f t="shared" ref="E6:AF6" si="29">D6+1</f>
        <v>2027</v>
      </c>
      <c r="F6" s="69">
        <f t="shared" si="29"/>
        <v>2028</v>
      </c>
      <c r="G6" s="69">
        <f t="shared" si="29"/>
        <v>2029</v>
      </c>
      <c r="H6" s="69">
        <f t="shared" si="29"/>
        <v>2030</v>
      </c>
      <c r="I6" s="69">
        <f t="shared" si="29"/>
        <v>2031</v>
      </c>
      <c r="J6" s="69">
        <f t="shared" si="29"/>
        <v>2032</v>
      </c>
      <c r="K6" s="69">
        <f t="shared" si="29"/>
        <v>2033</v>
      </c>
      <c r="L6" s="69">
        <f t="shared" si="29"/>
        <v>2034</v>
      </c>
      <c r="M6" s="69">
        <f t="shared" si="29"/>
        <v>2035</v>
      </c>
      <c r="N6" s="69">
        <f t="shared" si="29"/>
        <v>2036</v>
      </c>
      <c r="O6" s="69">
        <f t="shared" si="29"/>
        <v>2037</v>
      </c>
      <c r="P6" s="69">
        <f t="shared" si="29"/>
        <v>2038</v>
      </c>
      <c r="Q6" s="69">
        <f t="shared" si="29"/>
        <v>2039</v>
      </c>
      <c r="R6" s="69">
        <f t="shared" si="29"/>
        <v>2040</v>
      </c>
      <c r="S6" s="69">
        <f t="shared" si="29"/>
        <v>2041</v>
      </c>
      <c r="T6" s="69">
        <f t="shared" si="29"/>
        <v>2042</v>
      </c>
      <c r="U6" s="69">
        <f t="shared" si="29"/>
        <v>2043</v>
      </c>
      <c r="V6" s="69">
        <f t="shared" si="29"/>
        <v>2044</v>
      </c>
      <c r="W6" s="69">
        <f t="shared" si="29"/>
        <v>2045</v>
      </c>
      <c r="X6" s="69">
        <f t="shared" si="29"/>
        <v>2046</v>
      </c>
      <c r="Y6" s="69">
        <f t="shared" si="29"/>
        <v>2047</v>
      </c>
      <c r="Z6" s="69">
        <f t="shared" si="29"/>
        <v>2048</v>
      </c>
      <c r="AA6" s="69">
        <f t="shared" si="29"/>
        <v>2049</v>
      </c>
      <c r="AB6" s="69">
        <f t="shared" si="29"/>
        <v>2050</v>
      </c>
      <c r="AC6" s="69">
        <f t="shared" si="29"/>
        <v>2051</v>
      </c>
      <c r="AD6" s="69">
        <f t="shared" si="29"/>
        <v>2052</v>
      </c>
      <c r="AE6" s="69">
        <f t="shared" si="29"/>
        <v>2053</v>
      </c>
      <c r="AF6" s="80">
        <f t="shared" si="29"/>
        <v>2054</v>
      </c>
    </row>
    <row r="7" spans="1:32" ht="13.8">
      <c r="B7" s="75" t="s">
        <v>311</v>
      </c>
      <c r="C7" s="136">
        <f>'Cash &amp; Assets'!$AE$8</f>
        <v>496749.99999999994</v>
      </c>
      <c r="D7" s="136">
        <f>'Cash &amp; Assets'!$AE$9</f>
        <v>503595.24999999988</v>
      </c>
      <c r="E7" s="136">
        <f>'Cash &amp; Assets'!$AE$10</f>
        <v>510537.11874999985</v>
      </c>
      <c r="F7" s="136">
        <f>'Cash &amp; Assets'!$AE$11</f>
        <v>517576.99493124982</v>
      </c>
      <c r="G7" s="136">
        <f>'Cash &amp; Assets'!$AE$12</f>
        <v>524716.28744921857</v>
      </c>
      <c r="H7" s="136">
        <f>'Cash &amp; Assets'!$AE$13</f>
        <v>531956.42573089676</v>
      </c>
      <c r="I7" s="136">
        <f>'Cash &amp; Assets'!$AE$14</f>
        <v>539298.86002649961</v>
      </c>
      <c r="J7" s="136">
        <f>'Cash &amp; Assets'!$AE$15</f>
        <v>546745.06171563279</v>
      </c>
      <c r="K7" s="136">
        <f>'Cash &amp; Assets'!$AE$16</f>
        <v>554296.52361799043</v>
      </c>
      <c r="L7" s="136">
        <f>'Cash &amp; Assets'!$AE$17</f>
        <v>561954.76030864962</v>
      </c>
      <c r="M7" s="136">
        <f>'Cash &amp; Assets'!$AE$18</f>
        <v>569721.30843803263</v>
      </c>
      <c r="N7" s="136">
        <f>'Cash &amp; Assets'!$AE$19</f>
        <v>577597.72705660388</v>
      </c>
      <c r="O7" s="136">
        <f>'Cash &amp; Assets'!$AE$20</f>
        <v>585585.59794437373</v>
      </c>
      <c r="P7" s="136">
        <f>'Cash &amp; Assets'!$AE$21</f>
        <v>593686.52594527928</v>
      </c>
      <c r="Q7" s="136">
        <f>'Cash &amp; Assets'!$AE$22</f>
        <v>601902.13930651592</v>
      </c>
      <c r="R7" s="136">
        <f>'Cash &amp; Assets'!$AE$23</f>
        <v>610234.09002289153</v>
      </c>
      <c r="S7" s="136">
        <f>'Cash &amp; Assets'!$AE$24</f>
        <v>618684.0541862807</v>
      </c>
      <c r="T7" s="136">
        <f>'Cash &amp; Assets'!$AE$25</f>
        <v>627253.7323402511</v>
      </c>
      <c r="U7" s="136">
        <f>'Cash &amp; Assets'!$AE$26</f>
        <v>635944.84983994276</v>
      </c>
      <c r="V7" s="136">
        <f>'Cash &amp; Assets'!$AE$27</f>
        <v>644759.15721727582</v>
      </c>
      <c r="W7" s="136">
        <f>'Cash &amp; Assets'!$AE$28</f>
        <v>653698.43055156607</v>
      </c>
      <c r="X7" s="136">
        <f>'Cash &amp; Assets'!$AE$29</f>
        <v>662764.47184563102</v>
      </c>
      <c r="Y7" s="136">
        <f>'Cash &amp; Assets'!$AE$30</f>
        <v>671959.10940746486</v>
      </c>
      <c r="Z7" s="136">
        <f>'Cash &amp; Assets'!$AE$31</f>
        <v>681284.19823756779</v>
      </c>
      <c r="AA7" s="136">
        <f>'Cash &amp; Assets'!$AE$32</f>
        <v>690741.62042201206</v>
      </c>
      <c r="AB7" s="136">
        <f>'Cash &amp; Assets'!$AE$33</f>
        <v>700333.28553133179</v>
      </c>
      <c r="AC7" s="136">
        <f>'Cash &amp; Assets'!$AE$34</f>
        <v>710061.13102532132</v>
      </c>
      <c r="AD7" s="136">
        <f>'Cash &amp; Assets'!$AE$35</f>
        <v>719927.12266383087</v>
      </c>
      <c r="AE7" s="136">
        <f>'Cash &amp; Assets'!$AE$36</f>
        <v>729933.25492364925</v>
      </c>
      <c r="AF7" s="137">
        <f>'Cash &amp; Assets'!$AE$37</f>
        <v>740081.55142156361</v>
      </c>
    </row>
    <row r="8" spans="1:32" ht="13.8">
      <c r="B8" s="75" t="s">
        <v>167</v>
      </c>
      <c r="C8" s="135">
        <f>'Cash &amp; Assets'!$D8</f>
        <v>484786</v>
      </c>
      <c r="D8" s="135">
        <f>'Cash &amp; Assets'!$D9</f>
        <v>475395.04963536357</v>
      </c>
      <c r="E8" s="136">
        <f>'Cash &amp; Assets'!D$10</f>
        <v>465675.41600796487</v>
      </c>
      <c r="F8" s="136">
        <f>'Cash &amp; Assets'!D$11</f>
        <v>455615.59520360723</v>
      </c>
      <c r="G8" s="136">
        <f>'Cash &amp; Assets'!D$12</f>
        <v>445203.68067109707</v>
      </c>
      <c r="H8" s="136">
        <f>'Cash &amp; Assets'!D$13</f>
        <v>434427.34912994906</v>
      </c>
      <c r="I8" s="136">
        <f>'Cash &amp; Assets'!D$14</f>
        <v>423273.84598486085</v>
      </c>
      <c r="J8" s="136">
        <f>'Cash &amp; Assets'!D$15</f>
        <v>411729.97022969456</v>
      </c>
      <c r="K8" s="136">
        <f>'Cash &amp; Assets'!D$16</f>
        <v>399782.05882309744</v>
      </c>
      <c r="L8" s="136">
        <f>'Cash &amp; Assets'!D$17</f>
        <v>387415.97051726939</v>
      </c>
      <c r="M8" s="136">
        <f>'Cash &amp; Assets'!D$18</f>
        <v>374617.06912073737</v>
      </c>
      <c r="N8" s="136">
        <f>'Cash &amp; Assets'!D$19</f>
        <v>361026.37997917162</v>
      </c>
      <c r="O8" s="136">
        <f>'Cash &amp; Assets'!D$20</f>
        <v>346993.993440505</v>
      </c>
      <c r="P8" s="136">
        <f>'Cash &amp; Assets'!D$21</f>
        <v>332505.55433933169</v>
      </c>
      <c r="Q8" s="136">
        <f>'Cash &amp; Assets'!D$22</f>
        <v>317546.24096737028</v>
      </c>
      <c r="R8" s="136">
        <f>'Cash &amp; Assets'!D$23</f>
        <v>302100.7499108201</v>
      </c>
      <c r="S8" s="136">
        <f>'Cash &amp; Assets'!D$24</f>
        <v>286153.28039493202</v>
      </c>
      <c r="T8" s="136">
        <f>'Cash &amp; Assets'!D$25</f>
        <v>269687.51811977761</v>
      </c>
      <c r="U8" s="136">
        <f>'Cash &amp; Assets'!D$26</f>
        <v>252686.61857068067</v>
      </c>
      <c r="V8" s="136">
        <f>'Cash &amp; Assets'!D$27</f>
        <v>235133.18978623807</v>
      </c>
      <c r="W8" s="136">
        <f>'Cash &amp; Assets'!D$28</f>
        <v>217009.27456630109</v>
      </c>
      <c r="X8" s="136">
        <f>'Cash &amp; Assets'!D$29</f>
        <v>198296.33210171617</v>
      </c>
      <c r="Y8" s="136">
        <f>'Cash &amp; Assets'!D$30</f>
        <v>178975.21900703222</v>
      </c>
      <c r="Z8" s="136">
        <f>'Cash &amp; Assets'!D$31</f>
        <v>159026.16973677106</v>
      </c>
      <c r="AA8" s="136">
        <f>'Cash &amp; Assets'!D$32</f>
        <v>138428.7763652264</v>
      </c>
      <c r="AB8" s="136">
        <f>'Cash &amp; Assets'!D$33</f>
        <v>117161.96770910654</v>
      </c>
      <c r="AC8" s="136">
        <f>'Cash &amp; Assets'!D$34</f>
        <v>95203.987771662782</v>
      </c>
      <c r="AD8" s="136">
        <f>'Cash &amp; Assets'!D$35</f>
        <v>72532.373486252109</v>
      </c>
      <c r="AE8" s="136">
        <f>'Cash &amp; Assets'!D$36</f>
        <v>49123.931736565588</v>
      </c>
      <c r="AF8" s="137">
        <f>'Cash &amp; Assets'!D$37</f>
        <v>24954.715630014252</v>
      </c>
    </row>
    <row r="9" spans="1:32" ht="13.2" customHeight="1">
      <c r="B9" s="76" t="s">
        <v>320</v>
      </c>
      <c r="C9" s="135">
        <f t="shared" ref="C9:AF9" si="30">C7-C8</f>
        <v>11963.999999999942</v>
      </c>
      <c r="D9" s="136">
        <f t="shared" si="30"/>
        <v>28200.200364636315</v>
      </c>
      <c r="E9" s="136">
        <f t="shared" si="30"/>
        <v>44861.702742034977</v>
      </c>
      <c r="F9" s="136">
        <f t="shared" si="30"/>
        <v>61961.399727642594</v>
      </c>
      <c r="G9" s="136">
        <f t="shared" si="30"/>
        <v>79512.606778121495</v>
      </c>
      <c r="H9" s="136">
        <f t="shared" si="30"/>
        <v>97529.076600947708</v>
      </c>
      <c r="I9" s="136">
        <f t="shared" si="30"/>
        <v>116025.01404163876</v>
      </c>
      <c r="J9" s="136">
        <f t="shared" si="30"/>
        <v>135015.09148593823</v>
      </c>
      <c r="K9" s="136">
        <f t="shared" si="30"/>
        <v>154514.46479489299</v>
      </c>
      <c r="L9" s="136">
        <f t="shared" si="30"/>
        <v>174538.78979138023</v>
      </c>
      <c r="M9" s="136">
        <f t="shared" si="30"/>
        <v>195104.23931729526</v>
      </c>
      <c r="N9" s="136">
        <f t="shared" si="30"/>
        <v>216571.34707743226</v>
      </c>
      <c r="O9" s="136">
        <f t="shared" si="30"/>
        <v>238591.60450386873</v>
      </c>
      <c r="P9" s="136">
        <f t="shared" si="30"/>
        <v>261180.97160594759</v>
      </c>
      <c r="Q9" s="136">
        <f t="shared" si="30"/>
        <v>284355.89833914564</v>
      </c>
      <c r="R9" s="136">
        <f t="shared" si="30"/>
        <v>308133.34011207143</v>
      </c>
      <c r="S9" s="136">
        <f t="shared" si="30"/>
        <v>332530.77379134868</v>
      </c>
      <c r="T9" s="136">
        <f t="shared" si="30"/>
        <v>357566.21422047348</v>
      </c>
      <c r="U9" s="136">
        <f t="shared" si="30"/>
        <v>383258.23126926209</v>
      </c>
      <c r="V9" s="136">
        <f t="shared" si="30"/>
        <v>409625.96743103774</v>
      </c>
      <c r="W9" s="136">
        <f t="shared" si="30"/>
        <v>436689.15598526498</v>
      </c>
      <c r="X9" s="136">
        <f t="shared" si="30"/>
        <v>464468.13974391483</v>
      </c>
      <c r="Y9" s="136">
        <f t="shared" si="30"/>
        <v>492983.89040043263</v>
      </c>
      <c r="Z9" s="136">
        <f t="shared" si="30"/>
        <v>522258.02850079676</v>
      </c>
      <c r="AA9" s="136">
        <f t="shared" si="30"/>
        <v>552312.84405678569</v>
      </c>
      <c r="AB9" s="136">
        <f t="shared" si="30"/>
        <v>583171.31782222528</v>
      </c>
      <c r="AC9" s="136">
        <f t="shared" si="30"/>
        <v>614857.14325365855</v>
      </c>
      <c r="AD9" s="136">
        <f t="shared" si="30"/>
        <v>647394.74917757872</v>
      </c>
      <c r="AE9" s="136">
        <f t="shared" si="30"/>
        <v>680809.3231870837</v>
      </c>
      <c r="AF9" s="137">
        <f t="shared" si="30"/>
        <v>715126.83579154941</v>
      </c>
    </row>
    <row r="10" spans="1:32" ht="14.4" thickBot="1">
      <c r="A10" s="67"/>
      <c r="B10" s="74" t="s">
        <v>312</v>
      </c>
      <c r="C10" s="138">
        <f>'Cash &amp; Assets'!$AG8</f>
        <v>-26826.349000000046</v>
      </c>
      <c r="D10" s="138">
        <f>'Cash &amp; Assets'!$AG9</f>
        <v>-8247.7109660665737</v>
      </c>
      <c r="E10" s="138">
        <f>'Cash &amp; Assets'!$AG10</f>
        <v>11064.311310488265</v>
      </c>
      <c r="F10" s="138">
        <f>'Cash &amp; Assets'!$AG11</f>
        <v>31126.900818468654</v>
      </c>
      <c r="G10" s="138">
        <f>'Cash &amp; Assets'!$AG12</f>
        <v>51957.688851644751</v>
      </c>
      <c r="H10" s="138">
        <f>'Cash &amp; Assets'!$AG13</f>
        <v>73574.767922723666</v>
      </c>
      <c r="I10" s="138">
        <f>'Cash &amp; Assets'!$AG14</f>
        <v>95996.705079185776</v>
      </c>
      <c r="J10" s="138">
        <f>'Cash &amp; Assets'!$AG15</f>
        <v>119242.55563416053</v>
      </c>
      <c r="K10" s="138">
        <f>'Cash &amp; Assets'!$AG16</f>
        <v>143331.87732596241</v>
      </c>
      <c r="L10" s="138">
        <f>'Cash &amp; Assets'!$AG17</f>
        <v>168284.74492036772</v>
      </c>
      <c r="M10" s="138">
        <f>'Cash &amp; Assets'!$AG18</f>
        <v>194777.34514115332</v>
      </c>
      <c r="N10" s="138">
        <f>'Cash &amp; Assets'!$AG19</f>
        <v>222159.89262494911</v>
      </c>
      <c r="O10" s="138">
        <f>'Cash &amp; Assets'!$AG20</f>
        <v>250452.79491315549</v>
      </c>
      <c r="P10" s="138">
        <f>'Cash &amp; Assets'!$AG21</f>
        <v>279676.96871836751</v>
      </c>
      <c r="Q10" s="138">
        <f>'Cash &amp; Assets'!$AG22</f>
        <v>309853.85366770963</v>
      </c>
      <c r="R10" s="138">
        <f>'Cash &amp; Assets'!$AG23</f>
        <v>341005.4264419378</v>
      </c>
      <c r="S10" s="138">
        <f>'Cash &amp; Assets'!$AG24</f>
        <v>373154.21532226098</v>
      </c>
      <c r="T10" s="138">
        <f>'Cash &amp; Assets'!$AG25</f>
        <v>406323.31515720277</v>
      </c>
      <c r="U10" s="138">
        <f>'Cash &amp; Assets'!$AG26</f>
        <v>440536.40276221477</v>
      </c>
      <c r="V10" s="138">
        <f>'Cash &amp; Assets'!$AG27</f>
        <v>475817.75276514469</v>
      </c>
      <c r="W10" s="138">
        <f>'Cash &amp; Assets'!$AG28</f>
        <v>512192.25391107111</v>
      </c>
      <c r="X10" s="138">
        <f>'Cash &amp; Assets'!$AG29</f>
        <v>549685.42584044603</v>
      </c>
      <c r="Y10" s="138">
        <f>'Cash &amp; Assets'!$AG30</f>
        <v>588323.43635491189</v>
      </c>
      <c r="Z10" s="138">
        <f>'Cash &amp; Assets'!$AG31</f>
        <v>628133.11918561626</v>
      </c>
      <c r="AA10" s="138">
        <f>'Cash &amp; Assets'!$AG32</f>
        <v>669141.99227931164</v>
      </c>
      <c r="AB10" s="138">
        <f>'Cash &amp; Assets'!$AG33</f>
        <v>711378.27661800012</v>
      </c>
      <c r="AC10" s="138">
        <f>'Cash &amp; Assets'!$AG34</f>
        <v>754870.91558838403</v>
      </c>
      <c r="AD10" s="138">
        <f>'Cash &amp; Assets'!$AG35</f>
        <v>799649.59491788782</v>
      </c>
      <c r="AE10" s="138">
        <f>'Cash &amp; Assets'!$AG36</f>
        <v>845744.7631945454</v>
      </c>
      <c r="AF10" s="245">
        <f>'Cash &amp; Assets'!$AG37</f>
        <v>893187.65298859077</v>
      </c>
    </row>
    <row r="11" spans="1:32" ht="13.8">
      <c r="A11" s="67"/>
      <c r="B11" s="151" t="s">
        <v>313</v>
      </c>
      <c r="C11" s="152">
        <f>'Cash &amp; Assets'!$Z8</f>
        <v>11209.650999999998</v>
      </c>
      <c r="D11" s="152">
        <f>'Cash &amp; Assets'!$Z9</f>
        <v>22943.03903393359</v>
      </c>
      <c r="E11" s="152">
        <f>'Cash &amp; Assets'!$Z10</f>
        <v>35313.192560488453</v>
      </c>
      <c r="F11" s="152">
        <f>'Cash &amp; Assets'!$Z11</f>
        <v>48335.905887218833</v>
      </c>
      <c r="G11" s="152">
        <f>'Cash &amp; Assets'!$Z12</f>
        <v>62027.401402426171</v>
      </c>
      <c r="H11" s="152">
        <f>'Cash &amp; Assets'!$Z13</f>
        <v>76404.342191826872</v>
      </c>
      <c r="I11" s="152">
        <f>'Cash &amp; Assets'!$Z14</f>
        <v>91483.845052686229</v>
      </c>
      <c r="J11" s="152">
        <f>'Cash &amp; Assets'!$Z15</f>
        <v>107283.49391852778</v>
      </c>
      <c r="K11" s="152">
        <f>'Cash &amp; Assets'!$Z16</f>
        <v>123821.35370797198</v>
      </c>
      <c r="L11" s="152">
        <f>'Cash &amp; Assets'!$Z17</f>
        <v>141115.9846117181</v>
      </c>
      <c r="M11" s="152">
        <f>'Cash &amp; Assets'!$Z18</f>
        <v>159842.03670312074</v>
      </c>
      <c r="N11" s="152">
        <f>'Cash &amp; Assets'!$Z19</f>
        <v>179348.16556834517</v>
      </c>
      <c r="O11" s="152">
        <f>'Cash &amp; Assets'!$Z20</f>
        <v>199653.19696878176</v>
      </c>
      <c r="P11" s="152">
        <f>'Cash &amp; Assets'!$Z21</f>
        <v>220776.44277308823</v>
      </c>
      <c r="Q11" s="152">
        <f>'Cash &amp; Assets'!$Z22</f>
        <v>242737.71436119371</v>
      </c>
      <c r="R11" s="152">
        <f>'Cash &amp; Assets'!$Z23</f>
        <v>265557.33641904627</v>
      </c>
      <c r="S11" s="152">
        <f>'Cash &amp; Assets'!$Z24</f>
        <v>289256.16113598028</v>
      </c>
      <c r="T11" s="152">
        <f>'Cash &amp; Assets'!$Z25</f>
        <v>313855.58281695162</v>
      </c>
      <c r="U11" s="152">
        <f>'Cash &amp; Assets'!$Z26</f>
        <v>339377.55292227201</v>
      </c>
      <c r="V11" s="152">
        <f>'Cash &amp; Assets'!$Z27</f>
        <v>365844.59554786887</v>
      </c>
      <c r="W11" s="152">
        <f>'Cash &amp; Assets'!$Z28</f>
        <v>393279.82335950504</v>
      </c>
      <c r="X11" s="152">
        <f>'Cash &amp; Assets'!$Z29</f>
        <v>421706.95399481506</v>
      </c>
      <c r="Y11" s="152">
        <f>'Cash &amp; Assets'!$Z30</f>
        <v>451150.32694744697</v>
      </c>
      <c r="Z11" s="152">
        <f>'Cash &amp; Assets'!$Z31</f>
        <v>481634.92094804847</v>
      </c>
      <c r="AA11" s="152">
        <f>'Cash &amp; Assets'!$Z32</f>
        <v>513186.37185729959</v>
      </c>
      <c r="AB11" s="152">
        <f>'Cash &amp; Assets'!$Z33</f>
        <v>545830.99108666833</v>
      </c>
      <c r="AC11" s="152">
        <f>'Cash &amp; Assets'!$Z34</f>
        <v>579595.78456306271</v>
      </c>
      <c r="AD11" s="152">
        <f>'Cash &amp; Assets'!$Z35</f>
        <v>614508.47225405683</v>
      </c>
      <c r="AE11" s="152">
        <f>'Cash &amp; Assets'!$Z36</f>
        <v>650597.50827089616</v>
      </c>
      <c r="AF11" s="246">
        <f>'Cash &amp; Assets'!$Z37</f>
        <v>687892.10156702716</v>
      </c>
    </row>
    <row r="12" spans="1:32" ht="14.4" thickBot="1">
      <c r="A12" s="67"/>
      <c r="B12" s="71"/>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row>
    <row r="13" spans="1:32" ht="16.2" thickBot="1">
      <c r="A13" s="67"/>
      <c r="B13" s="79" t="s">
        <v>175</v>
      </c>
      <c r="C13" s="68">
        <f>C3</f>
        <v>2025</v>
      </c>
      <c r="D13" s="69">
        <f>C13+1</f>
        <v>2026</v>
      </c>
      <c r="E13" s="69">
        <f t="shared" ref="E13" si="31">D13+1</f>
        <v>2027</v>
      </c>
      <c r="F13" s="69">
        <f t="shared" ref="F13" si="32">E13+1</f>
        <v>2028</v>
      </c>
      <c r="G13" s="69">
        <f t="shared" ref="G13" si="33">F13+1</f>
        <v>2029</v>
      </c>
      <c r="H13" s="69">
        <f t="shared" ref="H13" si="34">G13+1</f>
        <v>2030</v>
      </c>
      <c r="I13" s="69">
        <f t="shared" ref="I13" si="35">H13+1</f>
        <v>2031</v>
      </c>
      <c r="J13" s="69">
        <f t="shared" ref="J13" si="36">I13+1</f>
        <v>2032</v>
      </c>
      <c r="K13" s="69">
        <f t="shared" ref="K13" si="37">J13+1</f>
        <v>2033</v>
      </c>
      <c r="L13" s="69">
        <f t="shared" ref="L13" si="38">K13+1</f>
        <v>2034</v>
      </c>
      <c r="M13" s="69">
        <f t="shared" ref="M13" si="39">L13+1</f>
        <v>2035</v>
      </c>
      <c r="N13" s="69">
        <f t="shared" ref="N13" si="40">M13+1</f>
        <v>2036</v>
      </c>
      <c r="O13" s="69">
        <f t="shared" ref="O13" si="41">N13+1</f>
        <v>2037</v>
      </c>
      <c r="P13" s="69">
        <f t="shared" ref="P13" si="42">O13+1</f>
        <v>2038</v>
      </c>
      <c r="Q13" s="69">
        <f t="shared" ref="Q13" si="43">P13+1</f>
        <v>2039</v>
      </c>
      <c r="R13" s="69">
        <f t="shared" ref="R13" si="44">Q13+1</f>
        <v>2040</v>
      </c>
      <c r="S13" s="69">
        <f t="shared" ref="S13" si="45">R13+1</f>
        <v>2041</v>
      </c>
      <c r="T13" s="69">
        <f t="shared" ref="T13" si="46">S13+1</f>
        <v>2042</v>
      </c>
      <c r="U13" s="69">
        <f t="shared" ref="U13" si="47">T13+1</f>
        <v>2043</v>
      </c>
      <c r="V13" s="69">
        <f t="shared" ref="V13" si="48">U13+1</f>
        <v>2044</v>
      </c>
      <c r="W13" s="69">
        <f t="shared" ref="W13" si="49">V13+1</f>
        <v>2045</v>
      </c>
      <c r="X13" s="69">
        <f t="shared" ref="X13" si="50">W13+1</f>
        <v>2046</v>
      </c>
      <c r="Y13" s="69">
        <f t="shared" ref="Y13" si="51">X13+1</f>
        <v>2047</v>
      </c>
      <c r="Z13" s="69">
        <f t="shared" ref="Z13" si="52">Y13+1</f>
        <v>2048</v>
      </c>
      <c r="AA13" s="69">
        <f t="shared" ref="AA13" si="53">Z13+1</f>
        <v>2049</v>
      </c>
      <c r="AB13" s="69">
        <f t="shared" ref="AB13" si="54">AA13+1</f>
        <v>2050</v>
      </c>
      <c r="AC13" s="69">
        <f t="shared" ref="AC13" si="55">AB13+1</f>
        <v>2051</v>
      </c>
      <c r="AD13" s="69">
        <f t="shared" ref="AD13" si="56">AC13+1</f>
        <v>2052</v>
      </c>
      <c r="AE13" s="69">
        <f t="shared" ref="AE13" si="57">AD13+1</f>
        <v>2053</v>
      </c>
      <c r="AF13" s="80">
        <f t="shared" ref="AF13" si="58">AE13+1</f>
        <v>2054</v>
      </c>
    </row>
    <row r="14" spans="1:32" ht="13.8">
      <c r="B14" s="75" t="s">
        <v>315</v>
      </c>
      <c r="C14" s="139">
        <f>'Cash &amp; Assets'!W$8</f>
        <v>1818.7006353635668</v>
      </c>
      <c r="D14" s="140">
        <f>'Cash &amp; Assets'!$W$9</f>
        <v>2013.7544065348848</v>
      </c>
      <c r="E14" s="140">
        <f>'Cash &amp; Assets'!W$10</f>
        <v>2310.3327221971995</v>
      </c>
      <c r="F14" s="140">
        <f>'Cash &amp; Assets'!W$11</f>
        <v>2610.7987942201967</v>
      </c>
      <c r="G14" s="140">
        <f>'Cash &amp; Assets'!W$12</f>
        <v>2915.1639740593068</v>
      </c>
      <c r="H14" s="140">
        <f>'Cash &amp; Assets'!W$13</f>
        <v>3223.4376443124829</v>
      </c>
      <c r="I14" s="140">
        <f>'Cash &amp; Assets'!W$14</f>
        <v>3535.6271056930509</v>
      </c>
      <c r="J14" s="140">
        <f>'Cash &amp; Assets'!W$15</f>
        <v>3851.7374592444298</v>
      </c>
      <c r="K14" s="140">
        <f>'Cash &amp; Assets'!W$16</f>
        <v>4171.7714836161786</v>
      </c>
      <c r="L14" s="140">
        <f>'Cash &amp; Assets'!W$17</f>
        <v>4495.729507214106</v>
      </c>
      <c r="M14" s="140">
        <f>'Cash &amp; Assets'!W$18</f>
        <v>5135.3629498369155</v>
      </c>
      <c r="N14" s="140">
        <f>'Cash &amp; Assets'!W$19</f>
        <v>5473.74232655778</v>
      </c>
      <c r="O14" s="140">
        <f>'Cash &amp; Assets'!W$20</f>
        <v>5816.5922992632677</v>
      </c>
      <c r="P14" s="140">
        <f>'Cash &amp; Assets'!W$21</f>
        <v>6163.9324323450237</v>
      </c>
      <c r="Q14" s="140">
        <f>'Cash &amp; Assets'!W$22</f>
        <v>6515.780531555306</v>
      </c>
      <c r="R14" s="140">
        <f>'Cash &amp; Assets'!W$23</f>
        <v>6872.1525419645022</v>
      </c>
      <c r="S14" s="140">
        <f>'Cash &amp; Assets'!W$24</f>
        <v>7233.0624417795589</v>
      </c>
      <c r="T14" s="140">
        <f>'Cash &amp; Assets'!W$25</f>
        <v>7598.5221318743943</v>
      </c>
      <c r="U14" s="140">
        <f>'Cash &amp; Assets'!W$26</f>
        <v>7968.5413208778164</v>
      </c>
      <c r="V14" s="140">
        <f>'Cash &amp; Assets'!W$27</f>
        <v>8343.1274056598377</v>
      </c>
      <c r="W14" s="140">
        <f>'Cash &amp; Assets'!W$28</f>
        <v>8722.2853470512582</v>
      </c>
      <c r="X14" s="140">
        <f>'Cash &amp; Assets'!W$29</f>
        <v>9106.0175406261078</v>
      </c>
      <c r="Y14" s="140">
        <f>'Cash &amp; Assets'!W$30</f>
        <v>9494.3236823706775</v>
      </c>
      <c r="Z14" s="140">
        <f>'Cash &amp; Assets'!W$31</f>
        <v>9887.2006290568661</v>
      </c>
      <c r="AA14" s="140">
        <f>'Cash &amp; Assets'!W$32</f>
        <v>10284.642253131216</v>
      </c>
      <c r="AB14" s="140">
        <f>'Cash &amp; Assets'!W$33</f>
        <v>10686.639291925025</v>
      </c>
      <c r="AC14" s="140">
        <f>'Cash &amp; Assets'!W$34</f>
        <v>11093.179190983723</v>
      </c>
      <c r="AD14" s="140">
        <f>'Cash &amp; Assets'!W$35</f>
        <v>11504.245941307572</v>
      </c>
      <c r="AE14" s="140">
        <f>'Cash &amp; Assets'!W$36</f>
        <v>11919.819910287924</v>
      </c>
      <c r="AF14" s="141">
        <f>'Cash &amp; Assets'!W$37</f>
        <v>12339.877666116739</v>
      </c>
    </row>
    <row r="15" spans="1:32" ht="13.2" customHeight="1">
      <c r="B15" s="77" t="s">
        <v>316</v>
      </c>
      <c r="C15" s="139">
        <f>'Cash &amp; Assets'!X$8</f>
        <v>1818.7006353635668</v>
      </c>
      <c r="D15" s="140">
        <f>'Cash &amp; Assets'!$X$9</f>
        <v>3832.4550418984518</v>
      </c>
      <c r="E15" s="140">
        <f>'Cash &amp; Assets'!X$10</f>
        <v>6142.7877640956513</v>
      </c>
      <c r="F15" s="140">
        <f>'Cash &amp; Assets'!X$11</f>
        <v>8753.5865583158484</v>
      </c>
      <c r="G15" s="140">
        <f>'Cash &amp; Assets'!X$12</f>
        <v>11668.750532375156</v>
      </c>
      <c r="H15" s="140">
        <f>'Cash &amp; Assets'!X$13</f>
        <v>14892.188176687639</v>
      </c>
      <c r="I15" s="140">
        <f>'Cash &amp; Assets'!X$14</f>
        <v>18427.815282380689</v>
      </c>
      <c r="J15" s="140">
        <f>'Cash &amp; Assets'!X$15</f>
        <v>22279.552741625117</v>
      </c>
      <c r="K15" s="140">
        <f>'Cash &amp; Assets'!X$16</f>
        <v>26451.324225241297</v>
      </c>
      <c r="L15" s="140">
        <f>'Cash &amp; Assets'!X$17</f>
        <v>30947.053732455402</v>
      </c>
      <c r="M15" s="140">
        <f>'Cash &amp; Assets'!X$18</f>
        <v>36082.416682292314</v>
      </c>
      <c r="N15" s="140">
        <f>'Cash &amp; Assets'!X$19</f>
        <v>41556.159008850096</v>
      </c>
      <c r="O15" s="140">
        <f>'Cash &amp; Assets'!X$20</f>
        <v>47372.751308113366</v>
      </c>
      <c r="P15" s="140">
        <f>'Cash &amp; Assets'!X$21</f>
        <v>53536.683740458393</v>
      </c>
      <c r="Q15" s="140">
        <f>'Cash &amp; Assets'!X$22</f>
        <v>60052.464272013698</v>
      </c>
      <c r="R15" s="140">
        <f>'Cash &amp; Assets'!X$23</f>
        <v>66924.616813978195</v>
      </c>
      <c r="S15" s="140">
        <f>'Cash &amp; Assets'!X$24</f>
        <v>74157.679255757757</v>
      </c>
      <c r="T15" s="140">
        <f>'Cash &amp; Assets'!X$25</f>
        <v>81756.201387632158</v>
      </c>
      <c r="U15" s="140">
        <f>'Cash &amp; Assets'!X$26</f>
        <v>89724.742708509977</v>
      </c>
      <c r="V15" s="140">
        <f>'Cash &amp; Assets'!X$27</f>
        <v>98067.870114169811</v>
      </c>
      <c r="W15" s="140">
        <f>'Cash &amp; Assets'!X$28</f>
        <v>106790.15546122107</v>
      </c>
      <c r="X15" s="140">
        <f>'Cash &amp; Assets'!X$29</f>
        <v>115896.17300184719</v>
      </c>
      <c r="Y15" s="140">
        <f>'Cash &amp; Assets'!X$30</f>
        <v>125390.49668421787</v>
      </c>
      <c r="Z15" s="140">
        <f>'Cash &amp; Assets'!X$31</f>
        <v>135277.69731327472</v>
      </c>
      <c r="AA15" s="140">
        <f>'Cash &amp; Assets'!X$32</f>
        <v>145562.33956640595</v>
      </c>
      <c r="AB15" s="140">
        <f>'Cash &amp; Assets'!X$33</f>
        <v>156248.97885833099</v>
      </c>
      <c r="AC15" s="140">
        <f>'Cash &amp; Assets'!X$34</f>
        <v>167342.15804931472</v>
      </c>
      <c r="AD15" s="140">
        <f>'Cash &amp; Assets'!X$35</f>
        <v>178846.40399062229</v>
      </c>
      <c r="AE15" s="140">
        <f>'Cash &amp; Assets'!X$36</f>
        <v>190766.2239009102</v>
      </c>
      <c r="AF15" s="141">
        <f>'Cash &amp; Assets'!X$37</f>
        <v>203106.10156702696</v>
      </c>
    </row>
    <row r="16" spans="1:32" ht="14.4" thickBot="1">
      <c r="B16" s="74" t="s">
        <v>317</v>
      </c>
      <c r="C16" s="142">
        <f>C10</f>
        <v>-26826.349000000046</v>
      </c>
      <c r="D16" s="142">
        <f t="shared" ref="D16:K16" si="59">D10</f>
        <v>-8247.7109660665737</v>
      </c>
      <c r="E16" s="142">
        <f t="shared" si="59"/>
        <v>11064.311310488265</v>
      </c>
      <c r="F16" s="142">
        <f t="shared" si="59"/>
        <v>31126.900818468654</v>
      </c>
      <c r="G16" s="142">
        <f>G10</f>
        <v>51957.688851644751</v>
      </c>
      <c r="H16" s="142">
        <f t="shared" si="59"/>
        <v>73574.767922723666</v>
      </c>
      <c r="I16" s="142">
        <f t="shared" si="59"/>
        <v>95996.705079185776</v>
      </c>
      <c r="J16" s="142">
        <f t="shared" si="59"/>
        <v>119242.55563416053</v>
      </c>
      <c r="K16" s="142">
        <f t="shared" si="59"/>
        <v>143331.87732596241</v>
      </c>
      <c r="L16" s="142">
        <f>L10</f>
        <v>168284.74492036772</v>
      </c>
      <c r="M16" s="142">
        <f>M10</f>
        <v>194777.34514115332</v>
      </c>
      <c r="N16" s="142">
        <f t="shared" ref="N16:AF16" si="60">N10</f>
        <v>222159.89262494911</v>
      </c>
      <c r="O16" s="142">
        <f t="shared" si="60"/>
        <v>250452.79491315549</v>
      </c>
      <c r="P16" s="142">
        <f t="shared" si="60"/>
        <v>279676.96871836751</v>
      </c>
      <c r="Q16" s="142">
        <f t="shared" si="60"/>
        <v>309853.85366770963</v>
      </c>
      <c r="R16" s="142">
        <f t="shared" si="60"/>
        <v>341005.4264419378</v>
      </c>
      <c r="S16" s="142">
        <f t="shared" si="60"/>
        <v>373154.21532226098</v>
      </c>
      <c r="T16" s="142">
        <f t="shared" si="60"/>
        <v>406323.31515720277</v>
      </c>
      <c r="U16" s="142">
        <f t="shared" si="60"/>
        <v>440536.40276221477</v>
      </c>
      <c r="V16" s="142">
        <f t="shared" si="60"/>
        <v>475817.75276514469</v>
      </c>
      <c r="W16" s="142">
        <f t="shared" si="60"/>
        <v>512192.25391107111</v>
      </c>
      <c r="X16" s="142">
        <f t="shared" si="60"/>
        <v>549685.42584044603</v>
      </c>
      <c r="Y16" s="142">
        <f t="shared" si="60"/>
        <v>588323.43635491189</v>
      </c>
      <c r="Z16" s="142">
        <f t="shared" si="60"/>
        <v>628133.11918561626</v>
      </c>
      <c r="AA16" s="142">
        <f t="shared" si="60"/>
        <v>669141.99227931164</v>
      </c>
      <c r="AB16" s="142">
        <f t="shared" si="60"/>
        <v>711378.27661800012</v>
      </c>
      <c r="AC16" s="142">
        <f t="shared" si="60"/>
        <v>754870.91558838403</v>
      </c>
      <c r="AD16" s="142">
        <f t="shared" si="60"/>
        <v>799649.59491788782</v>
      </c>
      <c r="AE16" s="142">
        <f t="shared" si="60"/>
        <v>845744.7631945454</v>
      </c>
      <c r="AF16" s="142">
        <f t="shared" si="60"/>
        <v>893187.65298859077</v>
      </c>
    </row>
    <row r="17" spans="1:32" ht="14.4" thickBot="1">
      <c r="A17" s="67"/>
      <c r="B17" s="71"/>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row>
    <row r="18" spans="1:32" ht="16.2" thickBot="1">
      <c r="A18" s="67"/>
      <c r="B18" s="79" t="s">
        <v>170</v>
      </c>
      <c r="C18" s="68">
        <f t="shared" ref="C18:AF18" si="61">C$6</f>
        <v>2025</v>
      </c>
      <c r="D18" s="69">
        <f t="shared" si="61"/>
        <v>2026</v>
      </c>
      <c r="E18" s="69">
        <f t="shared" si="61"/>
        <v>2027</v>
      </c>
      <c r="F18" s="69">
        <f t="shared" si="61"/>
        <v>2028</v>
      </c>
      <c r="G18" s="69">
        <f t="shared" si="61"/>
        <v>2029</v>
      </c>
      <c r="H18" s="69">
        <f t="shared" si="61"/>
        <v>2030</v>
      </c>
      <c r="I18" s="69">
        <f t="shared" si="61"/>
        <v>2031</v>
      </c>
      <c r="J18" s="69">
        <f t="shared" si="61"/>
        <v>2032</v>
      </c>
      <c r="K18" s="69">
        <f t="shared" si="61"/>
        <v>2033</v>
      </c>
      <c r="L18" s="69">
        <f t="shared" si="61"/>
        <v>2034</v>
      </c>
      <c r="M18" s="69">
        <f t="shared" si="61"/>
        <v>2035</v>
      </c>
      <c r="N18" s="69">
        <f t="shared" si="61"/>
        <v>2036</v>
      </c>
      <c r="O18" s="69">
        <f t="shared" si="61"/>
        <v>2037</v>
      </c>
      <c r="P18" s="69">
        <f t="shared" si="61"/>
        <v>2038</v>
      </c>
      <c r="Q18" s="69">
        <f t="shared" si="61"/>
        <v>2039</v>
      </c>
      <c r="R18" s="69">
        <f t="shared" si="61"/>
        <v>2040</v>
      </c>
      <c r="S18" s="69">
        <f t="shared" si="61"/>
        <v>2041</v>
      </c>
      <c r="T18" s="69">
        <f t="shared" si="61"/>
        <v>2042</v>
      </c>
      <c r="U18" s="69">
        <f t="shared" si="61"/>
        <v>2043</v>
      </c>
      <c r="V18" s="69">
        <f t="shared" si="61"/>
        <v>2044</v>
      </c>
      <c r="W18" s="69">
        <f t="shared" si="61"/>
        <v>2045</v>
      </c>
      <c r="X18" s="69">
        <f t="shared" si="61"/>
        <v>2046</v>
      </c>
      <c r="Y18" s="69">
        <f t="shared" si="61"/>
        <v>2047</v>
      </c>
      <c r="Z18" s="69">
        <f t="shared" si="61"/>
        <v>2048</v>
      </c>
      <c r="AA18" s="69">
        <f t="shared" si="61"/>
        <v>2049</v>
      </c>
      <c r="AB18" s="69">
        <f t="shared" si="61"/>
        <v>2050</v>
      </c>
      <c r="AC18" s="69">
        <f t="shared" si="61"/>
        <v>2051</v>
      </c>
      <c r="AD18" s="69">
        <f t="shared" si="61"/>
        <v>2052</v>
      </c>
      <c r="AE18" s="69">
        <f t="shared" si="61"/>
        <v>2053</v>
      </c>
      <c r="AF18" s="80">
        <f t="shared" si="61"/>
        <v>2054</v>
      </c>
    </row>
    <row r="19" spans="1:32" ht="13.8">
      <c r="A19" s="67"/>
      <c r="B19" s="75" t="s">
        <v>166</v>
      </c>
      <c r="C19" s="139">
        <f>'Cash &amp; Assets'!D$8</f>
        <v>484786</v>
      </c>
      <c r="D19" s="140">
        <f>'Cash &amp; Assets'!$D$9</f>
        <v>475395.04963536357</v>
      </c>
      <c r="E19" s="140">
        <f>'Cash &amp; Assets'!D$10</f>
        <v>465675.41600796487</v>
      </c>
      <c r="F19" s="140">
        <f>'Cash &amp; Assets'!D$11</f>
        <v>455615.59520360723</v>
      </c>
      <c r="G19" s="140">
        <f>'Cash &amp; Assets'!D$12</f>
        <v>445203.68067109707</v>
      </c>
      <c r="H19" s="140">
        <f>'Cash &amp; Assets'!D$13</f>
        <v>434427.34912994906</v>
      </c>
      <c r="I19" s="140">
        <f>'Cash &amp; Assets'!D$14</f>
        <v>423273.84598486085</v>
      </c>
      <c r="J19" s="140">
        <f>'Cash &amp; Assets'!D$15</f>
        <v>411729.97022969456</v>
      </c>
      <c r="K19" s="140">
        <f>'Cash &amp; Assets'!D$16</f>
        <v>399782.05882309744</v>
      </c>
      <c r="L19" s="140">
        <f>'Cash &amp; Assets'!D$17</f>
        <v>387415.97051726939</v>
      </c>
      <c r="M19" s="140">
        <f>'Cash &amp; Assets'!D$18</f>
        <v>374617.06912073737</v>
      </c>
      <c r="N19" s="140">
        <f>'Cash &amp; Assets'!D$19</f>
        <v>361026.37997917162</v>
      </c>
      <c r="O19" s="140">
        <f>'Cash &amp; Assets'!D$20</f>
        <v>346993.993440505</v>
      </c>
      <c r="P19" s="140">
        <f>'Cash &amp; Assets'!D$21</f>
        <v>332505.55433933169</v>
      </c>
      <c r="Q19" s="140">
        <f>'Cash &amp; Assets'!D$22</f>
        <v>317546.24096737028</v>
      </c>
      <c r="R19" s="140">
        <f>'Cash &amp; Assets'!D$23</f>
        <v>302100.7499108201</v>
      </c>
      <c r="S19" s="140">
        <f>'Cash &amp; Assets'!D$24</f>
        <v>286153.28039493202</v>
      </c>
      <c r="T19" s="140">
        <f>'Cash &amp; Assets'!D$25</f>
        <v>269687.51811977761</v>
      </c>
      <c r="U19" s="140">
        <f>'Cash &amp; Assets'!D$26</f>
        <v>252686.61857068067</v>
      </c>
      <c r="V19" s="140">
        <f>'Cash &amp; Assets'!D$27</f>
        <v>235133.18978623807</v>
      </c>
      <c r="W19" s="140">
        <f>'Cash &amp; Assets'!D$28</f>
        <v>217009.27456630109</v>
      </c>
      <c r="X19" s="140">
        <f>'Cash &amp; Assets'!D$29</f>
        <v>198296.33210171617</v>
      </c>
      <c r="Y19" s="140">
        <f>'Cash &amp; Assets'!D$30</f>
        <v>178975.21900703222</v>
      </c>
      <c r="Z19" s="140">
        <f>'Cash &amp; Assets'!D$31</f>
        <v>159026.16973677106</v>
      </c>
      <c r="AA19" s="140">
        <f>'Cash &amp; Assets'!D$32</f>
        <v>138428.7763652264</v>
      </c>
      <c r="AB19" s="140">
        <f>'Cash &amp; Assets'!D$33</f>
        <v>117161.96770910654</v>
      </c>
      <c r="AC19" s="140">
        <f>'Cash &amp; Assets'!D$34</f>
        <v>95203.987771662782</v>
      </c>
      <c r="AD19" s="140">
        <f>'Cash &amp; Assets'!D$35</f>
        <v>72532.373486252109</v>
      </c>
      <c r="AE19" s="140">
        <f>'Cash &amp; Assets'!D$36</f>
        <v>49123.931736565588</v>
      </c>
      <c r="AF19" s="141">
        <f>'Cash &amp; Assets'!D$37</f>
        <v>24954.715630014252</v>
      </c>
    </row>
    <row r="20" spans="1:32" ht="13.8">
      <c r="A20" s="67"/>
      <c r="B20" s="76" t="s">
        <v>168</v>
      </c>
      <c r="C20" s="139">
        <f>'Cash &amp; Assets'!I$8</f>
        <v>-9390.9503646364319</v>
      </c>
      <c r="D20" s="140">
        <f>'Cash &amp; Assets'!$I$9</f>
        <v>-9719.6336273987072</v>
      </c>
      <c r="E20" s="140">
        <f>'Cash &amp; Assets'!I$10</f>
        <v>-10059.820804357661</v>
      </c>
      <c r="F20" s="140">
        <f>'Cash &amp; Assets'!I$11</f>
        <v>-10411.91453251018</v>
      </c>
      <c r="G20" s="140">
        <f>'Cash &amp; Assets'!I$12</f>
        <v>-10776.331541148034</v>
      </c>
      <c r="H20" s="140">
        <f>'Cash &amp; Assets'!I$13</f>
        <v>-11153.503145088216</v>
      </c>
      <c r="I20" s="140">
        <f>'Cash &amp; Assets'!I$14</f>
        <v>-11543.875755166302</v>
      </c>
      <c r="J20" s="140">
        <f>'Cash &amp; Assets'!I$15</f>
        <v>-11947.911406597123</v>
      </c>
      <c r="K20" s="140">
        <f>'Cash &amp; Assets'!I$16</f>
        <v>-12366.088305828021</v>
      </c>
      <c r="L20" s="140">
        <f>'Cash &amp; Assets'!I$17</f>
        <v>-12798.901396532005</v>
      </c>
      <c r="M20" s="140">
        <f>'Cash &amp; Assets'!I18</f>
        <v>-13590.689141565752</v>
      </c>
      <c r="N20" s="140">
        <f>'Cash &amp; Assets'!I$19</f>
        <v>-14032.386538666638</v>
      </c>
      <c r="O20" s="140">
        <f>'Cash &amp; Assets'!I$20</f>
        <v>-14488.439101173304</v>
      </c>
      <c r="P20" s="140">
        <f>'Cash &amp; Assets'!I$21</f>
        <v>-14959.313371961436</v>
      </c>
      <c r="Q20" s="140">
        <f>'Cash &amp; Assets'!I$22</f>
        <v>-15445.491056550181</v>
      </c>
      <c r="R20" s="140">
        <f>'Cash &amp; Assets'!I$23</f>
        <v>-15947.469515888062</v>
      </c>
      <c r="S20" s="140">
        <f>'Cash &amp; Assets'!I$24</f>
        <v>-16465.762275154426</v>
      </c>
      <c r="T20" s="140">
        <f>'Cash &amp; Assets'!I$25</f>
        <v>-17000.899549096943</v>
      </c>
      <c r="U20" s="140">
        <f>'Cash &amp; Assets'!I$26</f>
        <v>-17553.428784442593</v>
      </c>
      <c r="V20" s="140">
        <f>'Cash &amp; Assets'!I$27</f>
        <v>-18123.915219936978</v>
      </c>
      <c r="W20" s="140">
        <f>'Cash &amp; Assets'!I$28</f>
        <v>-18712.942464584929</v>
      </c>
      <c r="X20" s="140">
        <f>'Cash &amp; Assets'!I$29</f>
        <v>-19321.11309468394</v>
      </c>
      <c r="Y20" s="140">
        <f>'Cash &amp; Assets'!I$30</f>
        <v>-19949.04927026117</v>
      </c>
      <c r="Z20" s="140">
        <f>'Cash &amp; Assets'!I$31</f>
        <v>-20597.393371544655</v>
      </c>
      <c r="AA20" s="140">
        <f>'Cash &amp; Assets'!I$32</f>
        <v>-21266.808656119858</v>
      </c>
      <c r="AB20" s="140">
        <f>'Cash &amp; Assets'!I$33</f>
        <v>-21957.979937443753</v>
      </c>
      <c r="AC20" s="140">
        <f>'Cash &amp; Assets'!I$34</f>
        <v>-22671.614285410677</v>
      </c>
      <c r="AD20" s="140">
        <f>'Cash &amp; Assets'!I$35</f>
        <v>-23408.441749686521</v>
      </c>
      <c r="AE20" s="140">
        <f>'Cash &amp; Assets'!I$36</f>
        <v>-24169.216106551336</v>
      </c>
      <c r="AF20" s="141">
        <f>'Cash &amp; Assets'!I$37</f>
        <v>-24954.715630014252</v>
      </c>
    </row>
    <row r="21" spans="1:32" ht="14.4" thickBot="1">
      <c r="A21" s="67"/>
      <c r="B21" s="78" t="s">
        <v>169</v>
      </c>
      <c r="C21" s="142">
        <f>'Cash &amp; Assets'!J$8</f>
        <v>9390.9503646364319</v>
      </c>
      <c r="D21" s="143">
        <f>'Cash &amp; Assets'!$J$9</f>
        <v>19110.583992035139</v>
      </c>
      <c r="E21" s="143">
        <f>'Cash &amp; Assets'!J$10</f>
        <v>29170.404796392802</v>
      </c>
      <c r="F21" s="143">
        <f>'Cash &amp; Assets'!J$11</f>
        <v>39582.31932890298</v>
      </c>
      <c r="G21" s="143">
        <f>'Cash &amp; Assets'!J$12</f>
        <v>50358.650870051017</v>
      </c>
      <c r="H21" s="143">
        <f>'Cash &amp; Assets'!J$13</f>
        <v>61512.154015139233</v>
      </c>
      <c r="I21" s="143">
        <f>'Cash &amp; Assets'!J$14</f>
        <v>73056.02977030554</v>
      </c>
      <c r="J21" s="143">
        <f>'Cash &amp; Assets'!J$15</f>
        <v>85003.941176902663</v>
      </c>
      <c r="K21" s="143">
        <f>'Cash &amp; Assets'!J$16</f>
        <v>97370.029482730679</v>
      </c>
      <c r="L21" s="143">
        <f>'Cash &amp; Assets'!J$17</f>
        <v>110168.93087926268</v>
      </c>
      <c r="M21" s="143">
        <f>'Cash &amp; Assets'!J$18</f>
        <v>123759.62002082844</v>
      </c>
      <c r="N21" s="143">
        <f>'Cash &amp; Assets'!J$19</f>
        <v>137792.00655949509</v>
      </c>
      <c r="O21" s="143">
        <f>'Cash &amp; Assets'!J$20</f>
        <v>152280.4456606684</v>
      </c>
      <c r="P21" s="143">
        <f>'Cash &amp; Assets'!J$21</f>
        <v>167239.75903262984</v>
      </c>
      <c r="Q21" s="143">
        <f>'Cash &amp; Assets'!J$22</f>
        <v>182685.25008918002</v>
      </c>
      <c r="R21" s="143">
        <f>'Cash &amp; Assets'!J$23</f>
        <v>198632.71960506806</v>
      </c>
      <c r="S21" s="143">
        <f>'Cash &amp; Assets'!J$24</f>
        <v>215098.48188022251</v>
      </c>
      <c r="T21" s="143">
        <f>'Cash &amp; Assets'!J$25</f>
        <v>232099.38142931944</v>
      </c>
      <c r="U21" s="143">
        <f>'Cash &amp; Assets'!J$26</f>
        <v>249652.81021376204</v>
      </c>
      <c r="V21" s="143">
        <f>'Cash &amp; Assets'!J$27</f>
        <v>267776.72543369903</v>
      </c>
      <c r="W21" s="143">
        <f>'Cash &amp; Assets'!J$28</f>
        <v>286489.66789828398</v>
      </c>
      <c r="X21" s="143">
        <f>'Cash &amp; Assets'!J$29</f>
        <v>305810.78099296789</v>
      </c>
      <c r="Y21" s="143">
        <f>'Cash &amp; Assets'!J$30</f>
        <v>325759.83026322909</v>
      </c>
      <c r="Z21" s="143">
        <f>'Cash &amp; Assets'!J$31</f>
        <v>346357.22363477375</v>
      </c>
      <c r="AA21" s="143">
        <f>'Cash &amp; Assets'!J$32</f>
        <v>367624.03229089361</v>
      </c>
      <c r="AB21" s="143">
        <f>'Cash &amp; Assets'!J$33</f>
        <v>389582.01222833735</v>
      </c>
      <c r="AC21" s="143">
        <f>'Cash &amp; Assets'!J$34</f>
        <v>412253.62651374802</v>
      </c>
      <c r="AD21" s="143">
        <f>'Cash &amp; Assets'!J$35</f>
        <v>435662.06826343457</v>
      </c>
      <c r="AE21" s="143">
        <f>'Cash &amp; Assets'!J$36</f>
        <v>459831.28436998592</v>
      </c>
      <c r="AF21" s="144">
        <f>'Cash &amp; Assets'!J$37</f>
        <v>484786.00000000017</v>
      </c>
    </row>
    <row r="22" spans="1:32" ht="13.8">
      <c r="A22" s="67"/>
      <c r="B22" s="76" t="s">
        <v>165</v>
      </c>
      <c r="C22" s="139">
        <f>D19</f>
        <v>475395.04963536357</v>
      </c>
      <c r="D22" s="139">
        <f t="shared" ref="D22:AF22" si="62">E19</f>
        <v>465675.41600796487</v>
      </c>
      <c r="E22" s="139">
        <f t="shared" si="62"/>
        <v>455615.59520360723</v>
      </c>
      <c r="F22" s="139">
        <f t="shared" si="62"/>
        <v>445203.68067109707</v>
      </c>
      <c r="G22" s="139">
        <f t="shared" si="62"/>
        <v>434427.34912994906</v>
      </c>
      <c r="H22" s="139">
        <f t="shared" si="62"/>
        <v>423273.84598486085</v>
      </c>
      <c r="I22" s="139">
        <f t="shared" si="62"/>
        <v>411729.97022969456</v>
      </c>
      <c r="J22" s="139">
        <f t="shared" si="62"/>
        <v>399782.05882309744</v>
      </c>
      <c r="K22" s="139">
        <f t="shared" si="62"/>
        <v>387415.97051726939</v>
      </c>
      <c r="L22" s="139">
        <f t="shared" si="62"/>
        <v>374617.06912073737</v>
      </c>
      <c r="M22" s="139">
        <f t="shared" si="62"/>
        <v>361026.37997917162</v>
      </c>
      <c r="N22" s="139">
        <f t="shared" si="62"/>
        <v>346993.993440505</v>
      </c>
      <c r="O22" s="139">
        <f t="shared" si="62"/>
        <v>332505.55433933169</v>
      </c>
      <c r="P22" s="139">
        <f t="shared" si="62"/>
        <v>317546.24096737028</v>
      </c>
      <c r="Q22" s="139">
        <f t="shared" si="62"/>
        <v>302100.7499108201</v>
      </c>
      <c r="R22" s="139">
        <f t="shared" si="62"/>
        <v>286153.28039493202</v>
      </c>
      <c r="S22" s="139">
        <f t="shared" si="62"/>
        <v>269687.51811977761</v>
      </c>
      <c r="T22" s="139">
        <f t="shared" si="62"/>
        <v>252686.61857068067</v>
      </c>
      <c r="U22" s="139">
        <f t="shared" si="62"/>
        <v>235133.18978623807</v>
      </c>
      <c r="V22" s="139">
        <f t="shared" si="62"/>
        <v>217009.27456630109</v>
      </c>
      <c r="W22" s="139">
        <f t="shared" si="62"/>
        <v>198296.33210171617</v>
      </c>
      <c r="X22" s="139">
        <f t="shared" si="62"/>
        <v>178975.21900703222</v>
      </c>
      <c r="Y22" s="139">
        <f t="shared" si="62"/>
        <v>159026.16973677106</v>
      </c>
      <c r="Z22" s="139">
        <f t="shared" si="62"/>
        <v>138428.7763652264</v>
      </c>
      <c r="AA22" s="139">
        <f t="shared" si="62"/>
        <v>117161.96770910654</v>
      </c>
      <c r="AB22" s="139">
        <f t="shared" si="62"/>
        <v>95203.987771662782</v>
      </c>
      <c r="AC22" s="139">
        <f t="shared" si="62"/>
        <v>72532.373486252109</v>
      </c>
      <c r="AD22" s="139">
        <f t="shared" si="62"/>
        <v>49123.931736565588</v>
      </c>
      <c r="AE22" s="139">
        <f t="shared" si="62"/>
        <v>24954.715630014252</v>
      </c>
      <c r="AF22" s="145">
        <f t="shared" si="62"/>
        <v>0</v>
      </c>
    </row>
    <row r="23" spans="1:32" ht="13.8">
      <c r="A23" s="67"/>
      <c r="B23" s="76" t="s">
        <v>176</v>
      </c>
      <c r="C23" s="139">
        <f>'Cash &amp; Assets'!G$8</f>
        <v>-16967.510000000002</v>
      </c>
      <c r="D23" s="140">
        <f>'Cash &amp; Assets'!$G$9</f>
        <v>-16638.826737237727</v>
      </c>
      <c r="E23" s="140">
        <f>'Cash &amp; Assets'!G$10</f>
        <v>-16298.639560278772</v>
      </c>
      <c r="F23" s="140">
        <f>'Cash &amp; Assets'!G$11</f>
        <v>-15946.545832126254</v>
      </c>
      <c r="G23" s="140">
        <f>'Cash &amp; Assets'!G$12</f>
        <v>-15582.1288234884</v>
      </c>
      <c r="H23" s="140">
        <f>'Cash &amp; Assets'!G$13</f>
        <v>-15204.957219548218</v>
      </c>
      <c r="I23" s="140">
        <f>'Cash &amp; Assets'!G$14</f>
        <v>-14814.584609470132</v>
      </c>
      <c r="J23" s="140">
        <f>'Cash &amp; Assets'!G$15</f>
        <v>-14410.548958039311</v>
      </c>
      <c r="K23" s="140">
        <f>'Cash &amp; Assets'!G$16</f>
        <v>-13992.372058808412</v>
      </c>
      <c r="L23" s="140">
        <f>'Cash &amp; Assets'!G$17</f>
        <v>-13559.558968104429</v>
      </c>
      <c r="M23" s="140">
        <f>'Cash &amp; Assets'!G$18</f>
        <v>-12175.054746423964</v>
      </c>
      <c r="N23" s="140">
        <f>'Cash &amp; Assets'!G$19</f>
        <v>-11733.357349323078</v>
      </c>
      <c r="O23" s="140">
        <f>'Cash &amp; Assets'!G$20</f>
        <v>-11277.304786816412</v>
      </c>
      <c r="P23" s="140">
        <f>'Cash &amp; Assets'!G$21</f>
        <v>-10806.43051602828</v>
      </c>
      <c r="Q23" s="140">
        <f>'Cash &amp; Assets'!G$22</f>
        <v>-10320.252831439535</v>
      </c>
      <c r="R23" s="140">
        <f>'Cash &amp; Assets'!G$23</f>
        <v>-9818.2743721016541</v>
      </c>
      <c r="S23" s="140">
        <f>'Cash &amp; Assets'!G$24</f>
        <v>-9299.9816128352904</v>
      </c>
      <c r="T23" s="140">
        <f>'Cash &amp; Assets'!G$25</f>
        <v>-8764.8443388927735</v>
      </c>
      <c r="U23" s="140">
        <f>'Cash &amp; Assets'!G$26</f>
        <v>-8212.3151035471219</v>
      </c>
      <c r="V23" s="140">
        <f>'Cash &amp; Assets'!G$27</f>
        <v>-7641.8286680527372</v>
      </c>
      <c r="W23" s="140">
        <f>'Cash &amp; Assets'!G$28</f>
        <v>-7052.801423404786</v>
      </c>
      <c r="X23" s="140">
        <f>'Cash &amp; Assets'!G$29</f>
        <v>-6444.630793305776</v>
      </c>
      <c r="Y23" s="140">
        <f>'Cash &amp; Assets'!G$30</f>
        <v>-5816.6946177285472</v>
      </c>
      <c r="Z23" s="140">
        <f>'Cash &amp; Assets'!G$31</f>
        <v>-5168.3505164450598</v>
      </c>
      <c r="AA23" s="140">
        <f>'Cash &amp; Assets'!G$32</f>
        <v>-4498.9352318698584</v>
      </c>
      <c r="AB23" s="140">
        <f>'Cash &amp; Assets'!G$33</f>
        <v>-3807.7639505459624</v>
      </c>
      <c r="AC23" s="140">
        <f>'Cash &amp; Assets'!G$34</f>
        <v>-3094.1296025790407</v>
      </c>
      <c r="AD23" s="140">
        <f>'Cash &amp; Assets'!G$35</f>
        <v>-2357.3021383031937</v>
      </c>
      <c r="AE23" s="140">
        <f>'Cash &amp; Assets'!G$36</f>
        <v>-1596.5277814383817</v>
      </c>
      <c r="AF23" s="141">
        <f>'Cash &amp; Assets'!G$37</f>
        <v>-811.02825797546325</v>
      </c>
    </row>
    <row r="24" spans="1:32" ht="14.4" thickBot="1">
      <c r="A24" s="67"/>
      <c r="B24" s="74" t="s">
        <v>171</v>
      </c>
      <c r="C24" s="142">
        <f>'Cash &amp; Assets'!F$8</f>
        <v>-26358.460364636434</v>
      </c>
      <c r="D24" s="143">
        <f>'Cash &amp; Assets'!$F$9</f>
        <v>-26358.460364636434</v>
      </c>
      <c r="E24" s="143">
        <f>'Cash &amp; Assets'!F$10</f>
        <v>-26358.460364636434</v>
      </c>
      <c r="F24" s="143">
        <f>'Cash &amp; Assets'!F$11</f>
        <v>-26358.460364636434</v>
      </c>
      <c r="G24" s="143">
        <f>'Cash &amp; Assets'!F$12</f>
        <v>-26358.460364636434</v>
      </c>
      <c r="H24" s="143">
        <f>'Cash &amp; Assets'!F$13</f>
        <v>-26358.460364636434</v>
      </c>
      <c r="I24" s="143">
        <f>'Cash &amp; Assets'!F$14</f>
        <v>-26358.460364636434</v>
      </c>
      <c r="J24" s="143">
        <f>'Cash &amp; Assets'!F$15</f>
        <v>-26358.460364636434</v>
      </c>
      <c r="K24" s="143">
        <f>'Cash &amp; Assets'!F$16</f>
        <v>-26358.460364636434</v>
      </c>
      <c r="L24" s="143">
        <f>'Cash &amp; Assets'!F$17</f>
        <v>-26358.460364636434</v>
      </c>
      <c r="M24" s="143">
        <f>'Cash &amp; Assets'!F$18</f>
        <v>-25765.743887989716</v>
      </c>
      <c r="N24" s="143">
        <f>'Cash &amp; Assets'!F$19</f>
        <v>-25765.743887989716</v>
      </c>
      <c r="O24" s="143">
        <f>'Cash &amp; Assets'!F$20</f>
        <v>-25765.743887989716</v>
      </c>
      <c r="P24" s="143">
        <f>'Cash &amp; Assets'!F$21</f>
        <v>-25765.743887989716</v>
      </c>
      <c r="Q24" s="143">
        <f>'Cash &amp; Assets'!F$22</f>
        <v>-25765.743887989716</v>
      </c>
      <c r="R24" s="143">
        <f>'Cash &amp; Assets'!F$23</f>
        <v>-25765.743887989716</v>
      </c>
      <c r="S24" s="143">
        <f>'Cash &amp; Assets'!F$24</f>
        <v>-25765.743887989716</v>
      </c>
      <c r="T24" s="143">
        <f>'Cash &amp; Assets'!F$25</f>
        <v>-25765.743887989716</v>
      </c>
      <c r="U24" s="143">
        <f>'Cash &amp; Assets'!F$26</f>
        <v>-25765.743887989716</v>
      </c>
      <c r="V24" s="143">
        <f>'Cash &amp; Assets'!F$27</f>
        <v>-25765.743887989716</v>
      </c>
      <c r="W24" s="143">
        <f>'Cash &amp; Assets'!F$28</f>
        <v>-25765.743887989716</v>
      </c>
      <c r="X24" s="143">
        <f>'Cash &amp; Assets'!F$29</f>
        <v>-25765.743887989716</v>
      </c>
      <c r="Y24" s="143">
        <f>'Cash &amp; Assets'!F$30</f>
        <v>-25765.743887989716</v>
      </c>
      <c r="Z24" s="143">
        <f>'Cash &amp; Assets'!F$31</f>
        <v>-25765.743887989716</v>
      </c>
      <c r="AA24" s="143">
        <f>'Cash &amp; Assets'!F$32</f>
        <v>-25765.743887989716</v>
      </c>
      <c r="AB24" s="143">
        <f>'Cash &amp; Assets'!F$33</f>
        <v>-25765.743887989716</v>
      </c>
      <c r="AC24" s="143">
        <f>'Cash &amp; Assets'!F$34</f>
        <v>-25765.743887989716</v>
      </c>
      <c r="AD24" s="143">
        <f>'Cash &amp; Assets'!F$35</f>
        <v>-25765.743887989716</v>
      </c>
      <c r="AE24" s="143">
        <f>'Cash &amp; Assets'!F$36</f>
        <v>-25765.743887989716</v>
      </c>
      <c r="AF24" s="144">
        <f>'Cash &amp; Assets'!F$37</f>
        <v>-25765.743887989716</v>
      </c>
    </row>
    <row r="25" spans="1:32">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row>
    <row r="26" spans="1:32" ht="15" thickBot="1">
      <c r="A26" s="67"/>
      <c r="B26" s="67"/>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row>
    <row r="27" spans="1:32" ht="15" thickTop="1">
      <c r="A27" s="67"/>
      <c r="B27" s="22" t="s">
        <v>174</v>
      </c>
      <c r="C27" s="67"/>
      <c r="D27" s="67"/>
      <c r="E27" s="67"/>
      <c r="F27" s="67"/>
      <c r="G27" s="67"/>
      <c r="H27" s="67"/>
      <c r="I27" s="67"/>
      <c r="J27" s="67"/>
      <c r="K27" s="67"/>
      <c r="L27" s="543" t="s">
        <v>183</v>
      </c>
      <c r="M27" s="544"/>
      <c r="N27" s="544"/>
      <c r="O27" s="545"/>
      <c r="P27" s="67"/>
      <c r="Q27" s="67"/>
      <c r="R27" s="67"/>
      <c r="S27" s="67"/>
      <c r="T27" s="67"/>
      <c r="U27" s="67"/>
      <c r="V27" s="67"/>
      <c r="W27" s="67"/>
      <c r="X27" s="67"/>
      <c r="Y27" s="67"/>
      <c r="Z27" s="67"/>
      <c r="AA27" s="67"/>
      <c r="AB27" s="67"/>
      <c r="AC27" s="67"/>
      <c r="AD27" s="67"/>
      <c r="AE27" s="67"/>
      <c r="AF27" s="67"/>
    </row>
    <row r="28" spans="1:32" ht="16.2">
      <c r="B28" s="109" t="s">
        <v>9</v>
      </c>
      <c r="C28" s="112"/>
      <c r="D28" s="112"/>
      <c r="E28" s="112"/>
      <c r="L28" s="92" t="s">
        <v>146</v>
      </c>
      <c r="M28" s="546" t="str">
        <f>Parameter!G2</f>
        <v>Musterstraße 123, 45678 Irgendwo</v>
      </c>
      <c r="N28" s="546"/>
      <c r="O28" s="547"/>
    </row>
    <row r="29" spans="1:32" ht="13.8">
      <c r="L29" s="92" t="s">
        <v>230</v>
      </c>
      <c r="M29" s="117"/>
      <c r="N29" s="91" t="s">
        <v>229</v>
      </c>
      <c r="O29" s="93">
        <f>Parameter!B16</f>
        <v>534786</v>
      </c>
    </row>
    <row r="30" spans="1:32" ht="15.6" thickBot="1">
      <c r="B30" s="6" t="s">
        <v>45</v>
      </c>
      <c r="C30" s="2"/>
      <c r="D30" s="2"/>
      <c r="E30" s="2"/>
      <c r="F30" s="2"/>
      <c r="G30" s="2"/>
      <c r="H30" s="2"/>
      <c r="L30" s="94" t="s">
        <v>147</v>
      </c>
      <c r="M30" s="95">
        <f>Parameter!B7</f>
        <v>330</v>
      </c>
      <c r="N30" s="96" t="s">
        <v>178</v>
      </c>
      <c r="O30" s="97">
        <f>Parameter!I3</f>
        <v>200</v>
      </c>
    </row>
    <row r="31" spans="1:32" ht="15.6" thickTop="1">
      <c r="B31" s="3" t="s">
        <v>46</v>
      </c>
      <c r="C31" s="2"/>
      <c r="D31" s="2"/>
      <c r="E31" s="2"/>
      <c r="F31" s="2"/>
      <c r="G31" s="2"/>
      <c r="H31" s="2"/>
      <c r="L31" s="3"/>
      <c r="M31" s="3"/>
      <c r="N31" s="7"/>
      <c r="O31" s="7"/>
    </row>
    <row r="32" spans="1:32" ht="15">
      <c r="B32" s="3" t="s">
        <v>47</v>
      </c>
      <c r="C32" s="2"/>
      <c r="D32" s="2"/>
      <c r="E32" s="2"/>
      <c r="F32" s="2"/>
      <c r="G32" s="2"/>
      <c r="H32" s="2"/>
    </row>
    <row r="33" spans="2:8" ht="15">
      <c r="B33" s="3" t="s">
        <v>143</v>
      </c>
      <c r="C33" s="2"/>
      <c r="D33" s="2"/>
      <c r="E33" s="2"/>
      <c r="F33" s="2"/>
      <c r="G33" s="2"/>
      <c r="H33" s="2"/>
    </row>
    <row r="34" spans="2:8" ht="15">
      <c r="B34" s="3" t="s">
        <v>276</v>
      </c>
      <c r="C34" s="2"/>
      <c r="D34" s="2"/>
      <c r="E34" s="2"/>
      <c r="F34" s="2"/>
      <c r="G34" s="2"/>
      <c r="H34" s="2"/>
    </row>
    <row r="35" spans="2:8" ht="15">
      <c r="B35" s="3" t="s">
        <v>277</v>
      </c>
      <c r="C35" s="2"/>
      <c r="D35" s="2"/>
      <c r="E35" s="2"/>
      <c r="F35" s="2"/>
      <c r="G35" s="2"/>
      <c r="H35" s="2"/>
    </row>
    <row r="36" spans="2:8" ht="13.8">
      <c r="B36" s="3"/>
    </row>
    <row r="37" spans="2:8" ht="13.8">
      <c r="B37" s="22"/>
    </row>
    <row r="39" spans="2:8" ht="16.2">
      <c r="B39" s="127"/>
    </row>
    <row r="40" spans="2:8" ht="16.2">
      <c r="B40" s="59"/>
    </row>
  </sheetData>
  <mergeCells count="4">
    <mergeCell ref="L27:O27"/>
    <mergeCell ref="M28:O28"/>
    <mergeCell ref="D2:G2"/>
    <mergeCell ref="I2:L2"/>
  </mergeCells>
  <dataValidations count="1">
    <dataValidation allowBlank="1" showErrorMessage="1" sqref="L27:O31 B2:C26 M2:AF4 I3:L4 H2:H10 AG2:AG26 I5:AF10 D3:G10 D11:AF26" xr:uid="{00000000-0002-0000-0300-000000000000}"/>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24"/>
  <sheetViews>
    <sheetView zoomScale="85" zoomScaleNormal="85" zoomScaleSheetLayoutView="90" workbookViewId="0">
      <selection activeCell="N96" sqref="N96"/>
    </sheetView>
  </sheetViews>
  <sheetFormatPr defaultColWidth="11.5546875" defaultRowHeight="13.2"/>
  <cols>
    <col min="1" max="1" width="4.5546875" customWidth="1"/>
    <col min="2" max="2" width="16.5546875" customWidth="1"/>
    <col min="16" max="16" width="13.21875" customWidth="1"/>
    <col min="17" max="17" width="13.6640625" customWidth="1"/>
    <col min="18" max="18" width="16.44140625" customWidth="1"/>
    <col min="19" max="19" width="16.21875" customWidth="1"/>
    <col min="20" max="20" width="15.44140625" customWidth="1"/>
    <col min="21" max="21" width="14.109375" customWidth="1"/>
  </cols>
  <sheetData>
    <row r="1" spans="2:5" ht="14.4" thickTop="1">
      <c r="B1" s="543" t="s">
        <v>185</v>
      </c>
      <c r="C1" s="544"/>
      <c r="D1" s="544"/>
      <c r="E1" s="545"/>
    </row>
    <row r="2" spans="2:5" ht="13.8">
      <c r="B2" s="92" t="s">
        <v>146</v>
      </c>
      <c r="C2" s="546" t="str">
        <f>Parameter!G2</f>
        <v>Musterstraße 123, 45678 Irgendwo</v>
      </c>
      <c r="D2" s="546"/>
      <c r="E2" s="547"/>
    </row>
    <row r="3" spans="2:5" ht="13.8">
      <c r="B3" s="92" t="s">
        <v>230</v>
      </c>
      <c r="C3" s="117"/>
      <c r="D3" s="91" t="s">
        <v>229</v>
      </c>
      <c r="E3" s="93">
        <f>Parameter!B16</f>
        <v>534786</v>
      </c>
    </row>
    <row r="4" spans="2:5" ht="14.4" thickBot="1">
      <c r="B4" s="94" t="s">
        <v>147</v>
      </c>
      <c r="C4" s="95">
        <f>Parameter!G3</f>
        <v>330</v>
      </c>
      <c r="D4" s="96" t="s">
        <v>178</v>
      </c>
      <c r="E4" s="97">
        <f>Parameter!I3</f>
        <v>200</v>
      </c>
    </row>
    <row r="5" spans="2:5" ht="13.8" thickTop="1"/>
    <row r="36" spans="3:20">
      <c r="C36" t="s">
        <v>212</v>
      </c>
      <c r="L36" t="s">
        <v>234</v>
      </c>
    </row>
    <row r="37" spans="3:20">
      <c r="C37" t="s">
        <v>235</v>
      </c>
      <c r="L37" t="s">
        <v>328</v>
      </c>
    </row>
    <row r="38" spans="3:20" ht="13.8">
      <c r="C38" t="s">
        <v>203</v>
      </c>
      <c r="L38" t="s">
        <v>323</v>
      </c>
      <c r="S38" s="153" t="s">
        <v>52</v>
      </c>
    </row>
    <row r="39" spans="3:20" ht="14.4">
      <c r="C39" t="s">
        <v>204</v>
      </c>
      <c r="L39" t="s">
        <v>220</v>
      </c>
      <c r="R39" s="157" t="s">
        <v>48</v>
      </c>
      <c r="S39" s="154" t="s">
        <v>56</v>
      </c>
    </row>
    <row r="40" spans="3:20" ht="14.4">
      <c r="C40" t="s">
        <v>205</v>
      </c>
      <c r="L40" t="s">
        <v>217</v>
      </c>
      <c r="R40" s="158" t="s">
        <v>307</v>
      </c>
      <c r="S40" s="154" t="s">
        <v>67</v>
      </c>
    </row>
    <row r="41" spans="3:20" ht="14.4">
      <c r="L41" t="s">
        <v>218</v>
      </c>
      <c r="R41" s="158" t="s">
        <v>308</v>
      </c>
      <c r="S41" s="154" t="s">
        <v>82</v>
      </c>
      <c r="T41" s="314" t="s">
        <v>215</v>
      </c>
    </row>
    <row r="42" spans="3:20" ht="14.4">
      <c r="C42" s="116" t="s">
        <v>207</v>
      </c>
      <c r="L42" t="s">
        <v>324</v>
      </c>
      <c r="R42" s="158" t="s">
        <v>309</v>
      </c>
      <c r="S42" s="154" t="s">
        <v>94</v>
      </c>
      <c r="T42" s="315" t="s">
        <v>216</v>
      </c>
    </row>
    <row r="43" spans="3:20" ht="14.4">
      <c r="C43" t="s">
        <v>206</v>
      </c>
      <c r="L43" t="s">
        <v>222</v>
      </c>
      <c r="Q43" s="150" t="s">
        <v>303</v>
      </c>
      <c r="R43" s="159" t="s">
        <v>92</v>
      </c>
      <c r="S43" s="155" t="s">
        <v>51</v>
      </c>
      <c r="T43" s="316" t="s">
        <v>70</v>
      </c>
    </row>
    <row r="44" spans="3:20">
      <c r="C44" t="s">
        <v>214</v>
      </c>
      <c r="L44" t="s">
        <v>219</v>
      </c>
      <c r="Q44" s="133" t="s">
        <v>292</v>
      </c>
      <c r="R44" s="160">
        <f>'Cash &amp; Assets'!Z56</f>
        <v>62027.401402426171</v>
      </c>
      <c r="S44" s="156">
        <f>'Cash &amp; Assets'!AG53</f>
        <v>51957.688851644751</v>
      </c>
      <c r="T44" s="312">
        <f>'Cash &amp; Assets'!AF53</f>
        <v>79512.606778121495</v>
      </c>
    </row>
    <row r="45" spans="3:20">
      <c r="C45" t="s">
        <v>208</v>
      </c>
      <c r="L45" t="s">
        <v>318</v>
      </c>
      <c r="Q45" s="133" t="s">
        <v>293</v>
      </c>
      <c r="R45" s="160">
        <f>'Cash &amp; Assets'!Z57</f>
        <v>141115.9846117181</v>
      </c>
      <c r="S45" s="156">
        <f>'Cash &amp; Assets'!AG54</f>
        <v>168284.74492036772</v>
      </c>
      <c r="T45" s="312">
        <f>'Cash &amp; Assets'!AF54</f>
        <v>174538.78979138023</v>
      </c>
    </row>
    <row r="46" spans="3:20">
      <c r="C46" t="s">
        <v>213</v>
      </c>
      <c r="L46" t="s">
        <v>319</v>
      </c>
      <c r="Q46" s="133" t="s">
        <v>294</v>
      </c>
      <c r="R46" s="160">
        <f>'Cash &amp; Assets'!Z58</f>
        <v>242737.71436119371</v>
      </c>
      <c r="S46" s="156">
        <f>'Cash &amp; Assets'!AG55</f>
        <v>309853.85366770963</v>
      </c>
      <c r="T46" s="312">
        <f>'Cash &amp; Assets'!AF55</f>
        <v>284355.89833914564</v>
      </c>
    </row>
    <row r="47" spans="3:20">
      <c r="Q47" s="133" t="s">
        <v>295</v>
      </c>
      <c r="R47" s="160">
        <f>'Cash &amp; Assets'!Z59</f>
        <v>365844.59554786887</v>
      </c>
      <c r="S47" s="156">
        <f>'Cash &amp; Assets'!AG56</f>
        <v>475817.75276514469</v>
      </c>
      <c r="T47" s="312">
        <f>'Cash &amp; Assets'!AF56</f>
        <v>409625.96743103774</v>
      </c>
    </row>
    <row r="48" spans="3:20">
      <c r="Q48" s="133" t="s">
        <v>296</v>
      </c>
      <c r="R48" s="160">
        <f>'Cash &amp; Assets'!Z60</f>
        <v>513186.37185729959</v>
      </c>
      <c r="S48" s="156">
        <f>'Cash &amp; Assets'!AG57</f>
        <v>669141.99227931164</v>
      </c>
      <c r="T48" s="312">
        <f>'Cash &amp; Assets'!AF57</f>
        <v>552312.84405678569</v>
      </c>
    </row>
    <row r="49" spans="17:20">
      <c r="Q49" s="146" t="s">
        <v>298</v>
      </c>
      <c r="R49" s="160">
        <f>'Cash &amp; Assets'!Z61</f>
        <v>687892.10156702716</v>
      </c>
      <c r="S49" s="156">
        <f>'Cash &amp; Assets'!AG58</f>
        <v>893187.65298859077</v>
      </c>
      <c r="T49" s="312">
        <f>'Cash &amp; Assets'!AF58</f>
        <v>715126.83579154941</v>
      </c>
    </row>
    <row r="50" spans="17:20" ht="14.4">
      <c r="R50" s="157" t="s">
        <v>48</v>
      </c>
      <c r="S50" s="153" t="s">
        <v>48</v>
      </c>
      <c r="T50" s="313" t="s">
        <v>396</v>
      </c>
    </row>
    <row r="51" spans="17:20" ht="14.4">
      <c r="R51" s="159" t="s">
        <v>221</v>
      </c>
      <c r="S51" s="155" t="s">
        <v>221</v>
      </c>
    </row>
    <row r="112" spans="19:19">
      <c r="S112" s="1"/>
    </row>
    <row r="113" spans="16:20" ht="13.8" thickBot="1">
      <c r="S113" s="1"/>
    </row>
    <row r="114" spans="16:20" ht="14.4">
      <c r="P114" s="299" t="s">
        <v>406</v>
      </c>
      <c r="Q114" s="300"/>
      <c r="R114" s="293" t="s">
        <v>48</v>
      </c>
      <c r="S114" s="147" t="s">
        <v>52</v>
      </c>
      <c r="T114" s="304" t="s">
        <v>52</v>
      </c>
    </row>
    <row r="115" spans="16:20" ht="14.4">
      <c r="P115" s="301" t="s">
        <v>404</v>
      </c>
      <c r="Q115" s="307" t="s">
        <v>55</v>
      </c>
      <c r="R115" s="294" t="s">
        <v>307</v>
      </c>
      <c r="S115" s="148" t="s">
        <v>56</v>
      </c>
      <c r="T115" s="305" t="s">
        <v>66</v>
      </c>
    </row>
    <row r="116" spans="16:20" ht="14.4">
      <c r="P116" s="301" t="s">
        <v>48</v>
      </c>
      <c r="Q116" s="308" t="s">
        <v>54</v>
      </c>
      <c r="R116" s="294" t="s">
        <v>308</v>
      </c>
      <c r="S116" s="148" t="s">
        <v>67</v>
      </c>
      <c r="T116" s="305" t="s">
        <v>81</v>
      </c>
    </row>
    <row r="117" spans="16:20" ht="14.4">
      <c r="P117" s="301" t="s">
        <v>405</v>
      </c>
      <c r="Q117" s="308" t="s">
        <v>80</v>
      </c>
      <c r="R117" s="294" t="s">
        <v>309</v>
      </c>
      <c r="S117" s="148" t="s">
        <v>314</v>
      </c>
      <c r="T117" s="305" t="s">
        <v>93</v>
      </c>
    </row>
    <row r="118" spans="16:20" ht="14.4">
      <c r="P118" s="302"/>
      <c r="Q118" s="309" t="s">
        <v>92</v>
      </c>
      <c r="R118" s="294" t="s">
        <v>92</v>
      </c>
      <c r="S118" s="149" t="s">
        <v>51</v>
      </c>
      <c r="T118" s="305" t="s">
        <v>51</v>
      </c>
    </row>
    <row r="119" spans="16:20" ht="14.4">
      <c r="P119" s="133" t="s">
        <v>292</v>
      </c>
      <c r="Q119" s="310">
        <f>'Cash &amp; Assets'!X56</f>
        <v>11668.750532375156</v>
      </c>
      <c r="R119" s="295">
        <f>'Cash &amp; Assets'!Z56</f>
        <v>62027.401402426171</v>
      </c>
      <c r="S119" s="134">
        <f>'Cash &amp; Assets'!AG53</f>
        <v>51957.688851644751</v>
      </c>
      <c r="T119" s="306">
        <f>'Cash &amp; Assets'!AE53</f>
        <v>524716.28744921857</v>
      </c>
    </row>
    <row r="120" spans="16:20" ht="14.4">
      <c r="P120" s="133" t="s">
        <v>293</v>
      </c>
      <c r="Q120" s="310">
        <f>'Cash &amp; Assets'!X57</f>
        <v>30947.053732455402</v>
      </c>
      <c r="R120" s="295">
        <f>'Cash &amp; Assets'!Z57</f>
        <v>141115.9846117181</v>
      </c>
      <c r="S120" s="134">
        <f>'Cash &amp; Assets'!AG54</f>
        <v>168284.74492036772</v>
      </c>
      <c r="T120" s="306">
        <f>'Cash &amp; Assets'!AE54</f>
        <v>561954.76030864962</v>
      </c>
    </row>
    <row r="121" spans="16:20" ht="14.4">
      <c r="P121" s="133" t="s">
        <v>294</v>
      </c>
      <c r="Q121" s="310">
        <f>'Cash &amp; Assets'!X58</f>
        <v>60052.464272013698</v>
      </c>
      <c r="R121" s="295">
        <f>'Cash &amp; Assets'!Z58</f>
        <v>242737.71436119371</v>
      </c>
      <c r="S121" s="134">
        <f>'Cash &amp; Assets'!AG55</f>
        <v>309853.85366770963</v>
      </c>
      <c r="T121" s="306">
        <f>'Cash &amp; Assets'!AE55</f>
        <v>601902.13930651592</v>
      </c>
    </row>
    <row r="122" spans="16:20" ht="14.4">
      <c r="P122" s="133" t="s">
        <v>295</v>
      </c>
      <c r="Q122" s="310">
        <f>'Cash &amp; Assets'!X59</f>
        <v>98067.870114169811</v>
      </c>
      <c r="R122" s="295">
        <f>'Cash &amp; Assets'!Z59</f>
        <v>365844.59554786887</v>
      </c>
      <c r="S122" s="134">
        <f>'Cash &amp; Assets'!AG56</f>
        <v>475817.75276514469</v>
      </c>
      <c r="T122" s="306">
        <f>'Cash &amp; Assets'!AE56</f>
        <v>644759.15721727582</v>
      </c>
    </row>
    <row r="123" spans="16:20" ht="14.4">
      <c r="P123" s="133" t="s">
        <v>296</v>
      </c>
      <c r="Q123" s="310">
        <f>'Cash &amp; Assets'!X60</f>
        <v>145562.33956640595</v>
      </c>
      <c r="R123" s="295">
        <f>'Cash &amp; Assets'!Z60</f>
        <v>513186.37185729959</v>
      </c>
      <c r="S123" s="134">
        <f>'Cash &amp; Assets'!AG57</f>
        <v>669141.99227931164</v>
      </c>
      <c r="T123" s="306">
        <f>'Cash &amp; Assets'!AE57</f>
        <v>690741.62042201206</v>
      </c>
    </row>
    <row r="124" spans="16:20" ht="15" thickBot="1">
      <c r="P124" s="303" t="s">
        <v>298</v>
      </c>
      <c r="Q124" s="311">
        <f>'Cash &amp; Assets'!X61</f>
        <v>203106.10156702696</v>
      </c>
      <c r="R124" s="298">
        <f>'Cash &amp; Assets'!Z61</f>
        <v>687892.10156702716</v>
      </c>
      <c r="S124" s="134">
        <f>'Cash &amp; Assets'!AG58</f>
        <v>893187.65298859077</v>
      </c>
      <c r="T124" s="306">
        <f>'Cash &amp; Assets'!AE58</f>
        <v>740081.55142156361</v>
      </c>
    </row>
  </sheetData>
  <mergeCells count="2">
    <mergeCell ref="B1:E1"/>
    <mergeCell ref="C2:E2"/>
  </mergeCells>
  <dataValidations disablePrompts="1" count="1">
    <dataValidation allowBlank="1" showErrorMessage="1" sqref="B1:E4" xr:uid="{00000000-0002-0000-0400-000000000000}"/>
  </dataValidations>
  <pageMargins left="0.7" right="0.7" top="0.78740157499999996" bottom="0.78740157499999996"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Hinweise</vt:lpstr>
      <vt:lpstr>Parameter</vt:lpstr>
      <vt:lpstr>AfA</vt:lpstr>
      <vt:lpstr>Cash &amp; Assets</vt:lpstr>
      <vt:lpstr>Kennzahlen</vt:lpstr>
      <vt:lpstr>Graphiken</vt:lpstr>
      <vt:lpstr>AfA_Art</vt:lpstr>
      <vt:lpstr>AfA_Tabelle</vt:lpstr>
      <vt:lpstr>AFABasis</vt:lpstr>
      <vt:lpstr>Annuität_Kredit_1_p.a.</vt:lpstr>
      <vt:lpstr>Annuität_Kredit_2_p.a.</vt:lpstr>
      <vt:lpstr>Anschlusskredit</vt:lpstr>
      <vt:lpstr>AuszahungKredit1</vt:lpstr>
      <vt:lpstr>Baukostensteigerung_p.a</vt:lpstr>
      <vt:lpstr>Deg5Lin2</vt:lpstr>
      <vt:lpstr>Deg5Lin3</vt:lpstr>
      <vt:lpstr>Disagio</vt:lpstr>
      <vt:lpstr>Disagio_in_Prozent</vt:lpstr>
      <vt:lpstr>Eigenkapital</vt:lpstr>
      <vt:lpstr>Finanzbedarf</vt:lpstr>
      <vt:lpstr>FinZeitraum</vt:lpstr>
      <vt:lpstr>FittingUp</vt:lpstr>
      <vt:lpstr>Gebäude</vt:lpstr>
      <vt:lpstr>Grenzsteuersatz</vt:lpstr>
      <vt:lpstr>Grundbuchamt</vt:lpstr>
      <vt:lpstr>Grunderwerbsteuer</vt:lpstr>
      <vt:lpstr>Grundstück</vt:lpstr>
      <vt:lpstr>Instanhaltungskosten_am_Anfang</vt:lpstr>
      <vt:lpstr>Investment</vt:lpstr>
      <vt:lpstr>Kreditbedarf</vt:lpstr>
      <vt:lpstr>Kreditzins1</vt:lpstr>
      <vt:lpstr>Kreditzins2</vt:lpstr>
      <vt:lpstr>LaufzeitKredit1</vt:lpstr>
      <vt:lpstr>Lebensdauer</vt:lpstr>
      <vt:lpstr>Linear2</vt:lpstr>
      <vt:lpstr>Linear3</vt:lpstr>
      <vt:lpstr>LinearX</vt:lpstr>
      <vt:lpstr>Maklergebühren</vt:lpstr>
      <vt:lpstr>Mietpreissteigerung_p.a.</vt:lpstr>
      <vt:lpstr>Notargebühren</vt:lpstr>
      <vt:lpstr>RBWnach6Jahren</vt:lpstr>
      <vt:lpstr>Restlaufzeit</vt:lpstr>
      <vt:lpstr>Start</vt:lpstr>
      <vt:lpstr>Startjahr</vt:lpstr>
      <vt:lpstr>Unterhaltskosten_p.a.</vt:lpstr>
      <vt:lpstr>Unterhaltskostensteigerung</vt:lpstr>
      <vt:lpstr>Wertverlust_des_Gebäudes_p.a.</vt:lpstr>
      <vt:lpstr>Wertzuwachst_des_Grundstücks_p.a.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Modellrechnung vermietete Immobilie  V3.2</dc:title>
  <dc:subject/>
  <dc:creator/>
  <cp:keywords>Nach-Steuer-Belastung, Cash, Assets</cp:keywords>
  <dc:description/>
  <cp:lastModifiedBy/>
  <cp:revision>1</cp:revision>
  <dcterms:created xsi:type="dcterms:W3CDTF">2020-10-10T08:05:16Z</dcterms:created>
  <dcterms:modified xsi:type="dcterms:W3CDTF">2025-03-06T14:55:00Z</dcterms:modified>
  <cp:category>Immoblien</cp:category>
  <cp:contentStatus/>
</cp:coreProperties>
</file>