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ohnr\Desktop\JFR\SHARKY SYSTEM\FPA X VALUATION PORTFOLIO\Stellar Growth Co\"/>
    </mc:Choice>
  </mc:AlternateContent>
  <xr:revisionPtr revIDLastSave="0" documentId="13_ncr:1_{6C41BC55-9215-4E48-9AEB-C1BD1AEBD1BB}" xr6:coauthVersionLast="47" xr6:coauthVersionMax="47" xr10:uidLastSave="{00000000-0000-0000-0000-000000000000}"/>
  <bookViews>
    <workbookView xWindow="-21720" yWindow="855" windowWidth="21840" windowHeight="13020" tabRatio="950" firstSheet="2" activeTab="9" xr2:uid="{40080B9E-9E5D-4D4F-BF78-D3F262E6937F}"/>
  </bookViews>
  <sheets>
    <sheet name="Assumptions" sheetId="20" r:id="rId1"/>
    <sheet name="INPUT" sheetId="27" r:id="rId2"/>
    <sheet name="List of employees &amp; salaries" sheetId="17" r:id="rId3"/>
    <sheet name="Filter" sheetId="24" r:id="rId4"/>
    <sheet name="Revenue Breakdown" sheetId="21" r:id="rId5"/>
    <sheet name="COGS Breakdown" sheetId="22" r:id="rId6"/>
    <sheet name="OUTPUT---&gt;" sheetId="26" r:id="rId7"/>
    <sheet name="Sheet3" sheetId="30" state="hidden" r:id="rId8"/>
    <sheet name="Employees &amp; Salaries" sheetId="28" r:id="rId9"/>
    <sheet name="Payroll Workings" sheetId="29" r:id="rId10"/>
    <sheet name="Budgeting" sheetId="25" r:id="rId11"/>
    <sheet name="Summary" sheetId="23" r:id="rId12"/>
  </sheets>
  <definedNames>
    <definedName name="_xlnm._FilterDatabase" localSheetId="8" hidden="1">'Employees &amp; Salaries'!$B$3:$N$113</definedName>
    <definedName name="_xlnm._FilterDatabase" localSheetId="2" hidden="1">'List of employees &amp; salaries'!$B$4:$N$92</definedName>
    <definedName name="_Hlk140581034" localSheetId="0">Assumptions!$B$20</definedName>
    <definedName name="Slicer_Column1">#N/A</definedName>
    <definedName name="Slicer_Column2">#N/A</definedName>
    <definedName name="Slicer_Column3">#N/A</definedName>
    <definedName name="Slicer_Column4">#N/A</definedName>
  </definedNames>
  <calcPr calcId="191029"/>
  <pivotCaches>
    <pivotCache cacheId="5" r:id="rId1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23" l="1"/>
  <c r="B93" i="17"/>
  <c r="B92" i="17"/>
  <c r="B91" i="17"/>
  <c r="B90" i="17"/>
  <c r="A90" i="17" s="1"/>
  <c r="B89" i="17"/>
  <c r="B88" i="17"/>
  <c r="B87" i="17"/>
  <c r="B86" i="17"/>
  <c r="A86" i="17" s="1"/>
  <c r="B85" i="17"/>
  <c r="B84" i="17"/>
  <c r="B83" i="17"/>
  <c r="B82" i="17"/>
  <c r="A82" i="17" s="1"/>
  <c r="B81" i="17"/>
  <c r="B80" i="17"/>
  <c r="B79" i="17"/>
  <c r="B78" i="17"/>
  <c r="A78" i="17" s="1"/>
  <c r="B77" i="17"/>
  <c r="B76" i="17"/>
  <c r="B75" i="17"/>
  <c r="B74" i="17"/>
  <c r="A74" i="17" s="1"/>
  <c r="B73" i="17"/>
  <c r="B72" i="17"/>
  <c r="B71" i="17"/>
  <c r="B70" i="17"/>
  <c r="A70" i="17" s="1"/>
  <c r="B69" i="17"/>
  <c r="B68" i="17"/>
  <c r="B67" i="17"/>
  <c r="B66" i="17"/>
  <c r="A66" i="17" s="1"/>
  <c r="B65" i="17"/>
  <c r="B64" i="17"/>
  <c r="B63" i="17"/>
  <c r="B62" i="17"/>
  <c r="A62" i="17" s="1"/>
  <c r="B61" i="17"/>
  <c r="B60" i="17"/>
  <c r="B59" i="17"/>
  <c r="B58" i="17"/>
  <c r="A58" i="17" s="1"/>
  <c r="B57" i="17"/>
  <c r="B56" i="17"/>
  <c r="B55" i="17"/>
  <c r="B54" i="17"/>
  <c r="A54" i="17" s="1"/>
  <c r="B53" i="17"/>
  <c r="B52" i="17"/>
  <c r="B51" i="17"/>
  <c r="B50" i="17"/>
  <c r="A50" i="17" s="1"/>
  <c r="B49" i="17"/>
  <c r="B48" i="17"/>
  <c r="B47" i="17"/>
  <c r="B46" i="17"/>
  <c r="A46" i="17" s="1"/>
  <c r="B45" i="17"/>
  <c r="B44" i="17"/>
  <c r="B43" i="17"/>
  <c r="B42" i="17"/>
  <c r="A42" i="17" s="1"/>
  <c r="B41" i="17"/>
  <c r="B40" i="17"/>
  <c r="B39" i="17"/>
  <c r="B38" i="17"/>
  <c r="A38" i="17" s="1"/>
  <c r="B37" i="17"/>
  <c r="B36" i="17"/>
  <c r="B35" i="17"/>
  <c r="B34" i="17"/>
  <c r="A34" i="17" s="1"/>
  <c r="B33" i="17"/>
  <c r="B32" i="17"/>
  <c r="B31" i="17"/>
  <c r="B30" i="17"/>
  <c r="A30" i="17" s="1"/>
  <c r="B29" i="17"/>
  <c r="B28" i="17"/>
  <c r="B27" i="17"/>
  <c r="B26" i="17"/>
  <c r="A26" i="17" s="1"/>
  <c r="B25" i="17"/>
  <c r="B24" i="17"/>
  <c r="B23" i="17"/>
  <c r="B22" i="17"/>
  <c r="A22" i="17" s="1"/>
  <c r="B21" i="17"/>
  <c r="B20" i="17"/>
  <c r="B19" i="17"/>
  <c r="B18" i="17"/>
  <c r="A18" i="17" s="1"/>
  <c r="B17" i="17"/>
  <c r="B16" i="17"/>
  <c r="B15" i="17"/>
  <c r="B14" i="17"/>
  <c r="A14" i="17" s="1"/>
  <c r="B13" i="17"/>
  <c r="B12" i="17"/>
  <c r="B11" i="17"/>
  <c r="B10" i="17"/>
  <c r="A10" i="17" s="1"/>
  <c r="B9" i="17"/>
  <c r="B8" i="17"/>
  <c r="B7" i="17"/>
  <c r="B6" i="17"/>
  <c r="A6" i="17" s="1"/>
  <c r="B5" i="17"/>
  <c r="A8" i="28"/>
  <c r="A9" i="28"/>
  <c r="A10" i="28"/>
  <c r="A12" i="28"/>
  <c r="A13" i="28"/>
  <c r="A14" i="28"/>
  <c r="A16" i="28"/>
  <c r="A17" i="28"/>
  <c r="A18" i="28"/>
  <c r="A20" i="28"/>
  <c r="A21" i="28"/>
  <c r="A22" i="28"/>
  <c r="A24" i="28"/>
  <c r="A25" i="28"/>
  <c r="A26" i="28"/>
  <c r="A28" i="28"/>
  <c r="A29" i="28"/>
  <c r="A30" i="28"/>
  <c r="A32" i="28"/>
  <c r="A33" i="28"/>
  <c r="A34" i="28"/>
  <c r="A36" i="28"/>
  <c r="A37" i="28"/>
  <c r="A38" i="28"/>
  <c r="A40" i="28"/>
  <c r="A41" i="28"/>
  <c r="A42" i="28"/>
  <c r="A44" i="28"/>
  <c r="A45" i="28"/>
  <c r="A46" i="28"/>
  <c r="A48" i="28"/>
  <c r="A49" i="28"/>
  <c r="A50" i="28"/>
  <c r="A52" i="28"/>
  <c r="A53" i="28"/>
  <c r="A54" i="28"/>
  <c r="A56" i="28"/>
  <c r="A57" i="28"/>
  <c r="A58" i="28"/>
  <c r="A60" i="28"/>
  <c r="A61" i="28"/>
  <c r="A62" i="28"/>
  <c r="A64" i="28"/>
  <c r="A65" i="28"/>
  <c r="A66" i="28"/>
  <c r="A68" i="28"/>
  <c r="A69" i="28"/>
  <c r="A70" i="28"/>
  <c r="A72" i="28"/>
  <c r="A73" i="28"/>
  <c r="A74" i="28"/>
  <c r="A76" i="28"/>
  <c r="A77" i="28"/>
  <c r="A78" i="28"/>
  <c r="A80" i="28"/>
  <c r="A81" i="28"/>
  <c r="A82" i="28"/>
  <c r="A84" i="28"/>
  <c r="A85" i="28"/>
  <c r="A86" i="28"/>
  <c r="A88" i="28"/>
  <c r="A89" i="28"/>
  <c r="A90" i="28"/>
  <c r="A92" i="28"/>
  <c r="A93" i="28"/>
  <c r="A94" i="28"/>
  <c r="A93" i="17"/>
  <c r="A92" i="17"/>
  <c r="A91" i="17"/>
  <c r="A89" i="17"/>
  <c r="A88" i="17"/>
  <c r="A87" i="17"/>
  <c r="A85" i="17"/>
  <c r="A84" i="17"/>
  <c r="A83" i="17"/>
  <c r="A81" i="17"/>
  <c r="A80" i="17"/>
  <c r="A79" i="17"/>
  <c r="A77" i="17"/>
  <c r="A76" i="17"/>
  <c r="A75" i="17"/>
  <c r="A73" i="17"/>
  <c r="A72" i="17"/>
  <c r="A71" i="17"/>
  <c r="A69" i="17"/>
  <c r="A68" i="17"/>
  <c r="A67" i="17"/>
  <c r="A65" i="17"/>
  <c r="A64" i="17"/>
  <c r="A63" i="17"/>
  <c r="A61" i="17"/>
  <c r="A60" i="17"/>
  <c r="A59" i="17"/>
  <c r="A57" i="17"/>
  <c r="A56" i="17"/>
  <c r="A55" i="17"/>
  <c r="A53" i="17"/>
  <c r="A52" i="17"/>
  <c r="A51" i="17"/>
  <c r="A49" i="17"/>
  <c r="A48" i="17"/>
  <c r="A47" i="17"/>
  <c r="A45" i="17"/>
  <c r="A44" i="17"/>
  <c r="A43" i="17"/>
  <c r="A41" i="17"/>
  <c r="A40" i="17"/>
  <c r="A39" i="17"/>
  <c r="A37" i="17"/>
  <c r="A36" i="17"/>
  <c r="A35" i="17"/>
  <c r="A33" i="17"/>
  <c r="A32" i="17"/>
  <c r="A31" i="17"/>
  <c r="A29" i="17"/>
  <c r="A28" i="17"/>
  <c r="A27" i="17"/>
  <c r="A25" i="17"/>
  <c r="A24" i="17"/>
  <c r="A23" i="17"/>
  <c r="A21" i="17"/>
  <c r="A20" i="17"/>
  <c r="A19" i="17"/>
  <c r="A17" i="17"/>
  <c r="A16" i="17"/>
  <c r="A15" i="17"/>
  <c r="A13" i="17"/>
  <c r="A12" i="17"/>
  <c r="A11" i="17"/>
  <c r="A9" i="17"/>
  <c r="A8" i="17"/>
  <c r="A7" i="17"/>
  <c r="B84" i="28"/>
  <c r="B85" i="28"/>
  <c r="B86" i="28"/>
  <c r="B87" i="28"/>
  <c r="B88" i="28"/>
  <c r="B89" i="28"/>
  <c r="B90" i="28"/>
  <c r="B91" i="28"/>
  <c r="B92" i="28"/>
  <c r="B93" i="28"/>
  <c r="B67" i="28"/>
  <c r="B68" i="28"/>
  <c r="B69" i="28"/>
  <c r="B71" i="28"/>
  <c r="B72" i="28"/>
  <c r="B73" i="28"/>
  <c r="B75" i="28"/>
  <c r="B76" i="28"/>
  <c r="B77" i="28"/>
  <c r="B79" i="28"/>
  <c r="B80" i="28"/>
  <c r="B81" i="28"/>
  <c r="B83" i="28"/>
  <c r="B53" i="28"/>
  <c r="B54" i="28"/>
  <c r="B55" i="28"/>
  <c r="B56" i="28"/>
  <c r="B57" i="28"/>
  <c r="B58" i="28"/>
  <c r="B59" i="28"/>
  <c r="B60" i="28"/>
  <c r="B61" i="28"/>
  <c r="B62" i="28"/>
  <c r="B63" i="28"/>
  <c r="B64" i="28"/>
  <c r="B65" i="28"/>
  <c r="B66" i="28"/>
  <c r="B35" i="28"/>
  <c r="B36" i="28"/>
  <c r="B37" i="28"/>
  <c r="B39" i="28"/>
  <c r="B40" i="28"/>
  <c r="B41" i="28"/>
  <c r="B43" i="28"/>
  <c r="B44" i="28"/>
  <c r="B45" i="28"/>
  <c r="B47" i="28"/>
  <c r="B48" i="28"/>
  <c r="B49" i="28"/>
  <c r="B51" i="28"/>
  <c r="B52" i="28"/>
  <c r="B24" i="28"/>
  <c r="B23" i="28"/>
  <c r="B22" i="28"/>
  <c r="B20" i="28"/>
  <c r="B19" i="28"/>
  <c r="B13" i="28"/>
  <c r="B11" i="28"/>
  <c r="B10" i="28"/>
  <c r="B5" i="28"/>
  <c r="B27" i="28"/>
  <c r="B28" i="28"/>
  <c r="B29" i="28"/>
  <c r="B31" i="28"/>
  <c r="B32" i="28"/>
  <c r="B33" i="28"/>
  <c r="B16" i="28"/>
  <c r="B15" i="28"/>
  <c r="B14" i="28"/>
  <c r="B8" i="28"/>
  <c r="B7" i="28"/>
  <c r="B6" i="28"/>
  <c r="B50" i="28" l="1"/>
  <c r="B46" i="28"/>
  <c r="C46" i="28" s="1"/>
  <c r="B42" i="28"/>
  <c r="G42" i="28" s="1"/>
  <c r="B38" i="28"/>
  <c r="H38" i="28" s="1"/>
  <c r="B34" i="28"/>
  <c r="B82" i="28"/>
  <c r="D82" i="28" s="1"/>
  <c r="B78" i="28"/>
  <c r="G78" i="28" s="1"/>
  <c r="B74" i="28"/>
  <c r="G74" i="28" s="1"/>
  <c r="B70" i="28"/>
  <c r="D70" i="28" s="1"/>
  <c r="A91" i="28"/>
  <c r="A87" i="28"/>
  <c r="A83" i="28"/>
  <c r="A79" i="28"/>
  <c r="A75" i="28"/>
  <c r="A71" i="28"/>
  <c r="A67" i="28"/>
  <c r="A63" i="28"/>
  <c r="A59" i="28"/>
  <c r="A55" i="28"/>
  <c r="A51" i="28"/>
  <c r="A47" i="28"/>
  <c r="A43" i="28"/>
  <c r="A39" i="28"/>
  <c r="A35" i="28"/>
  <c r="A31" i="28"/>
  <c r="A27" i="28"/>
  <c r="A23" i="28"/>
  <c r="A19" i="28"/>
  <c r="A15" i="28"/>
  <c r="A11" i="28"/>
  <c r="A7" i="28"/>
  <c r="B25" i="28"/>
  <c r="F25" i="28" s="1"/>
  <c r="B9" i="28"/>
  <c r="B17" i="28"/>
  <c r="D17" i="28" s="1"/>
  <c r="B30" i="28"/>
  <c r="C30" i="28" s="1"/>
  <c r="B26" i="28"/>
  <c r="F26" i="28" s="1"/>
  <c r="B12" i="28"/>
  <c r="B21" i="28"/>
  <c r="G21" i="28" s="1"/>
  <c r="D91" i="28"/>
  <c r="H7" i="28"/>
  <c r="E53" i="28"/>
  <c r="I63" i="28"/>
  <c r="J63" i="28" s="1"/>
  <c r="K63" i="28" s="1"/>
  <c r="L63" i="28" s="1"/>
  <c r="M63" i="28" s="1"/>
  <c r="N63" i="28" s="1"/>
  <c r="I75" i="28"/>
  <c r="J75" i="28" s="1"/>
  <c r="K75" i="28" s="1"/>
  <c r="L75" i="28" s="1"/>
  <c r="M75" i="28" s="1"/>
  <c r="N75" i="28" s="1"/>
  <c r="I80" i="28"/>
  <c r="J80" i="28" s="1"/>
  <c r="K80" i="28" s="1"/>
  <c r="L80" i="28" s="1"/>
  <c r="M80" i="28" s="1"/>
  <c r="N80" i="28" s="1"/>
  <c r="B18" i="28"/>
  <c r="E22" i="28"/>
  <c r="E55" i="28"/>
  <c r="C65" i="28"/>
  <c r="H70" i="28"/>
  <c r="H76" i="28"/>
  <c r="H87" i="28"/>
  <c r="G93" i="28"/>
  <c r="A6" i="28"/>
  <c r="D44" i="28"/>
  <c r="F61" i="28"/>
  <c r="E68" i="28"/>
  <c r="D80" i="28"/>
  <c r="H86" i="28"/>
  <c r="G89" i="28"/>
  <c r="C87" i="28"/>
  <c r="A5" i="17"/>
  <c r="G57" i="28"/>
  <c r="I65" i="28"/>
  <c r="J65" i="28" s="1"/>
  <c r="K65" i="28" s="1"/>
  <c r="L65" i="28" s="1"/>
  <c r="M65" i="28" s="1"/>
  <c r="N65" i="28" s="1"/>
  <c r="E72" i="28"/>
  <c r="I79" i="28"/>
  <c r="J79" i="28" s="1"/>
  <c r="K79" i="28" s="1"/>
  <c r="L79" i="28" s="1"/>
  <c r="M79" i="28" s="1"/>
  <c r="N79" i="28" s="1"/>
  <c r="C85" i="28"/>
  <c r="C89" i="28"/>
  <c r="C16" i="28"/>
  <c r="C31" i="28"/>
  <c r="G27" i="28"/>
  <c r="G11" i="28"/>
  <c r="G20" i="28"/>
  <c r="C24" i="28"/>
  <c r="E49" i="28"/>
  <c r="I41" i="28"/>
  <c r="J41" i="28" s="1"/>
  <c r="K41" i="28" s="1"/>
  <c r="L41" i="28" s="1"/>
  <c r="M41" i="28" s="1"/>
  <c r="N41" i="28" s="1"/>
  <c r="E37" i="28"/>
  <c r="E66" i="28"/>
  <c r="E62" i="28"/>
  <c r="E58" i="28"/>
  <c r="F54" i="28"/>
  <c r="D81" i="28"/>
  <c r="D77" i="28"/>
  <c r="D73" i="28"/>
  <c r="D69" i="28"/>
  <c r="C92" i="28"/>
  <c r="C88" i="28"/>
  <c r="C84" i="28"/>
  <c r="F56" i="28"/>
  <c r="D90" i="28"/>
  <c r="D15" i="28"/>
  <c r="H28" i="28"/>
  <c r="H19" i="28"/>
  <c r="D23" i="28"/>
  <c r="F63" i="28"/>
  <c r="F59" i="28"/>
  <c r="F55" i="28"/>
  <c r="E70" i="28"/>
  <c r="D93" i="28"/>
  <c r="D89" i="28"/>
  <c r="D85" i="28"/>
  <c r="F9" i="28"/>
  <c r="F21" i="28"/>
  <c r="H52" i="28"/>
  <c r="D48" i="28"/>
  <c r="H44" i="28"/>
  <c r="D40" i="28"/>
  <c r="H36" i="28"/>
  <c r="D65" i="28"/>
  <c r="D61" i="28"/>
  <c r="D57" i="28"/>
  <c r="I53" i="28"/>
  <c r="C80" i="28"/>
  <c r="C76" i="28"/>
  <c r="C72" i="28"/>
  <c r="C68" i="28"/>
  <c r="F91" i="28"/>
  <c r="F87" i="28"/>
  <c r="E71" i="28"/>
  <c r="D86" i="28"/>
  <c r="E67" i="28"/>
  <c r="D10" i="28"/>
  <c r="F46" i="28"/>
  <c r="E92" i="28"/>
  <c r="H66" i="28"/>
  <c r="G62" i="28"/>
  <c r="H58" i="28"/>
  <c r="I37" i="28"/>
  <c r="J37" i="28" s="1"/>
  <c r="K37" i="28" s="1"/>
  <c r="L37" i="28" s="1"/>
  <c r="M37" i="28" s="1"/>
  <c r="N37" i="28" s="1"/>
  <c r="H91" i="28"/>
  <c r="C91" i="28"/>
  <c r="G87" i="28"/>
  <c r="F84" i="28"/>
  <c r="G81" i="28"/>
  <c r="H80" i="28"/>
  <c r="F77" i="28"/>
  <c r="F76" i="28"/>
  <c r="C73" i="28"/>
  <c r="D72" i="28"/>
  <c r="I68" i="28"/>
  <c r="J68" i="28" s="1"/>
  <c r="K68" i="28" s="1"/>
  <c r="L68" i="28" s="1"/>
  <c r="M68" i="28" s="1"/>
  <c r="N68" i="28" s="1"/>
  <c r="D68" i="28"/>
  <c r="G66" i="28"/>
  <c r="G65" i="28"/>
  <c r="D62" i="28"/>
  <c r="E61" i="28"/>
  <c r="G58" i="28"/>
  <c r="F57" i="28"/>
  <c r="H54" i="28"/>
  <c r="C93" i="28"/>
  <c r="G91" i="28"/>
  <c r="H90" i="28"/>
  <c r="F88" i="28"/>
  <c r="E87" i="28"/>
  <c r="E84" i="28"/>
  <c r="F81" i="28"/>
  <c r="F80" i="28"/>
  <c r="C77" i="28"/>
  <c r="E76" i="28"/>
  <c r="H72" i="28"/>
  <c r="I71" i="28"/>
  <c r="J71" i="28" s="1"/>
  <c r="K71" i="28" s="1"/>
  <c r="L71" i="28" s="1"/>
  <c r="M71" i="28" s="1"/>
  <c r="N71" i="28" s="1"/>
  <c r="G69" i="28"/>
  <c r="H68" i="28"/>
  <c r="I67" i="28"/>
  <c r="J67" i="28" s="1"/>
  <c r="K67" i="28" s="1"/>
  <c r="L67" i="28" s="1"/>
  <c r="M67" i="28" s="1"/>
  <c r="N67" i="28" s="1"/>
  <c r="D66" i="28"/>
  <c r="F65" i="28"/>
  <c r="E63" i="28"/>
  <c r="C62" i="28"/>
  <c r="C61" i="28"/>
  <c r="D58" i="28"/>
  <c r="C57" i="28"/>
  <c r="G54" i="28"/>
  <c r="H48" i="28"/>
  <c r="G16" i="28"/>
  <c r="G77" i="28"/>
  <c r="F73" i="28"/>
  <c r="C69" i="28"/>
  <c r="C20" i="28"/>
  <c r="F92" i="28"/>
  <c r="E91" i="28"/>
  <c r="E88" i="28"/>
  <c r="D87" i="28"/>
  <c r="G85" i="28"/>
  <c r="H82" i="28"/>
  <c r="C81" i="28"/>
  <c r="E80" i="28"/>
  <c r="I76" i="28"/>
  <c r="J76" i="28" s="1"/>
  <c r="K76" i="28" s="1"/>
  <c r="L76" i="28" s="1"/>
  <c r="M76" i="28" s="1"/>
  <c r="N76" i="28" s="1"/>
  <c r="D76" i="28"/>
  <c r="G73" i="28"/>
  <c r="F72" i="28"/>
  <c r="F69" i="28"/>
  <c r="F68" i="28"/>
  <c r="C66" i="28"/>
  <c r="E65" i="28"/>
  <c r="H62" i="28"/>
  <c r="G61" i="28"/>
  <c r="E59" i="28"/>
  <c r="C58" i="28"/>
  <c r="F6" i="28"/>
  <c r="C6" i="28"/>
  <c r="G6" i="28"/>
  <c r="D6" i="28"/>
  <c r="H6" i="28"/>
  <c r="E6" i="28"/>
  <c r="I6" i="28"/>
  <c r="J6" i="28" s="1"/>
  <c r="K6" i="28" s="1"/>
  <c r="L6" i="28" s="1"/>
  <c r="M6" i="28" s="1"/>
  <c r="N6" i="28" s="1"/>
  <c r="F14" i="28"/>
  <c r="C14" i="28"/>
  <c r="G14" i="28"/>
  <c r="D14" i="28"/>
  <c r="H14" i="28"/>
  <c r="E14" i="28"/>
  <c r="I14" i="28"/>
  <c r="J14" i="28" s="1"/>
  <c r="K14" i="28" s="1"/>
  <c r="L14" i="28" s="1"/>
  <c r="M14" i="28" s="1"/>
  <c r="N14" i="28" s="1"/>
  <c r="F33" i="28"/>
  <c r="C33" i="28"/>
  <c r="G33" i="28"/>
  <c r="D33" i="28"/>
  <c r="H33" i="28"/>
  <c r="I33" i="28"/>
  <c r="J33" i="28" s="1"/>
  <c r="K33" i="28" s="1"/>
  <c r="L33" i="28" s="1"/>
  <c r="M33" i="28" s="1"/>
  <c r="N33" i="28" s="1"/>
  <c r="F29" i="28"/>
  <c r="C29" i="28"/>
  <c r="G29" i="28"/>
  <c r="D29" i="28"/>
  <c r="H29" i="28"/>
  <c r="E29" i="28"/>
  <c r="I29" i="28"/>
  <c r="J29" i="28" s="1"/>
  <c r="K29" i="28" s="1"/>
  <c r="L29" i="28" s="1"/>
  <c r="M29" i="28" s="1"/>
  <c r="N29" i="28" s="1"/>
  <c r="F5" i="28"/>
  <c r="C5" i="28"/>
  <c r="G5" i="28"/>
  <c r="D5" i="28"/>
  <c r="H5" i="28"/>
  <c r="E5" i="28"/>
  <c r="F13" i="28"/>
  <c r="C13" i="28"/>
  <c r="G13" i="28"/>
  <c r="D13" i="28"/>
  <c r="H13" i="28"/>
  <c r="E13" i="28"/>
  <c r="F22" i="28"/>
  <c r="C22" i="28"/>
  <c r="G22" i="28"/>
  <c r="D22" i="28"/>
  <c r="H22" i="28"/>
  <c r="D51" i="28"/>
  <c r="H51" i="28"/>
  <c r="E51" i="28"/>
  <c r="I51" i="28"/>
  <c r="F51" i="28"/>
  <c r="C51" i="28"/>
  <c r="D47" i="28"/>
  <c r="H47" i="28"/>
  <c r="E47" i="28"/>
  <c r="F47" i="28"/>
  <c r="G47" i="28"/>
  <c r="D43" i="28"/>
  <c r="H43" i="28"/>
  <c r="E43" i="28"/>
  <c r="I43" i="28"/>
  <c r="J43" i="28" s="1"/>
  <c r="K43" i="28" s="1"/>
  <c r="L43" i="28" s="1"/>
  <c r="M43" i="28" s="1"/>
  <c r="N43" i="28" s="1"/>
  <c r="F43" i="28"/>
  <c r="C43" i="28"/>
  <c r="G43" i="28"/>
  <c r="D39" i="28"/>
  <c r="H39" i="28"/>
  <c r="E39" i="28"/>
  <c r="I39" i="28"/>
  <c r="J39" i="28" s="1"/>
  <c r="K39" i="28" s="1"/>
  <c r="L39" i="28" s="1"/>
  <c r="M39" i="28" s="1"/>
  <c r="N39" i="28" s="1"/>
  <c r="F39" i="28"/>
  <c r="G39" i="28"/>
  <c r="C39" i="28"/>
  <c r="D35" i="28"/>
  <c r="H35" i="28"/>
  <c r="E35" i="28"/>
  <c r="I35" i="28"/>
  <c r="J35" i="28" s="1"/>
  <c r="K35" i="28" s="1"/>
  <c r="L35" i="28" s="1"/>
  <c r="M35" i="28" s="1"/>
  <c r="N35" i="28" s="1"/>
  <c r="F35" i="28"/>
  <c r="C35" i="28"/>
  <c r="C64" i="28"/>
  <c r="G64" i="28"/>
  <c r="D64" i="28"/>
  <c r="H64" i="28"/>
  <c r="E64" i="28"/>
  <c r="I64" i="28"/>
  <c r="J64" i="28" s="1"/>
  <c r="K64" i="28" s="1"/>
  <c r="L64" i="28" s="1"/>
  <c r="M64" i="28" s="1"/>
  <c r="N64" i="28" s="1"/>
  <c r="C60" i="28"/>
  <c r="G60" i="28"/>
  <c r="E60" i="28"/>
  <c r="D60" i="28"/>
  <c r="H60" i="28"/>
  <c r="C56" i="28"/>
  <c r="G56" i="28"/>
  <c r="E56" i="28"/>
  <c r="D56" i="28"/>
  <c r="H56" i="28"/>
  <c r="F83" i="28"/>
  <c r="G83" i="28"/>
  <c r="C83" i="28"/>
  <c r="D83" i="28"/>
  <c r="H83" i="28"/>
  <c r="F79" i="28"/>
  <c r="G79" i="28"/>
  <c r="C79" i="28"/>
  <c r="D79" i="28"/>
  <c r="H79" i="28"/>
  <c r="F75" i="28"/>
  <c r="G75" i="28"/>
  <c r="C75" i="28"/>
  <c r="D75" i="28"/>
  <c r="H75" i="28"/>
  <c r="F71" i="28"/>
  <c r="C71" i="28"/>
  <c r="H71" i="28"/>
  <c r="G71" i="28"/>
  <c r="D71" i="28"/>
  <c r="F67" i="28"/>
  <c r="C67" i="28"/>
  <c r="G67" i="28"/>
  <c r="D67" i="28"/>
  <c r="H67" i="28"/>
  <c r="E90" i="28"/>
  <c r="F90" i="28"/>
  <c r="C90" i="28"/>
  <c r="G90" i="28"/>
  <c r="E86" i="28"/>
  <c r="F86" i="28"/>
  <c r="C86" i="28"/>
  <c r="G86" i="28"/>
  <c r="E83" i="28"/>
  <c r="E79" i="28"/>
  <c r="E75" i="28"/>
  <c r="F60" i="28"/>
  <c r="C47" i="28"/>
  <c r="G35" i="28"/>
  <c r="E7" i="28"/>
  <c r="I7" i="28"/>
  <c r="J7" i="28" s="1"/>
  <c r="K7" i="28" s="1"/>
  <c r="L7" i="28" s="1"/>
  <c r="M7" i="28" s="1"/>
  <c r="N7" i="28" s="1"/>
  <c r="F7" i="28"/>
  <c r="C7" i="28"/>
  <c r="G7" i="28"/>
  <c r="D7" i="28"/>
  <c r="E15" i="28"/>
  <c r="I15" i="28"/>
  <c r="J15" i="28" s="1"/>
  <c r="K15" i="28" s="1"/>
  <c r="L15" i="28" s="1"/>
  <c r="M15" i="28" s="1"/>
  <c r="N15" i="28" s="1"/>
  <c r="F15" i="28"/>
  <c r="C15" i="28"/>
  <c r="G15" i="28"/>
  <c r="H15" i="28"/>
  <c r="E32" i="28"/>
  <c r="I32" i="28"/>
  <c r="J32" i="28" s="1"/>
  <c r="K32" i="28" s="1"/>
  <c r="L32" i="28" s="1"/>
  <c r="M32" i="28" s="1"/>
  <c r="N32" i="28" s="1"/>
  <c r="F32" i="28"/>
  <c r="C32" i="28"/>
  <c r="G32" i="28"/>
  <c r="D32" i="28"/>
  <c r="H32" i="28"/>
  <c r="E28" i="28"/>
  <c r="I28" i="28"/>
  <c r="J28" i="28" s="1"/>
  <c r="K28" i="28" s="1"/>
  <c r="L28" i="28" s="1"/>
  <c r="M28" i="28" s="1"/>
  <c r="N28" i="28" s="1"/>
  <c r="F28" i="28"/>
  <c r="C28" i="28"/>
  <c r="G28" i="28"/>
  <c r="D28" i="28"/>
  <c r="E10" i="28"/>
  <c r="F10" i="28"/>
  <c r="C10" i="28"/>
  <c r="G10" i="28"/>
  <c r="H10" i="28"/>
  <c r="F64" i="28"/>
  <c r="G51" i="28"/>
  <c r="E33" i="28"/>
  <c r="C50" i="28"/>
  <c r="G50" i="28"/>
  <c r="D50" i="28"/>
  <c r="H50" i="28"/>
  <c r="E50" i="28"/>
  <c r="I50" i="28"/>
  <c r="C34" i="28"/>
  <c r="G34" i="28"/>
  <c r="D34" i="28"/>
  <c r="H34" i="28"/>
  <c r="E34" i="28"/>
  <c r="I34" i="28"/>
  <c r="J34" i="28" s="1"/>
  <c r="K34" i="28" s="1"/>
  <c r="L34" i="28" s="1"/>
  <c r="M34" i="28" s="1"/>
  <c r="N34" i="28" s="1"/>
  <c r="F93" i="28"/>
  <c r="F89" i="28"/>
  <c r="F85" i="28"/>
  <c r="G82" i="28"/>
  <c r="C82" i="28"/>
  <c r="G70" i="28"/>
  <c r="C70" i="28"/>
  <c r="H63" i="28"/>
  <c r="D63" i="28"/>
  <c r="H59" i="28"/>
  <c r="D59" i="28"/>
  <c r="H55" i="28"/>
  <c r="D8" i="28"/>
  <c r="H8" i="28"/>
  <c r="E8" i="28"/>
  <c r="I8" i="28"/>
  <c r="J8" i="28" s="1"/>
  <c r="K8" i="28" s="1"/>
  <c r="L8" i="28" s="1"/>
  <c r="M8" i="28" s="1"/>
  <c r="N8" i="28" s="1"/>
  <c r="F8" i="28"/>
  <c r="D31" i="28"/>
  <c r="H31" i="28"/>
  <c r="E31" i="28"/>
  <c r="I31" i="28"/>
  <c r="J31" i="28" s="1"/>
  <c r="K31" i="28" s="1"/>
  <c r="L31" i="28" s="1"/>
  <c r="M31" i="28" s="1"/>
  <c r="N31" i="28" s="1"/>
  <c r="F31" i="28"/>
  <c r="D11" i="28"/>
  <c r="H11" i="28"/>
  <c r="E11" i="28"/>
  <c r="F11" i="28"/>
  <c r="D24" i="28"/>
  <c r="H24" i="28"/>
  <c r="E24" i="28"/>
  <c r="F24" i="28"/>
  <c r="F41" i="28"/>
  <c r="C41" i="28"/>
  <c r="G41" i="28"/>
  <c r="D41" i="28"/>
  <c r="H41" i="28"/>
  <c r="E81" i="28"/>
  <c r="E73" i="28"/>
  <c r="F70" i="28"/>
  <c r="E69" i="28"/>
  <c r="F66" i="28"/>
  <c r="G59" i="28"/>
  <c r="C59" i="28"/>
  <c r="F58" i="28"/>
  <c r="E57" i="28"/>
  <c r="G55" i="28"/>
  <c r="C55" i="28"/>
  <c r="F50" i="28"/>
  <c r="E41" i="28"/>
  <c r="F34" i="28"/>
  <c r="C11" i="28"/>
  <c r="G8" i="28"/>
  <c r="E19" i="28"/>
  <c r="F19" i="28"/>
  <c r="C19" i="28"/>
  <c r="G19" i="28"/>
  <c r="E23" i="28"/>
  <c r="F23" i="28"/>
  <c r="C23" i="28"/>
  <c r="G23" i="28"/>
  <c r="G46" i="28"/>
  <c r="D46" i="28"/>
  <c r="D55" i="28"/>
  <c r="H23" i="28"/>
  <c r="D16" i="28"/>
  <c r="H16" i="28"/>
  <c r="E16" i="28"/>
  <c r="I16" i="28"/>
  <c r="J16" i="28" s="1"/>
  <c r="K16" i="28" s="1"/>
  <c r="L16" i="28" s="1"/>
  <c r="M16" i="28" s="1"/>
  <c r="N16" i="28" s="1"/>
  <c r="F16" i="28"/>
  <c r="D27" i="28"/>
  <c r="H27" i="28"/>
  <c r="E27" i="28"/>
  <c r="I27" i="28"/>
  <c r="J27" i="28" s="1"/>
  <c r="K27" i="28" s="1"/>
  <c r="L27" i="28" s="1"/>
  <c r="M27" i="28" s="1"/>
  <c r="N27" i="28" s="1"/>
  <c r="F27" i="28"/>
  <c r="D20" i="28"/>
  <c r="H20" i="28"/>
  <c r="E20" i="28"/>
  <c r="F20" i="28"/>
  <c r="F49" i="28"/>
  <c r="C49" i="28"/>
  <c r="G49" i="28"/>
  <c r="D49" i="28"/>
  <c r="H49" i="28"/>
  <c r="F45" i="28"/>
  <c r="C45" i="28"/>
  <c r="G45" i="28"/>
  <c r="D45" i="28"/>
  <c r="H45" i="28"/>
  <c r="F37" i="28"/>
  <c r="C37" i="28"/>
  <c r="G37" i="28"/>
  <c r="D37" i="28"/>
  <c r="H37" i="28"/>
  <c r="C54" i="28"/>
  <c r="E54" i="28"/>
  <c r="E93" i="28"/>
  <c r="H92" i="28"/>
  <c r="D92" i="28"/>
  <c r="E89" i="28"/>
  <c r="H88" i="28"/>
  <c r="D88" i="28"/>
  <c r="E85" i="28"/>
  <c r="H84" i="28"/>
  <c r="D84" i="28"/>
  <c r="F82" i="28"/>
  <c r="I77" i="28"/>
  <c r="J77" i="28" s="1"/>
  <c r="K77" i="28" s="1"/>
  <c r="L77" i="28" s="1"/>
  <c r="M77" i="28" s="1"/>
  <c r="N77" i="28" s="1"/>
  <c r="E77" i="28"/>
  <c r="I69" i="28"/>
  <c r="J69" i="28" s="1"/>
  <c r="K69" i="28" s="1"/>
  <c r="L69" i="28" s="1"/>
  <c r="M69" i="28" s="1"/>
  <c r="N69" i="28" s="1"/>
  <c r="G63" i="28"/>
  <c r="C63" i="28"/>
  <c r="F62" i="28"/>
  <c r="C9" i="28"/>
  <c r="G9" i="28"/>
  <c r="D9" i="28"/>
  <c r="H9" i="28"/>
  <c r="E9" i="28"/>
  <c r="I9" i="28"/>
  <c r="J9" i="28" s="1"/>
  <c r="K9" i="28" s="1"/>
  <c r="L9" i="28" s="1"/>
  <c r="M9" i="28" s="1"/>
  <c r="N9" i="28" s="1"/>
  <c r="G17" i="28"/>
  <c r="C12" i="28"/>
  <c r="G12" i="28"/>
  <c r="D12" i="28"/>
  <c r="H12" i="28"/>
  <c r="E12" i="28"/>
  <c r="C21" i="28"/>
  <c r="E21" i="28"/>
  <c r="E52" i="28"/>
  <c r="I52" i="28"/>
  <c r="F52" i="28"/>
  <c r="C52" i="28"/>
  <c r="G52" i="28"/>
  <c r="E48" i="28"/>
  <c r="F48" i="28"/>
  <c r="C48" i="28"/>
  <c r="G48" i="28"/>
  <c r="E44" i="28"/>
  <c r="F44" i="28"/>
  <c r="C44" i="28"/>
  <c r="G44" i="28"/>
  <c r="E40" i="28"/>
  <c r="I40" i="28"/>
  <c r="J40" i="28" s="1"/>
  <c r="K40" i="28" s="1"/>
  <c r="L40" i="28" s="1"/>
  <c r="M40" i="28" s="1"/>
  <c r="N40" i="28" s="1"/>
  <c r="F40" i="28"/>
  <c r="C40" i="28"/>
  <c r="G40" i="28"/>
  <c r="E36" i="28"/>
  <c r="I36" i="28"/>
  <c r="J36" i="28" s="1"/>
  <c r="K36" i="28" s="1"/>
  <c r="L36" i="28" s="1"/>
  <c r="M36" i="28" s="1"/>
  <c r="N36" i="28" s="1"/>
  <c r="F36" i="28"/>
  <c r="C36" i="28"/>
  <c r="G36" i="28"/>
  <c r="F53" i="28"/>
  <c r="C53" i="28"/>
  <c r="G53" i="28"/>
  <c r="D53" i="28"/>
  <c r="H53" i="28"/>
  <c r="H93" i="28"/>
  <c r="G92" i="28"/>
  <c r="H89" i="28"/>
  <c r="G88" i="28"/>
  <c r="H85" i="28"/>
  <c r="G84" i="28"/>
  <c r="H81" i="28"/>
  <c r="G80" i="28"/>
  <c r="H77" i="28"/>
  <c r="G76" i="28"/>
  <c r="H73" i="28"/>
  <c r="G72" i="28"/>
  <c r="I70" i="28"/>
  <c r="J70" i="28" s="1"/>
  <c r="K70" i="28" s="1"/>
  <c r="L70" i="28" s="1"/>
  <c r="M70" i="28" s="1"/>
  <c r="N70" i="28" s="1"/>
  <c r="H69" i="28"/>
  <c r="G68" i="28"/>
  <c r="I66" i="28"/>
  <c r="J66" i="28" s="1"/>
  <c r="K66" i="28" s="1"/>
  <c r="L66" i="28" s="1"/>
  <c r="M66" i="28" s="1"/>
  <c r="N66" i="28" s="1"/>
  <c r="H65" i="28"/>
  <c r="I62" i="28"/>
  <c r="J62" i="28" s="1"/>
  <c r="K62" i="28" s="1"/>
  <c r="L62" i="28" s="1"/>
  <c r="M62" i="28" s="1"/>
  <c r="N62" i="28" s="1"/>
  <c r="H61" i="28"/>
  <c r="H57" i="28"/>
  <c r="D54" i="28"/>
  <c r="D52" i="28"/>
  <c r="E45" i="28"/>
  <c r="H40" i="28"/>
  <c r="D36" i="28"/>
  <c r="G31" i="28"/>
  <c r="C27" i="28"/>
  <c r="F12" i="28"/>
  <c r="D19" i="28"/>
  <c r="G24" i="28"/>
  <c r="C8" i="28"/>
  <c r="E82" i="28" l="1"/>
  <c r="E78" i="28"/>
  <c r="H78" i="28"/>
  <c r="F42" i="28"/>
  <c r="E17" i="28"/>
  <c r="H21" i="28"/>
  <c r="H17" i="28"/>
  <c r="H30" i="28"/>
  <c r="D21" i="28"/>
  <c r="I17" i="28"/>
  <c r="J17" i="28" s="1"/>
  <c r="K17" i="28" s="1"/>
  <c r="L17" i="28" s="1"/>
  <c r="M17" i="28" s="1"/>
  <c r="N17" i="28" s="1"/>
  <c r="C17" i="28"/>
  <c r="H46" i="28"/>
  <c r="E42" i="28"/>
  <c r="H42" i="28"/>
  <c r="D30" i="28"/>
  <c r="G25" i="28"/>
  <c r="C42" i="28"/>
  <c r="I30" i="28"/>
  <c r="J30" i="28" s="1"/>
  <c r="K30" i="28" s="1"/>
  <c r="L30" i="28" s="1"/>
  <c r="M30" i="28" s="1"/>
  <c r="N30" i="28" s="1"/>
  <c r="G30" i="28"/>
  <c r="C78" i="28"/>
  <c r="D42" i="28"/>
  <c r="D78" i="28"/>
  <c r="F30" i="28"/>
  <c r="F17" i="28"/>
  <c r="I78" i="28"/>
  <c r="J78" i="28" s="1"/>
  <c r="K78" i="28" s="1"/>
  <c r="L78" i="28" s="1"/>
  <c r="M78" i="28" s="1"/>
  <c r="N78" i="28" s="1"/>
  <c r="E30" i="28"/>
  <c r="F78" i="28"/>
  <c r="E46" i="28"/>
  <c r="I42" i="28"/>
  <c r="J42" i="28" s="1"/>
  <c r="K42" i="28" s="1"/>
  <c r="L42" i="28" s="1"/>
  <c r="M42" i="28" s="1"/>
  <c r="N42" i="28" s="1"/>
  <c r="D26" i="28"/>
  <c r="F38" i="28"/>
  <c r="E74" i="28"/>
  <c r="D38" i="28"/>
  <c r="D74" i="28"/>
  <c r="I26" i="28"/>
  <c r="J26" i="28" s="1"/>
  <c r="K26" i="28" s="1"/>
  <c r="L26" i="28" s="1"/>
  <c r="M26" i="28" s="1"/>
  <c r="N26" i="28" s="1"/>
  <c r="G26" i="28"/>
  <c r="E25" i="28"/>
  <c r="C25" i="28"/>
  <c r="I38" i="28"/>
  <c r="J38" i="28" s="1"/>
  <c r="K38" i="28" s="1"/>
  <c r="L38" i="28" s="1"/>
  <c r="M38" i="28" s="1"/>
  <c r="N38" i="28" s="1"/>
  <c r="G38" i="28"/>
  <c r="H74" i="28"/>
  <c r="E26" i="28"/>
  <c r="H25" i="28"/>
  <c r="F74" i="28"/>
  <c r="E38" i="28"/>
  <c r="C38" i="28"/>
  <c r="C74" i="28"/>
  <c r="C26" i="28"/>
  <c r="I74" i="28"/>
  <c r="J74" i="28" s="1"/>
  <c r="K74" i="28" s="1"/>
  <c r="L74" i="28" s="1"/>
  <c r="M74" i="28" s="1"/>
  <c r="N74" i="28" s="1"/>
  <c r="H26" i="28"/>
  <c r="D25" i="28"/>
  <c r="G59" i="23" l="1"/>
  <c r="H59" i="23"/>
  <c r="I59" i="23"/>
  <c r="J59" i="23"/>
  <c r="F59" i="23"/>
  <c r="H57" i="23"/>
  <c r="I57" i="23"/>
  <c r="J57" i="23"/>
  <c r="G57" i="23"/>
  <c r="G55" i="23"/>
  <c r="H55" i="23"/>
  <c r="I55" i="23"/>
  <c r="J55" i="23"/>
  <c r="F55" i="23"/>
  <c r="G58" i="23"/>
  <c r="H58" i="23"/>
  <c r="I58" i="23"/>
  <c r="J58" i="23"/>
  <c r="F58" i="23"/>
  <c r="J54" i="23"/>
  <c r="I54" i="23"/>
  <c r="H54" i="23"/>
  <c r="G54" i="23"/>
  <c r="F54" i="23"/>
  <c r="E58" i="23"/>
  <c r="E59" i="23" s="1"/>
  <c r="D58" i="23"/>
  <c r="C58" i="23"/>
  <c r="E57" i="23"/>
  <c r="D57" i="23"/>
  <c r="E54" i="23"/>
  <c r="D54" i="23"/>
  <c r="C17" i="21"/>
  <c r="D39" i="23"/>
  <c r="F42" i="23"/>
  <c r="F43" i="23" s="1"/>
  <c r="F46" i="23"/>
  <c r="F47" i="23" s="1"/>
  <c r="F40" i="23"/>
  <c r="F41" i="23" s="1"/>
  <c r="F38" i="23"/>
  <c r="E39" i="23"/>
  <c r="E48" i="23"/>
  <c r="D48" i="23"/>
  <c r="C48" i="23"/>
  <c r="E47" i="23"/>
  <c r="D47" i="23"/>
  <c r="E45" i="23"/>
  <c r="D45" i="23"/>
  <c r="E43" i="23"/>
  <c r="D43" i="23"/>
  <c r="E41" i="23"/>
  <c r="D41" i="23"/>
  <c r="G30" i="23"/>
  <c r="F30" i="23"/>
  <c r="E30" i="23"/>
  <c r="G29" i="23"/>
  <c r="F29" i="23"/>
  <c r="E29" i="23"/>
  <c r="F28" i="23"/>
  <c r="G28" i="23"/>
  <c r="E28" i="23"/>
  <c r="C30" i="23"/>
  <c r="C29" i="23"/>
  <c r="C28" i="23"/>
  <c r="C23" i="23"/>
  <c r="E23" i="23"/>
  <c r="F23" i="23"/>
  <c r="G23" i="23"/>
  <c r="G22" i="23"/>
  <c r="F22" i="23"/>
  <c r="E22" i="23"/>
  <c r="F21" i="23"/>
  <c r="G21" i="23"/>
  <c r="E21" i="23"/>
  <c r="C22" i="23"/>
  <c r="C21" i="23"/>
  <c r="E14" i="23"/>
  <c r="F14" i="23"/>
  <c r="G14" i="23"/>
  <c r="E15" i="23"/>
  <c r="F15" i="23"/>
  <c r="G15" i="23"/>
  <c r="E16" i="23"/>
  <c r="F16" i="23"/>
  <c r="F13" i="23"/>
  <c r="E13" i="23"/>
  <c r="C16" i="23"/>
  <c r="C15" i="23"/>
  <c r="C14" i="23"/>
  <c r="E4" i="23"/>
  <c r="C5" i="23"/>
  <c r="C6" i="23"/>
  <c r="G4" i="23" s="1"/>
  <c r="C7" i="23"/>
  <c r="C8" i="23"/>
  <c r="C4" i="23"/>
  <c r="E17" i="21"/>
  <c r="D17" i="21"/>
  <c r="E9" i="22"/>
  <c r="F9" i="22"/>
  <c r="E12" i="22"/>
  <c r="F12" i="22"/>
  <c r="D13" i="22"/>
  <c r="E13" i="22"/>
  <c r="E14" i="22" s="1"/>
  <c r="F13" i="22"/>
  <c r="E16" i="21"/>
  <c r="D16" i="21"/>
  <c r="C16" i="21"/>
  <c r="E15" i="21"/>
  <c r="D15" i="21"/>
  <c r="E13" i="21"/>
  <c r="D13" i="21"/>
  <c r="E11" i="21"/>
  <c r="D11" i="21"/>
  <c r="E9" i="21"/>
  <c r="D9" i="21"/>
  <c r="E7" i="21"/>
  <c r="D7" i="21"/>
  <c r="I21" i="17"/>
  <c r="G46" i="23" l="1"/>
  <c r="G42" i="23"/>
  <c r="G40" i="23"/>
  <c r="F48" i="23"/>
  <c r="F53" i="23" s="1"/>
  <c r="G38" i="23"/>
  <c r="D59" i="23"/>
  <c r="F39" i="23"/>
  <c r="F31" i="23"/>
  <c r="H30" i="23"/>
  <c r="I30" i="23" s="1"/>
  <c r="J30" i="23" s="1"/>
  <c r="K30" i="23" s="1"/>
  <c r="E31" i="23"/>
  <c r="G31" i="23"/>
  <c r="H29" i="23"/>
  <c r="I29" i="23" s="1"/>
  <c r="J29" i="23" s="1"/>
  <c r="K29" i="23" s="1"/>
  <c r="H28" i="23"/>
  <c r="I28" i="23" s="1"/>
  <c r="H23" i="23"/>
  <c r="I23" i="23" s="1"/>
  <c r="J23" i="23" s="1"/>
  <c r="K23" i="23" s="1"/>
  <c r="H22" i="23"/>
  <c r="I22" i="23" s="1"/>
  <c r="J22" i="23" s="1"/>
  <c r="K22" i="23" s="1"/>
  <c r="C31" i="23"/>
  <c r="H14" i="23"/>
  <c r="F24" i="23"/>
  <c r="H15" i="23"/>
  <c r="E24" i="23"/>
  <c r="C24" i="23"/>
  <c r="C17" i="23"/>
  <c r="E17" i="23"/>
  <c r="F17" i="23"/>
  <c r="C9" i="23"/>
  <c r="F14" i="22"/>
  <c r="I90" i="17"/>
  <c r="I86" i="17"/>
  <c r="I18" i="17"/>
  <c r="I22" i="17"/>
  <c r="I14" i="17"/>
  <c r="H21" i="23" l="1"/>
  <c r="I21" i="23" s="1"/>
  <c r="I61" i="28"/>
  <c r="I72" i="28"/>
  <c r="J72" i="28" s="1"/>
  <c r="K72" i="28" s="1"/>
  <c r="I84" i="28"/>
  <c r="I88" i="28"/>
  <c r="J88" i="28" s="1"/>
  <c r="K88" i="28" s="1"/>
  <c r="I92" i="28"/>
  <c r="J92" i="28" s="1"/>
  <c r="K92" i="28" s="1"/>
  <c r="I59" i="28"/>
  <c r="I83" i="28"/>
  <c r="I55" i="28"/>
  <c r="I87" i="28"/>
  <c r="J87" i="28" s="1"/>
  <c r="K87" i="28" s="1"/>
  <c r="I91" i="28"/>
  <c r="J91" i="28" s="1"/>
  <c r="K91" i="28" s="1"/>
  <c r="I5" i="28"/>
  <c r="I11" i="28"/>
  <c r="J11" i="28" s="1"/>
  <c r="K11" i="28" s="1"/>
  <c r="I89" i="28"/>
  <c r="J89" i="28" s="1"/>
  <c r="K89" i="28" s="1"/>
  <c r="I85" i="28"/>
  <c r="J85" i="28" s="1"/>
  <c r="K85" i="28" s="1"/>
  <c r="I12" i="28"/>
  <c r="J12" i="28" s="1"/>
  <c r="K12" i="28" s="1"/>
  <c r="I82" i="28"/>
  <c r="I58" i="28"/>
  <c r="I25" i="28"/>
  <c r="I21" i="28"/>
  <c r="J21" i="28" s="1"/>
  <c r="K21" i="28" s="1"/>
  <c r="I44" i="28"/>
  <c r="J44" i="28" s="1"/>
  <c r="K44" i="28" s="1"/>
  <c r="I54" i="28"/>
  <c r="I56" i="28"/>
  <c r="I86" i="28"/>
  <c r="J86" i="28" s="1"/>
  <c r="K86" i="28" s="1"/>
  <c r="I57" i="28"/>
  <c r="I22" i="28"/>
  <c r="I60" i="28"/>
  <c r="I13" i="28"/>
  <c r="J13" i="28" s="1"/>
  <c r="K13" i="28" s="1"/>
  <c r="I10" i="28"/>
  <c r="J10" i="28" s="1"/>
  <c r="K10" i="28" s="1"/>
  <c r="I24" i="28"/>
  <c r="I81" i="28"/>
  <c r="I19" i="28"/>
  <c r="J19" i="28" s="1"/>
  <c r="K19" i="28" s="1"/>
  <c r="I20" i="28"/>
  <c r="I93" i="28"/>
  <c r="J93" i="28" s="1"/>
  <c r="K93" i="28" s="1"/>
  <c r="I48" i="28"/>
  <c r="J48" i="28" s="1"/>
  <c r="K48" i="28" s="1"/>
  <c r="I49" i="28"/>
  <c r="J49" i="28" s="1"/>
  <c r="K49" i="28" s="1"/>
  <c r="I90" i="28"/>
  <c r="J90" i="28" s="1"/>
  <c r="K90" i="28" s="1"/>
  <c r="I45" i="28"/>
  <c r="J45" i="28" s="1"/>
  <c r="K45" i="28" s="1"/>
  <c r="I23" i="28"/>
  <c r="I47" i="28"/>
  <c r="J47" i="28" s="1"/>
  <c r="K47" i="28" s="1"/>
  <c r="I73" i="28"/>
  <c r="J73" i="28" s="1"/>
  <c r="K73" i="28" s="1"/>
  <c r="I46" i="28"/>
  <c r="G41" i="23"/>
  <c r="H40" i="23"/>
  <c r="G43" i="23"/>
  <c r="H42" i="23"/>
  <c r="H38" i="23"/>
  <c r="G39" i="23"/>
  <c r="G48" i="23"/>
  <c r="G53" i="23" s="1"/>
  <c r="G47" i="23"/>
  <c r="H46" i="23"/>
  <c r="J28" i="23"/>
  <c r="I31" i="23"/>
  <c r="I24" i="23"/>
  <c r="J21" i="23"/>
  <c r="J24" i="23" s="1"/>
  <c r="G16" i="23"/>
  <c r="H16" i="23" s="1"/>
  <c r="G13" i="23"/>
  <c r="J5" i="28" l="1"/>
  <c r="K5" i="28"/>
  <c r="L47" i="28"/>
  <c r="M47" i="28"/>
  <c r="N47" i="28"/>
  <c r="N49" i="28"/>
  <c r="M49" i="28"/>
  <c r="L49" i="28"/>
  <c r="L19" i="28"/>
  <c r="M19" i="28"/>
  <c r="N19" i="28"/>
  <c r="M13" i="28"/>
  <c r="L13" i="28"/>
  <c r="N13" i="28"/>
  <c r="N86" i="28"/>
  <c r="L86" i="28"/>
  <c r="M86" i="28"/>
  <c r="L21" i="28"/>
  <c r="M21" i="28"/>
  <c r="N21" i="28"/>
  <c r="N12" i="28"/>
  <c r="M12" i="28"/>
  <c r="L12" i="28"/>
  <c r="M48" i="28"/>
  <c r="N48" i="28"/>
  <c r="L48" i="28"/>
  <c r="N85" i="28"/>
  <c r="L85" i="28"/>
  <c r="M85" i="28"/>
  <c r="L91" i="28"/>
  <c r="M91" i="28"/>
  <c r="N91" i="28"/>
  <c r="L72" i="28"/>
  <c r="M72" i="28"/>
  <c r="N72" i="28"/>
  <c r="N45" i="28"/>
  <c r="M45" i="28"/>
  <c r="L45" i="28"/>
  <c r="N93" i="28"/>
  <c r="L93" i="28"/>
  <c r="M93" i="28"/>
  <c r="N89" i="28"/>
  <c r="L89" i="28"/>
  <c r="M89" i="28"/>
  <c r="L87" i="28"/>
  <c r="M87" i="28"/>
  <c r="N87" i="28"/>
  <c r="L92" i="28"/>
  <c r="N92" i="28"/>
  <c r="M92" i="28"/>
  <c r="N73" i="28"/>
  <c r="L73" i="28"/>
  <c r="M73" i="28"/>
  <c r="M90" i="28"/>
  <c r="L90" i="28"/>
  <c r="N90" i="28"/>
  <c r="L10" i="28"/>
  <c r="M10" i="28"/>
  <c r="N10" i="28"/>
  <c r="N44" i="28"/>
  <c r="L44" i="28"/>
  <c r="M44" i="28"/>
  <c r="N11" i="28"/>
  <c r="M11" i="28"/>
  <c r="L11" i="28"/>
  <c r="M88" i="28"/>
  <c r="L88" i="28"/>
  <c r="N88" i="28"/>
  <c r="L83" i="28"/>
  <c r="K83" i="28"/>
  <c r="N83" i="28"/>
  <c r="M83" i="28"/>
  <c r="J83" i="28"/>
  <c r="K84" i="28"/>
  <c r="N84" i="28"/>
  <c r="J84" i="28"/>
  <c r="M84" i="28"/>
  <c r="L84" i="28"/>
  <c r="L23" i="28"/>
  <c r="J23" i="28"/>
  <c r="N23" i="28"/>
  <c r="M23" i="28"/>
  <c r="K23" i="28"/>
  <c r="N81" i="28"/>
  <c r="J81" i="28"/>
  <c r="M81" i="28"/>
  <c r="L81" i="28"/>
  <c r="K81" i="28"/>
  <c r="K25" i="28"/>
  <c r="J25" i="28"/>
  <c r="L25" i="28"/>
  <c r="M25" i="28"/>
  <c r="N25" i="28"/>
  <c r="L46" i="28"/>
  <c r="N46" i="28"/>
  <c r="M46" i="28"/>
  <c r="K46" i="28"/>
  <c r="J46" i="28"/>
  <c r="M24" i="28"/>
  <c r="J24" i="28"/>
  <c r="N24" i="28"/>
  <c r="L24" i="28"/>
  <c r="K24" i="28"/>
  <c r="K22" i="28"/>
  <c r="J22" i="28"/>
  <c r="N22" i="28"/>
  <c r="M22" i="28"/>
  <c r="L22" i="28"/>
  <c r="M20" i="28"/>
  <c r="K20" i="28"/>
  <c r="J20" i="28"/>
  <c r="N20" i="28"/>
  <c r="L20" i="28"/>
  <c r="M82" i="28"/>
  <c r="L82" i="28"/>
  <c r="K82" i="28"/>
  <c r="J82" i="28"/>
  <c r="N82" i="28"/>
  <c r="I42" i="23"/>
  <c r="H43" i="23"/>
  <c r="I40" i="23"/>
  <c r="H41" i="23"/>
  <c r="I46" i="23"/>
  <c r="H47" i="23"/>
  <c r="H39" i="23"/>
  <c r="H48" i="23"/>
  <c r="H53" i="23" s="1"/>
  <c r="I38" i="23"/>
  <c r="K28" i="23"/>
  <c r="K31" i="23" s="1"/>
  <c r="J31" i="23"/>
  <c r="K21" i="23"/>
  <c r="K24" i="23" s="1"/>
  <c r="G17" i="23"/>
  <c r="G24" i="23"/>
  <c r="H13" i="23"/>
  <c r="M5" i="28" l="1"/>
  <c r="N5" i="28"/>
  <c r="L5" i="28"/>
  <c r="J40" i="23"/>
  <c r="J41" i="23" s="1"/>
  <c r="I41" i="23"/>
  <c r="I39" i="23"/>
  <c r="J38" i="23"/>
  <c r="I48" i="23"/>
  <c r="I53" i="23" s="1"/>
  <c r="I47" i="23"/>
  <c r="J46" i="23"/>
  <c r="J47" i="23" s="1"/>
  <c r="I43" i="23"/>
  <c r="J42" i="23"/>
  <c r="J43" i="23" s="1"/>
  <c r="J48" i="23" l="1"/>
  <c r="J53" i="23" s="1"/>
  <c r="J39" i="23"/>
  <c r="E18" i="28" l="1"/>
  <c r="G18" i="28"/>
  <c r="F18" i="28"/>
  <c r="D18" i="28"/>
  <c r="C18" i="28"/>
  <c r="I18" i="28"/>
  <c r="J18" i="28" s="1"/>
  <c r="K18" i="28" s="1"/>
  <c r="L18" i="28" s="1"/>
  <c r="M18" i="28" s="1"/>
  <c r="N18" i="28" s="1"/>
  <c r="H18" i="28"/>
  <c r="N109" i="28" l="1"/>
  <c r="L99" i="28"/>
  <c r="L102" i="28"/>
  <c r="N102" i="28"/>
  <c r="K108" i="28"/>
  <c r="M110" i="28"/>
  <c r="M104" i="28"/>
  <c r="M113" i="28"/>
  <c r="N99" i="28"/>
  <c r="N104" i="28"/>
  <c r="K103" i="28"/>
  <c r="M107" i="28"/>
  <c r="K110" i="28"/>
  <c r="K113" i="28"/>
  <c r="L108" i="28"/>
  <c r="L110" i="28"/>
  <c r="L105" i="28"/>
  <c r="K99" i="28"/>
  <c r="N113" i="28"/>
  <c r="K112" i="28"/>
  <c r="K101" i="28"/>
  <c r="N112" i="28"/>
  <c r="L113" i="28"/>
  <c r="M105" i="28"/>
  <c r="K105" i="28"/>
  <c r="N100" i="28"/>
  <c r="K102" i="28"/>
  <c r="N106" i="28"/>
  <c r="L103" i="28"/>
  <c r="M106" i="28"/>
  <c r="N105" i="28"/>
  <c r="K100" i="28"/>
  <c r="L107" i="28"/>
  <c r="K104" i="28"/>
  <c r="N111" i="28"/>
  <c r="L111" i="28"/>
  <c r="L100" i="28"/>
  <c r="M112" i="28"/>
  <c r="M101" i="28"/>
  <c r="L101" i="28"/>
  <c r="L104" i="28"/>
  <c r="M100" i="28"/>
  <c r="K107" i="28"/>
  <c r="M99" i="28"/>
  <c r="N110" i="28"/>
  <c r="N101" i="28"/>
  <c r="K111" i="28"/>
  <c r="M103" i="28"/>
  <c r="L112" i="28"/>
  <c r="M108" i="28"/>
  <c r="M109" i="28"/>
  <c r="M102" i="28"/>
  <c r="K106" i="28"/>
  <c r="N103" i="28"/>
  <c r="M111" i="28"/>
  <c r="L106" i="28"/>
  <c r="N107" i="28"/>
  <c r="N108" i="28"/>
  <c r="L109" i="28"/>
  <c r="K109" i="28"/>
  <c r="K95" i="28"/>
  <c r="K96" i="28"/>
  <c r="K94" i="28"/>
  <c r="K97" i="28"/>
  <c r="K98" i="28"/>
  <c r="N97" i="28"/>
  <c r="N95" i="28"/>
  <c r="L94" i="28"/>
  <c r="M96" i="28"/>
  <c r="L96" i="28"/>
  <c r="M98" i="28"/>
  <c r="L97" i="28"/>
  <c r="M94" i="28"/>
  <c r="N94" i="28"/>
  <c r="L98" i="28"/>
  <c r="L95" i="28"/>
  <c r="M97" i="28"/>
  <c r="N96" i="28"/>
  <c r="M95" i="28"/>
  <c r="N98" i="28"/>
  <c r="E16" i="29"/>
  <c r="D5" i="29"/>
  <c r="E14" i="29"/>
  <c r="E13" i="29"/>
  <c r="E7" i="29"/>
  <c r="D16" i="29"/>
  <c r="F13" i="29"/>
  <c r="F15" i="29"/>
  <c r="F16" i="29"/>
  <c r="D14" i="29"/>
  <c r="E8" i="29"/>
  <c r="E6" i="29"/>
  <c r="F6" i="29"/>
  <c r="F8" i="29"/>
  <c r="F23" i="29" s="1"/>
  <c r="D13" i="29"/>
  <c r="E5" i="29"/>
  <c r="F7" i="29"/>
  <c r="D6" i="29"/>
  <c r="E15" i="29"/>
  <c r="D8" i="29"/>
  <c r="D7" i="29"/>
  <c r="D15" i="29"/>
  <c r="F14" i="29"/>
  <c r="F5" i="29"/>
  <c r="J110" i="28"/>
  <c r="J107" i="28"/>
  <c r="J101" i="28"/>
  <c r="J112" i="28"/>
  <c r="J111" i="28"/>
  <c r="J109" i="28"/>
  <c r="J102" i="28"/>
  <c r="J113" i="28"/>
  <c r="J99" i="28"/>
  <c r="J100" i="28"/>
  <c r="J106" i="28"/>
  <c r="J108" i="28"/>
  <c r="J103" i="28"/>
  <c r="J104" i="28"/>
  <c r="J105" i="28"/>
  <c r="J94" i="28"/>
  <c r="J98" i="28"/>
  <c r="J95" i="28"/>
  <c r="J97" i="28"/>
  <c r="J96" i="28"/>
  <c r="I5" i="29" l="1"/>
  <c r="E23" i="29"/>
  <c r="I8" i="29"/>
  <c r="D23" i="29"/>
  <c r="E21" i="29"/>
  <c r="H7" i="29"/>
  <c r="I7" i="29"/>
  <c r="J7" i="29"/>
  <c r="J8" i="29"/>
  <c r="G6" i="29"/>
  <c r="D22" i="29"/>
  <c r="K7" i="29"/>
  <c r="K6" i="29"/>
  <c r="H6" i="29"/>
  <c r="J5" i="29"/>
  <c r="G8" i="29"/>
  <c r="I6" i="29"/>
  <c r="K5" i="29"/>
  <c r="F21" i="29"/>
  <c r="K8" i="29"/>
  <c r="H8" i="29"/>
  <c r="H5" i="29"/>
  <c r="J6" i="29"/>
  <c r="G5" i="29"/>
  <c r="G7" i="29"/>
  <c r="E22" i="29"/>
  <c r="I15" i="29"/>
  <c r="I22" i="29" s="1"/>
  <c r="G15" i="29"/>
  <c r="H15" i="29"/>
  <c r="K15" i="29"/>
  <c r="J15" i="29"/>
  <c r="D9" i="29"/>
  <c r="D20" i="29"/>
  <c r="F9" i="29"/>
  <c r="F20" i="29"/>
  <c r="F17" i="29"/>
  <c r="I14" i="29"/>
  <c r="I21" i="29" s="1"/>
  <c r="J14" i="29"/>
  <c r="H14" i="29"/>
  <c r="G14" i="29"/>
  <c r="K14" i="29"/>
  <c r="K21" i="29" s="1"/>
  <c r="D17" i="29"/>
  <c r="I13" i="29"/>
  <c r="H13" i="29"/>
  <c r="J13" i="29"/>
  <c r="K13" i="29"/>
  <c r="G13" i="29"/>
  <c r="E17" i="29"/>
  <c r="E9" i="29"/>
  <c r="E20" i="29"/>
  <c r="D21" i="29"/>
  <c r="I16" i="29"/>
  <c r="I23" i="29" s="1"/>
  <c r="H16" i="29"/>
  <c r="J16" i="29"/>
  <c r="K16" i="29"/>
  <c r="G16" i="29"/>
  <c r="F22" i="29"/>
  <c r="H23" i="29" l="1"/>
  <c r="I20" i="29"/>
  <c r="K23" i="29"/>
  <c r="J22" i="29"/>
  <c r="E24" i="29"/>
  <c r="H22" i="29"/>
  <c r="G22" i="29"/>
  <c r="H9" i="29"/>
  <c r="G9" i="29"/>
  <c r="K9" i="29"/>
  <c r="H21" i="29"/>
  <c r="J23" i="29"/>
  <c r="F24" i="29"/>
  <c r="I9" i="29"/>
  <c r="K17" i="29"/>
  <c r="K22" i="29"/>
  <c r="J9" i="29"/>
  <c r="G23" i="29"/>
  <c r="G21" i="29"/>
  <c r="J21" i="29"/>
  <c r="H20" i="29"/>
  <c r="H17" i="29"/>
  <c r="J17" i="29"/>
  <c r="J20" i="29"/>
  <c r="D24" i="29"/>
  <c r="G17" i="29"/>
  <c r="I17" i="29"/>
  <c r="G20" i="29"/>
  <c r="K20" i="29"/>
  <c r="K24" i="29" l="1"/>
  <c r="H24" i="29"/>
  <c r="I24" i="29"/>
  <c r="G24" i="29"/>
  <c r="J24" i="29"/>
</calcChain>
</file>

<file path=xl/sharedStrings.xml><?xml version="1.0" encoding="utf-8"?>
<sst xmlns="http://schemas.openxmlformats.org/spreadsheetml/2006/main" count="731" uniqueCount="242">
  <si>
    <t>Y3</t>
  </si>
  <si>
    <t>Y2</t>
  </si>
  <si>
    <t>Y1</t>
  </si>
  <si>
    <t>Interest expense</t>
  </si>
  <si>
    <t>Home care</t>
  </si>
  <si>
    <t>Personal care</t>
  </si>
  <si>
    <t>Pharmaceuticals</t>
  </si>
  <si>
    <t>Baby &amp; Kids</t>
  </si>
  <si>
    <t>Leisure and entertainment</t>
  </si>
  <si>
    <t>Director</t>
  </si>
  <si>
    <t>White collar</t>
  </si>
  <si>
    <t>Blue collar</t>
  </si>
  <si>
    <t>Position</t>
  </si>
  <si>
    <t>Production</t>
  </si>
  <si>
    <t>Finance</t>
  </si>
  <si>
    <t>Sales</t>
  </si>
  <si>
    <t>Marketing</t>
  </si>
  <si>
    <t>Name</t>
  </si>
  <si>
    <t>Employee 1</t>
  </si>
  <si>
    <t>Employee 2</t>
  </si>
  <si>
    <t>Employee 3</t>
  </si>
  <si>
    <t>Employee 5</t>
  </si>
  <si>
    <t>Employee 6</t>
  </si>
  <si>
    <t>Employee 7</t>
  </si>
  <si>
    <t>Employee 8</t>
  </si>
  <si>
    <t>Employee 9</t>
  </si>
  <si>
    <t>Employee 10</t>
  </si>
  <si>
    <t>Employee 11</t>
  </si>
  <si>
    <t>Employee 12</t>
  </si>
  <si>
    <t>Employee 13</t>
  </si>
  <si>
    <t>Employee 14</t>
  </si>
  <si>
    <t>Employee 15</t>
  </si>
  <si>
    <t>Employee 16</t>
  </si>
  <si>
    <t>Employee 20</t>
  </si>
  <si>
    <t>Employee 21</t>
  </si>
  <si>
    <t>Employee 22</t>
  </si>
  <si>
    <t>Employee 24</t>
  </si>
  <si>
    <t>Employee 26</t>
  </si>
  <si>
    <t>Employee 27</t>
  </si>
  <si>
    <t>Employee 28</t>
  </si>
  <si>
    <t>Employee 29</t>
  </si>
  <si>
    <t>Employee 30</t>
  </si>
  <si>
    <t>Employee 31</t>
  </si>
  <si>
    <t>Employee 32</t>
  </si>
  <si>
    <t>Employee 33</t>
  </si>
  <si>
    <t>Employee 35</t>
  </si>
  <si>
    <t>Employee 36</t>
  </si>
  <si>
    <t>Employee 37</t>
  </si>
  <si>
    <t>Employee 38</t>
  </si>
  <si>
    <t>Employee 39</t>
  </si>
  <si>
    <t>Employee 40</t>
  </si>
  <si>
    <t>Employee 41</t>
  </si>
  <si>
    <t>Employee 42</t>
  </si>
  <si>
    <t>Employee 43</t>
  </si>
  <si>
    <t>Employee 49</t>
  </si>
  <si>
    <t>Employee 50</t>
  </si>
  <si>
    <t>Employee 51</t>
  </si>
  <si>
    <t>Employee 52</t>
  </si>
  <si>
    <t>Employee 53</t>
  </si>
  <si>
    <t>Employee 54</t>
  </si>
  <si>
    <t>Employee 55</t>
  </si>
  <si>
    <t>Employee 57</t>
  </si>
  <si>
    <t>Employee 58</t>
  </si>
  <si>
    <t>Employee 59</t>
  </si>
  <si>
    <t>Employee 60</t>
  </si>
  <si>
    <t>Employee 61</t>
  </si>
  <si>
    <t>Employee 62</t>
  </si>
  <si>
    <t>Employee 63</t>
  </si>
  <si>
    <t>Employee 64</t>
  </si>
  <si>
    <t>Employee 65</t>
  </si>
  <si>
    <t>Employee 66</t>
  </si>
  <si>
    <t>Employee 67</t>
  </si>
  <si>
    <t>Employee 68</t>
  </si>
  <si>
    <t>Employee 69</t>
  </si>
  <si>
    <t>Employee 70</t>
  </si>
  <si>
    <t>Employee 71</t>
  </si>
  <si>
    <t>Employee 72</t>
  </si>
  <si>
    <t>Employee 73</t>
  </si>
  <si>
    <t>Employee 74</t>
  </si>
  <si>
    <t>Employee 76</t>
  </si>
  <si>
    <t>Employee 78</t>
  </si>
  <si>
    <t>Employee 81</t>
  </si>
  <si>
    <t>Employee 82</t>
  </si>
  <si>
    <t>Employee 87</t>
  </si>
  <si>
    <t>Employee 104</t>
  </si>
  <si>
    <t>Employee 108</t>
  </si>
  <si>
    <t>Employee 109</t>
  </si>
  <si>
    <t>Employee 110</t>
  </si>
  <si>
    <t>Employee 115</t>
  </si>
  <si>
    <t>Employee 116</t>
  </si>
  <si>
    <t>Employee 117</t>
  </si>
  <si>
    <t>Employee 118</t>
  </si>
  <si>
    <t>Employee 119</t>
  </si>
  <si>
    <t>Employee 120</t>
  </si>
  <si>
    <t>Employee 121</t>
  </si>
  <si>
    <t>Employee 122</t>
  </si>
  <si>
    <t>Employee 123</t>
  </si>
  <si>
    <t>Employee 126</t>
  </si>
  <si>
    <t>Employee 133</t>
  </si>
  <si>
    <t>Employee 135</t>
  </si>
  <si>
    <t>Employee 136</t>
  </si>
  <si>
    <t>Employee 137</t>
  </si>
  <si>
    <t>Employee 138</t>
  </si>
  <si>
    <t>Employee 139</t>
  </si>
  <si>
    <t>Employee 140</t>
  </si>
  <si>
    <t>Employee 143</t>
  </si>
  <si>
    <t>Employee 146</t>
  </si>
  <si>
    <t>Manager</t>
  </si>
  <si>
    <t>Tax expense</t>
  </si>
  <si>
    <t>COGS - Payroll</t>
  </si>
  <si>
    <t>P&amp;L Mapping</t>
  </si>
  <si>
    <t>Function</t>
  </si>
  <si>
    <t>Stream</t>
  </si>
  <si>
    <t>Training &amp; Development Budget</t>
  </si>
  <si>
    <t>Payroll Budget</t>
  </si>
  <si>
    <t>All Leisure and Entertainment Department employees will be dismissed at the beginning of next year (Y4).</t>
  </si>
  <si>
    <t>StellarGrowth plans to hire five sales representatives (white-collar workers) in the other four departments to boost its sales. The salaries of new joiners are planned to be the average of their peers each year.</t>
  </si>
  <si>
    <t>Production Department</t>
  </si>
  <si>
    <t>Marketing Department</t>
  </si>
  <si>
    <t>Marketing staff – no change in salaries</t>
  </si>
  <si>
    <t>Sales representatives – 10% increase in Y1, 7% increase in Y2, no change subsequently</t>
  </si>
  <si>
    <t>Finance Department</t>
  </si>
  <si>
    <t>Revenue &amp; COGS Budgets</t>
  </si>
  <si>
    <t xml:space="preserve">StellarGrowth plans to discontinue its Leasure and Entertainment stream at the beginning of next year (Y4) because its revenue—as indicated in the Income Statement—has declined in recent years. </t>
  </si>
  <si>
    <t>The company prepares its Revenue &amp; COGS budgets under the assumption that it will operate at a fixed Gross Profit Margin (GPM) in the next five years and include the following:</t>
  </si>
  <si>
    <r>
      <t>·</t>
    </r>
    <r>
      <rPr>
        <sz val="7"/>
        <color theme="1"/>
        <rFont val="Times New Roman"/>
        <family val="1"/>
      </rPr>
      <t xml:space="preserve">        </t>
    </r>
    <r>
      <rPr>
        <sz val="11"/>
        <color theme="1"/>
        <rFont val="Calibri"/>
        <family val="2"/>
        <scheme val="minor"/>
      </rPr>
      <t>5% growth in the Baby and Kids stream</t>
    </r>
  </si>
  <si>
    <r>
      <t>·</t>
    </r>
    <r>
      <rPr>
        <sz val="7"/>
        <color theme="1"/>
        <rFont val="Times New Roman"/>
        <family val="1"/>
      </rPr>
      <t xml:space="preserve">        </t>
    </r>
    <r>
      <rPr>
        <sz val="11"/>
        <color theme="1"/>
        <rFont val="Calibri"/>
        <family val="2"/>
        <scheme val="minor"/>
      </rPr>
      <t>Same historical revenue growth in the Personal and Home care streams</t>
    </r>
  </si>
  <si>
    <t>Interest expense will continue to decline by $2,000 annually in the next five years.</t>
  </si>
  <si>
    <t>The applicable tax rate is 10%</t>
  </si>
  <si>
    <t>Stellar Growth Co</t>
  </si>
  <si>
    <t>Assumptions</t>
  </si>
  <si>
    <t xml:space="preserve">Training and development costs are considered operating expenses. The total amount approved annually is a $10,000 lump sum plus $200 per employee—regardless of department and position. </t>
  </si>
  <si>
    <t>As of next year (Y4), the lump training and development budget will be canceled, and each employee can receive $500 per annum for their training and development needs.</t>
  </si>
  <si>
    <r>
      <t>ü</t>
    </r>
    <r>
      <rPr>
        <b/>
        <sz val="7"/>
        <color theme="1"/>
        <rFont val="Times New Roman"/>
        <family val="1"/>
      </rPr>
      <t xml:space="preserve">  </t>
    </r>
    <r>
      <rPr>
        <b/>
        <sz val="11"/>
        <color theme="1"/>
        <rFont val="Calibri"/>
        <family val="2"/>
        <scheme val="minor"/>
      </rPr>
      <t>Starters and leavers – headcount:</t>
    </r>
  </si>
  <si>
    <r>
      <t>ü</t>
    </r>
    <r>
      <rPr>
        <b/>
        <sz val="7"/>
        <color theme="1"/>
        <rFont val="Times New Roman"/>
        <family val="1"/>
      </rPr>
      <t xml:space="preserve">  </t>
    </r>
    <r>
      <rPr>
        <b/>
        <sz val="11"/>
        <color theme="1"/>
        <rFont val="Calibri"/>
        <family val="2"/>
        <scheme val="minor"/>
      </rPr>
      <t>Salary changes:</t>
    </r>
  </si>
  <si>
    <t>Directors and managers – 10% salary increase each consecutive year</t>
  </si>
  <si>
    <t>Blue collar workers – 5% salary increase each consecutive year</t>
  </si>
  <si>
    <t>Marketing &amp; Sales employees - no change in salaries</t>
  </si>
  <si>
    <t>7% increase salary increase for all employees in the next five years</t>
  </si>
  <si>
    <t>List of Employees</t>
  </si>
  <si>
    <t>Revenue Budget</t>
  </si>
  <si>
    <t>Actuals</t>
  </si>
  <si>
    <t>Revenue Stream</t>
  </si>
  <si>
    <t xml:space="preserve"> % change</t>
  </si>
  <si>
    <t>Total</t>
  </si>
  <si>
    <t>COGS</t>
  </si>
  <si>
    <t>=</t>
  </si>
  <si>
    <t xml:space="preserve">Revenue </t>
  </si>
  <si>
    <t>growth %</t>
  </si>
  <si>
    <t>Gross Profit</t>
  </si>
  <si>
    <t>revenue</t>
  </si>
  <si>
    <t>COGS growth %</t>
  </si>
  <si>
    <t xml:space="preserve">1 - </t>
  </si>
  <si>
    <t xml:space="preserve">Gross profit margin 
(GPM) </t>
  </si>
  <si>
    <t>revenue - COGS</t>
  </si>
  <si>
    <t xml:space="preserve">Gross profit margin (GPM) = </t>
  </si>
  <si>
    <t>COGS - Other</t>
  </si>
  <si>
    <t>Revenue growth %</t>
  </si>
  <si>
    <t>Revenue</t>
  </si>
  <si>
    <t>gross profit</t>
  </si>
  <si>
    <t>in USD thousands</t>
  </si>
  <si>
    <t>5-Y Budget</t>
  </si>
  <si>
    <t>Check!</t>
  </si>
  <si>
    <t>Department</t>
  </si>
  <si>
    <t>Number of employees</t>
  </si>
  <si>
    <t>Total employees</t>
  </si>
  <si>
    <t>Column1</t>
  </si>
  <si>
    <t>Column2</t>
  </si>
  <si>
    <t>Column3</t>
  </si>
  <si>
    <t>Column4</t>
  </si>
  <si>
    <t>Column5</t>
  </si>
  <si>
    <t>Column6</t>
  </si>
  <si>
    <t>Column7</t>
  </si>
  <si>
    <t>Column8</t>
  </si>
  <si>
    <t>Employees to be dismissed on Y4</t>
  </si>
  <si>
    <t>Ave. salary</t>
  </si>
  <si>
    <t>Totals</t>
  </si>
  <si>
    <t>Y4 FCST</t>
  </si>
  <si>
    <t>Y5 FCST</t>
  </si>
  <si>
    <t>Y6 FCST</t>
  </si>
  <si>
    <t>-</t>
  </si>
  <si>
    <t>Revenue &amp; COGS</t>
  </si>
  <si>
    <t>Number of employees &amp; salaries in each department</t>
  </si>
  <si>
    <t>Y7 FCST</t>
  </si>
  <si>
    <t>Y8 FCST</t>
  </si>
  <si>
    <t>Fcst</t>
  </si>
  <si>
    <t>Training and Development Budget</t>
  </si>
  <si>
    <t>OUTPUT---&gt;</t>
  </si>
  <si>
    <t>Y4</t>
  </si>
  <si>
    <t>Y5</t>
  </si>
  <si>
    <t>Y6</t>
  </si>
  <si>
    <t>Y7</t>
  </si>
  <si>
    <t>Y8</t>
  </si>
  <si>
    <t>Selling Expenses-New joiner</t>
  </si>
  <si>
    <t>New</t>
  </si>
  <si>
    <t>New 1</t>
  </si>
  <si>
    <t>New 2</t>
  </si>
  <si>
    <t>New 3</t>
  </si>
  <si>
    <t>New 4</t>
  </si>
  <si>
    <t>New 5</t>
  </si>
  <si>
    <t>New 6</t>
  </si>
  <si>
    <t>New 7</t>
  </si>
  <si>
    <t>New 8</t>
  </si>
  <si>
    <t>New 9</t>
  </si>
  <si>
    <t>New 10</t>
  </si>
  <si>
    <t>New 11</t>
  </si>
  <si>
    <t>New 12</t>
  </si>
  <si>
    <t>New 13</t>
  </si>
  <si>
    <t>New 14</t>
  </si>
  <si>
    <t>New 15</t>
  </si>
  <si>
    <t>New 16</t>
  </si>
  <si>
    <t>New 17</t>
  </si>
  <si>
    <t>New 18</t>
  </si>
  <si>
    <t>New 19</t>
  </si>
  <si>
    <t>New 20</t>
  </si>
  <si>
    <t>INPUT---&gt;</t>
  </si>
  <si>
    <t>Stellar Growth Co.</t>
  </si>
  <si>
    <t>Employees</t>
  </si>
  <si>
    <t>Payroll Budget- workings</t>
  </si>
  <si>
    <t>Average Salary</t>
  </si>
  <si>
    <t>Average salary</t>
  </si>
  <si>
    <t>Number of Employees</t>
  </si>
  <si>
    <t>Sum of Y1</t>
  </si>
  <si>
    <t>Sum of Y2</t>
  </si>
  <si>
    <t>Sum of Y3</t>
  </si>
  <si>
    <t>Sum of Y4</t>
  </si>
  <si>
    <t>Sum of Y5</t>
  </si>
  <si>
    <t>Sum of Y6</t>
  </si>
  <si>
    <t>Sum of Y7</t>
  </si>
  <si>
    <t>Sum of Y8</t>
  </si>
  <si>
    <t>Row Labels</t>
  </si>
  <si>
    <t>Grand Total</t>
  </si>
  <si>
    <t>Average of Y1</t>
  </si>
  <si>
    <t xml:space="preserve"> Y2</t>
  </si>
  <si>
    <t xml:space="preserve"> Y3</t>
  </si>
  <si>
    <t xml:space="preserve"> Y4</t>
  </si>
  <si>
    <t xml:space="preserve"> Y5</t>
  </si>
  <si>
    <t xml:space="preserve"> Y6</t>
  </si>
  <si>
    <t xml:space="preserve"> Y7</t>
  </si>
  <si>
    <t xml:space="preserve"> Y8</t>
  </si>
  <si>
    <t>Cost/employee</t>
  </si>
  <si>
    <t>Total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</si>
</sst>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_-* #,##0.00_-;\-* #,##0.00_-;_-* &quot;-&quot;??_-;_-@_-"/>
    <numFmt numFmtId="166" formatCode="_-* #,##0_-;\-* #,##0_-;_-* &quot;-&quot;??_-;_-@_-"/>
    <numFmt numFmtId="167" formatCode="_(* #,##0.0_);_(* \(#,##0.0\);_(* &quot;-&quot;?_);@_)"/>
    <numFmt numFmtId="168" formatCode="#,##0.0_);[Red]\(#,##0.0\)"/>
  </numFmts>
  <fonts count="32" x14ac:knownFonts="1">
    <font>
      <sz val="11"/>
      <color theme="1"/>
      <name val="Calibri"/>
      <family val="2"/>
      <charset val="20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204"/>
      <scheme val="minor"/>
    </font>
    <font>
      <sz val="9"/>
      <color theme="1"/>
      <name val="Arial"/>
      <family val="2"/>
    </font>
    <font>
      <b/>
      <sz val="9"/>
      <color rgb="FF002060"/>
      <name val="Arial"/>
      <family val="2"/>
    </font>
    <font>
      <b/>
      <sz val="12"/>
      <color rgb="FF002060"/>
      <name val="Arial"/>
      <family val="2"/>
    </font>
    <font>
      <sz val="8"/>
      <name val="Calibri"/>
      <family val="2"/>
      <charset val="204"/>
      <scheme val="minor"/>
    </font>
    <font>
      <sz val="9"/>
      <name val="Arial"/>
      <family val="2"/>
    </font>
    <font>
      <b/>
      <sz val="11"/>
      <color theme="1"/>
      <name val="Calibri"/>
      <family val="2"/>
      <scheme val="minor"/>
    </font>
    <font>
      <sz val="7"/>
      <color theme="1"/>
      <name val="Times New Roman"/>
      <family val="1"/>
    </font>
    <font>
      <i/>
      <sz val="11"/>
      <color theme="1"/>
      <name val="Calibri"/>
      <family val="2"/>
      <scheme val="minor"/>
    </font>
    <font>
      <sz val="11"/>
      <color theme="1"/>
      <name val="Symbol"/>
      <family val="1"/>
      <charset val="2"/>
    </font>
    <font>
      <b/>
      <u/>
      <sz val="11"/>
      <color rgb="FF002060"/>
      <name val="Calibri"/>
      <family val="2"/>
      <scheme val="minor"/>
    </font>
    <font>
      <b/>
      <sz val="11"/>
      <color theme="1"/>
      <name val="Wingdings"/>
      <charset val="2"/>
    </font>
    <font>
      <b/>
      <sz val="7"/>
      <color theme="1"/>
      <name val="Times New Roman"/>
      <family val="1"/>
    </font>
    <font>
      <b/>
      <sz val="9"/>
      <color theme="1"/>
      <name val="Arial"/>
      <family val="2"/>
    </font>
    <font>
      <i/>
      <sz val="9"/>
      <color rgb="FF002060"/>
      <name val="Arial"/>
      <family val="2"/>
    </font>
    <font>
      <i/>
      <sz val="9"/>
      <color theme="1"/>
      <name val="Arial"/>
      <family val="2"/>
    </font>
    <font>
      <b/>
      <sz val="9"/>
      <color theme="0"/>
      <name val="Arial"/>
      <family val="2"/>
    </font>
    <font>
      <sz val="9"/>
      <color theme="0"/>
      <name val="Arial"/>
      <family val="2"/>
    </font>
    <font>
      <b/>
      <sz val="12"/>
      <color theme="0"/>
      <name val="Arial"/>
      <family val="2"/>
    </font>
    <font>
      <sz val="11"/>
      <color theme="0"/>
      <name val="Calibri"/>
      <family val="2"/>
      <charset val="204"/>
      <scheme val="minor"/>
    </font>
    <font>
      <b/>
      <u/>
      <sz val="12"/>
      <color rgb="FF002060"/>
      <name val="Arial"/>
      <family val="2"/>
    </font>
    <font>
      <i/>
      <sz val="9"/>
      <color theme="0"/>
      <name val="Arial"/>
      <family val="2"/>
    </font>
    <font>
      <i/>
      <sz val="8"/>
      <color rgb="FF002060"/>
      <name val="Arial"/>
      <family val="2"/>
    </font>
    <font>
      <i/>
      <sz val="8"/>
      <color theme="1"/>
      <name val="Arial"/>
      <family val="2"/>
    </font>
    <font>
      <sz val="8"/>
      <color theme="1"/>
      <name val="Arial"/>
      <family val="2"/>
    </font>
    <font>
      <b/>
      <sz val="30"/>
      <color theme="0"/>
      <name val="Arial"/>
      <family val="2"/>
    </font>
    <font>
      <b/>
      <sz val="11"/>
      <color theme="1"/>
      <name val="Calibri"/>
      <family val="2"/>
      <charset val="204"/>
      <scheme val="minor"/>
    </font>
    <font>
      <b/>
      <sz val="11"/>
      <color theme="0"/>
      <name val="Calibri"/>
      <family val="2"/>
      <charset val="204"/>
      <scheme val="minor"/>
    </font>
  </fonts>
  <fills count="8">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rgb="FF002060"/>
        <bgColor indexed="64"/>
      </patternFill>
    </fill>
    <fill>
      <patternFill patternType="solid">
        <fgColor theme="0"/>
        <bgColor indexed="64"/>
      </patternFill>
    </fill>
    <fill>
      <patternFill patternType="solid">
        <fgColor rgb="FFC00000"/>
        <bgColor indexed="64"/>
      </patternFill>
    </fill>
    <fill>
      <patternFill patternType="solid">
        <fgColor theme="0"/>
        <bgColor rgb="FFFFFFFF"/>
      </patternFill>
    </fill>
  </fills>
  <borders count="28">
    <border>
      <left/>
      <right/>
      <top/>
      <bottom/>
      <diagonal/>
    </border>
    <border>
      <left/>
      <right/>
      <top/>
      <bottom style="medium">
        <color rgb="FF002060"/>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medium">
        <color indexed="64"/>
      </top>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right/>
      <top style="medium">
        <color rgb="FF002060"/>
      </top>
      <bottom/>
      <diagonal/>
    </border>
    <border>
      <left style="thin">
        <color rgb="FF002060"/>
      </left>
      <right/>
      <top style="medium">
        <color rgb="FF002060"/>
      </top>
      <bottom style="medium">
        <color rgb="FF002060"/>
      </bottom>
      <diagonal/>
    </border>
    <border>
      <left style="thin">
        <color rgb="FF002060"/>
      </left>
      <right/>
      <top style="medium">
        <color rgb="FF002060"/>
      </top>
      <bottom/>
      <diagonal/>
    </border>
    <border>
      <left style="thin">
        <color rgb="FF002060"/>
      </left>
      <right/>
      <top/>
      <bottom/>
      <diagonal/>
    </border>
    <border>
      <left style="thin">
        <color rgb="FF002060"/>
      </left>
      <right/>
      <top/>
      <bottom style="thin">
        <color indexed="64"/>
      </bottom>
      <diagonal/>
    </border>
    <border>
      <left/>
      <right style="thin">
        <color rgb="FF002060"/>
      </right>
      <top/>
      <bottom style="thin">
        <color indexed="64"/>
      </bottom>
      <diagonal/>
    </border>
    <border>
      <left/>
      <right style="medium">
        <color rgb="FF002060"/>
      </right>
      <top style="medium">
        <color rgb="FF002060"/>
      </top>
      <bottom/>
      <diagonal/>
    </border>
    <border>
      <left/>
      <right style="thin">
        <color indexed="64"/>
      </right>
      <top style="medium">
        <color rgb="FF002060"/>
      </top>
      <bottom/>
      <diagonal/>
    </border>
  </borders>
  <cellStyleXfs count="4">
    <xf numFmtId="0" fontId="0" fillId="0" borderId="0"/>
    <xf numFmtId="43" fontId="4" fillId="0" borderId="0" applyFont="0" applyFill="0" applyBorder="0" applyAlignment="0" applyProtection="0"/>
    <xf numFmtId="165" fontId="3" fillId="0" borderId="0" applyFont="0" applyFill="0" applyBorder="0" applyAlignment="0" applyProtection="0"/>
    <xf numFmtId="9" fontId="4" fillId="0" borderId="0" applyFont="0" applyFill="0" applyBorder="0" applyAlignment="0" applyProtection="0"/>
  </cellStyleXfs>
  <cellXfs count="185">
    <xf numFmtId="0" fontId="0" fillId="0" borderId="0" xfId="0"/>
    <xf numFmtId="0" fontId="5" fillId="0" borderId="0" xfId="0" applyFont="1"/>
    <xf numFmtId="0" fontId="6" fillId="2" borderId="1" xfId="0" applyFont="1" applyFill="1" applyBorder="1" applyAlignment="1">
      <alignment horizontal="center"/>
    </xf>
    <xf numFmtId="164" fontId="5" fillId="0" borderId="0" xfId="1" applyNumberFormat="1" applyFont="1"/>
    <xf numFmtId="0" fontId="7" fillId="0" borderId="0" xfId="0" applyFont="1"/>
    <xf numFmtId="0" fontId="6" fillId="2" borderId="1" xfId="0" applyFont="1" applyFill="1" applyBorder="1" applyAlignment="1">
      <alignment horizontal="center" wrapText="1"/>
    </xf>
    <xf numFmtId="0" fontId="5" fillId="3" borderId="0" xfId="0" applyFont="1" applyFill="1"/>
    <xf numFmtId="0" fontId="2" fillId="0" borderId="0" xfId="0" applyFont="1" applyAlignment="1">
      <alignment vertical="center"/>
    </xf>
    <xf numFmtId="0" fontId="12" fillId="0" borderId="0" xfId="0" applyFont="1" applyAlignment="1">
      <alignment vertical="center"/>
    </xf>
    <xf numFmtId="0" fontId="13" fillId="0" borderId="0" xfId="0" applyFont="1" applyAlignment="1">
      <alignment horizontal="left" vertical="center" indent="5"/>
    </xf>
    <xf numFmtId="0" fontId="14" fillId="0" borderId="0" xfId="0" applyFont="1" applyAlignment="1">
      <alignment vertical="center"/>
    </xf>
    <xf numFmtId="0" fontId="15" fillId="0" borderId="0" xfId="0" applyFont="1" applyAlignment="1">
      <alignment vertical="center"/>
    </xf>
    <xf numFmtId="0" fontId="17" fillId="0" borderId="0" xfId="0" applyFont="1"/>
    <xf numFmtId="164" fontId="5" fillId="0" borderId="0" xfId="1" applyNumberFormat="1" applyFont="1" applyFill="1" applyBorder="1"/>
    <xf numFmtId="0" fontId="18" fillId="0" borderId="0" xfId="0" applyFont="1" applyAlignment="1">
      <alignment horizontal="right"/>
    </xf>
    <xf numFmtId="164" fontId="18" fillId="0" borderId="0" xfId="1" applyNumberFormat="1" applyFont="1" applyFill="1" applyBorder="1"/>
    <xf numFmtId="9" fontId="18" fillId="0" borderId="0" xfId="3" applyFont="1" applyFill="1" applyBorder="1"/>
    <xf numFmtId="164" fontId="19" fillId="0" borderId="0" xfId="1" applyNumberFormat="1" applyFont="1" applyFill="1" applyBorder="1"/>
    <xf numFmtId="164" fontId="19" fillId="0" borderId="0" xfId="1" applyNumberFormat="1" applyFont="1"/>
    <xf numFmtId="167" fontId="20" fillId="4" borderId="0" xfId="0" applyNumberFormat="1" applyFont="1" applyFill="1"/>
    <xf numFmtId="164" fontId="20" fillId="4" borderId="0" xfId="1" applyNumberFormat="1" applyFont="1" applyFill="1"/>
    <xf numFmtId="43" fontId="5" fillId="0" borderId="0" xfId="1" applyFont="1"/>
    <xf numFmtId="0" fontId="5" fillId="0" borderId="0" xfId="0" applyFont="1" applyAlignment="1">
      <alignment vertical="center"/>
    </xf>
    <xf numFmtId="10" fontId="18" fillId="0" borderId="0" xfId="3" applyNumberFormat="1" applyFont="1"/>
    <xf numFmtId="0" fontId="18" fillId="0" borderId="0" xfId="0" applyFont="1"/>
    <xf numFmtId="164" fontId="17" fillId="0" borderId="0" xfId="1" applyNumberFormat="1" applyFont="1"/>
    <xf numFmtId="43" fontId="17" fillId="0" borderId="0" xfId="1" applyFont="1"/>
    <xf numFmtId="164" fontId="17" fillId="0" borderId="7" xfId="0" applyNumberFormat="1" applyFont="1" applyBorder="1"/>
    <xf numFmtId="0" fontId="17" fillId="0" borderId="7" xfId="0" applyFont="1" applyBorder="1"/>
    <xf numFmtId="0" fontId="5" fillId="0" borderId="0" xfId="0" applyFont="1" applyAlignment="1">
      <alignment horizontal="center"/>
    </xf>
    <xf numFmtId="9" fontId="18" fillId="0" borderId="0" xfId="3" applyFont="1"/>
    <xf numFmtId="0" fontId="5" fillId="0" borderId="2" xfId="0" applyFont="1" applyBorder="1" applyAlignment="1">
      <alignment horizontal="center"/>
    </xf>
    <xf numFmtId="0" fontId="17" fillId="0" borderId="0" xfId="0" applyFont="1" applyAlignment="1">
      <alignment horizontal="center" vertical="center" wrapText="1"/>
    </xf>
    <xf numFmtId="41" fontId="5" fillId="0" borderId="0" xfId="0" applyNumberFormat="1" applyFont="1"/>
    <xf numFmtId="41" fontId="5" fillId="0" borderId="0" xfId="0" applyNumberFormat="1" applyFont="1" applyAlignment="1">
      <alignment horizontal="right" vertical="center" wrapText="1"/>
    </xf>
    <xf numFmtId="0" fontId="5" fillId="0" borderId="0" xfId="0" applyFont="1" applyAlignment="1">
      <alignment horizontal="center" vertical="center" wrapText="1"/>
    </xf>
    <xf numFmtId="0" fontId="17" fillId="0" borderId="0" xfId="0" applyFont="1" applyAlignment="1">
      <alignment vertical="center" wrapText="1"/>
    </xf>
    <xf numFmtId="0" fontId="17" fillId="0" borderId="0" xfId="0" applyFont="1" applyAlignment="1">
      <alignment horizontal="right" vertical="center" wrapText="1"/>
    </xf>
    <xf numFmtId="0" fontId="6" fillId="2" borderId="1" xfId="0" applyFont="1" applyFill="1" applyBorder="1"/>
    <xf numFmtId="0" fontId="17" fillId="0" borderId="6" xfId="0" applyFont="1" applyBorder="1" applyAlignment="1">
      <alignment horizontal="center" vertical="center"/>
    </xf>
    <xf numFmtId="0" fontId="5" fillId="0" borderId="5" xfId="0" applyFont="1" applyBorder="1" applyAlignment="1">
      <alignment horizontal="center" vertical="center"/>
    </xf>
    <xf numFmtId="164" fontId="5" fillId="0" borderId="0" xfId="0" applyNumberFormat="1" applyFont="1"/>
    <xf numFmtId="0" fontId="19" fillId="0" borderId="0" xfId="0" applyFont="1"/>
    <xf numFmtId="0" fontId="5" fillId="5" borderId="0" xfId="0" applyFont="1" applyFill="1"/>
    <xf numFmtId="0" fontId="7" fillId="5" borderId="0" xfId="0" applyFont="1" applyFill="1"/>
    <xf numFmtId="0" fontId="17" fillId="5" borderId="0" xfId="0" applyFont="1" applyFill="1"/>
    <xf numFmtId="0" fontId="5" fillId="5" borderId="0" xfId="0" applyFont="1" applyFill="1" applyAlignment="1">
      <alignment horizontal="left"/>
    </xf>
    <xf numFmtId="0" fontId="5" fillId="5" borderId="0" xfId="0" applyFont="1" applyFill="1" applyAlignment="1">
      <alignment horizontal="right"/>
    </xf>
    <xf numFmtId="0" fontId="5" fillId="3" borderId="0" xfId="0" applyFont="1" applyFill="1" applyAlignment="1">
      <alignment horizontal="left"/>
    </xf>
    <xf numFmtId="0" fontId="5" fillId="3" borderId="0" xfId="0" applyFont="1" applyFill="1" applyAlignment="1">
      <alignment horizontal="right"/>
    </xf>
    <xf numFmtId="0" fontId="21" fillId="6" borderId="5" xfId="0" applyFont="1" applyFill="1" applyBorder="1"/>
    <xf numFmtId="38" fontId="5" fillId="5" borderId="0" xfId="0" applyNumberFormat="1" applyFont="1" applyFill="1" applyAlignment="1">
      <alignment horizontal="right"/>
    </xf>
    <xf numFmtId="38" fontId="5" fillId="3" borderId="0" xfId="0" applyNumberFormat="1" applyFont="1" applyFill="1" applyAlignment="1">
      <alignment horizontal="right"/>
    </xf>
    <xf numFmtId="38" fontId="5" fillId="5" borderId="0" xfId="0" applyNumberFormat="1" applyFont="1" applyFill="1" applyAlignment="1">
      <alignment horizontal="left"/>
    </xf>
    <xf numFmtId="38" fontId="5" fillId="5" borderId="0" xfId="0" applyNumberFormat="1" applyFont="1" applyFill="1"/>
    <xf numFmtId="38" fontId="5" fillId="3" borderId="0" xfId="0" applyNumberFormat="1" applyFont="1" applyFill="1" applyAlignment="1">
      <alignment horizontal="left"/>
    </xf>
    <xf numFmtId="38" fontId="5" fillId="5" borderId="10" xfId="0" applyNumberFormat="1" applyFont="1" applyFill="1" applyBorder="1" applyAlignment="1">
      <alignment horizontal="right"/>
    </xf>
    <xf numFmtId="38" fontId="5" fillId="5" borderId="11" xfId="0" applyNumberFormat="1" applyFont="1" applyFill="1" applyBorder="1"/>
    <xf numFmtId="38" fontId="5" fillId="3" borderId="10" xfId="0" applyNumberFormat="1" applyFont="1" applyFill="1" applyBorder="1" applyAlignment="1">
      <alignment horizontal="right"/>
    </xf>
    <xf numFmtId="38" fontId="17" fillId="5" borderId="0" xfId="0" applyNumberFormat="1" applyFont="1" applyFill="1"/>
    <xf numFmtId="38" fontId="5" fillId="5" borderId="13" xfId="0" applyNumberFormat="1" applyFont="1" applyFill="1" applyBorder="1" applyAlignment="1">
      <alignment horizontal="right"/>
    </xf>
    <xf numFmtId="38" fontId="5" fillId="3" borderId="13" xfId="0" applyNumberFormat="1" applyFont="1" applyFill="1" applyBorder="1" applyAlignment="1">
      <alignment horizontal="right"/>
    </xf>
    <xf numFmtId="38" fontId="5" fillId="3" borderId="14" xfId="0" applyNumberFormat="1" applyFont="1" applyFill="1" applyBorder="1"/>
    <xf numFmtId="38" fontId="5" fillId="3" borderId="11" xfId="0" applyNumberFormat="1" applyFont="1" applyFill="1" applyBorder="1" applyAlignment="1">
      <alignment horizontal="right"/>
    </xf>
    <xf numFmtId="38" fontId="5" fillId="5" borderId="15" xfId="0" applyNumberFormat="1" applyFont="1" applyFill="1" applyBorder="1" applyAlignment="1">
      <alignment horizontal="right"/>
    </xf>
    <xf numFmtId="38" fontId="5" fillId="5" borderId="2" xfId="0" applyNumberFormat="1" applyFont="1" applyFill="1" applyBorder="1" applyAlignment="1">
      <alignment horizontal="right"/>
    </xf>
    <xf numFmtId="38" fontId="5" fillId="5" borderId="12" xfId="0" applyNumberFormat="1" applyFont="1" applyFill="1" applyBorder="1" applyAlignment="1">
      <alignment horizontal="right"/>
    </xf>
    <xf numFmtId="0" fontId="21" fillId="5" borderId="0" xfId="0" applyFont="1" applyFill="1"/>
    <xf numFmtId="0" fontId="22" fillId="5" borderId="0" xfId="0" applyFont="1" applyFill="1"/>
    <xf numFmtId="0" fontId="23" fillId="5" borderId="0" xfId="0" applyFont="1" applyFill="1"/>
    <xf numFmtId="0" fontId="6" fillId="2" borderId="1" xfId="0" applyFont="1" applyFill="1" applyBorder="1" applyAlignment="1">
      <alignment horizontal="left"/>
    </xf>
    <xf numFmtId="0" fontId="5" fillId="0" borderId="0" xfId="0" applyFont="1" applyAlignment="1">
      <alignment horizontal="left"/>
    </xf>
    <xf numFmtId="0" fontId="9" fillId="0" borderId="0" xfId="0" applyFont="1" applyAlignment="1">
      <alignment horizontal="left"/>
    </xf>
    <xf numFmtId="164" fontId="5" fillId="0" borderId="0" xfId="1" applyNumberFormat="1" applyFont="1" applyAlignment="1">
      <alignment horizontal="left"/>
    </xf>
    <xf numFmtId="164" fontId="5" fillId="0" borderId="0" xfId="1" applyNumberFormat="1" applyFont="1" applyBorder="1" applyAlignment="1">
      <alignment horizontal="left"/>
    </xf>
    <xf numFmtId="166" fontId="9" fillId="0" borderId="0" xfId="2" applyNumberFormat="1" applyFont="1" applyBorder="1" applyAlignment="1">
      <alignment horizontal="left"/>
    </xf>
    <xf numFmtId="166" fontId="9" fillId="0" borderId="0" xfId="2" applyNumberFormat="1" applyFont="1" applyFill="1" applyBorder="1" applyAlignment="1">
      <alignment horizontal="left"/>
    </xf>
    <xf numFmtId="0" fontId="6" fillId="2" borderId="1" xfId="0" applyFont="1" applyFill="1" applyBorder="1" applyAlignment="1">
      <alignment horizontal="right" wrapText="1"/>
    </xf>
    <xf numFmtId="38" fontId="5" fillId="5" borderId="16" xfId="0" applyNumberFormat="1" applyFont="1" applyFill="1" applyBorder="1"/>
    <xf numFmtId="0" fontId="24" fillId="5" borderId="0" xfId="0" applyFont="1" applyFill="1"/>
    <xf numFmtId="0" fontId="5" fillId="5" borderId="17" xfId="0" applyFont="1" applyFill="1" applyBorder="1"/>
    <xf numFmtId="0" fontId="6" fillId="7" borderId="1" xfId="0" applyFont="1" applyFill="1" applyBorder="1" applyAlignment="1">
      <alignment horizontal="center" wrapText="1"/>
    </xf>
    <xf numFmtId="164" fontId="5" fillId="5" borderId="0" xfId="1" applyNumberFormat="1" applyFont="1" applyFill="1" applyBorder="1" applyAlignment="1">
      <alignment horizontal="right"/>
    </xf>
    <xf numFmtId="0" fontId="18" fillId="5" borderId="0" xfId="0" applyFont="1" applyFill="1" applyAlignment="1">
      <alignment horizontal="left"/>
    </xf>
    <xf numFmtId="0" fontId="20" fillId="4" borderId="0" xfId="0" applyFont="1" applyFill="1"/>
    <xf numFmtId="164" fontId="20" fillId="4" borderId="0" xfId="0" applyNumberFormat="1" applyFont="1" applyFill="1" applyAlignment="1">
      <alignment horizontal="right"/>
    </xf>
    <xf numFmtId="0" fontId="6" fillId="7" borderId="18" xfId="0" applyFont="1" applyFill="1" applyBorder="1" applyAlignment="1">
      <alignment horizontal="right" wrapText="1"/>
    </xf>
    <xf numFmtId="38" fontId="20" fillId="4" borderId="0" xfId="0" applyNumberFormat="1" applyFont="1" applyFill="1" applyAlignment="1">
      <alignment horizontal="right"/>
    </xf>
    <xf numFmtId="0" fontId="20" fillId="6" borderId="0" xfId="0" applyFont="1" applyFill="1"/>
    <xf numFmtId="164" fontId="21" fillId="6" borderId="0" xfId="1" applyNumberFormat="1" applyFont="1" applyFill="1" applyBorder="1" applyAlignment="1">
      <alignment horizontal="right"/>
    </xf>
    <xf numFmtId="0" fontId="25" fillId="6" borderId="0" xfId="0" applyFont="1" applyFill="1" applyAlignment="1">
      <alignment horizontal="left"/>
    </xf>
    <xf numFmtId="164" fontId="25" fillId="6" borderId="0" xfId="1" applyNumberFormat="1" applyFont="1" applyFill="1" applyBorder="1" applyAlignment="1">
      <alignment horizontal="right"/>
    </xf>
    <xf numFmtId="9" fontId="25" fillId="6" borderId="0" xfId="3" applyFont="1" applyFill="1" applyBorder="1" applyAlignment="1">
      <alignment horizontal="right"/>
    </xf>
    <xf numFmtId="0" fontId="6" fillId="7" borderId="18" xfId="0" applyFont="1" applyFill="1" applyBorder="1" applyAlignment="1">
      <alignment horizontal="left" wrapText="1"/>
    </xf>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9" xfId="0" applyFont="1" applyFill="1" applyBorder="1" applyAlignment="1">
      <alignment horizontal="right"/>
    </xf>
    <xf numFmtId="0" fontId="6" fillId="5" borderId="4" xfId="0" applyFont="1" applyFill="1" applyBorder="1" applyAlignment="1">
      <alignment horizontal="right"/>
    </xf>
    <xf numFmtId="0" fontId="6" fillId="5" borderId="3" xfId="0" applyFont="1" applyFill="1" applyBorder="1" applyAlignment="1">
      <alignment horizontal="right"/>
    </xf>
    <xf numFmtId="0" fontId="6" fillId="5" borderId="8" xfId="0" applyFont="1" applyFill="1" applyBorder="1" applyAlignment="1">
      <alignment horizontal="right"/>
    </xf>
    <xf numFmtId="0" fontId="6" fillId="5" borderId="2" xfId="0" applyFont="1" applyFill="1" applyBorder="1"/>
    <xf numFmtId="0" fontId="6" fillId="7" borderId="19" xfId="0" applyFont="1" applyFill="1" applyBorder="1" applyAlignment="1">
      <alignment horizontal="right" wrapText="1"/>
    </xf>
    <xf numFmtId="38" fontId="5" fillId="5" borderId="20" xfId="0" applyNumberFormat="1" applyFont="1" applyFill="1" applyBorder="1"/>
    <xf numFmtId="38" fontId="5" fillId="6" borderId="0" xfId="0" applyNumberFormat="1" applyFont="1" applyFill="1"/>
    <xf numFmtId="38" fontId="20" fillId="4" borderId="2" xfId="0" applyNumberFormat="1" applyFont="1" applyFill="1" applyBorder="1" applyAlignment="1">
      <alignment horizontal="right"/>
    </xf>
    <xf numFmtId="0" fontId="6" fillId="7" borderId="21" xfId="0" applyFont="1" applyFill="1" applyBorder="1" applyAlignment="1">
      <alignment horizontal="right" wrapText="1"/>
    </xf>
    <xf numFmtId="38" fontId="5" fillId="5" borderId="22" xfId="0" applyNumberFormat="1" applyFont="1" applyFill="1" applyBorder="1"/>
    <xf numFmtId="38" fontId="5" fillId="5" borderId="23" xfId="0" applyNumberFormat="1" applyFont="1" applyFill="1" applyBorder="1"/>
    <xf numFmtId="38" fontId="5" fillId="6" borderId="23" xfId="0" applyNumberFormat="1" applyFont="1" applyFill="1" applyBorder="1"/>
    <xf numFmtId="38" fontId="20" fillId="4" borderId="24" xfId="0" applyNumberFormat="1" applyFont="1" applyFill="1" applyBorder="1" applyAlignment="1">
      <alignment horizontal="right"/>
    </xf>
    <xf numFmtId="0" fontId="20" fillId="4" borderId="2" xfId="0" applyFont="1" applyFill="1" applyBorder="1"/>
    <xf numFmtId="164" fontId="20" fillId="4" borderId="2" xfId="0" applyNumberFormat="1" applyFont="1" applyFill="1" applyBorder="1" applyAlignment="1">
      <alignment horizontal="right"/>
    </xf>
    <xf numFmtId="164" fontId="20" fillId="4" borderId="25" xfId="0" applyNumberFormat="1" applyFont="1" applyFill="1" applyBorder="1" applyAlignment="1">
      <alignment horizontal="right"/>
    </xf>
    <xf numFmtId="0" fontId="6" fillId="7" borderId="20" xfId="0" applyFont="1" applyFill="1" applyBorder="1" applyAlignment="1">
      <alignment horizontal="right" wrapText="1"/>
    </xf>
    <xf numFmtId="0" fontId="6" fillId="7" borderId="26" xfId="0" applyFont="1" applyFill="1" applyBorder="1" applyAlignment="1">
      <alignment horizontal="right" wrapText="1"/>
    </xf>
    <xf numFmtId="38" fontId="5" fillId="6" borderId="11" xfId="0" applyNumberFormat="1" applyFont="1" applyFill="1" applyBorder="1"/>
    <xf numFmtId="38" fontId="5" fillId="5" borderId="27" xfId="0" applyNumberFormat="1" applyFont="1" applyFill="1" applyBorder="1"/>
    <xf numFmtId="38" fontId="20" fillId="4" borderId="12" xfId="0" applyNumberFormat="1" applyFont="1" applyFill="1" applyBorder="1" applyAlignment="1">
      <alignment horizontal="right"/>
    </xf>
    <xf numFmtId="0" fontId="17" fillId="5" borderId="0" xfId="0" applyFont="1" applyFill="1" applyAlignment="1">
      <alignment horizontal="center" vertical="center" wrapText="1"/>
    </xf>
    <xf numFmtId="0" fontId="17" fillId="5" borderId="0" xfId="0" applyFont="1" applyFill="1" applyAlignment="1">
      <alignment vertical="center" wrapText="1"/>
    </xf>
    <xf numFmtId="164" fontId="5" fillId="5" borderId="0" xfId="1" applyNumberFormat="1" applyFont="1" applyFill="1"/>
    <xf numFmtId="41" fontId="5" fillId="5" borderId="0" xfId="0" applyNumberFormat="1" applyFont="1" applyFill="1" applyAlignment="1">
      <alignment horizontal="right" vertical="center" wrapText="1"/>
    </xf>
    <xf numFmtId="0" fontId="18" fillId="5" borderId="0" xfId="0" applyFont="1" applyFill="1"/>
    <xf numFmtId="10" fontId="18" fillId="5" borderId="0" xfId="3" applyNumberFormat="1" applyFont="1" applyFill="1"/>
    <xf numFmtId="0" fontId="6" fillId="7" borderId="18" xfId="0" applyFont="1" applyFill="1" applyBorder="1"/>
    <xf numFmtId="168" fontId="5" fillId="5" borderId="0" xfId="1" applyNumberFormat="1" applyFont="1" applyFill="1"/>
    <xf numFmtId="168" fontId="5" fillId="5" borderId="0" xfId="0" applyNumberFormat="1" applyFont="1" applyFill="1"/>
    <xf numFmtId="0" fontId="20" fillId="4" borderId="7" xfId="0" applyFont="1" applyFill="1" applyBorder="1"/>
    <xf numFmtId="164" fontId="20" fillId="4" borderId="7" xfId="0" applyNumberFormat="1" applyFont="1" applyFill="1" applyBorder="1"/>
    <xf numFmtId="0" fontId="26" fillId="3" borderId="0" xfId="0" applyFont="1" applyFill="1" applyAlignment="1">
      <alignment horizontal="left"/>
    </xf>
    <xf numFmtId="164" fontId="26" fillId="3" borderId="0" xfId="1" applyNumberFormat="1" applyFont="1" applyFill="1" applyBorder="1" applyAlignment="1">
      <alignment horizontal="right"/>
    </xf>
    <xf numFmtId="9" fontId="26" fillId="3" borderId="0" xfId="3" applyFont="1" applyFill="1" applyBorder="1" applyAlignment="1">
      <alignment horizontal="right"/>
    </xf>
    <xf numFmtId="9" fontId="26" fillId="3" borderId="23" xfId="3" applyFont="1" applyFill="1" applyBorder="1" applyAlignment="1">
      <alignment horizontal="right"/>
    </xf>
    <xf numFmtId="9" fontId="26" fillId="3" borderId="11" xfId="3" applyFont="1" applyFill="1" applyBorder="1" applyAlignment="1">
      <alignment horizontal="right"/>
    </xf>
    <xf numFmtId="164" fontId="27" fillId="3" borderId="0" xfId="1" applyNumberFormat="1" applyFont="1" applyFill="1" applyAlignment="1">
      <alignment horizontal="right"/>
    </xf>
    <xf numFmtId="0" fontId="26" fillId="5" borderId="0" xfId="0" applyFont="1" applyFill="1"/>
    <xf numFmtId="9" fontId="26" fillId="5" borderId="0" xfId="3" applyFont="1" applyFill="1"/>
    <xf numFmtId="0" fontId="28" fillId="5" borderId="0" xfId="0" applyFont="1" applyFill="1"/>
    <xf numFmtId="0" fontId="26" fillId="5" borderId="0" xfId="0" applyFont="1" applyFill="1" applyAlignment="1">
      <alignment horizontal="left"/>
    </xf>
    <xf numFmtId="0" fontId="29" fillId="4" borderId="0" xfId="0" applyFont="1" applyFill="1"/>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17" fillId="0" borderId="0" xfId="0" applyFont="1" applyAlignment="1">
      <alignment horizontal="center" vertical="center"/>
    </xf>
    <xf numFmtId="0" fontId="17" fillId="0" borderId="0" xfId="0" applyFont="1" applyAlignment="1">
      <alignment horizontal="center" vertical="center" wrapText="1"/>
    </xf>
    <xf numFmtId="0" fontId="5" fillId="0" borderId="0" xfId="0" applyFont="1" applyAlignment="1">
      <alignment horizontal="center" vertical="center"/>
    </xf>
    <xf numFmtId="0" fontId="6" fillId="7" borderId="1" xfId="0" applyFont="1" applyFill="1" applyBorder="1" applyAlignment="1">
      <alignment horizontal="center"/>
    </xf>
    <xf numFmtId="0" fontId="0" fillId="5" borderId="0" xfId="0" applyFill="1"/>
    <xf numFmtId="0" fontId="7" fillId="5" borderId="0" xfId="0" applyFont="1" applyFill="1" applyAlignment="1">
      <alignment horizontal="left"/>
    </xf>
    <xf numFmtId="0" fontId="21" fillId="0" borderId="0" xfId="0" applyFont="1"/>
    <xf numFmtId="38" fontId="5" fillId="6" borderId="0" xfId="0" applyNumberFormat="1" applyFont="1" applyFill="1" applyAlignment="1">
      <alignment horizontal="right"/>
    </xf>
    <xf numFmtId="0" fontId="5" fillId="4" borderId="0" xfId="0" applyFont="1" applyFill="1" applyAlignment="1">
      <alignment horizontal="right"/>
    </xf>
    <xf numFmtId="38" fontId="5" fillId="5" borderId="0" xfId="0" applyNumberFormat="1" applyFont="1" applyFill="1" applyBorder="1" applyAlignment="1">
      <alignment horizontal="right"/>
    </xf>
    <xf numFmtId="38" fontId="5" fillId="3" borderId="0" xfId="0" applyNumberFormat="1" applyFont="1" applyFill="1" applyBorder="1" applyAlignment="1">
      <alignment horizontal="right"/>
    </xf>
    <xf numFmtId="0" fontId="6" fillId="5" borderId="6" xfId="0" applyFont="1" applyFill="1" applyBorder="1" applyAlignment="1">
      <alignment horizontal="right"/>
    </xf>
    <xf numFmtId="38" fontId="5" fillId="5" borderId="6" xfId="0" applyNumberFormat="1" applyFont="1" applyFill="1" applyBorder="1" applyAlignment="1">
      <alignment horizontal="right"/>
    </xf>
    <xf numFmtId="38" fontId="5" fillId="5" borderId="11" xfId="0" applyNumberFormat="1" applyFont="1" applyFill="1" applyBorder="1" applyAlignment="1">
      <alignment horizontal="right"/>
    </xf>
    <xf numFmtId="164" fontId="20" fillId="4" borderId="15" xfId="0" applyNumberFormat="1" applyFont="1" applyFill="1" applyBorder="1" applyAlignment="1">
      <alignment horizontal="right"/>
    </xf>
    <xf numFmtId="164" fontId="20" fillId="4" borderId="12" xfId="0" applyNumberFormat="1" applyFont="1" applyFill="1" applyBorder="1" applyAlignment="1">
      <alignment horizontal="right"/>
    </xf>
    <xf numFmtId="0" fontId="0" fillId="0" borderId="0" xfId="0" applyNumberFormat="1"/>
    <xf numFmtId="0" fontId="0" fillId="0" borderId="0" xfId="0" pivotButton="1"/>
    <xf numFmtId="0" fontId="0" fillId="0" borderId="0" xfId="0" applyAlignment="1">
      <alignment horizontal="left"/>
    </xf>
    <xf numFmtId="38" fontId="0" fillId="5" borderId="0" xfId="0" applyNumberFormat="1" applyFill="1" applyAlignment="1">
      <alignment horizontal="right"/>
    </xf>
    <xf numFmtId="0" fontId="0" fillId="5" borderId="0" xfId="0" applyFill="1" applyAlignment="1"/>
    <xf numFmtId="38" fontId="0" fillId="5" borderId="10" xfId="0" applyNumberFormat="1" applyFill="1" applyBorder="1" applyAlignment="1">
      <alignment horizontal="right"/>
    </xf>
    <xf numFmtId="38" fontId="0" fillId="5" borderId="0" xfId="0" applyNumberFormat="1" applyFill="1" applyBorder="1" applyAlignment="1">
      <alignment horizontal="right"/>
    </xf>
    <xf numFmtId="38" fontId="0" fillId="5" borderId="11" xfId="0" applyNumberFormat="1" applyFill="1" applyBorder="1" applyAlignment="1">
      <alignment horizontal="right"/>
    </xf>
    <xf numFmtId="0" fontId="0" fillId="3" borderId="0" xfId="0" applyFill="1" applyAlignment="1"/>
    <xf numFmtId="38" fontId="0" fillId="3" borderId="0" xfId="0" applyNumberFormat="1" applyFill="1" applyAlignment="1">
      <alignment horizontal="right"/>
    </xf>
    <xf numFmtId="38" fontId="0" fillId="3" borderId="10" xfId="0" applyNumberFormat="1" applyFill="1" applyBorder="1" applyAlignment="1">
      <alignment horizontal="right"/>
    </xf>
    <xf numFmtId="38" fontId="0" fillId="3" borderId="0" xfId="0" applyNumberFormat="1" applyFill="1" applyBorder="1" applyAlignment="1">
      <alignment horizontal="right"/>
    </xf>
    <xf numFmtId="38" fontId="0" fillId="3" borderId="11" xfId="0" applyNumberFormat="1" applyFill="1" applyBorder="1" applyAlignment="1">
      <alignment horizontal="right"/>
    </xf>
    <xf numFmtId="38" fontId="0" fillId="5" borderId="6" xfId="0" applyNumberFormat="1" applyFill="1" applyBorder="1" applyAlignment="1">
      <alignment horizontal="right"/>
    </xf>
    <xf numFmtId="38" fontId="0" fillId="5" borderId="5" xfId="0" applyNumberFormat="1" applyFill="1" applyBorder="1" applyAlignment="1">
      <alignment horizontal="right"/>
    </xf>
    <xf numFmtId="38" fontId="0" fillId="5" borderId="16" xfId="0" applyNumberFormat="1" applyFill="1" applyBorder="1" applyAlignment="1">
      <alignment horizontal="right"/>
    </xf>
    <xf numFmtId="0" fontId="30" fillId="0" borderId="0" xfId="0" applyFont="1" applyAlignment="1">
      <alignment horizontal="right"/>
    </xf>
    <xf numFmtId="0" fontId="30" fillId="0" borderId="9" xfId="0" applyFont="1" applyBorder="1" applyAlignment="1">
      <alignment horizontal="right"/>
    </xf>
    <xf numFmtId="0" fontId="30" fillId="0" borderId="4" xfId="0" applyFont="1" applyBorder="1" applyAlignment="1">
      <alignment horizontal="right"/>
    </xf>
    <xf numFmtId="0" fontId="30" fillId="0" borderId="3" xfId="0" applyFont="1" applyBorder="1" applyAlignment="1">
      <alignment horizontal="right"/>
    </xf>
    <xf numFmtId="38" fontId="31" fillId="4" borderId="0" xfId="0" applyNumberFormat="1" applyFont="1" applyFill="1" applyAlignment="1">
      <alignment horizontal="right"/>
    </xf>
    <xf numFmtId="38" fontId="31" fillId="4" borderId="15" xfId="0" applyNumberFormat="1" applyFont="1" applyFill="1" applyBorder="1" applyAlignment="1">
      <alignment horizontal="right"/>
    </xf>
    <xf numFmtId="38" fontId="31" fillId="4" borderId="2" xfId="0" applyNumberFormat="1" applyFont="1" applyFill="1" applyBorder="1" applyAlignment="1">
      <alignment horizontal="right"/>
    </xf>
    <xf numFmtId="38" fontId="31" fillId="4" borderId="12" xfId="0" applyNumberFormat="1" applyFont="1" applyFill="1" applyBorder="1" applyAlignment="1">
      <alignment horizontal="right"/>
    </xf>
    <xf numFmtId="0" fontId="31" fillId="4" borderId="0" xfId="0" applyFont="1" applyFill="1" applyAlignment="1">
      <alignment horizontal="left"/>
    </xf>
    <xf numFmtId="0" fontId="5" fillId="6" borderId="0" xfId="0" applyFont="1" applyFill="1" applyAlignment="1">
      <alignment horizontal="left"/>
    </xf>
    <xf numFmtId="164" fontId="5" fillId="5" borderId="0" xfId="0" applyNumberFormat="1" applyFont="1" applyFill="1"/>
  </cellXfs>
  <cellStyles count="4">
    <cellStyle name="Comma" xfId="1" builtinId="3"/>
    <cellStyle name="Comma 2" xfId="2" xr:uid="{24B5B31D-32B6-4988-9CB5-D104A92A61CF}"/>
    <cellStyle name="Normal" xfId="0" builtinId="0"/>
    <cellStyle name="Percent 2" xfId="3" xr:uid="{D5B28168-2DC9-4B56-93C1-808AB0D36421}"/>
  </cellStyles>
  <dxfs count="28">
    <dxf>
      <fill>
        <patternFill patternType="solid">
          <bgColor theme="0"/>
        </patternFill>
      </fill>
    </dxf>
    <dxf>
      <fill>
        <patternFill patternType="solid">
          <bgColor theme="0"/>
        </patternFill>
      </fill>
    </dxf>
    <dxf>
      <fill>
        <patternFill patternType="solid">
          <bgColor theme="0"/>
        </patternFill>
      </fill>
    </dxf>
    <dxf>
      <numFmt numFmtId="6" formatCode="#,##0_);[Red]\(#,##0\)"/>
    </dxf>
    <dxf>
      <alignment horizontal="right"/>
    </dxf>
    <dxf>
      <alignment horizontal="general"/>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right"/>
    </dxf>
    <dxf>
      <fill>
        <patternFill>
          <bgColor theme="0" tint="-0.14999847407452621"/>
        </patternFill>
      </fill>
    </dxf>
    <dxf>
      <fill>
        <patternFill>
          <bgColor theme="0" tint="-0.14999847407452621"/>
        </patternFill>
      </fill>
    </dxf>
    <dxf>
      <fill>
        <patternFill>
          <bgColor rgb="FF002060"/>
        </patternFill>
      </fill>
    </dxf>
    <dxf>
      <fill>
        <patternFill>
          <bgColor rgb="FF002060"/>
        </patternFill>
      </fill>
    </dxf>
    <dxf>
      <font>
        <color theme="0"/>
      </font>
    </dxf>
    <dxf>
      <font>
        <color theme="0"/>
      </font>
    </dxf>
    <dxf>
      <font>
        <b/>
      </font>
    </dxf>
    <dxf>
      <font>
        <b/>
      </font>
    </dxf>
    <dxf>
      <font>
        <b val="0"/>
        <i val="0"/>
        <strike val="0"/>
        <condense val="0"/>
        <extend val="0"/>
        <outline val="0"/>
        <shadow val="0"/>
        <u val="none"/>
        <vertAlign val="baseline"/>
        <sz val="9"/>
        <color theme="1"/>
        <name val="Arial"/>
        <family val="2"/>
        <scheme val="none"/>
      </font>
      <numFmt numFmtId="164" formatCode="_(* #,##0_);_(* \(#,##0\);_(* &quot;-&quot;??_);_(@_)"/>
    </dxf>
    <dxf>
      <font>
        <b val="0"/>
        <i val="0"/>
        <strike val="0"/>
        <condense val="0"/>
        <extend val="0"/>
        <outline val="0"/>
        <shadow val="0"/>
        <u val="none"/>
        <vertAlign val="baseline"/>
        <sz val="9"/>
        <color theme="1"/>
        <name val="Arial"/>
        <family val="2"/>
        <scheme val="none"/>
      </font>
      <numFmt numFmtId="164" formatCode="_(* #,##0_);_(* \(#,##0\);_(* &quot;-&quot;??_);_(@_)"/>
    </dxf>
    <dxf>
      <font>
        <b val="0"/>
        <i val="0"/>
        <strike val="0"/>
        <condense val="0"/>
        <extend val="0"/>
        <outline val="0"/>
        <shadow val="0"/>
        <u val="none"/>
        <vertAlign val="baseline"/>
        <sz val="9"/>
        <color theme="1"/>
        <name val="Arial"/>
        <family val="2"/>
        <scheme val="none"/>
      </font>
      <numFmt numFmtId="164" formatCode="_(* #,##0_);_(* \(#,##0\);_(* &quot;-&quot;??_);_(@_)"/>
    </dxf>
    <dxf>
      <font>
        <b val="0"/>
        <i val="0"/>
        <strike val="0"/>
        <condense val="0"/>
        <extend val="0"/>
        <outline val="0"/>
        <shadow val="0"/>
        <u val="none"/>
        <vertAlign val="baseline"/>
        <sz val="9"/>
        <color auto="1"/>
        <name val="Arial"/>
        <family val="2"/>
        <scheme val="none"/>
      </font>
    </dxf>
    <dxf>
      <font>
        <b val="0"/>
        <i val="0"/>
        <strike val="0"/>
        <condense val="0"/>
        <extend val="0"/>
        <outline val="0"/>
        <shadow val="0"/>
        <u val="none"/>
        <vertAlign val="baseline"/>
        <sz val="9"/>
        <color auto="1"/>
        <name val="Arial"/>
        <family val="2"/>
        <scheme val="none"/>
      </font>
    </dxf>
    <dxf>
      <font>
        <b val="0"/>
        <i val="0"/>
        <strike val="0"/>
        <condense val="0"/>
        <extend val="0"/>
        <outline val="0"/>
        <shadow val="0"/>
        <u val="none"/>
        <vertAlign val="baseline"/>
        <sz val="9"/>
        <color auto="1"/>
        <name val="Arial"/>
        <family val="2"/>
        <scheme val="none"/>
      </font>
    </dxf>
    <dxf>
      <font>
        <b val="0"/>
        <i val="0"/>
        <strike val="0"/>
        <condense val="0"/>
        <extend val="0"/>
        <outline val="0"/>
        <shadow val="0"/>
        <u val="none"/>
        <vertAlign val="baseline"/>
        <sz val="9"/>
        <color auto="1"/>
        <name val="Arial"/>
        <family val="2"/>
        <scheme val="none"/>
      </font>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1"/>
        <name val="Arial"/>
        <family val="2"/>
        <scheme val="none"/>
      </font>
    </dxf>
    <dxf>
      <font>
        <b val="0"/>
        <i val="0"/>
        <strike val="0"/>
        <condense val="0"/>
        <extend val="0"/>
        <outline val="0"/>
        <shadow val="0"/>
        <u val="none"/>
        <vertAlign val="baseline"/>
        <sz val="9"/>
        <color theme="0"/>
        <name val="Arial"/>
        <family val="2"/>
        <scheme val="none"/>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28574</xdr:colOff>
      <xdr:row>0</xdr:row>
      <xdr:rowOff>28577</xdr:rowOff>
    </xdr:from>
    <xdr:to>
      <xdr:col>7</xdr:col>
      <xdr:colOff>247650</xdr:colOff>
      <xdr:row>8</xdr:row>
      <xdr:rowOff>38100</xdr:rowOff>
    </xdr:to>
    <mc:AlternateContent xmlns:mc="http://schemas.openxmlformats.org/markup-compatibility/2006" xmlns:sle15="http://schemas.microsoft.com/office/drawing/2012/slicer">
      <mc:Choice Requires="sle15">
        <xdr:graphicFrame macro="">
          <xdr:nvGraphicFramePr>
            <xdr:cNvPr id="2" name="Column1">
              <a:extLst>
                <a:ext uri="{FF2B5EF4-FFF2-40B4-BE49-F238E27FC236}">
                  <a16:creationId xmlns:a16="http://schemas.microsoft.com/office/drawing/2014/main" id="{33F2EE5B-C098-4802-ACBE-46748CD50167}"/>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28574" y="28576"/>
              <a:ext cx="4000501" cy="13715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228600</xdr:colOff>
      <xdr:row>8</xdr:row>
      <xdr:rowOff>57150</xdr:rowOff>
    </xdr:from>
    <xdr:to>
      <xdr:col>11</xdr:col>
      <xdr:colOff>552450</xdr:colOff>
      <xdr:row>18</xdr:row>
      <xdr:rowOff>9525</xdr:rowOff>
    </xdr:to>
    <mc:AlternateContent xmlns:mc="http://schemas.openxmlformats.org/markup-compatibility/2006" xmlns:sle15="http://schemas.microsoft.com/office/drawing/2012/slicer">
      <mc:Choice Requires="sle15">
        <xdr:graphicFrame macro="">
          <xdr:nvGraphicFramePr>
            <xdr:cNvPr id="3" name="Column2">
              <a:extLst>
                <a:ext uri="{FF2B5EF4-FFF2-40B4-BE49-F238E27FC236}">
                  <a16:creationId xmlns:a16="http://schemas.microsoft.com/office/drawing/2014/main" id="{69FAA5F3-E164-4183-8464-5474214FC9D2}"/>
                </a:ext>
              </a:extLst>
            </xdr:cNvPr>
            <xdr:cNvGraphicFramePr/>
          </xdr:nvGraphicFramePr>
          <xdr:xfrm>
            <a:off x="0" y="0"/>
            <a:ext cx="0" cy="0"/>
          </xdr:xfrm>
          <a:graphic>
            <a:graphicData uri="http://schemas.microsoft.com/office/drawing/2010/slicer">
              <sle:slicer xmlns:sle="http://schemas.microsoft.com/office/drawing/2010/slicer" name="Column2"/>
            </a:graphicData>
          </a:graphic>
        </xdr:graphicFrame>
      </mc:Choice>
      <mc:Fallback xmlns="">
        <xdr:sp macro="" textlink="">
          <xdr:nvSpPr>
            <xdr:cNvPr id="0" name=""/>
            <xdr:cNvSpPr>
              <a:spLocks noTextEdit="1"/>
            </xdr:cNvSpPr>
          </xdr:nvSpPr>
          <xdr:spPr>
            <a:xfrm>
              <a:off x="4019550" y="1323975"/>
              <a:ext cx="2762250" cy="1476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257175</xdr:colOff>
      <xdr:row>0</xdr:row>
      <xdr:rowOff>38100</xdr:rowOff>
    </xdr:from>
    <xdr:to>
      <xdr:col>11</xdr:col>
      <xdr:colOff>561974</xdr:colOff>
      <xdr:row>8</xdr:row>
      <xdr:rowOff>38100</xdr:rowOff>
    </xdr:to>
    <mc:AlternateContent xmlns:mc="http://schemas.openxmlformats.org/markup-compatibility/2006" xmlns:sle15="http://schemas.microsoft.com/office/drawing/2012/slicer">
      <mc:Choice Requires="sle15">
        <xdr:graphicFrame macro="">
          <xdr:nvGraphicFramePr>
            <xdr:cNvPr id="4" name="Column3">
              <a:extLst>
                <a:ext uri="{FF2B5EF4-FFF2-40B4-BE49-F238E27FC236}">
                  <a16:creationId xmlns:a16="http://schemas.microsoft.com/office/drawing/2014/main" id="{CBC2C42E-4E5E-45A5-AE9A-76CA663CB760}"/>
                </a:ext>
              </a:extLst>
            </xdr:cNvPr>
            <xdr:cNvGraphicFramePr/>
          </xdr:nvGraphicFramePr>
          <xdr:xfrm>
            <a:off x="0" y="0"/>
            <a:ext cx="0" cy="0"/>
          </xdr:xfrm>
          <a:graphic>
            <a:graphicData uri="http://schemas.microsoft.com/office/drawing/2010/slicer">
              <sle:slicer xmlns:sle="http://schemas.microsoft.com/office/drawing/2010/slicer" name="Column3"/>
            </a:graphicData>
          </a:graphic>
        </xdr:graphicFrame>
      </mc:Choice>
      <mc:Fallback xmlns="">
        <xdr:sp macro="" textlink="">
          <xdr:nvSpPr>
            <xdr:cNvPr id="0" name=""/>
            <xdr:cNvSpPr>
              <a:spLocks noTextEdit="1"/>
            </xdr:cNvSpPr>
          </xdr:nvSpPr>
          <xdr:spPr>
            <a:xfrm>
              <a:off x="4029075" y="38100"/>
              <a:ext cx="2762250" cy="138112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9525</xdr:colOff>
      <xdr:row>8</xdr:row>
      <xdr:rowOff>57151</xdr:rowOff>
    </xdr:from>
    <xdr:to>
      <xdr:col>7</xdr:col>
      <xdr:colOff>238125</xdr:colOff>
      <xdr:row>18</xdr:row>
      <xdr:rowOff>19051</xdr:rowOff>
    </xdr:to>
    <mc:AlternateContent xmlns:mc="http://schemas.openxmlformats.org/markup-compatibility/2006" xmlns:sle15="http://schemas.microsoft.com/office/drawing/2012/slicer">
      <mc:Choice Requires="sle15">
        <xdr:graphicFrame macro="">
          <xdr:nvGraphicFramePr>
            <xdr:cNvPr id="5" name="Baby">
              <a:extLst>
                <a:ext uri="{FF2B5EF4-FFF2-40B4-BE49-F238E27FC236}">
                  <a16:creationId xmlns:a16="http://schemas.microsoft.com/office/drawing/2014/main" id="{3504D771-0B51-495F-ACD7-78FCD9A65B66}"/>
                </a:ext>
              </a:extLst>
            </xdr:cNvPr>
            <xdr:cNvGraphicFramePr/>
          </xdr:nvGraphicFramePr>
          <xdr:xfrm>
            <a:off x="0" y="0"/>
            <a:ext cx="0" cy="0"/>
          </xdr:xfrm>
          <a:graphic>
            <a:graphicData uri="http://schemas.microsoft.com/office/drawing/2010/slicer">
              <sle:slicer xmlns:sle="http://schemas.microsoft.com/office/drawing/2010/slicer" name="Baby"/>
            </a:graphicData>
          </a:graphic>
        </xdr:graphicFrame>
      </mc:Choice>
      <mc:Fallback xmlns="">
        <xdr:sp macro="" textlink="">
          <xdr:nvSpPr>
            <xdr:cNvPr id="0" name=""/>
            <xdr:cNvSpPr>
              <a:spLocks noTextEdit="1"/>
            </xdr:cNvSpPr>
          </xdr:nvSpPr>
          <xdr:spPr>
            <a:xfrm>
              <a:off x="9525" y="1323976"/>
              <a:ext cx="4019550" cy="1485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46</xdr:row>
      <xdr:rowOff>0</xdr:rowOff>
    </xdr:from>
    <xdr:ext cx="4311746" cy="2342856"/>
    <xdr:pic>
      <xdr:nvPicPr>
        <xdr:cNvPr id="2" name="Picture 1">
          <a:extLst>
            <a:ext uri="{FF2B5EF4-FFF2-40B4-BE49-F238E27FC236}">
              <a16:creationId xmlns:a16="http://schemas.microsoft.com/office/drawing/2014/main" id="{ED7CABF8-1474-46D0-BB90-F9F3C618361B}"/>
            </a:ext>
          </a:extLst>
        </xdr:cNvPr>
        <xdr:cNvPicPr>
          <a:picLocks noChangeAspect="1"/>
        </xdr:cNvPicPr>
      </xdr:nvPicPr>
      <xdr:blipFill>
        <a:blip xmlns:r="http://schemas.openxmlformats.org/officeDocument/2006/relationships" r:embed="rId1"/>
        <a:stretch>
          <a:fillRect/>
        </a:stretch>
      </xdr:blipFill>
      <xdr:spPr>
        <a:xfrm>
          <a:off x="609600" y="9144000"/>
          <a:ext cx="4311746" cy="2342856"/>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Francis Rabe" refreshedDate="45233.046768287037" createdVersion="8" refreshedVersion="8" minRefreshableVersion="3" recordCount="109" xr:uid="{3387A24D-72EC-439B-8108-B588B566ED7A}">
  <cacheSource type="worksheet">
    <worksheetSource ref="B4:N113" sheet="Employees &amp; Salaries"/>
  </cacheSource>
  <cacheFields count="13">
    <cacheField name="P&amp;L Mapping" numFmtId="0">
      <sharedItems/>
    </cacheField>
    <cacheField name="Position" numFmtId="0">
      <sharedItems/>
    </cacheField>
    <cacheField name="Function" numFmtId="0">
      <sharedItems/>
    </cacheField>
    <cacheField name="Stream" numFmtId="0">
      <sharedItems count="5">
        <s v="Baby &amp; Kids"/>
        <s v="Home care"/>
        <s v="Leisure and entertainment"/>
        <s v="Personal care"/>
        <s v="Pharmaceuticals"/>
      </sharedItems>
    </cacheField>
    <cacheField name="Name" numFmtId="0">
      <sharedItems/>
    </cacheField>
    <cacheField name="Y1" numFmtId="0">
      <sharedItems containsString="0" containsBlank="1" containsNumber="1" minValue="920.50604999999996" maxValue="41484.307500000003" count="90">
        <n v="2182.0770000000002"/>
        <n v="14175"/>
        <n v="13076.5005"/>
        <n v="9704.9340000000011"/>
        <n v="13913.019"/>
        <n v="2391.1548750000002"/>
        <n v="4607.5252499999997"/>
        <n v="4175.9853750000002"/>
        <n v="4089.9363749999998"/>
        <n v="1417.5"/>
        <n v="1334.25"/>
        <n v="1274.4449999999999"/>
        <n v="7545.0167999999994"/>
        <n v="1131.2662500000001"/>
        <n v="1868.7273749999999"/>
        <n v="3407.4"/>
        <n v="4118.0040000000008"/>
        <n v="2433.9926250000003"/>
        <n v="2406.7597499999997"/>
        <n v="2444.5575000000003"/>
        <n v="3626.7558750000003"/>
        <n v="1056.1167"/>
        <n v="1693.7788499999999"/>
        <n v="1079.01675"/>
        <n v="1128.1518000000001"/>
        <n v="1714.0887"/>
        <n v="1664.6242499999998"/>
        <n v="22546.786500000002"/>
        <n v="32499.017999999996"/>
        <n v="10550.322"/>
        <n v="10363.068000000001"/>
        <n v="10693.242"/>
        <n v="13260.829500000002"/>
        <n v="14182.56"/>
        <n v="10526.228999999999"/>
        <n v="13439.943000000001"/>
        <n v="41484.307500000003"/>
        <n v="10314.531000000001"/>
        <n v="20531.245500000001"/>
        <n v="3803.64075"/>
        <n v="4033.4141250000002"/>
        <n v="4068.8966250000012"/>
        <n v="5259.375"/>
        <n v="5628.4953750000004"/>
        <n v="4386.9059999999999"/>
        <n v="1031.2501500000001"/>
        <n v="1016.2457999999998"/>
        <n v="10026.994500000001"/>
        <n v="9969.2145"/>
        <n v="2452.2266250000002"/>
        <n v="2570.0658749999998"/>
        <n v="2560.0477500000002"/>
        <n v="3376.0158750000001"/>
        <n v="3462.325875"/>
        <n v="3437.41725"/>
        <n v="3371.65425"/>
        <n v="3425.8185000000003"/>
        <n v="1725.47685"/>
        <n v="1973.8071000000002"/>
        <n v="1972.4975999999999"/>
        <n v="2738.6581500000002"/>
        <n v="3806.7624000000001"/>
        <n v="1936.6735499999998"/>
        <n v="1886.5183500000001"/>
        <n v="2613.35115"/>
        <n v="18022.824000000001"/>
        <n v="29987.743499999997"/>
        <n v="6098.0625"/>
        <n v="6591.6371250000002"/>
        <n v="920.50604999999996"/>
        <n v="1494"/>
        <n v="15751.107"/>
        <n v="15570"/>
        <n v="9401.7690000000021"/>
        <n v="17644.266000000003"/>
        <n v="16312.5"/>
        <n v="2125.7730000000001"/>
        <n v="2382.1514999999999"/>
        <n v="4192.5566250000002"/>
        <n v="4264.8547500000013"/>
        <n v="2784.9375"/>
        <n v="5062.8060000000005"/>
        <n v="2248.5431250000001"/>
        <n v="2293.05375"/>
        <n v="2366.866125"/>
        <n v="4923.5467500000004"/>
        <n v="2605.5123750000002"/>
        <n v="3177.723375"/>
        <n v="3193.7973750000001"/>
        <m/>
      </sharedItems>
    </cacheField>
    <cacheField name="Y2" numFmtId="0">
      <sharedItems containsString="0" containsBlank="1" containsNumber="1" minValue="1022.7845" maxValue="46093.675000000003"/>
    </cacheField>
    <cacheField name="Y3" numFmtId="0">
      <sharedItems containsString="0" containsBlank="1" containsNumber="1" minValue="1129.1619999999998" maxValue="48737.83"/>
    </cacheField>
    <cacheField name="Y4" numFmtId="38">
      <sharedItems containsString="0" containsBlank="1" containsNumber="1" minValue="1255.6054100000001" maxValue="53611.613000000005"/>
    </cacheField>
    <cacheField name="Y5" numFmtId="38">
      <sharedItems containsString="0" containsBlank="1" containsNumber="1" minValue="1343.4977887000002" maxValue="58972.774300000012"/>
    </cacheField>
    <cacheField name="Y6" numFmtId="38">
      <sharedItems containsString="0" containsBlank="1" containsNumber="1" minValue="1437.5426339090004" maxValue="64870.051730000021"/>
    </cacheField>
    <cacheField name="Y7" numFmtId="38">
      <sharedItems containsString="0" containsBlank="1" containsNumber="1" minValue="1538.1706182826306" maxValue="71357.056903000033"/>
    </cacheField>
    <cacheField name="Y8" numFmtId="38">
      <sharedItems containsString="0" containsBlank="1" containsNumber="1" minValue="1645.8425615624149" maxValue="78492.762593300038"/>
    </cacheField>
  </cacheFields>
  <extLst>
    <ext xmlns:x14="http://schemas.microsoft.com/office/spreadsheetml/2009/9/main" uri="{725AE2AE-9491-48be-B2B4-4EB974FC3084}">
      <x14:pivotCacheDefinition pivotCacheId="160708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Admin expenses - Payroll-Employee 10"/>
    <s v="White collar"/>
    <s v="Sales"/>
    <x v="0"/>
    <s v="Employee 10"/>
    <x v="0"/>
    <n v="2424.5300000000002"/>
    <n v="4099.3574999999992"/>
    <n v="4509.2932499999997"/>
    <n v="4824.9437774999997"/>
    <n v="4824.9437774999997"/>
    <n v="4824.9437774999997"/>
    <n v="4824.9437774999997"/>
  </r>
  <r>
    <s v="Admin expenses - Payroll-Employee 123"/>
    <s v="Blue collar"/>
    <s v="Production"/>
    <x v="0"/>
    <s v="Employee 123"/>
    <x v="1"/>
    <n v="15750"/>
    <n v="18080"/>
    <n v="18984"/>
    <n v="19933.2"/>
    <n v="20929.86"/>
    <n v="21976.353000000003"/>
    <n v="23075.170650000004"/>
  </r>
  <r>
    <s v="Admin expenses - Payroll-Employee 126"/>
    <s v="Blue collar"/>
    <s v="Production"/>
    <x v="0"/>
    <s v="Employee 126"/>
    <x v="2"/>
    <n v="14529.445"/>
    <n v="16029.64"/>
    <n v="16831.121999999999"/>
    <n v="17672.678100000001"/>
    <n v="18556.312005000003"/>
    <n v="19484.127605250003"/>
    <n v="20458.333985512505"/>
  </r>
  <r>
    <s v="Admin expenses - Payroll-Employee 137"/>
    <s v="Blue collar"/>
    <s v="Production"/>
    <x v="0"/>
    <s v="Employee 137"/>
    <x v="3"/>
    <n v="10783.26"/>
    <n v="11162.105"/>
    <n v="11720.21025"/>
    <n v="12306.220762500001"/>
    <n v="12921.531800625002"/>
    <n v="13567.608390656253"/>
    <n v="14245.988810189066"/>
  </r>
  <r>
    <s v="Admin expenses - Payroll-Employee 146"/>
    <s v="Blue collar"/>
    <s v="Production"/>
    <x v="0"/>
    <s v="Employee 146"/>
    <x v="4"/>
    <n v="15458.91"/>
    <n v="19015.73"/>
    <n v="19966.516500000002"/>
    <n v="20964.842325000001"/>
    <n v="22013.084441250001"/>
    <n v="23113.738663312502"/>
    <n v="24269.42559647813"/>
  </r>
  <r>
    <s v="Admin expenses - Payroll-Employee 21"/>
    <s v="White collar"/>
    <s v="Sales"/>
    <x v="0"/>
    <s v="Employee 21"/>
    <x v="5"/>
    <n v="2656.8387500000003"/>
    <n v="3540"/>
    <n v="3894.0000000000005"/>
    <n v="4166.5800000000008"/>
    <n v="4166.5800000000008"/>
    <n v="4166.5800000000008"/>
    <n v="4166.5800000000008"/>
  </r>
  <r>
    <s v="Admin expenses - Payroll-Employee 26"/>
    <s v="White collar"/>
    <s v="Sales"/>
    <x v="0"/>
    <s v="Employee 26"/>
    <x v="6"/>
    <n v="5119.4724999999999"/>
    <n v="5119.4724999999999"/>
    <n v="5631.41975"/>
    <n v="6025.6191325"/>
    <n v="6025.6191325"/>
    <n v="6025.6191325"/>
    <n v="6025.6191325"/>
  </r>
  <r>
    <s v="Admin expenses - Payroll-Employee 27"/>
    <s v="White collar"/>
    <s v="Sales"/>
    <x v="0"/>
    <s v="Employee 27"/>
    <x v="7"/>
    <n v="4639.9837500000003"/>
    <n v="4639.9837500000003"/>
    <n v="5103.9821250000005"/>
    <n v="5461.2608737500004"/>
    <n v="5461.2608737500004"/>
    <n v="5461.2608737500004"/>
    <n v="5461.2608737500004"/>
  </r>
  <r>
    <s v="Admin expenses - Payroll-Employee 35"/>
    <s v="White collar"/>
    <s v="Sales"/>
    <x v="0"/>
    <s v="Employee 35"/>
    <x v="8"/>
    <n v="4544.3737499999997"/>
    <n v="4544.3737499999997"/>
    <n v="4998.8111250000002"/>
    <n v="5348.7279037500002"/>
    <n v="5348.7279037500002"/>
    <n v="5348.7279037500002"/>
    <n v="5348.7279037500002"/>
  </r>
  <r>
    <s v="Admin expenses - Payroll-Employee 38"/>
    <s v="White collar"/>
    <s v="Finance"/>
    <x v="0"/>
    <s v="Employee 38"/>
    <x v="9"/>
    <n v="1575"/>
    <n v="1575"/>
    <n v="1685.25"/>
    <n v="1803.2175000000002"/>
    <n v="1929.4427250000003"/>
    <n v="2064.5037157500005"/>
    <n v="2209.0189758525007"/>
  </r>
  <r>
    <s v="Admin expenses - Payroll-Employee 50"/>
    <s v="White collar"/>
    <s v="Finance"/>
    <x v="0"/>
    <s v="Employee 50"/>
    <x v="10"/>
    <n v="1482.5"/>
    <n v="1482.5"/>
    <n v="1586.2750000000001"/>
    <n v="1697.3142500000001"/>
    <n v="1816.1262475000003"/>
    <n v="1943.2550848250005"/>
    <n v="2079.2829407627505"/>
  </r>
  <r>
    <s v="Admin expenses - Payroll-Employee 51"/>
    <s v="White collar"/>
    <s v="Finance"/>
    <x v="0"/>
    <s v="Employee 51"/>
    <x v="11"/>
    <n v="1416.05"/>
    <n v="1416.05"/>
    <n v="1515.1735000000001"/>
    <n v="1621.2356450000002"/>
    <n v="1734.7221401500003"/>
    <n v="1856.1526899605005"/>
    <n v="1986.0833782577356"/>
  </r>
  <r>
    <s v="Admin expenses - Payroll-Employee 52"/>
    <s v="Director"/>
    <s v="Finance"/>
    <x v="0"/>
    <s v="Employee 52"/>
    <x v="12"/>
    <n v="8383.351999999999"/>
    <n v="8724.9929999999986"/>
    <n v="9335.7425099999982"/>
    <n v="9989.2444856999991"/>
    <n v="10688.491599699"/>
    <n v="11436.686011677932"/>
    <n v="12237.254032495388"/>
  </r>
  <r>
    <s v="Admin expenses - Payroll-Employee 54"/>
    <s v="White collar"/>
    <s v="Finance"/>
    <x v="0"/>
    <s v="Employee 54"/>
    <x v="13"/>
    <n v="1256.9625000000001"/>
    <n v="1441.4575"/>
    <n v="1542.3595250000001"/>
    <n v="1650.3246917500003"/>
    <n v="1765.8474201725005"/>
    <n v="1889.4567395845756"/>
    <n v="2021.718711355496"/>
  </r>
  <r>
    <s v="Admin expenses - Payroll-Employee 6"/>
    <s v="White collar"/>
    <s v="Sales"/>
    <x v="0"/>
    <s v="Employee 6"/>
    <x v="14"/>
    <n v="2076.36375"/>
    <n v="2796.5387500000002"/>
    <n v="3076.1926250000006"/>
    <n v="3291.5261087500007"/>
    <n v="3291.5261087500007"/>
    <n v="3291.5261087500007"/>
    <n v="3291.5261087500007"/>
  </r>
  <r>
    <s v="Admin expenses - Payroll-Employee 69"/>
    <s v="White collar"/>
    <s v="Marketing"/>
    <x v="0"/>
    <s v="Employee 69"/>
    <x v="15"/>
    <n v="3786"/>
    <n v="4019.6237499999997"/>
    <n v="4019.6237499999997"/>
    <n v="4019.6237499999997"/>
    <n v="4019.6237499999997"/>
    <n v="4019.6237499999997"/>
    <n v="4019.6237499999997"/>
  </r>
  <r>
    <s v="Admin expenses - Payroll-Employee 7"/>
    <s v="White collar"/>
    <s v="Sales"/>
    <x v="0"/>
    <s v="Employee 7"/>
    <x v="16"/>
    <n v="4575.5600000000004"/>
    <n v="4575.5600000000004"/>
    <n v="5033.1160000000009"/>
    <n v="5385.4341200000017"/>
    <n v="5385.4341200000017"/>
    <n v="5385.4341200000017"/>
    <n v="5385.4341200000017"/>
  </r>
  <r>
    <s v="Admin expenses - Payroll-Employee 70"/>
    <s v="White collar"/>
    <s v="Marketing"/>
    <x v="0"/>
    <s v="Employee 70"/>
    <x v="17"/>
    <n v="2704.4362500000002"/>
    <n v="3941.2737500000007"/>
    <n v="3941.2737500000007"/>
    <n v="3941.2737500000007"/>
    <n v="3941.2737500000007"/>
    <n v="3941.2737500000007"/>
    <n v="3941.2737500000007"/>
  </r>
  <r>
    <s v="Admin expenses - Payroll-Employee 78"/>
    <s v="White collar"/>
    <s v="Marketing"/>
    <x v="0"/>
    <s v="Employee 78"/>
    <x v="18"/>
    <n v="2674.1774999999998"/>
    <n v="3154.84"/>
    <n v="3154.84"/>
    <n v="3154.84"/>
    <n v="3154.84"/>
    <n v="3154.84"/>
    <n v="3154.84"/>
  </r>
  <r>
    <s v="Admin expenses - Payroll-Employee 81"/>
    <s v="White collar"/>
    <s v="Marketing"/>
    <x v="0"/>
    <s v="Employee 81"/>
    <x v="19"/>
    <n v="2716.1750000000002"/>
    <n v="2866.1412500000001"/>
    <n v="2866.1412500000001"/>
    <n v="2866.1412500000001"/>
    <n v="2866.1412500000001"/>
    <n v="2866.1412500000001"/>
    <n v="2866.1412500000001"/>
  </r>
  <r>
    <s v="Admin expenses - Payroll-Employee 82"/>
    <s v="White collar"/>
    <s v="Marketing"/>
    <x v="0"/>
    <s v="Employee 82"/>
    <x v="20"/>
    <n v="4029.7287500000002"/>
    <n v="4029.7287500000002"/>
    <n v="4029.7287500000002"/>
    <n v="4029.7287500000002"/>
    <n v="4029.7287500000002"/>
    <n v="4029.7287500000002"/>
    <n v="4029.7287500000002"/>
  </r>
  <r>
    <s v="Admin expenses - Payroll-Employee 63"/>
    <s v="White collar"/>
    <s v="Finance"/>
    <x v="1"/>
    <s v="Employee 63"/>
    <x v="21"/>
    <n v="1173.463"/>
    <n v="1173.463"/>
    <n v="1255.6054100000001"/>
    <n v="1343.4977887000002"/>
    <n v="1437.5426339090004"/>
    <n v="1538.1706182826306"/>
    <n v="1645.8425615624149"/>
  </r>
  <r>
    <s v="Admin expenses - Payroll-Employee 61"/>
    <s v="White collar"/>
    <s v="Finance"/>
    <x v="1"/>
    <s v="Employee 61"/>
    <x v="22"/>
    <n v="1881.9765"/>
    <n v="2221"/>
    <n v="2376.4700000000003"/>
    <n v="2542.8229000000006"/>
    <n v="2720.8205030000008"/>
    <n v="2911.2779382100011"/>
    <n v="3115.0673938847012"/>
  </r>
  <r>
    <s v="Admin expenses - Payroll-Employee 55"/>
    <s v="White collar"/>
    <s v="Finance"/>
    <x v="1"/>
    <s v="Employee 55"/>
    <x v="23"/>
    <n v="1198.9075"/>
    <n v="1198.9075"/>
    <n v="1282.8310250000002"/>
    <n v="1372.6291967500003"/>
    <n v="1468.7132405225004"/>
    <n v="1571.5231673590756"/>
    <n v="1681.5297890742111"/>
  </r>
  <r>
    <s v="Admin expenses - Payroll-Employee 43"/>
    <s v="White collar"/>
    <s v="Finance"/>
    <x v="1"/>
    <s v="Employee 43"/>
    <x v="24"/>
    <n v="1253.502"/>
    <n v="1712"/>
    <n v="1831.8400000000001"/>
    <n v="1960.0688000000002"/>
    <n v="2097.2736160000004"/>
    <n v="2244.0827691200006"/>
    <n v="2401.1685629584008"/>
  </r>
  <r>
    <s v="Admin expenses - Payroll-Employee 42"/>
    <s v="White collar"/>
    <s v="Finance"/>
    <x v="1"/>
    <s v="Employee 42"/>
    <x v="25"/>
    <n v="1904.5429999999999"/>
    <n v="1904.5429999999999"/>
    <n v="2037.8610100000001"/>
    <n v="2180.5112807"/>
    <n v="2333.1470703490004"/>
    <n v="2496.4673652734305"/>
    <n v="2671.220080842571"/>
  </r>
  <r>
    <s v="Admin expenses - Payroll-Employee 40"/>
    <s v="White collar"/>
    <s v="Finance"/>
    <x v="1"/>
    <s v="Employee 40"/>
    <x v="26"/>
    <n v="1849.5824999999998"/>
    <n v="2520.3130000000001"/>
    <n v="2696.7349100000001"/>
    <n v="2885.5063537000001"/>
    <n v="3087.4917984590002"/>
    <n v="3303.6162243511303"/>
    <n v="3534.8693600557094"/>
  </r>
  <r>
    <s v="Admin expenses - Payroll-Employee 2"/>
    <s v="Manager"/>
    <s v="Production"/>
    <x v="1"/>
    <s v="Employee 2"/>
    <x v="27"/>
    <n v="25051.985000000001"/>
    <n v="27708.37"/>
    <n v="30479.207000000002"/>
    <n v="33527.127700000005"/>
    <n v="36879.84047000001"/>
    <n v="40567.824517000015"/>
    <n v="44624.60696870002"/>
  </r>
  <r>
    <s v="Admin expenses - Payroll-Employee 138"/>
    <s v="Manager"/>
    <s v="Production"/>
    <x v="1"/>
    <s v="Employee 138"/>
    <x v="28"/>
    <n v="36110.019999999997"/>
    <n v="37731.175000000003"/>
    <n v="41504.292500000003"/>
    <n v="45654.721750000004"/>
    <n v="50220.193925000007"/>
    <n v="55242.213317500013"/>
    <n v="60766.434649250019"/>
  </r>
  <r>
    <s v="Admin expenses - Payroll-Employee 136"/>
    <s v="Blue collar"/>
    <s v="Production"/>
    <x v="1"/>
    <s v="Employee 136"/>
    <x v="29"/>
    <n v="11722.58"/>
    <n v="17050.25"/>
    <n v="17902.762500000001"/>
    <n v="18797.900625000002"/>
    <n v="19737.795656250004"/>
    <n v="20724.685439062505"/>
    <n v="21760.919711015631"/>
  </r>
  <r>
    <s v="Admin expenses - Payroll-Employee 118"/>
    <s v="Blue collar"/>
    <s v="Production"/>
    <x v="1"/>
    <s v="Employee 118"/>
    <x v="30"/>
    <n v="11514.52"/>
    <n v="15764.644999999999"/>
    <n v="16552.877249999998"/>
    <n v="17380.521112499999"/>
    <n v="18249.547168124998"/>
    <n v="19162.024526531248"/>
    <n v="20120.12575285781"/>
  </r>
  <r>
    <s v="Admin expenses - Payroll-Employee 117"/>
    <s v="Blue collar"/>
    <s v="Production"/>
    <x v="1"/>
    <s v="Employee 117"/>
    <x v="31"/>
    <n v="11881.38"/>
    <n v="17401.11"/>
    <n v="18271.165500000003"/>
    <n v="19184.723775000002"/>
    <n v="20143.959963750003"/>
    <n v="21151.157961937504"/>
    <n v="22208.715860034379"/>
  </r>
  <r>
    <s v="Admin expenses - Payroll-Employee 116"/>
    <s v="Blue collar"/>
    <s v="Production"/>
    <x v="1"/>
    <s v="Employee 116"/>
    <x v="32"/>
    <n v="14734.255000000001"/>
    <n v="17524.010000000002"/>
    <n v="18400.210500000005"/>
    <n v="19320.221025000006"/>
    <n v="20286.232076250006"/>
    <n v="21300.543680062507"/>
    <n v="22365.570864065634"/>
  </r>
  <r>
    <s v="Admin expenses - Payroll-Employee 115"/>
    <s v="Blue collar"/>
    <s v="Production"/>
    <x v="1"/>
    <s v="Employee 115"/>
    <x v="33"/>
    <n v="15758.4"/>
    <n v="18070.799999999996"/>
    <n v="18974.339999999997"/>
    <n v="19923.056999999997"/>
    <n v="20919.209849999999"/>
    <n v="21965.170342500001"/>
    <n v="23063.428859625001"/>
  </r>
  <r>
    <s v="Admin expenses - Payroll-Employee 110"/>
    <s v="Blue collar"/>
    <s v="Production"/>
    <x v="1"/>
    <s v="Employee 110"/>
    <x v="34"/>
    <n v="11695.81"/>
    <n v="16616.14"/>
    <n v="17446.947"/>
    <n v="18319.29435"/>
    <n v="19235.259067499999"/>
    <n v="20197.022020875"/>
    <n v="21206.87312191875"/>
  </r>
  <r>
    <s v="Admin expenses - Payroll-Employee 109"/>
    <s v="Blue collar"/>
    <s v="Production"/>
    <x v="1"/>
    <s v="Employee 109"/>
    <x v="35"/>
    <n v="14933.27"/>
    <n v="19909.219999999998"/>
    <n v="20904.680999999997"/>
    <n v="21949.915049999996"/>
    <n v="23047.410802499995"/>
    <n v="24199.781342624996"/>
    <n v="25409.770409756245"/>
  </r>
  <r>
    <s v="Admin expenses - Payroll-Employee 108"/>
    <s v="Director"/>
    <s v="Production"/>
    <x v="1"/>
    <s v="Employee 108"/>
    <x v="36"/>
    <n v="46093.675000000003"/>
    <n v="48737.83"/>
    <n v="53611.613000000005"/>
    <n v="58972.774300000012"/>
    <n v="64870.051730000021"/>
    <n v="71357.056903000033"/>
    <n v="78492.762593300038"/>
  </r>
  <r>
    <s v="Admin expenses - Payroll-Employee 104"/>
    <s v="Blue collar"/>
    <s v="Production"/>
    <x v="1"/>
    <s v="Employee 104"/>
    <x v="37"/>
    <n v="11460.59"/>
    <n v="19496.169999999998"/>
    <n v="20470.978499999997"/>
    <n v="21494.527424999997"/>
    <n v="22569.253796249999"/>
    <n v="23697.716486062502"/>
    <n v="24882.602310365626"/>
  </r>
  <r>
    <s v="Admin expenses - Payroll-Employee 1"/>
    <s v="Manager"/>
    <s v="Production"/>
    <x v="1"/>
    <s v="Employee 1"/>
    <x v="38"/>
    <n v="22812.494999999999"/>
    <n v="23691.805"/>
    <n v="26060.985500000003"/>
    <n v="28667.084050000005"/>
    <n v="31533.79245500001"/>
    <n v="34687.17170050001"/>
    <n v="38155.888870550014"/>
  </r>
  <r>
    <s v="Admin expenses - Payroll-Employee 9"/>
    <s v="White collar"/>
    <s v="Sales"/>
    <x v="1"/>
    <s v="Employee 9"/>
    <x v="39"/>
    <n v="4226.2674999999999"/>
    <n v="4457.7487499999997"/>
    <n v="4903.5236249999998"/>
    <n v="5246.7702787500002"/>
    <n v="5246.7702787500002"/>
    <n v="5246.7702787500002"/>
    <n v="5246.7702787500002"/>
  </r>
  <r>
    <s v="Admin expenses - Payroll-Employee 8"/>
    <s v="White collar"/>
    <s v="Sales"/>
    <x v="1"/>
    <s v="Employee 8"/>
    <x v="40"/>
    <n v="4481.57125"/>
    <n v="5041.6125000000002"/>
    <n v="5545.7737500000003"/>
    <n v="5933.9779125000005"/>
    <n v="5933.9779125000005"/>
    <n v="5933.9779125000005"/>
    <n v="5933.9779125000005"/>
  </r>
  <r>
    <s v="Admin expenses - Payroll-Employee 65"/>
    <s v="Manager"/>
    <s v="Marketing"/>
    <x v="1"/>
    <s v="Employee 65"/>
    <x v="41"/>
    <n v="4520.9962500000011"/>
    <n v="4520.9962500000011"/>
    <n v="4520.9962500000011"/>
    <n v="4520.9962500000011"/>
    <n v="4520.9962500000011"/>
    <n v="4520.9962500000011"/>
    <n v="4520.9962500000011"/>
  </r>
  <r>
    <s v="Admin expenses - Payroll-Employee 32"/>
    <s v="Manager"/>
    <s v="Sales"/>
    <x v="1"/>
    <s v="Employee 32"/>
    <x v="42"/>
    <n v="5843.75"/>
    <n v="6131.25"/>
    <n v="6744.3750000000009"/>
    <n v="7216.4812500000016"/>
    <n v="7216.4812500000016"/>
    <n v="7216.4812500000016"/>
    <n v="7216.4812500000016"/>
  </r>
  <r>
    <s v="Admin expenses - Payroll-Employee 31"/>
    <s v="Manager"/>
    <s v="Sales"/>
    <x v="1"/>
    <s v="Employee 31"/>
    <x v="43"/>
    <n v="6253.88375"/>
    <n v="6499.2887499999997"/>
    <n v="7149.2176250000002"/>
    <n v="7649.6628587500009"/>
    <n v="7649.6628587500009"/>
    <n v="7649.6628587500009"/>
    <n v="7649.6628587500009"/>
  </r>
  <r>
    <s v="Admin expenses - Payroll-Employee 3"/>
    <s v="White collar"/>
    <s v="Sales"/>
    <x v="1"/>
    <s v="Employee 3"/>
    <x v="44"/>
    <n v="4874.34"/>
    <n v="4984.9212500000003"/>
    <n v="5483.413375000001"/>
    <n v="5867.2523112500012"/>
    <n v="5867.2523112500012"/>
    <n v="5867.2523112500012"/>
    <n v="5867.2523112500012"/>
  </r>
  <r>
    <s v="Admin expenses - Payroll-Employee 53"/>
    <s v="White collar"/>
    <s v="Finance"/>
    <x v="2"/>
    <s v="Employee 53"/>
    <x v="45"/>
    <n v="1145.8335"/>
    <n v="1672.0355000000004"/>
    <m/>
    <m/>
    <m/>
    <m/>
    <m/>
  </r>
  <r>
    <s v="Admin expenses - Payroll-Employee 49"/>
    <s v="Director"/>
    <s v="Finance"/>
    <x v="2"/>
    <s v="Employee 49"/>
    <x v="46"/>
    <n v="1129.1619999999998"/>
    <n v="1129.1619999999998"/>
    <m/>
    <m/>
    <m/>
    <m/>
    <m/>
  </r>
  <r>
    <s v="Admin expenses - Payroll-Employee 143"/>
    <s v="Blue collar"/>
    <s v="Production"/>
    <x v="2"/>
    <s v="Employee 143"/>
    <x v="47"/>
    <n v="11141.105"/>
    <n v="11572.655000000002"/>
    <m/>
    <m/>
    <m/>
    <m/>
    <m/>
  </r>
  <r>
    <s v="Admin expenses - Payroll-Employee 121"/>
    <s v="Blue collar"/>
    <s v="Production"/>
    <x v="2"/>
    <s v="Employee 121"/>
    <x v="48"/>
    <n v="11076.905000000001"/>
    <n v="13589.950000000003"/>
    <m/>
    <m/>
    <m/>
    <m/>
    <m/>
  </r>
  <r>
    <s v="Admin expenses - Payroll-Employee 76"/>
    <s v="White collar"/>
    <s v="Marketing"/>
    <x v="2"/>
    <s v="Employee 76"/>
    <x v="49"/>
    <n v="2724.69625"/>
    <n v="3304.8125"/>
    <m/>
    <m/>
    <m/>
    <m/>
    <m/>
  </r>
  <r>
    <s v="Admin expenses - Payroll-Employee 73"/>
    <s v="White collar"/>
    <s v="Marketing"/>
    <x v="2"/>
    <s v="Employee 73"/>
    <x v="50"/>
    <n v="2855.6287499999999"/>
    <n v="3540.6412499999997"/>
    <m/>
    <m/>
    <m/>
    <m/>
    <m/>
  </r>
  <r>
    <s v="Admin expenses - Payroll-Employee 72"/>
    <s v="White collar"/>
    <s v="Marketing"/>
    <x v="2"/>
    <s v="Employee 72"/>
    <x v="51"/>
    <n v="2844.4974999999999"/>
    <n v="3669.95"/>
    <m/>
    <m/>
    <m/>
    <m/>
    <m/>
  </r>
  <r>
    <s v="Admin expenses - Payroll-Employee 71"/>
    <s v="White collar"/>
    <s v="Marketing"/>
    <x v="2"/>
    <s v="Employee 71"/>
    <x v="52"/>
    <n v="3751.1287499999999"/>
    <n v="3751.1287499999999"/>
    <m/>
    <m/>
    <m/>
    <m/>
    <m/>
  </r>
  <r>
    <s v="Admin expenses - Payroll-Employee 68"/>
    <s v="White collar"/>
    <s v="Marketing"/>
    <x v="2"/>
    <s v="Employee 68"/>
    <x v="53"/>
    <n v="3847.0287499999999"/>
    <n v="4238.2837499999996"/>
    <m/>
    <m/>
    <m/>
    <m/>
    <m/>
  </r>
  <r>
    <s v="Admin expenses - Payroll-Employee 66"/>
    <s v="Manager"/>
    <s v="Marketing"/>
    <x v="2"/>
    <s v="Employee 66"/>
    <x v="54"/>
    <n v="3819.3525"/>
    <n v="4471.92"/>
    <m/>
    <m/>
    <m/>
    <m/>
    <m/>
  </r>
  <r>
    <s v="Admin expenses - Payroll-Employee 12"/>
    <s v="White collar"/>
    <s v="Sales"/>
    <x v="2"/>
    <s v="Employee 12"/>
    <x v="55"/>
    <n v="3746.2824999999998"/>
    <n v="3746.2824999999998"/>
    <m/>
    <m/>
    <m/>
    <m/>
    <m/>
  </r>
  <r>
    <s v="Admin expenses - Payroll-Employee 11"/>
    <s v="White collar"/>
    <s v="Sales"/>
    <x v="2"/>
    <s v="Employee 11"/>
    <x v="56"/>
    <n v="3806.4650000000001"/>
    <n v="3916.3337499999998"/>
    <m/>
    <m/>
    <m/>
    <m/>
    <m/>
  </r>
  <r>
    <s v="Admin expenses - Payroll-Employee 62"/>
    <s v="White collar"/>
    <s v="Finance"/>
    <x v="3"/>
    <s v="Employee 62"/>
    <x v="57"/>
    <n v="1917.1965"/>
    <n v="2136"/>
    <n v="2285.52"/>
    <n v="2445.5064000000002"/>
    <n v="2616.6918480000004"/>
    <n v="2799.8602773600005"/>
    <n v="2995.8504967752006"/>
  </r>
  <r>
    <s v="Admin expenses - Payroll-Employee 60"/>
    <s v="White collar"/>
    <s v="Finance"/>
    <x v="3"/>
    <s v="Employee 60"/>
    <x v="58"/>
    <n v="2193.1190000000001"/>
    <n v="2193.1190000000001"/>
    <n v="2346.6373300000005"/>
    <n v="2510.9019431000006"/>
    <n v="2686.6650791170009"/>
    <n v="2874.7316346551911"/>
    <n v="3075.9628490810546"/>
  </r>
  <r>
    <s v="Admin expenses - Payroll-Employee 59"/>
    <s v="Manager"/>
    <s v="Finance"/>
    <x v="3"/>
    <s v="Employee 59"/>
    <x v="59"/>
    <n v="2191.6639999999998"/>
    <n v="2191.6639999999998"/>
    <n v="2345.0804800000001"/>
    <n v="2509.2361136000004"/>
    <n v="2684.8826415520007"/>
    <n v="2872.824426460641"/>
    <n v="3073.9221363128859"/>
  </r>
  <r>
    <s v="Admin expenses - Payroll-Employee 58"/>
    <s v="Manager"/>
    <s v="Finance"/>
    <x v="3"/>
    <s v="Employee 58"/>
    <x v="60"/>
    <n v="3042.9535000000001"/>
    <n v="3484"/>
    <n v="3727.88"/>
    <n v="3988.8316000000004"/>
    <n v="4268.0498120000011"/>
    <n v="4566.8132988400012"/>
    <n v="4886.4902297588014"/>
  </r>
  <r>
    <s v="Admin expenses - Payroll-Employee 57"/>
    <s v="Manager"/>
    <s v="Finance"/>
    <x v="3"/>
    <s v="Employee 57"/>
    <x v="61"/>
    <n v="4229.7359999999999"/>
    <n v="4229.7359999999999"/>
    <n v="4525.8175200000005"/>
    <n v="4842.6247464000007"/>
    <n v="5181.6084786480014"/>
    <n v="5544.3210721533615"/>
    <n v="5932.4235472040973"/>
  </r>
  <r>
    <s v="Admin expenses - Payroll-Employee 41"/>
    <s v="White collar"/>
    <s v="Finance"/>
    <x v="3"/>
    <s v="Employee 41"/>
    <x v="62"/>
    <n v="2151.8594999999996"/>
    <n v="2151.8594999999996"/>
    <n v="2302.4896649999996"/>
    <n v="2463.6639415499999"/>
    <n v="2636.1204174585"/>
    <n v="2820.6488466805954"/>
    <n v="3018.0942659482371"/>
  </r>
  <r>
    <s v="Admin expenses - Payroll-Employee 39"/>
    <s v="White collar"/>
    <s v="Finance"/>
    <x v="3"/>
    <s v="Employee 39"/>
    <x v="63"/>
    <n v="2096.1315"/>
    <n v="2911.8049999999994"/>
    <n v="3115.6313499999997"/>
    <n v="3333.7255444999996"/>
    <n v="3567.0863326149997"/>
    <n v="3816.7823758980498"/>
    <n v="4083.9571422109134"/>
  </r>
  <r>
    <s v="Admin expenses - Payroll-Employee 36"/>
    <s v="Manager"/>
    <s v="Finance"/>
    <x v="3"/>
    <s v="Employee 36"/>
    <x v="64"/>
    <n v="2903.7235000000001"/>
    <n v="3100"/>
    <n v="3317"/>
    <n v="3549.19"/>
    <n v="3797.6333000000004"/>
    <n v="4063.4676310000009"/>
    <n v="4347.9103651700016"/>
  </r>
  <r>
    <s v="Admin expenses - Payroll-Employee 139"/>
    <s v="Blue collar"/>
    <s v="Production"/>
    <x v="3"/>
    <s v="Employee 139"/>
    <x v="65"/>
    <n v="20025.36"/>
    <n v="20122.294999999998"/>
    <n v="21128.409749999999"/>
    <n v="22184.830237499998"/>
    <n v="23294.071749374998"/>
    <n v="24458.775336843748"/>
    <n v="25681.714103685936"/>
  </r>
  <r>
    <s v="Admin expenses - Payroll-Employee 135"/>
    <s v="Manager"/>
    <s v="Production"/>
    <x v="3"/>
    <s v="Employee 135"/>
    <x v="66"/>
    <n v="33319.714999999997"/>
    <n v="35953.15"/>
    <n v="39548.465000000004"/>
    <n v="43503.311500000011"/>
    <n v="47853.642650000016"/>
    <n v="52639.00691500002"/>
    <n v="57902.907606500026"/>
  </r>
  <r>
    <s v="Admin expenses - Payroll-Employee 30"/>
    <s v="Manager"/>
    <s v="Sales"/>
    <x v="3"/>
    <s v="Employee 30"/>
    <x v="67"/>
    <n v="6775.625"/>
    <n v="7706.25"/>
    <n v="8476.875"/>
    <n v="9070.2562500000004"/>
    <n v="9070.2562500000004"/>
    <n v="9070.2562500000004"/>
    <n v="9070.2562500000004"/>
  </r>
  <r>
    <s v="Admin expenses - Payroll-Employee 29"/>
    <s v="Director"/>
    <s v="Sales"/>
    <x v="3"/>
    <s v="Employee 29"/>
    <x v="68"/>
    <n v="7324.0412500000002"/>
    <n v="8102.5812500000002"/>
    <n v="8912.8393750000014"/>
    <n v="9536.738131250002"/>
    <n v="9536.738131250002"/>
    <n v="9536.738131250002"/>
    <n v="9536.738131250002"/>
  </r>
  <r>
    <s v="Admin expenses - Payroll-Employee 5"/>
    <s v="White collar"/>
    <s v="Finance"/>
    <x v="4"/>
    <s v="Employee 5"/>
    <x v="69"/>
    <n v="1022.7845"/>
    <n v="1250.3915"/>
    <n v="1337.918905"/>
    <n v="1431.5732283500001"/>
    <n v="1531.7833543345002"/>
    <n v="1639.0081891379155"/>
    <n v="1753.7387623775696"/>
  </r>
  <r>
    <s v="Admin expenses - Payroll-Employee 37"/>
    <s v="White collar"/>
    <s v="Finance"/>
    <x v="4"/>
    <s v="Employee 37"/>
    <x v="70"/>
    <n v="1660"/>
    <n v="1660"/>
    <n v="1776.2"/>
    <n v="1900.5340000000001"/>
    <n v="2033.5713800000003"/>
    <n v="2175.9213766000003"/>
    <n v="2328.2358729620005"/>
  </r>
  <r>
    <s v="Admin expenses - Payroll-Employee 140"/>
    <s v="Blue collar"/>
    <s v="Production"/>
    <x v="4"/>
    <s v="Employee 140"/>
    <x v="71"/>
    <n v="17501.23"/>
    <n v="19591.314999999999"/>
    <n v="20570.88075"/>
    <n v="21599.4247875"/>
    <n v="22679.396026875002"/>
    <n v="23813.365828218753"/>
    <n v="25004.03411962969"/>
  </r>
  <r>
    <s v="Admin expenses - Payroll-Employee 133"/>
    <s v="Blue collar"/>
    <s v="Production"/>
    <x v="4"/>
    <s v="Employee 133"/>
    <x v="72"/>
    <n v="17300"/>
    <n v="17500"/>
    <n v="18375"/>
    <n v="19293.75"/>
    <n v="20258.4375"/>
    <n v="21271.359375"/>
    <n v="22334.927343750001"/>
  </r>
  <r>
    <s v="Admin expenses - Payroll-Employee 122"/>
    <s v="Blue collar"/>
    <s v="Production"/>
    <x v="4"/>
    <s v="Employee 122"/>
    <x v="73"/>
    <n v="10446.410000000002"/>
    <n v="13466.865000000002"/>
    <n v="14140.208250000001"/>
    <n v="14847.218662500001"/>
    <n v="15589.579595625002"/>
    <n v="16369.058575406252"/>
    <n v="17187.511504176564"/>
  </r>
  <r>
    <s v="Admin expenses - Payroll-Employee 120"/>
    <s v="Blue collar"/>
    <s v="Production"/>
    <x v="4"/>
    <s v="Employee 120"/>
    <x v="74"/>
    <n v="19604.740000000002"/>
    <n v="23932.03"/>
    <n v="25128.6315"/>
    <n v="26385.063075000002"/>
    <n v="27704.316228750002"/>
    <n v="29089.532040187503"/>
    <n v="30544.008642196881"/>
  </r>
  <r>
    <s v="Admin expenses - Payroll-Employee 119"/>
    <s v="Blue collar"/>
    <s v="Production"/>
    <x v="4"/>
    <s v="Employee 119"/>
    <x v="75"/>
    <n v="18125"/>
    <n v="18470"/>
    <n v="19393.5"/>
    <n v="20363.174999999999"/>
    <n v="21381.333750000002"/>
    <n v="22450.400437500004"/>
    <n v="23572.920459375004"/>
  </r>
  <r>
    <s v="Admin expenses - Payroll-Employee 87"/>
    <s v="White collar"/>
    <s v="Marketing"/>
    <x v="4"/>
    <s v="Employee 87"/>
    <x v="76"/>
    <n v="2361.9700000000003"/>
    <n v="2361.9700000000003"/>
    <n v="2361.9700000000003"/>
    <n v="2361.9700000000003"/>
    <n v="2361.9700000000003"/>
    <n v="2361.9700000000003"/>
    <n v="2361.9700000000003"/>
  </r>
  <r>
    <s v="Admin expenses - Payroll-Employee 74"/>
    <s v="White collar"/>
    <s v="Marketing"/>
    <x v="4"/>
    <s v="Employee 74"/>
    <x v="77"/>
    <n v="2646.835"/>
    <n v="3481.2"/>
    <n v="3481.2"/>
    <n v="3481.2"/>
    <n v="3481.2"/>
    <n v="3481.2"/>
    <n v="3481.2"/>
  </r>
  <r>
    <s v="Admin expenses - Payroll-Employee 67"/>
    <s v="Manager"/>
    <s v="Marketing"/>
    <x v="4"/>
    <s v="Employee 67"/>
    <x v="78"/>
    <n v="4658.3962499999998"/>
    <n v="4705.40625"/>
    <n v="4705.40625"/>
    <n v="4705.40625"/>
    <n v="4705.40625"/>
    <n v="4705.40625"/>
    <n v="4705.40625"/>
  </r>
  <r>
    <s v="Admin expenses - Payroll-Employee 64"/>
    <s v="Director"/>
    <s v="Marketing"/>
    <x v="4"/>
    <s v="Employee 64"/>
    <x v="79"/>
    <n v="4738.7275000000009"/>
    <n v="4738.7275000000009"/>
    <n v="4738.7275000000009"/>
    <n v="4738.7275000000009"/>
    <n v="4738.7275000000009"/>
    <n v="4738.7275000000009"/>
    <n v="4738.7275000000009"/>
  </r>
  <r>
    <s v="Admin expenses - Payroll-Employee 33"/>
    <s v="White collar"/>
    <s v="Sales"/>
    <x v="4"/>
    <s v="Employee 33"/>
    <x v="80"/>
    <n v="3094.375"/>
    <n v="3779.0625"/>
    <n v="4156.96875"/>
    <n v="4447.9565625000005"/>
    <n v="4447.9565625000005"/>
    <n v="4447.9565625000005"/>
    <n v="4447.9565625000005"/>
  </r>
  <r>
    <s v="Admin expenses - Payroll-Employee 28"/>
    <s v="White collar"/>
    <s v="Sales"/>
    <x v="4"/>
    <s v="Employee 28"/>
    <x v="81"/>
    <n v="5625.34"/>
    <n v="5625.34"/>
    <n v="6187.8740000000007"/>
    <n v="6621.0251800000015"/>
    <n v="6621.0251800000015"/>
    <n v="6621.0251800000015"/>
    <n v="6621.0251800000015"/>
  </r>
  <r>
    <s v="Admin expenses - Payroll-Employee 24"/>
    <s v="White collar"/>
    <s v="Sales"/>
    <x v="4"/>
    <s v="Employee 24"/>
    <x v="82"/>
    <n v="2498.3812499999999"/>
    <n v="2697.9012499999999"/>
    <n v="2967.6913750000003"/>
    <n v="3175.4297712500006"/>
    <n v="3175.4297712500006"/>
    <n v="3175.4297712500006"/>
    <n v="3175.4297712500006"/>
  </r>
  <r>
    <s v="Admin expenses - Payroll-Employee 22"/>
    <s v="White collar"/>
    <s v="Sales"/>
    <x v="4"/>
    <s v="Employee 22"/>
    <x v="83"/>
    <n v="2547.8375000000001"/>
    <n v="3627.0400000000004"/>
    <n v="3989.7440000000006"/>
    <n v="4269.0260800000005"/>
    <n v="4269.0260800000005"/>
    <n v="4269.0260800000005"/>
    <n v="4269.0260800000005"/>
  </r>
  <r>
    <s v="Admin expenses - Payroll-Employee 20"/>
    <s v="White collar"/>
    <s v="Sales"/>
    <x v="4"/>
    <s v="Employee 20"/>
    <x v="84"/>
    <n v="2629.8512499999997"/>
    <n v="3681.6062499999998"/>
    <n v="4049.7668750000003"/>
    <n v="4333.250556250001"/>
    <n v="4333.250556250001"/>
    <n v="4333.250556250001"/>
    <n v="4333.250556250001"/>
  </r>
  <r>
    <s v="Admin expenses - Payroll-Employee 16"/>
    <s v="White collar"/>
    <s v="Sales"/>
    <x v="4"/>
    <s v="Employee 16"/>
    <x v="85"/>
    <n v="5470.6075000000001"/>
    <n v="5470.6075000000001"/>
    <n v="6017.6682500000006"/>
    <n v="6438.9050275000009"/>
    <n v="6438.9050275000009"/>
    <n v="6438.9050275000009"/>
    <n v="6438.9050275000009"/>
  </r>
  <r>
    <s v="Admin expenses - Payroll-Employee 15"/>
    <s v="White collar"/>
    <s v="Sales"/>
    <x v="4"/>
    <s v="Employee 15"/>
    <x v="86"/>
    <n v="2895.0137500000001"/>
    <n v="3289.2075"/>
    <n v="3618.1282500000002"/>
    <n v="3871.3972275000006"/>
    <n v="3871.3972275000006"/>
    <n v="3871.3972275000006"/>
    <n v="3871.3972275000006"/>
  </r>
  <r>
    <s v="Admin expenses - Payroll-Employee 14"/>
    <s v="White collar"/>
    <s v="Sales"/>
    <x v="4"/>
    <s v="Employee 14"/>
    <x v="87"/>
    <n v="3530.80375"/>
    <n v="3604.2687499999997"/>
    <n v="3964.6956249999998"/>
    <n v="4242.2243187499998"/>
    <n v="4242.2243187499998"/>
    <n v="4242.2243187499998"/>
    <n v="4242.2243187499998"/>
  </r>
  <r>
    <s v="Admin expenses - Payroll-Employee 13"/>
    <s v="White collar"/>
    <s v="Sales"/>
    <x v="4"/>
    <s v="Employee 13"/>
    <x v="88"/>
    <n v="3548.6637500000002"/>
    <n v="3666.7562499999999"/>
    <n v="4033.4318750000002"/>
    <n v="4315.7721062500004"/>
    <n v="4315.7721062500004"/>
    <n v="4315.7721062500004"/>
    <n v="4315.7721062500004"/>
  </r>
  <r>
    <s v="Selling Expenses-New joiner"/>
    <s v="New"/>
    <s v="Sales"/>
    <x v="0"/>
    <s v="New 1"/>
    <x v="89"/>
    <m/>
    <m/>
    <n v="6353.5748409523803"/>
    <n v="6673.9989131523807"/>
    <n v="6898.6246569355471"/>
    <n v="7135.5991103460356"/>
    <n v="7385.6179284358832"/>
  </r>
  <r>
    <s v="Selling Expenses-New joiner"/>
    <s v="New"/>
    <s v="Sales"/>
    <x v="0"/>
    <s v="New 2"/>
    <x v="89"/>
    <m/>
    <m/>
    <n v="6353.5748409523803"/>
    <n v="6673.9989131523807"/>
    <n v="6898.6246569355471"/>
    <n v="7135.5991103460356"/>
    <n v="7385.6179284358832"/>
  </r>
  <r>
    <s v="Selling Expenses-New joiner"/>
    <s v="New"/>
    <s v="Sales"/>
    <x v="0"/>
    <s v="New 3"/>
    <x v="89"/>
    <m/>
    <m/>
    <n v="6353.5748409523803"/>
    <n v="6673.9989131523807"/>
    <n v="6898.6246569355471"/>
    <n v="7135.5991103460356"/>
    <n v="7385.6179284358832"/>
  </r>
  <r>
    <s v="Selling Expenses-New joiner"/>
    <s v="New"/>
    <s v="Sales"/>
    <x v="0"/>
    <s v="New 4"/>
    <x v="89"/>
    <m/>
    <m/>
    <n v="6353.5748409523803"/>
    <n v="6673.9989131523807"/>
    <n v="6898.6246569355471"/>
    <n v="7135.5991103460356"/>
    <n v="7385.6179284358832"/>
  </r>
  <r>
    <s v="Selling Expenses-New joiner"/>
    <s v="New"/>
    <s v="Sales"/>
    <x v="0"/>
    <s v="New 5"/>
    <x v="89"/>
    <m/>
    <m/>
    <n v="6353.5748409523803"/>
    <n v="6673.9989131523807"/>
    <n v="6898.6246569355471"/>
    <n v="7135.5991103460356"/>
    <n v="7385.6179284358832"/>
  </r>
  <r>
    <s v="Selling Expenses-New joiner"/>
    <s v="New"/>
    <s v="Sales"/>
    <x v="1"/>
    <s v="New 6"/>
    <x v="89"/>
    <m/>
    <m/>
    <n v="14433.69592625"/>
    <n v="6673.9989131523807"/>
    <n v="6898.6246569355471"/>
    <n v="7135.5991103460356"/>
    <n v="7385.6179284358832"/>
  </r>
  <r>
    <s v="Selling Expenses-New joiner"/>
    <s v="New"/>
    <s v="Sales"/>
    <x v="1"/>
    <s v="New 7"/>
    <x v="89"/>
    <m/>
    <m/>
    <n v="14433.69592625"/>
    <n v="6673.9989131523807"/>
    <n v="6898.6246569355471"/>
    <n v="7135.5991103460356"/>
    <n v="7385.6179284358832"/>
  </r>
  <r>
    <s v="Selling Expenses-New joiner"/>
    <s v="New"/>
    <s v="Sales"/>
    <x v="1"/>
    <s v="New 8"/>
    <x v="89"/>
    <m/>
    <m/>
    <n v="14433.69592625"/>
    <n v="6673.9989131523807"/>
    <n v="6898.6246569355471"/>
    <n v="7135.5991103460356"/>
    <n v="7385.6179284358832"/>
  </r>
  <r>
    <s v="Selling Expenses-New joiner"/>
    <s v="New"/>
    <s v="Sales"/>
    <x v="1"/>
    <s v="New 9"/>
    <x v="89"/>
    <m/>
    <m/>
    <n v="14433.69592625"/>
    <n v="6673.9989131523807"/>
    <n v="6898.6246569355471"/>
    <n v="7135.5991103460356"/>
    <n v="7385.6179284358832"/>
  </r>
  <r>
    <s v="Selling Expenses-New joiner"/>
    <s v="New"/>
    <s v="Sales"/>
    <x v="1"/>
    <s v="New 10"/>
    <x v="89"/>
    <m/>
    <m/>
    <n v="14433.69592625"/>
    <n v="6673.9989131523807"/>
    <n v="6898.6246569355471"/>
    <n v="7135.5991103460356"/>
    <n v="7385.6179284358832"/>
  </r>
  <r>
    <s v="Selling Expenses-New joiner"/>
    <s v="New"/>
    <s v="Sales"/>
    <x v="3"/>
    <s v="New 11"/>
    <x v="89"/>
    <m/>
    <m/>
    <n v="8502.7204558333342"/>
    <n v="6673.9989131523807"/>
    <n v="6898.6246569355471"/>
    <n v="7135.5991103460356"/>
    <n v="7385.6179284358832"/>
  </r>
  <r>
    <s v="Selling Expenses-New joiner"/>
    <s v="New"/>
    <s v="Sales"/>
    <x v="3"/>
    <s v="New 12"/>
    <x v="89"/>
    <m/>
    <m/>
    <n v="8502.7204558333342"/>
    <n v="6673.9989131523807"/>
    <n v="6898.6246569355471"/>
    <n v="7135.5991103460356"/>
    <n v="7385.6179284358832"/>
  </r>
  <r>
    <s v="Selling Expenses-New joiner"/>
    <s v="New"/>
    <s v="Sales"/>
    <x v="3"/>
    <s v="New 13"/>
    <x v="89"/>
    <m/>
    <m/>
    <n v="8502.7204558333342"/>
    <n v="6673.9989131523807"/>
    <n v="6898.6246569355471"/>
    <n v="7135.5991103460356"/>
    <n v="7385.6179284358832"/>
  </r>
  <r>
    <s v="Selling Expenses-New joiner"/>
    <s v="New"/>
    <s v="Sales"/>
    <x v="3"/>
    <s v="New 14"/>
    <x v="89"/>
    <m/>
    <m/>
    <n v="8502.7204558333342"/>
    <n v="6673.9989131523807"/>
    <n v="6898.6246569355471"/>
    <n v="7135.5991103460356"/>
    <n v="7385.6179284358832"/>
  </r>
  <r>
    <s v="Selling Expenses-New joiner"/>
    <s v="New"/>
    <s v="Sales"/>
    <x v="3"/>
    <s v="New 15"/>
    <x v="89"/>
    <m/>
    <m/>
    <n v="8502.7204558333342"/>
    <n v="6673.9989131523807"/>
    <n v="6898.6246569355471"/>
    <n v="7135.5991103460356"/>
    <n v="7385.6179284358832"/>
  </r>
  <r>
    <s v="Selling Expenses-New joiner"/>
    <s v="New"/>
    <s v="Sales"/>
    <x v="4"/>
    <s v="New 16"/>
    <x v="89"/>
    <m/>
    <m/>
    <n v="7749.780607749999"/>
    <n v="6673.9989131523807"/>
    <n v="6898.6246569355471"/>
    <n v="7135.5991103460356"/>
    <n v="7385.6179284358832"/>
  </r>
  <r>
    <s v="Selling Expenses-New joiner"/>
    <s v="New"/>
    <s v="Sales"/>
    <x v="4"/>
    <s v="New 17"/>
    <x v="89"/>
    <m/>
    <m/>
    <n v="7749.780607749999"/>
    <n v="6673.9989131523807"/>
    <n v="6898.6246569355471"/>
    <n v="7135.5991103460356"/>
    <n v="7385.6179284358832"/>
  </r>
  <r>
    <s v="Selling Expenses-New joiner"/>
    <s v="New"/>
    <s v="Sales"/>
    <x v="4"/>
    <s v="New 18"/>
    <x v="89"/>
    <m/>
    <m/>
    <n v="7749.780607749999"/>
    <n v="6673.9989131523807"/>
    <n v="6898.6246569355471"/>
    <n v="7135.5991103460356"/>
    <n v="7385.6179284358832"/>
  </r>
  <r>
    <s v="Selling Expenses-New joiner"/>
    <s v="New"/>
    <s v="Sales"/>
    <x v="4"/>
    <s v="New 19"/>
    <x v="89"/>
    <m/>
    <m/>
    <n v="7749.780607749999"/>
    <n v="6673.9989131523807"/>
    <n v="6898.6246569355471"/>
    <n v="7135.5991103460356"/>
    <n v="7385.6179284358832"/>
  </r>
  <r>
    <s v="Selling Expenses-New joiner"/>
    <s v="New"/>
    <s v="Sales"/>
    <x v="4"/>
    <s v="New 20"/>
    <x v="89"/>
    <m/>
    <m/>
    <n v="7749.780607749999"/>
    <n v="6673.9989131523807"/>
    <n v="6898.6246569355471"/>
    <n v="7135.5991103460356"/>
    <n v="7385.61792843588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167E8C-BCA4-4E45-B907-0B9DDA1C5FEB}"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I18" firstHeaderRow="0" firstDataRow="1" firstDataCol="1"/>
  <pivotFields count="13">
    <pivotField showAll="0"/>
    <pivotField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3"/>
  </rowFields>
  <rowItems count="6">
    <i>
      <x/>
    </i>
    <i>
      <x v="1"/>
    </i>
    <i>
      <x v="2"/>
    </i>
    <i>
      <x v="3"/>
    </i>
    <i>
      <x v="4"/>
    </i>
    <i t="grand">
      <x/>
    </i>
  </rowItems>
  <colFields count="1">
    <field x="-2"/>
  </colFields>
  <colItems count="8">
    <i>
      <x/>
    </i>
    <i i="1">
      <x v="1"/>
    </i>
    <i i="2">
      <x v="2"/>
    </i>
    <i i="3">
      <x v="3"/>
    </i>
    <i i="4">
      <x v="4"/>
    </i>
    <i i="5">
      <x v="5"/>
    </i>
    <i i="6">
      <x v="6"/>
    </i>
    <i i="7">
      <x v="7"/>
    </i>
  </colItems>
  <dataFields count="8">
    <dataField name="Sum of Y1" fld="5" baseField="0" baseItem="0"/>
    <dataField name="Sum of Y2" fld="6" baseField="0" baseItem="0"/>
    <dataField name="Sum of Y3" fld="7" baseField="0" baseItem="0"/>
    <dataField name="Sum of Y4" fld="8" baseField="0" baseItem="0"/>
    <dataField name="Sum of Y5" fld="9" baseField="0" baseItem="0"/>
    <dataField name="Sum of Y6" fld="10" baseField="0" baseItem="0"/>
    <dataField name="Sum of Y7" fld="11" baseField="0" baseItem="0"/>
    <dataField name="Sum of Y8"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54528C-5B13-40F0-AA82-3B9FD4532090}" name="PivotTable1" cacheId="5"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3:I9" firstHeaderRow="0" firstDataRow="1" firstDataCol="1"/>
  <pivotFields count="13">
    <pivotField showAll="0"/>
    <pivotField showAll="0"/>
    <pivotField showAll="0"/>
    <pivotField axis="axisRow" showAll="0">
      <items count="6">
        <item x="0"/>
        <item x="1"/>
        <item x="2"/>
        <item x="3"/>
        <item x="4"/>
        <item t="default"/>
      </items>
    </pivotField>
    <pivotField showAll="0"/>
    <pivotField dataField="1" showAll="0">
      <items count="91">
        <item x="69"/>
        <item x="46"/>
        <item x="45"/>
        <item x="21"/>
        <item x="23"/>
        <item x="24"/>
        <item x="13"/>
        <item x="11"/>
        <item x="10"/>
        <item x="9"/>
        <item x="70"/>
        <item x="26"/>
        <item x="22"/>
        <item x="25"/>
        <item x="57"/>
        <item x="14"/>
        <item x="63"/>
        <item x="62"/>
        <item x="59"/>
        <item x="58"/>
        <item x="76"/>
        <item x="0"/>
        <item x="82"/>
        <item x="83"/>
        <item x="84"/>
        <item x="77"/>
        <item x="5"/>
        <item x="18"/>
        <item x="17"/>
        <item x="19"/>
        <item x="49"/>
        <item x="51"/>
        <item x="50"/>
        <item x="86"/>
        <item x="64"/>
        <item x="60"/>
        <item x="80"/>
        <item x="87"/>
        <item x="88"/>
        <item x="55"/>
        <item x="52"/>
        <item x="15"/>
        <item x="56"/>
        <item x="54"/>
        <item x="53"/>
        <item x="20"/>
        <item x="39"/>
        <item x="61"/>
        <item x="40"/>
        <item x="41"/>
        <item x="8"/>
        <item x="16"/>
        <item x="7"/>
        <item x="78"/>
        <item x="79"/>
        <item x="44"/>
        <item x="6"/>
        <item x="85"/>
        <item x="81"/>
        <item x="42"/>
        <item x="43"/>
        <item x="67"/>
        <item x="68"/>
        <item x="12"/>
        <item x="73"/>
        <item x="3"/>
        <item x="48"/>
        <item x="47"/>
        <item x="37"/>
        <item x="30"/>
        <item x="34"/>
        <item x="29"/>
        <item x="31"/>
        <item x="2"/>
        <item x="32"/>
        <item x="35"/>
        <item x="4"/>
        <item x="1"/>
        <item x="33"/>
        <item x="72"/>
        <item x="71"/>
        <item x="75"/>
        <item x="74"/>
        <item x="65"/>
        <item x="38"/>
        <item x="27"/>
        <item x="66"/>
        <item x="28"/>
        <item x="36"/>
        <item x="89"/>
        <item t="default"/>
      </items>
    </pivotField>
    <pivotField dataField="1" showAll="0"/>
    <pivotField dataField="1" showAll="0"/>
    <pivotField dataField="1" showAll="0"/>
    <pivotField dataField="1" showAll="0"/>
    <pivotField dataField="1" showAll="0"/>
    <pivotField dataField="1" showAll="0"/>
    <pivotField dataField="1" showAll="0"/>
  </pivotFields>
  <rowFields count="1">
    <field x="3"/>
  </rowFields>
  <rowItems count="6">
    <i>
      <x/>
    </i>
    <i>
      <x v="1"/>
    </i>
    <i>
      <x v="2"/>
    </i>
    <i>
      <x v="3"/>
    </i>
    <i>
      <x v="4"/>
    </i>
    <i t="grand">
      <x/>
    </i>
  </rowItems>
  <colFields count="1">
    <field x="-2"/>
  </colFields>
  <colItems count="8">
    <i>
      <x/>
    </i>
    <i i="1">
      <x v="1"/>
    </i>
    <i i="2">
      <x v="2"/>
    </i>
    <i i="3">
      <x v="3"/>
    </i>
    <i i="4">
      <x v="4"/>
    </i>
    <i i="5">
      <x v="5"/>
    </i>
    <i i="6">
      <x v="6"/>
    </i>
    <i i="7">
      <x v="7"/>
    </i>
  </colItems>
  <dataFields count="8">
    <dataField name="Average of Y1" fld="5" subtotal="average" baseField="3" baseItem="1"/>
    <dataField name=" Y2" fld="6" subtotal="average" baseField="3" baseItem="3"/>
    <dataField name=" Y3" fld="7" subtotal="average" baseField="3" baseItem="3"/>
    <dataField name=" Y4" fld="8" subtotal="average" baseField="3" baseItem="3"/>
    <dataField name=" Y5" fld="9" subtotal="average" baseField="3" baseItem="3"/>
    <dataField name=" Y6" fld="10" subtotal="average" baseField="3" baseItem="3"/>
    <dataField name=" Y7" fld="11" subtotal="average" baseField="3" baseItem="3"/>
    <dataField name=" Y8" fld="12" subtotal="average" baseField="3" baseItem="3"/>
  </dataFields>
  <formats count="18">
    <format dxfId="0">
      <pivotArea outline="0" collapsedLevelsAreSubtotals="1" fieldPosition="0"/>
    </format>
    <format dxfId="1">
      <pivotArea dataOnly="0" labelOnly="1" fieldPosition="0">
        <references count="1">
          <reference field="3" count="0"/>
        </references>
      </pivotArea>
    </format>
    <format dxfId="2">
      <pivotArea dataOnly="0" labelOnly="1" grandRow="1" outline="0" fieldPosition="0"/>
    </format>
    <format dxfId="3">
      <pivotArea outline="0" collapsedLevelsAreSubtotals="1" fieldPosition="0"/>
    </format>
    <format dxfId="4">
      <pivotArea outline="0" collapsedLevelsAreSubtotals="1" fieldPosition="0"/>
    </format>
    <format dxfId="5">
      <pivotArea dataOnly="0" labelOnly="1" fieldPosition="0">
        <references count="1">
          <reference field="3" count="0"/>
        </references>
      </pivotArea>
    </format>
    <format dxfId="6">
      <pivotArea dataOnly="0" labelOnly="1" outline="0" fieldPosition="0">
        <references count="1">
          <reference field="4294967294" count="8">
            <x v="0"/>
            <x v="1"/>
            <x v="2"/>
            <x v="3"/>
            <x v="4"/>
            <x v="5"/>
            <x v="6"/>
            <x v="7"/>
          </reference>
        </references>
      </pivotArea>
    </format>
    <format dxfId="7">
      <pivotArea outline="0" collapsedLevelsAreSubtotals="1" fieldPosition="0">
        <references count="1">
          <reference field="4294967294" count="5" selected="0">
            <x v="3"/>
            <x v="4"/>
            <x v="5"/>
            <x v="6"/>
            <x v="7"/>
          </reference>
        </references>
      </pivotArea>
    </format>
    <format dxfId="8">
      <pivotArea dataOnly="0" labelOnly="1" outline="0" fieldPosition="0">
        <references count="1">
          <reference field="4294967294" count="5">
            <x v="3"/>
            <x v="4"/>
            <x v="5"/>
            <x v="6"/>
            <x v="7"/>
          </reference>
        </references>
      </pivotArea>
    </format>
    <format dxfId="9">
      <pivotArea dataOnly="0" labelOnly="1" outline="0" fieldPosition="0">
        <references count="1">
          <reference field="4294967294" count="8">
            <x v="0"/>
            <x v="1"/>
            <x v="2"/>
            <x v="3"/>
            <x v="4"/>
            <x v="5"/>
            <x v="6"/>
            <x v="7"/>
          </reference>
        </references>
      </pivotArea>
    </format>
    <format dxfId="10">
      <pivotArea collapsedLevelsAreSubtotals="1" fieldPosition="0">
        <references count="1">
          <reference field="3" count="1">
            <x v="1"/>
          </reference>
        </references>
      </pivotArea>
    </format>
    <format dxfId="11">
      <pivotArea dataOnly="0" labelOnly="1" fieldPosition="0">
        <references count="1">
          <reference field="3" count="1">
            <x v="1"/>
          </reference>
        </references>
      </pivotArea>
    </format>
    <format dxfId="12">
      <pivotArea grandRow="1" outline="0" collapsedLevelsAreSubtotals="1" fieldPosition="0"/>
    </format>
    <format dxfId="13">
      <pivotArea dataOnly="0" labelOnly="1" grandRow="1" outline="0" fieldPosition="0"/>
    </format>
    <format dxfId="14">
      <pivotArea grandRow="1" outline="0" collapsedLevelsAreSubtotals="1" fieldPosition="0"/>
    </format>
    <format dxfId="15">
      <pivotArea dataOnly="0" labelOnly="1" grandRow="1" outline="0" fieldPosition="0"/>
    </format>
    <format dxfId="16">
      <pivotArea grandRow="1" outline="0" collapsedLevelsAreSubtotals="1" fieldPosition="0"/>
    </format>
    <format dxfId="17">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9A4ACE19-030D-4129-A7C1-8BF852C4B2B4}" sourceName="Column1">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2" xr10:uid="{168DB103-B1F3-4AC3-9822-9CA871E4F93C}" sourceName="Column2">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3" xr10:uid="{DCA38825-6312-4390-B0E1-882FF4DD5DA7}" sourceName="Column3">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4" xr10:uid="{148C6301-8C06-4E45-8486-F3530B8EF1F3}" sourceName="Column4">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60D97E94-648A-4A22-881E-3A48C0F3903B}" cache="Slicer_Column1" caption="Mapping" columnCount="2" style="SlicerStyleDark1" rowHeight="241300"/>
  <slicer name="Column2" xr10:uid="{83D954CA-BA8B-4597-A979-023AB0752EBC}" cache="Slicer_Column2" caption="Position" columnCount="2" style="SlicerStyleDark1" rowHeight="241300"/>
  <slicer name="Column3" xr10:uid="{5E032186-9945-4706-8EC2-C7FFC06AA5CE}" cache="Slicer_Column3" caption="Department" columnCount="2" style="SlicerStyleDark1" rowHeight="241300"/>
  <slicer name="Baby" xr10:uid="{4608BE13-CB86-4150-8C05-45B8B1C50A99}" cache="Slicer_Column4" caption="Baby"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8B06FF-D85B-40F1-BB58-827C8EE787E9}" name="Table1" displayName="Table1" ref="B1:I93" totalsRowShown="0" headerRowDxfId="27" dataDxfId="26" dataCellStyle="Comma">
  <autoFilter ref="B1:I93" xr:uid="{228B06FF-D85B-40F1-BB58-827C8EE787E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C0FFC87-1788-4484-A60B-81A47B69D8E7}" name="Column1" dataDxfId="25"/>
    <tableColumn id="2" xr3:uid="{7243C772-F799-4773-ABD4-D3462865F547}" name="Column2" dataDxfId="24"/>
    <tableColumn id="3" xr3:uid="{EEC0F671-1655-4CD8-B243-78A24BF0AE3A}" name="Column3" dataDxfId="23"/>
    <tableColumn id="4" xr3:uid="{5426EF5B-D4AE-44F5-8147-299420A25983}" name="Column4" dataDxfId="22"/>
    <tableColumn id="5" xr3:uid="{92CCF60A-133F-4F15-8125-62984DF88DE0}" name="Column5" dataDxfId="21"/>
    <tableColumn id="6" xr3:uid="{2DF0D1D1-1767-47B5-B0AB-C53721687FC4}" name="Column6" dataDxfId="20" dataCellStyle="Comma"/>
    <tableColumn id="7" xr3:uid="{7B23F245-3BEC-472B-947A-384905FADE4F}" name="Column7" dataDxfId="19" dataCellStyle="Comma"/>
    <tableColumn id="8" xr3:uid="{1198BD97-FB77-413D-B6D2-E53FC8FA4468}" name="Column8" dataDxfId="18" dataCellStyle="Comma"/>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CA8B0-2C4D-479B-8B03-76E07DA32F37}">
  <sheetPr>
    <tabColor theme="4" tint="0.79998168889431442"/>
  </sheetPr>
  <dimension ref="B1:B33"/>
  <sheetViews>
    <sheetView showGridLines="0" topLeftCell="A7" zoomScaleNormal="100" workbookViewId="0">
      <selection activeCell="C23" sqref="C23"/>
    </sheetView>
  </sheetViews>
  <sheetFormatPr defaultRowHeight="15" x14ac:dyDescent="0.25"/>
  <cols>
    <col min="1" max="1" width="3.5703125" customWidth="1"/>
  </cols>
  <sheetData>
    <row r="1" spans="2:2" ht="15.75" x14ac:dyDescent="0.25">
      <c r="B1" s="4" t="s">
        <v>129</v>
      </c>
    </row>
    <row r="2" spans="2:2" ht="15.75" x14ac:dyDescent="0.25">
      <c r="B2" s="4" t="s">
        <v>130</v>
      </c>
    </row>
    <row r="4" spans="2:2" x14ac:dyDescent="0.25">
      <c r="B4" s="10" t="s">
        <v>114</v>
      </c>
    </row>
    <row r="5" spans="2:2" x14ac:dyDescent="0.25">
      <c r="B5" s="11" t="s">
        <v>133</v>
      </c>
    </row>
    <row r="6" spans="2:2" x14ac:dyDescent="0.25">
      <c r="B6" s="7" t="s">
        <v>115</v>
      </c>
    </row>
    <row r="7" spans="2:2" x14ac:dyDescent="0.25">
      <c r="B7" s="7" t="s">
        <v>116</v>
      </c>
    </row>
    <row r="8" spans="2:2" x14ac:dyDescent="0.25">
      <c r="B8" s="11" t="s">
        <v>134</v>
      </c>
    </row>
    <row r="9" spans="2:2" x14ac:dyDescent="0.25">
      <c r="B9" s="8" t="s">
        <v>117</v>
      </c>
    </row>
    <row r="10" spans="2:2" x14ac:dyDescent="0.25">
      <c r="B10" s="7" t="s">
        <v>135</v>
      </c>
    </row>
    <row r="11" spans="2:2" x14ac:dyDescent="0.25">
      <c r="B11" s="7" t="s">
        <v>136</v>
      </c>
    </row>
    <row r="12" spans="2:2" x14ac:dyDescent="0.25">
      <c r="B12" s="8" t="s">
        <v>118</v>
      </c>
    </row>
    <row r="13" spans="2:2" x14ac:dyDescent="0.25">
      <c r="B13" s="7" t="s">
        <v>137</v>
      </c>
    </row>
    <row r="14" spans="2:2" x14ac:dyDescent="0.25">
      <c r="B14" s="7" t="s">
        <v>119</v>
      </c>
    </row>
    <row r="15" spans="2:2" x14ac:dyDescent="0.25">
      <c r="B15" s="7" t="s">
        <v>120</v>
      </c>
    </row>
    <row r="16" spans="2:2" x14ac:dyDescent="0.25">
      <c r="B16" s="8" t="s">
        <v>121</v>
      </c>
    </row>
    <row r="17" spans="2:2" x14ac:dyDescent="0.25">
      <c r="B17" s="7" t="s">
        <v>138</v>
      </c>
    </row>
    <row r="18" spans="2:2" x14ac:dyDescent="0.25">
      <c r="B18" s="7"/>
    </row>
    <row r="19" spans="2:2" x14ac:dyDescent="0.25">
      <c r="B19" s="10" t="s">
        <v>122</v>
      </c>
    </row>
    <row r="20" spans="2:2" x14ac:dyDescent="0.25">
      <c r="B20" s="7" t="s">
        <v>123</v>
      </c>
    </row>
    <row r="21" spans="2:2" x14ac:dyDescent="0.25">
      <c r="B21" s="7" t="s">
        <v>124</v>
      </c>
    </row>
    <row r="22" spans="2:2" x14ac:dyDescent="0.25">
      <c r="B22" s="9" t="s">
        <v>125</v>
      </c>
    </row>
    <row r="23" spans="2:2" x14ac:dyDescent="0.25">
      <c r="B23" s="9" t="s">
        <v>126</v>
      </c>
    </row>
    <row r="24" spans="2:2" x14ac:dyDescent="0.25">
      <c r="B24" s="9"/>
    </row>
    <row r="25" spans="2:2" x14ac:dyDescent="0.25">
      <c r="B25" s="10" t="s">
        <v>113</v>
      </c>
    </row>
    <row r="26" spans="2:2" x14ac:dyDescent="0.25">
      <c r="B26" s="7" t="s">
        <v>131</v>
      </c>
    </row>
    <row r="27" spans="2:2" x14ac:dyDescent="0.25">
      <c r="B27" s="7" t="s">
        <v>132</v>
      </c>
    </row>
    <row r="28" spans="2:2" x14ac:dyDescent="0.25">
      <c r="B28" s="7"/>
    </row>
    <row r="29" spans="2:2" x14ac:dyDescent="0.25">
      <c r="B29" s="10" t="s">
        <v>3</v>
      </c>
    </row>
    <row r="30" spans="2:2" x14ac:dyDescent="0.25">
      <c r="B30" s="7" t="s">
        <v>127</v>
      </c>
    </row>
    <row r="31" spans="2:2" x14ac:dyDescent="0.25">
      <c r="B31" s="7"/>
    </row>
    <row r="32" spans="2:2" x14ac:dyDescent="0.25">
      <c r="B32" s="10" t="s">
        <v>108</v>
      </c>
    </row>
    <row r="33" spans="2:2" x14ac:dyDescent="0.25">
      <c r="B33" s="7" t="s">
        <v>128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143C0-AD7B-4C49-8765-3A81E6F54939}">
  <sheetPr>
    <tabColor theme="0"/>
  </sheetPr>
  <dimension ref="B1:L26"/>
  <sheetViews>
    <sheetView tabSelected="1" workbookViewId="0">
      <selection activeCell="N13" sqref="N13"/>
    </sheetView>
  </sheetViews>
  <sheetFormatPr defaultRowHeight="12" x14ac:dyDescent="0.2"/>
  <cols>
    <col min="1" max="1" width="2" style="43" customWidth="1"/>
    <col min="2" max="2" width="14.42578125" style="43" bestFit="1" customWidth="1"/>
    <col min="3" max="16384" width="9.140625" style="43"/>
  </cols>
  <sheetData>
    <row r="1" spans="2:11" ht="15.75" x14ac:dyDescent="0.25">
      <c r="B1" s="147" t="s">
        <v>216</v>
      </c>
    </row>
    <row r="2" spans="2:11" ht="15.75" x14ac:dyDescent="0.25">
      <c r="B2" s="147" t="s">
        <v>218</v>
      </c>
    </row>
    <row r="4" spans="2:11" x14ac:dyDescent="0.2">
      <c r="B4" s="94" t="s">
        <v>219</v>
      </c>
      <c r="C4" s="95"/>
      <c r="D4" s="95" t="s">
        <v>2</v>
      </c>
      <c r="E4" s="95" t="s">
        <v>1</v>
      </c>
      <c r="F4" s="95" t="s">
        <v>0</v>
      </c>
      <c r="G4" s="153" t="s">
        <v>188</v>
      </c>
      <c r="H4" s="97" t="s">
        <v>189</v>
      </c>
      <c r="I4" s="97" t="s">
        <v>190</v>
      </c>
      <c r="J4" s="97" t="s">
        <v>191</v>
      </c>
      <c r="K4" s="98" t="s">
        <v>192</v>
      </c>
    </row>
    <row r="5" spans="2:11" x14ac:dyDescent="0.2">
      <c r="B5" s="46" t="s">
        <v>7</v>
      </c>
      <c r="C5" s="47"/>
      <c r="D5" s="51">
        <f>AVERAGEIF('Employees &amp; Salaries'!$E$1:$E$113,'Payroll Workings'!$B5,'Employees &amp; Salaries'!G:G)</f>
        <v>4824.9908357142858</v>
      </c>
      <c r="E5" s="51">
        <f>AVERAGEIF('Employees &amp; Salaries'!$E$1:$E$113,'Payroll Workings'!$B5,'Employees &amp; Salaries'!H:H)</f>
        <v>5361.100928571429</v>
      </c>
      <c r="F5" s="51">
        <f>AVERAGEIF('Employees &amp; Salaries'!$E$1:$E$113,'Payroll Workings'!$B5,'Employees &amp; Salaries'!I:I)</f>
        <v>6012.1128214285718</v>
      </c>
      <c r="G5" s="154">
        <f>AVERAGEIF('Employees &amp; Salaries'!$E:$E,'Payroll Workings'!$B5,'Employees &amp; Salaries'!J:J)</f>
        <v>6353.5748409523803</v>
      </c>
      <c r="H5" s="151">
        <f>AVERAGEIF('Employees &amp; Salaries'!$E:$E,'Payroll Workings'!$B5,'Employees &amp; Salaries'!K:K)</f>
        <v>6673.9989131523798</v>
      </c>
      <c r="I5" s="151">
        <f>AVERAGEIF('Employees &amp; Salaries'!$E:$E,'Payroll Workings'!$B5,'Employees &amp; Salaries'!L:L)</f>
        <v>6898.6246569355462</v>
      </c>
      <c r="J5" s="151">
        <f>AVERAGEIF('Employees &amp; Salaries'!$E:$E,'Payroll Workings'!$B5,'Employees &amp; Salaries'!M:M)</f>
        <v>7135.5991103460337</v>
      </c>
      <c r="K5" s="155">
        <f>AVERAGEIF('Employees &amp; Salaries'!$E:$E,'Payroll Workings'!$B5,'Employees &amp; Salaries'!N:N)</f>
        <v>7385.6179284358823</v>
      </c>
    </row>
    <row r="6" spans="2:11" x14ac:dyDescent="0.2">
      <c r="B6" s="48" t="s">
        <v>4</v>
      </c>
      <c r="C6" s="49"/>
      <c r="D6" s="52">
        <f>AVERAGEIF('Employees &amp; Salaries'!$E$1:$E$113,'Payroll Workings'!$B6,'Employees &amp; Salaries'!G:G)</f>
        <v>10246.191121874997</v>
      </c>
      <c r="E6" s="52">
        <f>AVERAGEIF('Employees &amp; Salaries'!$E$1:$E$113,'Payroll Workings'!$B6,'Employees &amp; Salaries'!H:H)</f>
        <v>11384.656802083331</v>
      </c>
      <c r="F6" s="52">
        <f>AVERAGEIF('Employees &amp; Salaries'!$E$1:$E$113,'Payroll Workings'!$B6,'Employees &amp; Salaries'!I:I)</f>
        <v>13419.482041666668</v>
      </c>
      <c r="G6" s="58">
        <f>AVERAGEIF('Employees &amp; Salaries'!$E:$E,'Payroll Workings'!$B6,'Employees &amp; Salaries'!J:J)</f>
        <v>14433.695926250002</v>
      </c>
      <c r="H6" s="152">
        <f>AVERAGEIF('Employees &amp; Salaries'!$E:$E,'Payroll Workings'!$B6,'Employees &amp; Salaries'!K:K)</f>
        <v>15496.335222649994</v>
      </c>
      <c r="I6" s="152">
        <f>AVERAGEIF('Employees &amp; Salaries'!$E:$E,'Payroll Workings'!$B6,'Employees &amp; Salaries'!L:L)</f>
        <v>16553.028195171439</v>
      </c>
      <c r="J6" s="152">
        <f>AVERAGEIF('Employees &amp; Salaries'!$E:$E,'Payroll Workings'!$B6,'Employees &amp; Salaries'!M:M)</f>
        <v>17698.026965895948</v>
      </c>
      <c r="K6" s="63">
        <f>AVERAGEIF('Employees &amp; Salaries'!$E:$E,'Payroll Workings'!$B6,'Employees &amp; Salaries'!N:N)</f>
        <v>18939.272440877794</v>
      </c>
    </row>
    <row r="7" spans="2:11" x14ac:dyDescent="0.2">
      <c r="B7" s="46" t="s">
        <v>5</v>
      </c>
      <c r="C7" s="47"/>
      <c r="D7" s="51">
        <f>AVERAGEIF('Employees &amp; Salaries'!$E$1:$E$113,'Payroll Workings'!$B7,'Employees &amp; Salaries'!G:G)</f>
        <v>6612.8343562499986</v>
      </c>
      <c r="E7" s="51">
        <f>AVERAGEIF('Employees &amp; Salaries'!$E$1:$E$113,'Payroll Workings'!$B7,'Employees &amp; Salaries'!H:H)</f>
        <v>7347.593729166666</v>
      </c>
      <c r="F7" s="51">
        <f>AVERAGEIF('Employees &amp; Salaries'!$E$1:$E$113,'Payroll Workings'!$B7,'Employees &amp; Salaries'!I:I)</f>
        <v>7856.8716458333329</v>
      </c>
      <c r="G7" s="56">
        <f>AVERAGEIF('Employees &amp; Salaries'!$E:$E,'Payroll Workings'!$B7,'Employees &amp; Salaries'!J:J)</f>
        <v>8502.7204558333342</v>
      </c>
      <c r="H7" s="151">
        <f>AVERAGEIF('Employees &amp; Salaries'!$E:$E,'Payroll Workings'!$B7,'Employees &amp; Salaries'!K:K)</f>
        <v>9161.5680339916689</v>
      </c>
      <c r="I7" s="151">
        <f>AVERAGEIF('Employees &amp; Salaries'!$E:$E,'Payroll Workings'!$B7,'Employees &amp; Salaries'!L:L)</f>
        <v>9766.1205575012955</v>
      </c>
      <c r="J7" s="151">
        <f>AVERAGEIF('Employees &amp; Salaries'!$E:$E,'Payroll Workings'!$B7,'Employees &amp; Salaries'!M:M)</f>
        <v>10422.018849678465</v>
      </c>
      <c r="K7" s="155">
        <f>AVERAGEIF('Employees &amp; Salaries'!$E:$E,'Payroll Workings'!$B7,'Employees &amp; Salaries'!N:N)</f>
        <v>11133.85226032476</v>
      </c>
    </row>
    <row r="8" spans="2:11" x14ac:dyDescent="0.2">
      <c r="B8" s="6" t="s">
        <v>6</v>
      </c>
      <c r="C8" s="6"/>
      <c r="D8" s="52">
        <f>AVERAGEIF('Employees &amp; Salaries'!$E$1:$E$113,'Payroll Workings'!$B8,'Employees &amp; Salaries'!G:G)</f>
        <v>5935.8135149999998</v>
      </c>
      <c r="E8" s="52">
        <f>AVERAGEIF('Employees &amp; Salaries'!$E$1:$E$113,'Payroll Workings'!$B8,'Employees &amp; Salaries'!H:H)</f>
        <v>6595.3483500000002</v>
      </c>
      <c r="F8" s="52">
        <f>AVERAGEIF('Employees &amp; Salaries'!$E$1:$E$113,'Payroll Workings'!$B8,'Employees &amp; Salaries'!I:I)</f>
        <v>7329.9847624999993</v>
      </c>
      <c r="G8" s="58">
        <f>AVERAGEIF('Employees &amp; Salaries'!$E:$E,'Payroll Workings'!$B8,'Employees &amp; Salaries'!J:J)</f>
        <v>7749.780607749999</v>
      </c>
      <c r="H8" s="152">
        <f>AVERAGEIF('Employees &amp; Salaries'!$E:$E,'Payroll Workings'!$B8,'Employees &amp; Salaries'!K:K)</f>
        <v>8141.1514666675021</v>
      </c>
      <c r="I8" s="152">
        <f>AVERAGEIF('Employees &amp; Salaries'!$E:$E,'Payroll Workings'!$B8,'Employees &amp; Salaries'!L:L)</f>
        <v>8409.0354207792261</v>
      </c>
      <c r="J8" s="152">
        <f>AVERAGEIF('Employees &amp; Salaries'!$E:$E,'Payroll Workings'!$B8,'Employees &amp; Salaries'!M:M)</f>
        <v>8690.5468201025215</v>
      </c>
      <c r="K8" s="63">
        <f>AVERAGEIF('Employees &amp; Salaries'!$E:$E,'Payroll Workings'!$B8,'Employees &amp; Salaries'!N:N)</f>
        <v>8986.3833642233858</v>
      </c>
    </row>
    <row r="9" spans="2:11" x14ac:dyDescent="0.2">
      <c r="B9" s="110" t="s">
        <v>220</v>
      </c>
      <c r="C9" s="111"/>
      <c r="D9" s="111">
        <f>AVERAGE(D5:D8)</f>
        <v>6904.9574572098209</v>
      </c>
      <c r="E9" s="111">
        <f t="shared" ref="E9:K9" si="0">AVERAGE(E5:E8)</f>
        <v>7672.174952455357</v>
      </c>
      <c r="F9" s="111">
        <f t="shared" si="0"/>
        <v>8654.6128178571435</v>
      </c>
      <c r="G9" s="156">
        <f t="shared" si="0"/>
        <v>9259.9429576964285</v>
      </c>
      <c r="H9" s="111">
        <f t="shared" si="0"/>
        <v>9868.2634091153868</v>
      </c>
      <c r="I9" s="111">
        <f t="shared" si="0"/>
        <v>10406.702207596876</v>
      </c>
      <c r="J9" s="111">
        <f t="shared" si="0"/>
        <v>10986.547936505742</v>
      </c>
      <c r="K9" s="157">
        <f t="shared" si="0"/>
        <v>11611.281498465456</v>
      </c>
    </row>
    <row r="12" spans="2:11" x14ac:dyDescent="0.2">
      <c r="B12" s="94" t="s">
        <v>221</v>
      </c>
      <c r="C12" s="95"/>
      <c r="D12" s="95" t="s">
        <v>2</v>
      </c>
      <c r="E12" s="95" t="s">
        <v>1</v>
      </c>
      <c r="F12" s="95" t="s">
        <v>0</v>
      </c>
      <c r="G12" s="153" t="s">
        <v>188</v>
      </c>
      <c r="H12" s="97" t="s">
        <v>189</v>
      </c>
      <c r="I12" s="97" t="s">
        <v>190</v>
      </c>
      <c r="J12" s="97" t="s">
        <v>191</v>
      </c>
      <c r="K12" s="98" t="s">
        <v>192</v>
      </c>
    </row>
    <row r="13" spans="2:11" x14ac:dyDescent="0.2">
      <c r="B13" s="46" t="s">
        <v>7</v>
      </c>
      <c r="C13" s="47"/>
      <c r="D13" s="51">
        <f>COUNTIF('Employees &amp; Salaries'!$E$1:$E$93,'Payroll Workings'!$B13)</f>
        <v>21</v>
      </c>
      <c r="E13" s="51">
        <f>COUNTIF('Employees &amp; Salaries'!$E$1:$E$93,'Payroll Workings'!$B13)</f>
        <v>21</v>
      </c>
      <c r="F13" s="51">
        <f>COUNTIF('Employees &amp; Salaries'!$E$1:$E$93,'Payroll Workings'!$B13)</f>
        <v>21</v>
      </c>
      <c r="G13" s="154">
        <f>$F13+5</f>
        <v>26</v>
      </c>
      <c r="H13" s="151">
        <f t="shared" ref="H13:K13" si="1">$F13+5</f>
        <v>26</v>
      </c>
      <c r="I13" s="151">
        <f t="shared" si="1"/>
        <v>26</v>
      </c>
      <c r="J13" s="151">
        <f t="shared" si="1"/>
        <v>26</v>
      </c>
      <c r="K13" s="155">
        <f t="shared" si="1"/>
        <v>26</v>
      </c>
    </row>
    <row r="14" spans="2:11" x14ac:dyDescent="0.2">
      <c r="B14" s="48" t="s">
        <v>4</v>
      </c>
      <c r="C14" s="49"/>
      <c r="D14" s="52">
        <f>COUNTIF('Employees &amp; Salaries'!$E$1:$E$93,'Payroll Workings'!$B14)</f>
        <v>24</v>
      </c>
      <c r="E14" s="52">
        <f>COUNTIF('Employees &amp; Salaries'!$E$1:$E$93,'Payroll Workings'!$B14)</f>
        <v>24</v>
      </c>
      <c r="F14" s="52">
        <f>COUNTIF('Employees &amp; Salaries'!$E$1:$E$93,'Payroll Workings'!$B14)</f>
        <v>24</v>
      </c>
      <c r="G14" s="58">
        <f t="shared" ref="G14:K16" si="2">$F14+5</f>
        <v>29</v>
      </c>
      <c r="H14" s="152">
        <f t="shared" si="2"/>
        <v>29</v>
      </c>
      <c r="I14" s="152">
        <f t="shared" si="2"/>
        <v>29</v>
      </c>
      <c r="J14" s="152">
        <f t="shared" si="2"/>
        <v>29</v>
      </c>
      <c r="K14" s="63">
        <f t="shared" si="2"/>
        <v>29</v>
      </c>
    </row>
    <row r="15" spans="2:11" x14ac:dyDescent="0.2">
      <c r="B15" s="46" t="s">
        <v>5</v>
      </c>
      <c r="C15" s="47"/>
      <c r="D15" s="51">
        <f>COUNTIF('Employees &amp; Salaries'!$E$1:$E$93,'Payroll Workings'!$B15)</f>
        <v>12</v>
      </c>
      <c r="E15" s="51">
        <f>COUNTIF('Employees &amp; Salaries'!$E$1:$E$93,'Payroll Workings'!$B15)</f>
        <v>12</v>
      </c>
      <c r="F15" s="51">
        <f>COUNTIF('Employees &amp; Salaries'!$E$1:$E$93,'Payroll Workings'!$B15)</f>
        <v>12</v>
      </c>
      <c r="G15" s="56">
        <f t="shared" si="2"/>
        <v>17</v>
      </c>
      <c r="H15" s="151">
        <f t="shared" si="2"/>
        <v>17</v>
      </c>
      <c r="I15" s="151">
        <f t="shared" si="2"/>
        <v>17</v>
      </c>
      <c r="J15" s="151">
        <f t="shared" si="2"/>
        <v>17</v>
      </c>
      <c r="K15" s="155">
        <f t="shared" si="2"/>
        <v>17</v>
      </c>
    </row>
    <row r="16" spans="2:11" x14ac:dyDescent="0.2">
      <c r="B16" s="6" t="s">
        <v>6</v>
      </c>
      <c r="C16" s="6"/>
      <c r="D16" s="52">
        <f>COUNTIF('Employees &amp; Salaries'!$E$1:$E$93,'Payroll Workings'!$B16)</f>
        <v>20</v>
      </c>
      <c r="E16" s="52">
        <f>COUNTIF('Employees &amp; Salaries'!$E$1:$E$93,'Payroll Workings'!$B16)</f>
        <v>20</v>
      </c>
      <c r="F16" s="52">
        <f>COUNTIF('Employees &amp; Salaries'!$E$1:$E$93,'Payroll Workings'!$B16)</f>
        <v>20</v>
      </c>
      <c r="G16" s="58">
        <f t="shared" si="2"/>
        <v>25</v>
      </c>
      <c r="H16" s="152">
        <f t="shared" si="2"/>
        <v>25</v>
      </c>
      <c r="I16" s="152">
        <f t="shared" si="2"/>
        <v>25</v>
      </c>
      <c r="J16" s="152">
        <f t="shared" si="2"/>
        <v>25</v>
      </c>
      <c r="K16" s="63">
        <f t="shared" si="2"/>
        <v>25</v>
      </c>
    </row>
    <row r="17" spans="2:12" x14ac:dyDescent="0.2">
      <c r="B17" s="110" t="s">
        <v>241</v>
      </c>
      <c r="C17" s="111"/>
      <c r="D17" s="111">
        <f>SUM(D13:D16)</f>
        <v>77</v>
      </c>
      <c r="E17" s="111">
        <f t="shared" ref="E17:K17" si="3">SUM(E13:E16)</f>
        <v>77</v>
      </c>
      <c r="F17" s="111">
        <f t="shared" si="3"/>
        <v>77</v>
      </c>
      <c r="G17" s="111">
        <f t="shared" si="3"/>
        <v>97</v>
      </c>
      <c r="H17" s="111">
        <f t="shared" si="3"/>
        <v>97</v>
      </c>
      <c r="I17" s="111">
        <f t="shared" si="3"/>
        <v>97</v>
      </c>
      <c r="J17" s="111">
        <f t="shared" si="3"/>
        <v>97</v>
      </c>
      <c r="K17" s="111">
        <f t="shared" si="3"/>
        <v>97</v>
      </c>
      <c r="L17" s="184"/>
    </row>
    <row r="19" spans="2:12" x14ac:dyDescent="0.2">
      <c r="B19" s="94" t="s">
        <v>240</v>
      </c>
      <c r="C19" s="95"/>
      <c r="D19" s="95" t="s">
        <v>2</v>
      </c>
      <c r="E19" s="95" t="s">
        <v>1</v>
      </c>
      <c r="F19" s="95" t="s">
        <v>0</v>
      </c>
      <c r="G19" s="153" t="s">
        <v>188</v>
      </c>
      <c r="H19" s="97" t="s">
        <v>189</v>
      </c>
      <c r="I19" s="97" t="s">
        <v>190</v>
      </c>
      <c r="J19" s="97" t="s">
        <v>191</v>
      </c>
      <c r="K19" s="98" t="s">
        <v>192</v>
      </c>
    </row>
    <row r="20" spans="2:12" x14ac:dyDescent="0.2">
      <c r="B20" s="46" t="s">
        <v>7</v>
      </c>
      <c r="C20" s="47"/>
      <c r="D20" s="51">
        <f>D5/D13</f>
        <v>229.76146836734694</v>
      </c>
      <c r="E20" s="51">
        <f t="shared" ref="E20:K20" si="4">E5/E13</f>
        <v>255.29052040816327</v>
      </c>
      <c r="F20" s="51">
        <f t="shared" si="4"/>
        <v>286.29108673469392</v>
      </c>
      <c r="G20" s="154">
        <f t="shared" si="4"/>
        <v>244.3682631135531</v>
      </c>
      <c r="H20" s="151">
        <f t="shared" si="4"/>
        <v>256.69226589047616</v>
      </c>
      <c r="I20" s="151">
        <f t="shared" si="4"/>
        <v>265.3317175744441</v>
      </c>
      <c r="J20" s="151">
        <f t="shared" si="4"/>
        <v>274.44611962869362</v>
      </c>
      <c r="K20" s="155">
        <f t="shared" si="4"/>
        <v>284.06222801676472</v>
      </c>
    </row>
    <row r="21" spans="2:12" x14ac:dyDescent="0.2">
      <c r="B21" s="48" t="s">
        <v>4</v>
      </c>
      <c r="C21" s="49"/>
      <c r="D21" s="52">
        <f t="shared" ref="D21:K23" si="5">D6/D14</f>
        <v>426.92463007812489</v>
      </c>
      <c r="E21" s="52">
        <f t="shared" si="5"/>
        <v>474.36070008680548</v>
      </c>
      <c r="F21" s="52">
        <f t="shared" si="5"/>
        <v>559.14508506944446</v>
      </c>
      <c r="G21" s="58">
        <f t="shared" si="5"/>
        <v>497.71365262931045</v>
      </c>
      <c r="H21" s="152">
        <f t="shared" si="5"/>
        <v>534.35638698793082</v>
      </c>
      <c r="I21" s="152">
        <f t="shared" si="5"/>
        <v>570.7940756955669</v>
      </c>
      <c r="J21" s="152">
        <f t="shared" si="5"/>
        <v>610.27679192744642</v>
      </c>
      <c r="K21" s="63">
        <f t="shared" si="5"/>
        <v>653.07836003026875</v>
      </c>
    </row>
    <row r="22" spans="2:12" x14ac:dyDescent="0.2">
      <c r="B22" s="46" t="s">
        <v>5</v>
      </c>
      <c r="C22" s="47"/>
      <c r="D22" s="51">
        <f t="shared" si="5"/>
        <v>551.06952968749988</v>
      </c>
      <c r="E22" s="51">
        <f t="shared" si="5"/>
        <v>612.2994774305555</v>
      </c>
      <c r="F22" s="51">
        <f t="shared" si="5"/>
        <v>654.73930381944444</v>
      </c>
      <c r="G22" s="56">
        <f t="shared" si="5"/>
        <v>500.16002681372555</v>
      </c>
      <c r="H22" s="151">
        <f t="shared" si="5"/>
        <v>538.91576670539234</v>
      </c>
      <c r="I22" s="151">
        <f t="shared" si="5"/>
        <v>574.47767985301743</v>
      </c>
      <c r="J22" s="151">
        <f t="shared" si="5"/>
        <v>613.05993233402739</v>
      </c>
      <c r="K22" s="155">
        <f t="shared" si="5"/>
        <v>654.93248590145652</v>
      </c>
    </row>
    <row r="23" spans="2:12" x14ac:dyDescent="0.2">
      <c r="B23" s="6" t="s">
        <v>6</v>
      </c>
      <c r="C23" s="6"/>
      <c r="D23" s="52">
        <f t="shared" si="5"/>
        <v>296.79067574999999</v>
      </c>
      <c r="E23" s="52">
        <f t="shared" si="5"/>
        <v>329.76741750000002</v>
      </c>
      <c r="F23" s="52">
        <f t="shared" si="5"/>
        <v>366.49923812499998</v>
      </c>
      <c r="G23" s="58">
        <f t="shared" si="5"/>
        <v>309.99122430999995</v>
      </c>
      <c r="H23" s="152">
        <f t="shared" si="5"/>
        <v>325.64605866670007</v>
      </c>
      <c r="I23" s="152">
        <f t="shared" si="5"/>
        <v>336.36141683116904</v>
      </c>
      <c r="J23" s="152">
        <f t="shared" si="5"/>
        <v>347.62187280410086</v>
      </c>
      <c r="K23" s="63">
        <f t="shared" si="5"/>
        <v>359.45533456893543</v>
      </c>
    </row>
    <row r="24" spans="2:12" x14ac:dyDescent="0.2">
      <c r="B24" s="110" t="s">
        <v>220</v>
      </c>
      <c r="C24" s="111"/>
      <c r="D24" s="111">
        <f>D9/D17</f>
        <v>89.674772171556114</v>
      </c>
      <c r="E24" s="111">
        <f t="shared" ref="E24:K24" si="6">E9/E17</f>
        <v>99.638635746173463</v>
      </c>
      <c r="F24" s="111">
        <f t="shared" si="6"/>
        <v>112.39756906307979</v>
      </c>
      <c r="G24" s="111">
        <f t="shared" si="6"/>
        <v>95.463329460787918</v>
      </c>
      <c r="H24" s="111">
        <f t="shared" si="6"/>
        <v>101.73467432077719</v>
      </c>
      <c r="I24" s="111">
        <f t="shared" si="6"/>
        <v>107.28558976903996</v>
      </c>
      <c r="J24" s="111">
        <f t="shared" si="6"/>
        <v>113.26338078871899</v>
      </c>
      <c r="K24" s="111">
        <f t="shared" si="6"/>
        <v>119.70393297387068</v>
      </c>
    </row>
    <row r="26" spans="2:12" ht="15" x14ac:dyDescent="0.25">
      <c r="J26" s="158"/>
    </row>
  </sheetData>
  <phoneticPr fontId="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77E7-4536-4C2C-92D0-0D5B86E59E07}">
  <sheetPr>
    <tabColor theme="0"/>
  </sheetPr>
  <dimension ref="B1"/>
  <sheetViews>
    <sheetView workbookViewId="0">
      <selection activeCell="B3" sqref="B3"/>
    </sheetView>
  </sheetViews>
  <sheetFormatPr defaultRowHeight="12" x14ac:dyDescent="0.2"/>
  <cols>
    <col min="1" max="1" width="2" style="43" customWidth="1"/>
    <col min="2" max="16384" width="9.140625" style="43"/>
  </cols>
  <sheetData>
    <row r="1" spans="2:2" ht="15.75" x14ac:dyDescent="0.25">
      <c r="B1" s="44" t="s">
        <v>186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4E0AB-7145-416F-91F8-881BC62C1A49}">
  <sheetPr>
    <tabColor theme="0"/>
  </sheetPr>
  <dimension ref="B1:M59"/>
  <sheetViews>
    <sheetView workbookViewId="0">
      <selection activeCell="B12" sqref="B12:H17"/>
    </sheetView>
  </sheetViews>
  <sheetFormatPr defaultRowHeight="12" x14ac:dyDescent="0.2"/>
  <cols>
    <col min="1" max="1" width="2" style="43" customWidth="1"/>
    <col min="2" max="2" width="21.42578125" style="43" customWidth="1"/>
    <col min="3" max="3" width="19" style="43" customWidth="1"/>
    <col min="4" max="5" width="10" style="43" bestFit="1" customWidth="1"/>
    <col min="6" max="6" width="12.42578125" style="43" bestFit="1" customWidth="1"/>
    <col min="7" max="10" width="10" style="43" bestFit="1" customWidth="1"/>
    <col min="11" max="16384" width="9.140625" style="43"/>
  </cols>
  <sheetData>
    <row r="1" spans="2:8" ht="15.75" x14ac:dyDescent="0.25">
      <c r="B1" s="79" t="s">
        <v>182</v>
      </c>
    </row>
    <row r="3" spans="2:8" x14ac:dyDescent="0.2">
      <c r="B3" s="100" t="s">
        <v>163</v>
      </c>
      <c r="C3" s="95" t="s">
        <v>164</v>
      </c>
      <c r="E3" s="45" t="s">
        <v>174</v>
      </c>
    </row>
    <row r="4" spans="2:8" x14ac:dyDescent="0.2">
      <c r="B4" s="46" t="s">
        <v>7</v>
      </c>
      <c r="C4" s="47">
        <f>COUNTIF('List of employees &amp; salaries'!$E:$E,Summary!B4)</f>
        <v>21</v>
      </c>
      <c r="E4" s="50" t="str">
        <f>B6</f>
        <v>Leisure and entertainment</v>
      </c>
      <c r="F4" s="50"/>
      <c r="G4" s="50">
        <f>C6</f>
        <v>12</v>
      </c>
    </row>
    <row r="5" spans="2:8" x14ac:dyDescent="0.2">
      <c r="B5" s="48" t="s">
        <v>4</v>
      </c>
      <c r="C5" s="49">
        <f>COUNTIF('List of employees &amp; salaries'!$E:$E,Summary!B5)</f>
        <v>24</v>
      </c>
    </row>
    <row r="6" spans="2:8" x14ac:dyDescent="0.2">
      <c r="B6" s="46" t="s">
        <v>8</v>
      </c>
      <c r="C6" s="47">
        <f>COUNTIF('List of employees &amp; salaries'!$E:$E,Summary!B6)</f>
        <v>12</v>
      </c>
    </row>
    <row r="7" spans="2:8" x14ac:dyDescent="0.2">
      <c r="B7" s="48" t="s">
        <v>5</v>
      </c>
      <c r="C7" s="49">
        <f>COUNTIF('List of employees &amp; salaries'!$E:$E,Summary!B7)</f>
        <v>12</v>
      </c>
    </row>
    <row r="8" spans="2:8" x14ac:dyDescent="0.2">
      <c r="B8" s="46" t="s">
        <v>6</v>
      </c>
      <c r="C8" s="47">
        <f>COUNTIF('List of employees &amp; salaries'!$E:$E,Summary!B8)</f>
        <v>20</v>
      </c>
    </row>
    <row r="9" spans="2:8" x14ac:dyDescent="0.2">
      <c r="B9" s="84" t="s">
        <v>165</v>
      </c>
      <c r="C9" s="85">
        <f>SUM(C4:C8)</f>
        <v>89</v>
      </c>
    </row>
    <row r="12" spans="2:8" x14ac:dyDescent="0.2">
      <c r="B12" s="94" t="s">
        <v>10</v>
      </c>
      <c r="C12" s="95" t="s">
        <v>164</v>
      </c>
      <c r="D12" s="95"/>
      <c r="E12" s="95" t="s">
        <v>2</v>
      </c>
      <c r="F12" s="95" t="s">
        <v>1</v>
      </c>
      <c r="G12" s="95" t="s">
        <v>0</v>
      </c>
      <c r="H12" s="99" t="s">
        <v>175</v>
      </c>
    </row>
    <row r="13" spans="2:8" x14ac:dyDescent="0.2">
      <c r="B13" s="46" t="s">
        <v>7</v>
      </c>
      <c r="C13" s="47">
        <f>COUNTIFS('List of employees &amp; salaries'!$E:$E,Summary!B13,'List of employees &amp; salaries'!$C:$C,Summary!$B$12)</f>
        <v>16</v>
      </c>
      <c r="D13" s="47"/>
      <c r="E13" s="51">
        <f>SUMIFS('List of employees &amp; salaries'!G:G,'List of employees &amp; salaries'!$C:$C,Summary!$B$12,'List of employees &amp; salaries'!$E:$E,Summary!$B13)</f>
        <v>42910.337250000004</v>
      </c>
      <c r="F13" s="51">
        <f>SUMIFS('List of employees &amp; salaries'!H:H,'List of employees &amp; salaries'!$C:$C,Summary!$B$12,'List of employees &amp; salaries'!$E:$E,Summary!$B13)</f>
        <v>47678.152500000004</v>
      </c>
      <c r="G13" s="51">
        <f>SUMIFS('List of employees &amp; salaries'!I:I,'List of employees &amp; salaries'!$C:$C,Summary!$B$12,'List of employees &amp; salaries'!$E:$E,Summary!$B13)</f>
        <v>53241.901249999995</v>
      </c>
      <c r="H13" s="60">
        <f>(AVERAGE(E13:G13))/C13</f>
        <v>2996.4664791666669</v>
      </c>
    </row>
    <row r="14" spans="2:8" x14ac:dyDescent="0.2">
      <c r="B14" s="48" t="s">
        <v>4</v>
      </c>
      <c r="C14" s="49">
        <f>COUNTIFS('List of employees &amp; salaries'!$E:$E,Summary!B14,'List of employees &amp; salaries'!$C:$C,Summary!$B$12)</f>
        <v>9</v>
      </c>
      <c r="D14" s="49"/>
      <c r="E14" s="52">
        <f>SUMIFS('List of employees &amp; salaries'!G:G,'List of employees &amp; salaries'!$C:$C,Summary!$B$12,'List of employees &amp; salaries'!$E:$E,Summary!$B14)</f>
        <v>20559.737925000001</v>
      </c>
      <c r="F14" s="52">
        <f>SUMIFS('List of employees &amp; salaries'!H:H,'List of employees &amp; salaries'!$C:$C,Summary!$B$12,'List of employees &amp; salaries'!$E:$E,Summary!$B14)</f>
        <v>22844.153249999999</v>
      </c>
      <c r="G14" s="52">
        <f>SUMIFS('List of employees &amp; salaries'!I:I,'List of employees &amp; salaries'!$C:$C,Summary!$B$12,'List of employees &amp; salaries'!$E:$E,Summary!$B14)</f>
        <v>25214.508999999998</v>
      </c>
      <c r="H14" s="61">
        <f t="shared" ref="H14:H16" si="0">(AVERAGE(E14:G14))/C14</f>
        <v>2541.4222287037032</v>
      </c>
    </row>
    <row r="15" spans="2:8" x14ac:dyDescent="0.2">
      <c r="B15" s="46" t="s">
        <v>5</v>
      </c>
      <c r="C15" s="47">
        <f>COUNTIFS('List of employees &amp; salaries'!$E:$E,Summary!B15,'List of employees &amp; salaries'!$C:$C,Summary!$B$12)</f>
        <v>4</v>
      </c>
      <c r="D15" s="47"/>
      <c r="E15" s="51">
        <f>SUMIFS('List of employees &amp; salaries'!G:G,'List of employees &amp; salaries'!$C:$C,Summary!$B$12,'List of employees &amp; salaries'!$E:$E,Summary!$B15)</f>
        <v>7522.4758499999998</v>
      </c>
      <c r="F15" s="51">
        <f>SUMIFS('List of employees &amp; salaries'!H:H,'List of employees &amp; salaries'!$C:$C,Summary!$B$12,'List of employees &amp; salaries'!$E:$E,Summary!$B15)</f>
        <v>8358.3065000000006</v>
      </c>
      <c r="G15" s="51">
        <f>SUMIFS('List of employees &amp; salaries'!I:I,'List of employees &amp; salaries'!$C:$C,Summary!$B$12,'List of employees &amp; salaries'!$E:$E,Summary!$B15)</f>
        <v>9392.7834999999995</v>
      </c>
      <c r="H15" s="60">
        <f t="shared" si="0"/>
        <v>2106.1304875000001</v>
      </c>
    </row>
    <row r="16" spans="2:8" x14ac:dyDescent="0.2">
      <c r="B16" s="6" t="s">
        <v>6</v>
      </c>
      <c r="C16" s="6">
        <f>COUNTIFS('List of employees &amp; salaries'!$E:$E,Summary!B16,'List of employees &amp; salaries'!$C:$C,Summary!$B$12)</f>
        <v>13</v>
      </c>
      <c r="D16" s="6"/>
      <c r="E16" s="52">
        <f>SUMIFS('List of employees &amp; salaries'!G:G,'List of employees &amp; salaries'!$C:$C,Summary!$B$12,'List of employees &amp; salaries'!$E:$E,Summary!$B16)</f>
        <v>35579.216925000008</v>
      </c>
      <c r="F16" s="52">
        <f>SUMIFS('List of employees &amp; salaries'!H:H,'List of employees &amp; salaries'!$C:$C,Summary!$B$12,'List of employees &amp; salaries'!$E:$E,Summary!$B16)</f>
        <v>39532.463249999993</v>
      </c>
      <c r="G16" s="52">
        <f>SUMIFS('List of employees &amp; salaries'!I:I,'List of employees &amp; salaries'!$C:$C,Summary!$B$12,'List of employees &amp; salaries'!$E:$E,Summary!$B16)</f>
        <v>44195.351499999997</v>
      </c>
      <c r="H16" s="62">
        <f t="shared" si="0"/>
        <v>3059.1546583333334</v>
      </c>
    </row>
    <row r="17" spans="2:11" x14ac:dyDescent="0.2">
      <c r="B17" s="84" t="s">
        <v>176</v>
      </c>
      <c r="C17" s="85">
        <f>SUM(C13:C16)</f>
        <v>42</v>
      </c>
      <c r="D17" s="85"/>
      <c r="E17" s="85">
        <f t="shared" ref="E17:G17" si="1">SUM(E13:E16)</f>
        <v>106571.76795000001</v>
      </c>
      <c r="F17" s="87">
        <f t="shared" si="1"/>
        <v>118413.07550000001</v>
      </c>
      <c r="G17" s="84">
        <f t="shared" si="1"/>
        <v>132044.54525</v>
      </c>
      <c r="H17" s="85" t="s">
        <v>180</v>
      </c>
    </row>
    <row r="18" spans="2:11" x14ac:dyDescent="0.2">
      <c r="B18" s="45"/>
      <c r="C18" s="59"/>
      <c r="D18" s="59"/>
      <c r="E18" s="59"/>
      <c r="F18" s="59"/>
      <c r="G18" s="59"/>
      <c r="H18" s="59"/>
    </row>
    <row r="20" spans="2:11" x14ac:dyDescent="0.2">
      <c r="B20" s="94" t="s">
        <v>13</v>
      </c>
      <c r="C20" s="95" t="s">
        <v>164</v>
      </c>
      <c r="D20" s="95"/>
      <c r="E20" s="95" t="s">
        <v>2</v>
      </c>
      <c r="F20" s="95" t="s">
        <v>1</v>
      </c>
      <c r="G20" s="95" t="s">
        <v>0</v>
      </c>
      <c r="H20" s="96" t="s">
        <v>175</v>
      </c>
      <c r="I20" s="97" t="s">
        <v>177</v>
      </c>
      <c r="J20" s="97" t="s">
        <v>178</v>
      </c>
      <c r="K20" s="98" t="s">
        <v>179</v>
      </c>
    </row>
    <row r="21" spans="2:11" s="54" customFormat="1" x14ac:dyDescent="0.2">
      <c r="B21" s="53" t="s">
        <v>107</v>
      </c>
      <c r="C21" s="51">
        <f>COUNTIFS('List of employees &amp; salaries'!$C:$C,Summary!B21,'List of employees &amp; salaries'!$D:$D,Summary!$B$20)</f>
        <v>4</v>
      </c>
      <c r="D21" s="51"/>
      <c r="E21" s="51">
        <f>SUMIFS('List of employees &amp; salaries'!G:G,'List of employees &amp; salaries'!$C:$C,Summary!$B21,'List of employees &amp; salaries'!$D:$D,Summary!$B$20)</f>
        <v>105564.7935</v>
      </c>
      <c r="F21" s="51">
        <f>SUMIFS('List of employees &amp; salaries'!H:H,'List of employees &amp; salaries'!$C:$C,Summary!$B21,'List of employees &amp; salaries'!$D:$D,Summary!$B$20)</f>
        <v>117294.215</v>
      </c>
      <c r="G21" s="51">
        <f>SUMIFS('List of employees &amp; salaries'!I:I,'List of employees &amp; salaries'!$C:$C,Summary!$B21,'List of employees &amp; salaries'!$D:$D,Summary!$B$20)</f>
        <v>125084.5</v>
      </c>
      <c r="H21" s="56">
        <f>(AVERAGE(E21:G21))/C21</f>
        <v>28995.292375000001</v>
      </c>
      <c r="I21" s="54">
        <f>H21*1.1</f>
        <v>31894.821612500004</v>
      </c>
      <c r="J21" s="54">
        <f t="shared" ref="J21:K22" si="2">I21*1.1</f>
        <v>35084.303773750005</v>
      </c>
      <c r="K21" s="57">
        <f t="shared" si="2"/>
        <v>38592.734151125012</v>
      </c>
    </row>
    <row r="22" spans="2:11" s="54" customFormat="1" x14ac:dyDescent="0.2">
      <c r="B22" s="55" t="s">
        <v>9</v>
      </c>
      <c r="C22" s="52">
        <f>COUNTIFS('List of employees &amp; salaries'!$C:$C,Summary!B22,'List of employees &amp; salaries'!$D:$D,Summary!$B$20)</f>
        <v>1</v>
      </c>
      <c r="D22" s="52"/>
      <c r="E22" s="52">
        <f>SUMIFS('List of employees &amp; salaries'!G:G,'List of employees &amp; salaries'!$C:$C,Summary!$B22,'List of employees &amp; salaries'!$D:$D,Summary!$B$20)</f>
        <v>41484.307500000003</v>
      </c>
      <c r="F22" s="52">
        <f>SUMIFS('List of employees &amp; salaries'!H:H,'List of employees &amp; salaries'!$C:$C,Summary!$B22,'List of employees &amp; salaries'!$D:$D,Summary!$B$20)</f>
        <v>46093.675000000003</v>
      </c>
      <c r="G22" s="52">
        <f>SUMIFS('List of employees &amp; salaries'!I:I,'List of employees &amp; salaries'!$C:$C,Summary!$B22,'List of employees &amp; salaries'!$D:$D,Summary!$B$20)</f>
        <v>48737.83</v>
      </c>
      <c r="H22" s="58">
        <f t="shared" ref="H22" si="3">(AVERAGE(E22:G22))/C22</f>
        <v>45438.604166666664</v>
      </c>
      <c r="I22" s="52">
        <f>H22*1.1</f>
        <v>49982.464583333334</v>
      </c>
      <c r="J22" s="52">
        <f t="shared" si="2"/>
        <v>54980.711041666669</v>
      </c>
      <c r="K22" s="63">
        <f t="shared" si="2"/>
        <v>60478.782145833342</v>
      </c>
    </row>
    <row r="23" spans="2:11" s="54" customFormat="1" x14ac:dyDescent="0.2">
      <c r="B23" s="53" t="s">
        <v>11</v>
      </c>
      <c r="C23" s="51">
        <f>COUNTIFS('List of employees &amp; salaries'!$C:$C,Summary!B23,'List of employees &amp; salaries'!$D:$D,Summary!$B$20)</f>
        <v>20</v>
      </c>
      <c r="D23" s="51"/>
      <c r="E23" s="51">
        <f>SUMIFS('List of employees &amp; salaries'!G:G,'List of employees &amp; salaries'!$C:$C,Summary!$B23,'List of employees &amp; salaries'!$D:$D,Summary!$B$20)</f>
        <v>256898.85299999997</v>
      </c>
      <c r="F23" s="51">
        <f>SUMIFS('List of employees &amp; salaries'!H:H,'List of employees &amp; salaries'!$C:$C,Summary!$B23,'List of employees &amp; salaries'!$D:$D,Summary!$B$20)</f>
        <v>285443.17</v>
      </c>
      <c r="G23" s="51">
        <f>SUMIFS('List of employees &amp; salaries'!I:I,'List of employees &amp; salaries'!$C:$C,Summary!$B23,'List of employees &amp; salaries'!$D:$D,Summary!$B$20)</f>
        <v>344364.93000000005</v>
      </c>
      <c r="H23" s="64">
        <f t="shared" ref="H23" si="4">(AVERAGE(E23:G23))/C23</f>
        <v>14778.449216666666</v>
      </c>
      <c r="I23" s="65">
        <f>H23*1.05</f>
        <v>15517.371677499999</v>
      </c>
      <c r="J23" s="65">
        <f t="shared" ref="J23:K23" si="5">I23*1.05</f>
        <v>16293.240261375</v>
      </c>
      <c r="K23" s="66">
        <f t="shared" si="5"/>
        <v>17107.90227444375</v>
      </c>
    </row>
    <row r="24" spans="2:11" s="45" customFormat="1" x14ac:dyDescent="0.2">
      <c r="B24" s="84" t="s">
        <v>176</v>
      </c>
      <c r="C24" s="85">
        <f>SUM(C21:C22)</f>
        <v>5</v>
      </c>
      <c r="D24" s="85"/>
      <c r="E24" s="85">
        <f>SUM(E21:E22)</f>
        <v>147049.101</v>
      </c>
      <c r="F24" s="87">
        <f>SUM(F21:F22)</f>
        <v>163387.89000000001</v>
      </c>
      <c r="G24" s="84">
        <f>SUM(G21:G22)</f>
        <v>173822.33000000002</v>
      </c>
      <c r="H24" s="85" t="s">
        <v>180</v>
      </c>
      <c r="I24" s="85">
        <f>SUM(I21:I23)</f>
        <v>97394.657873333344</v>
      </c>
      <c r="J24" s="85">
        <f t="shared" ref="J24:K24" si="6">SUM(J21:J23)</f>
        <v>106358.25507679168</v>
      </c>
      <c r="K24" s="87">
        <f t="shared" si="6"/>
        <v>116179.4185714021</v>
      </c>
    </row>
    <row r="27" spans="2:11" x14ac:dyDescent="0.2">
      <c r="B27" s="94" t="s">
        <v>14</v>
      </c>
      <c r="C27" s="95" t="s">
        <v>164</v>
      </c>
      <c r="D27" s="95"/>
      <c r="E27" s="95" t="s">
        <v>2</v>
      </c>
      <c r="F27" s="95" t="s">
        <v>1</v>
      </c>
      <c r="G27" s="95" t="s">
        <v>0</v>
      </c>
      <c r="H27" s="96" t="s">
        <v>175</v>
      </c>
      <c r="I27" s="97" t="s">
        <v>177</v>
      </c>
      <c r="J27" s="97" t="s">
        <v>178</v>
      </c>
      <c r="K27" s="98" t="s">
        <v>179</v>
      </c>
    </row>
    <row r="28" spans="2:11" x14ac:dyDescent="0.2">
      <c r="B28" s="43" t="s">
        <v>10</v>
      </c>
      <c r="C28" s="51">
        <f>COUNTIFS('List of employees &amp; salaries'!$C:$C,Summary!$B28,'List of employees &amp; salaries'!$D:$D,Summary!$B$27)</f>
        <v>17</v>
      </c>
      <c r="D28" s="51"/>
      <c r="E28" s="51">
        <f>SUMIFS('List of employees &amp; salaries'!G:G,'List of employees &amp; salaries'!$C:$C,Summary!$B28,'List of employees &amp; salaries'!$D:$D,Summary!$B$27)</f>
        <v>24461.47035</v>
      </c>
      <c r="F28" s="51">
        <f>SUMIFS('List of employees &amp; salaries'!H:H,'List of employees &amp; salaries'!$C:$C,Summary!$B28,'List of employees &amp; salaries'!$D:$D,Summary!$B$27)</f>
        <v>27179.411499999998</v>
      </c>
      <c r="G28" s="51">
        <f>SUMIFS('List of employees &amp; salaries'!I:I,'List of employees &amp; salaries'!$C:$C,Summary!$B28,'List of employees &amp; salaries'!$D:$D,Summary!$B$27)</f>
        <v>30620.444499999998</v>
      </c>
      <c r="H28" s="56">
        <f>(AVERAGE(E28:G28))/C28</f>
        <v>1612.967183333333</v>
      </c>
      <c r="I28" s="54">
        <f>H28*1.07</f>
        <v>1725.8748861666663</v>
      </c>
      <c r="J28" s="54">
        <f t="shared" ref="J28:K28" si="7">I28*1.07</f>
        <v>1846.6861281983331</v>
      </c>
      <c r="K28" s="78">
        <f t="shared" si="7"/>
        <v>1975.9541571722166</v>
      </c>
    </row>
    <row r="29" spans="2:11" x14ac:dyDescent="0.2">
      <c r="B29" s="6" t="s">
        <v>9</v>
      </c>
      <c r="C29" s="52">
        <f>COUNTIFS('List of employees &amp; salaries'!$C:$C,Summary!$B29,'List of employees &amp; salaries'!$D:$D,Summary!$B$27)</f>
        <v>2</v>
      </c>
      <c r="D29" s="52"/>
      <c r="E29" s="52">
        <f>SUMIFS('List of employees &amp; salaries'!G:G,'List of employees &amp; salaries'!$C:$C,Summary!$B29,'List of employees &amp; salaries'!$D:$D,Summary!$B$27)</f>
        <v>8561.2626</v>
      </c>
      <c r="F29" s="52">
        <f>SUMIFS('List of employees &amp; salaries'!H:H,'List of employees &amp; salaries'!$C:$C,Summary!$B29,'List of employees &amp; salaries'!$D:$D,Summary!$B$27)</f>
        <v>9512.5139999999992</v>
      </c>
      <c r="G29" s="52">
        <f>SUMIFS('List of employees &amp; salaries'!I:I,'List of employees &amp; salaries'!$C:$C,Summary!$B29,'List of employees &amp; salaries'!$D:$D,Summary!$B$27)</f>
        <v>9854.1549999999988</v>
      </c>
      <c r="H29" s="58">
        <f t="shared" ref="H29" si="8">(AVERAGE(E29:G29))/C29</f>
        <v>4654.6552666666657</v>
      </c>
      <c r="I29" s="52">
        <f t="shared" ref="I29:K29" si="9">H29*1.07</f>
        <v>4980.4811353333325</v>
      </c>
      <c r="J29" s="52">
        <f t="shared" si="9"/>
        <v>5329.1148148066659</v>
      </c>
      <c r="K29" s="63">
        <f t="shared" si="9"/>
        <v>5702.1528518431332</v>
      </c>
    </row>
    <row r="30" spans="2:11" x14ac:dyDescent="0.2">
      <c r="B30" s="43" t="s">
        <v>107</v>
      </c>
      <c r="C30" s="51">
        <f>COUNTIFS('List of employees &amp; salaries'!$C:$C,Summary!$B30,'List of employees &amp; salaries'!$D:$D,Summary!$B$27)</f>
        <v>4</v>
      </c>
      <c r="D30" s="51"/>
      <c r="E30" s="51">
        <f>SUMIFS('List of employees &amp; salaries'!G:G,'List of employees &amp; salaries'!$C:$C,Summary!$B30,'List of employees &amp; salaries'!$D:$D,Summary!$B$27)</f>
        <v>11131.2693</v>
      </c>
      <c r="F30" s="51">
        <f>SUMIFS('List of employees &amp; salaries'!H:H,'List of employees &amp; salaries'!$C:$C,Summary!$B30,'List of employees &amp; salaries'!$D:$D,Summary!$B$27)</f>
        <v>12368.077000000001</v>
      </c>
      <c r="G30" s="51">
        <f>SUMIFS('List of employees &amp; salaries'!I:I,'List of employees &amp; salaries'!$C:$C,Summary!$B30,'List of employees &amp; salaries'!$D:$D,Summary!$B$27)</f>
        <v>13005.4</v>
      </c>
      <c r="H30" s="64">
        <f t="shared" ref="H30" si="10">(AVERAGE(E30:G30))/C30</f>
        <v>3042.0621916666664</v>
      </c>
      <c r="I30" s="65">
        <f t="shared" ref="I30:K30" si="11">H30*1.07</f>
        <v>3255.0065450833331</v>
      </c>
      <c r="J30" s="65">
        <f t="shared" si="11"/>
        <v>3482.8570032391667</v>
      </c>
      <c r="K30" s="66">
        <f t="shared" si="11"/>
        <v>3726.6569934659087</v>
      </c>
    </row>
    <row r="31" spans="2:11" x14ac:dyDescent="0.2">
      <c r="B31" s="84" t="s">
        <v>176</v>
      </c>
      <c r="C31" s="85">
        <f>SUM(C28:C29)</f>
        <v>19</v>
      </c>
      <c r="D31" s="85"/>
      <c r="E31" s="85">
        <f>SUM(E28:E29)</f>
        <v>33022.732949999998</v>
      </c>
      <c r="F31" s="87">
        <f>SUM(F28:F29)</f>
        <v>36691.925499999998</v>
      </c>
      <c r="G31" s="84">
        <f>SUM(G28:G29)</f>
        <v>40474.599499999997</v>
      </c>
      <c r="H31" s="85" t="s">
        <v>180</v>
      </c>
      <c r="I31" s="85">
        <f t="shared" ref="I31:K31" si="12">SUM(I28:I30)</f>
        <v>9961.3625665833315</v>
      </c>
      <c r="J31" s="85">
        <f t="shared" si="12"/>
        <v>10658.657946244166</v>
      </c>
      <c r="K31" s="87">
        <f t="shared" si="12"/>
        <v>11404.764002481259</v>
      </c>
    </row>
    <row r="32" spans="2:11" ht="12.75" thickBot="1" x14ac:dyDescent="0.25"/>
    <row r="33" spans="2:13" x14ac:dyDescent="0.2">
      <c r="B33" s="80"/>
      <c r="C33" s="80"/>
      <c r="D33" s="80"/>
      <c r="E33" s="80"/>
      <c r="F33" s="80"/>
      <c r="G33" s="80"/>
      <c r="H33" s="80"/>
      <c r="I33" s="80"/>
      <c r="J33" s="80"/>
      <c r="K33" s="80"/>
      <c r="L33" s="80"/>
      <c r="M33" s="80"/>
    </row>
    <row r="34" spans="2:13" ht="15.75" x14ac:dyDescent="0.25">
      <c r="B34" s="79" t="s">
        <v>181</v>
      </c>
    </row>
    <row r="36" spans="2:13" ht="15.75" customHeight="1" thickBot="1" x14ac:dyDescent="0.25">
      <c r="C36" s="145" t="s">
        <v>141</v>
      </c>
      <c r="D36" s="145"/>
      <c r="E36" s="145"/>
      <c r="F36" s="145" t="s">
        <v>185</v>
      </c>
      <c r="G36" s="145"/>
      <c r="H36" s="145"/>
      <c r="I36" s="145"/>
      <c r="J36" s="145"/>
    </row>
    <row r="37" spans="2:13" ht="12.75" thickBot="1" x14ac:dyDescent="0.25">
      <c r="B37" s="93" t="s">
        <v>142</v>
      </c>
      <c r="C37" s="81" t="s">
        <v>2</v>
      </c>
      <c r="D37" s="81" t="s">
        <v>1</v>
      </c>
      <c r="E37" s="81" t="s">
        <v>0</v>
      </c>
      <c r="F37" s="105" t="s">
        <v>177</v>
      </c>
      <c r="G37" s="113" t="s">
        <v>178</v>
      </c>
      <c r="H37" s="113" t="s">
        <v>179</v>
      </c>
      <c r="I37" s="113" t="s">
        <v>183</v>
      </c>
      <c r="J37" s="114" t="s">
        <v>184</v>
      </c>
    </row>
    <row r="38" spans="2:13" x14ac:dyDescent="0.2">
      <c r="B38" s="45" t="s">
        <v>5</v>
      </c>
      <c r="C38" s="82">
        <v>296080</v>
      </c>
      <c r="D38" s="82">
        <v>304962</v>
      </c>
      <c r="E38" s="82">
        <v>314111</v>
      </c>
      <c r="F38" s="106">
        <f>E38*1.03</f>
        <v>323534.33</v>
      </c>
      <c r="G38" s="102">
        <f t="shared" ref="G38:J38" si="13">F38*1.03</f>
        <v>333240.35990000004</v>
      </c>
      <c r="H38" s="102">
        <f t="shared" si="13"/>
        <v>343237.57069700008</v>
      </c>
      <c r="I38" s="102">
        <f t="shared" si="13"/>
        <v>353534.69781791011</v>
      </c>
      <c r="J38" s="116">
        <f t="shared" si="13"/>
        <v>364140.73875244742</v>
      </c>
    </row>
    <row r="39" spans="2:13" x14ac:dyDescent="0.2">
      <c r="B39" s="129" t="s">
        <v>143</v>
      </c>
      <c r="C39" s="130"/>
      <c r="D39" s="131">
        <f>D38/C38-1</f>
        <v>2.9998649013780021E-2</v>
      </c>
      <c r="E39" s="131">
        <f>E38/D38-1</f>
        <v>3.0000459073589392E-2</v>
      </c>
      <c r="F39" s="132">
        <f>F38/E38-1</f>
        <v>3.0000000000000027E-2</v>
      </c>
      <c r="G39" s="131">
        <f t="shared" ref="G39:J39" si="14">G38/F38-1</f>
        <v>3.0000000000000027E-2</v>
      </c>
      <c r="H39" s="131">
        <f t="shared" si="14"/>
        <v>3.0000000000000027E-2</v>
      </c>
      <c r="I39" s="131">
        <f t="shared" si="14"/>
        <v>3.0000000000000027E-2</v>
      </c>
      <c r="J39" s="133">
        <f t="shared" si="14"/>
        <v>3.0000000000000027E-2</v>
      </c>
    </row>
    <row r="40" spans="2:13" x14ac:dyDescent="0.2">
      <c r="B40" s="45" t="s">
        <v>4</v>
      </c>
      <c r="C40" s="82">
        <v>381987</v>
      </c>
      <c r="D40" s="82">
        <v>420186</v>
      </c>
      <c r="E40" s="82">
        <v>462204</v>
      </c>
      <c r="F40" s="107">
        <f>E40*1.1</f>
        <v>508424.4</v>
      </c>
      <c r="G40" s="54">
        <f t="shared" ref="G40:J40" si="15">F40*1.1</f>
        <v>559266.84000000008</v>
      </c>
      <c r="H40" s="54">
        <f t="shared" si="15"/>
        <v>615193.52400000009</v>
      </c>
      <c r="I40" s="54">
        <f t="shared" si="15"/>
        <v>676712.87640000018</v>
      </c>
      <c r="J40" s="57">
        <f t="shared" si="15"/>
        <v>744384.16404000029</v>
      </c>
    </row>
    <row r="41" spans="2:13" x14ac:dyDescent="0.2">
      <c r="B41" s="129" t="s">
        <v>143</v>
      </c>
      <c r="C41" s="130"/>
      <c r="D41" s="131">
        <f>D40/C40-1</f>
        <v>0.10000078536704127</v>
      </c>
      <c r="E41" s="131">
        <f>E40/D40-1</f>
        <v>9.9998572060944424E-2</v>
      </c>
      <c r="F41" s="132">
        <f>F40/E40-1</f>
        <v>0.10000000000000009</v>
      </c>
      <c r="G41" s="131">
        <f t="shared" ref="G41:J41" si="16">G40/F40-1</f>
        <v>0.10000000000000009</v>
      </c>
      <c r="H41" s="131">
        <f t="shared" si="16"/>
        <v>0.10000000000000009</v>
      </c>
      <c r="I41" s="131">
        <f t="shared" si="16"/>
        <v>0.10000000000000009</v>
      </c>
      <c r="J41" s="133">
        <f t="shared" si="16"/>
        <v>0.10000000000000009</v>
      </c>
    </row>
    <row r="42" spans="2:13" x14ac:dyDescent="0.2">
      <c r="B42" s="45" t="s">
        <v>6</v>
      </c>
      <c r="C42" s="82">
        <v>268286</v>
      </c>
      <c r="D42" s="82">
        <v>326014</v>
      </c>
      <c r="E42" s="82">
        <v>422280</v>
      </c>
      <c r="F42" s="107">
        <f>E42*1.26</f>
        <v>532072.80000000005</v>
      </c>
      <c r="G42" s="54">
        <f t="shared" ref="G42:J42" si="17">F42*1.26</f>
        <v>670411.72800000012</v>
      </c>
      <c r="H42" s="54">
        <f t="shared" si="17"/>
        <v>844718.77728000015</v>
      </c>
      <c r="I42" s="54">
        <f t="shared" si="17"/>
        <v>1064345.6593728003</v>
      </c>
      <c r="J42" s="57">
        <f t="shared" si="17"/>
        <v>1341075.5308097284</v>
      </c>
    </row>
    <row r="43" spans="2:13" x14ac:dyDescent="0.2">
      <c r="B43" s="129" t="s">
        <v>143</v>
      </c>
      <c r="C43" s="130"/>
      <c r="D43" s="131">
        <f>D42/C42-1</f>
        <v>0.21517335977277985</v>
      </c>
      <c r="E43" s="131">
        <f>E42/D42-1</f>
        <v>0.29528179771420859</v>
      </c>
      <c r="F43" s="132">
        <f>F42/E42-1</f>
        <v>0.26</v>
      </c>
      <c r="G43" s="131">
        <f t="shared" ref="G43:J43" si="18">G42/F42-1</f>
        <v>0.26</v>
      </c>
      <c r="H43" s="131">
        <f t="shared" si="18"/>
        <v>0.26</v>
      </c>
      <c r="I43" s="131">
        <f t="shared" si="18"/>
        <v>0.26</v>
      </c>
      <c r="J43" s="133">
        <f t="shared" si="18"/>
        <v>0.26</v>
      </c>
    </row>
    <row r="44" spans="2:13" x14ac:dyDescent="0.2">
      <c r="B44" s="88" t="s">
        <v>8</v>
      </c>
      <c r="C44" s="89">
        <v>358100</v>
      </c>
      <c r="D44" s="89">
        <v>287941</v>
      </c>
      <c r="E44" s="89">
        <v>208910</v>
      </c>
      <c r="F44" s="108"/>
      <c r="G44" s="103"/>
      <c r="H44" s="103"/>
      <c r="I44" s="103"/>
      <c r="J44" s="115"/>
    </row>
    <row r="45" spans="2:13" x14ac:dyDescent="0.2">
      <c r="B45" s="90" t="s">
        <v>143</v>
      </c>
      <c r="C45" s="91"/>
      <c r="D45" s="92">
        <f>D44/C44-1</f>
        <v>-0.19592013404077069</v>
      </c>
      <c r="E45" s="92">
        <f>E44/D44-1</f>
        <v>-0.27446942255531515</v>
      </c>
      <c r="F45" s="108"/>
      <c r="G45" s="103"/>
      <c r="H45" s="103"/>
      <c r="I45" s="103"/>
      <c r="J45" s="115"/>
    </row>
    <row r="46" spans="2:13" x14ac:dyDescent="0.2">
      <c r="B46" s="45" t="s">
        <v>7</v>
      </c>
      <c r="C46" s="82">
        <v>400107</v>
      </c>
      <c r="D46" s="82">
        <v>509107</v>
      </c>
      <c r="E46" s="82">
        <v>596445</v>
      </c>
      <c r="F46" s="107">
        <f>E46*1.05</f>
        <v>626267.25</v>
      </c>
      <c r="G46" s="54">
        <f t="shared" ref="G46:J46" si="19">F46*1.05</f>
        <v>657580.61250000005</v>
      </c>
      <c r="H46" s="54">
        <f t="shared" si="19"/>
        <v>690459.64312500006</v>
      </c>
      <c r="I46" s="54">
        <f t="shared" si="19"/>
        <v>724982.6252812501</v>
      </c>
      <c r="J46" s="57">
        <f t="shared" si="19"/>
        <v>761231.75654531259</v>
      </c>
    </row>
    <row r="47" spans="2:13" x14ac:dyDescent="0.2">
      <c r="B47" s="129" t="s">
        <v>143</v>
      </c>
      <c r="C47" s="134"/>
      <c r="D47" s="131">
        <f>D46/C46-1</f>
        <v>0.27242712574386352</v>
      </c>
      <c r="E47" s="131">
        <f>E46/D46-1</f>
        <v>0.17155136346583322</v>
      </c>
      <c r="F47" s="132">
        <f>F46/E46-1</f>
        <v>5.0000000000000044E-2</v>
      </c>
      <c r="G47" s="131">
        <f t="shared" ref="G47:J47" si="20">G46/F46-1</f>
        <v>5.0000000000000044E-2</v>
      </c>
      <c r="H47" s="131">
        <f t="shared" si="20"/>
        <v>5.0000000000000044E-2</v>
      </c>
      <c r="I47" s="131">
        <f t="shared" si="20"/>
        <v>5.0000000000000044E-2</v>
      </c>
      <c r="J47" s="133">
        <f t="shared" si="20"/>
        <v>5.0000000000000044E-2</v>
      </c>
    </row>
    <row r="48" spans="2:13" x14ac:dyDescent="0.2">
      <c r="B48" s="110" t="s">
        <v>176</v>
      </c>
      <c r="C48" s="111">
        <f>SUM(C38:C47)</f>
        <v>1704560</v>
      </c>
      <c r="D48" s="111">
        <f>SUM(D38,D40,D42,D44,D46)</f>
        <v>1848210</v>
      </c>
      <c r="E48" s="112">
        <f>SUM(E38,E40,E42,E44,E46)</f>
        <v>2003950</v>
      </c>
      <c r="F48" s="109">
        <f>SUM(F38,F40,F42,F44,F46)</f>
        <v>1990298.78</v>
      </c>
      <c r="G48" s="104">
        <f t="shared" ref="G48:J48" si="21">SUM(G38,G40,G42,G44,G46)</f>
        <v>2220499.5404000003</v>
      </c>
      <c r="H48" s="104">
        <f t="shared" si="21"/>
        <v>2493609.5151020004</v>
      </c>
      <c r="I48" s="104">
        <f t="shared" si="21"/>
        <v>2819575.8588719605</v>
      </c>
      <c r="J48" s="117">
        <f t="shared" si="21"/>
        <v>3210832.1901474888</v>
      </c>
    </row>
    <row r="51" spans="2:11" ht="12.75" thickBot="1" x14ac:dyDescent="0.25">
      <c r="B51" s="118"/>
      <c r="C51" s="145" t="s">
        <v>141</v>
      </c>
      <c r="D51" s="145"/>
      <c r="E51" s="145"/>
      <c r="F51" s="145" t="s">
        <v>185</v>
      </c>
      <c r="G51" s="145"/>
      <c r="H51" s="145"/>
      <c r="I51" s="145"/>
      <c r="J51" s="145"/>
    </row>
    <row r="52" spans="2:11" ht="12.75" thickBot="1" x14ac:dyDescent="0.25">
      <c r="B52" s="124" t="s">
        <v>160</v>
      </c>
      <c r="C52" s="81" t="s">
        <v>2</v>
      </c>
      <c r="D52" s="81" t="s">
        <v>1</v>
      </c>
      <c r="E52" s="81" t="s">
        <v>0</v>
      </c>
      <c r="F52" s="105" t="s">
        <v>177</v>
      </c>
      <c r="G52" s="86" t="s">
        <v>178</v>
      </c>
      <c r="H52" s="86" t="s">
        <v>179</v>
      </c>
      <c r="I52" s="86" t="s">
        <v>183</v>
      </c>
      <c r="J52" s="101" t="s">
        <v>184</v>
      </c>
    </row>
    <row r="53" spans="2:11" x14ac:dyDescent="0.2">
      <c r="B53" s="119" t="s">
        <v>158</v>
      </c>
      <c r="C53" s="120">
        <v>1704560</v>
      </c>
      <c r="D53" s="121">
        <v>1848210</v>
      </c>
      <c r="E53" s="121">
        <v>2003950</v>
      </c>
      <c r="F53" s="54">
        <f>F48</f>
        <v>1990298.78</v>
      </c>
      <c r="G53" s="54">
        <f t="shared" ref="G53:J53" si="22">G48</f>
        <v>2220499.5404000003</v>
      </c>
      <c r="H53" s="54">
        <f t="shared" si="22"/>
        <v>2493609.5151020004</v>
      </c>
      <c r="I53" s="54">
        <f t="shared" si="22"/>
        <v>2819575.8588719605</v>
      </c>
      <c r="J53" s="54">
        <f t="shared" si="22"/>
        <v>3210832.1901474888</v>
      </c>
    </row>
    <row r="54" spans="2:11" x14ac:dyDescent="0.2">
      <c r="B54" s="138" t="s">
        <v>157</v>
      </c>
      <c r="C54" s="135"/>
      <c r="D54" s="136">
        <f>D53/C53-1</f>
        <v>8.4273947528981097E-2</v>
      </c>
      <c r="E54" s="136">
        <f>E53/D53-1</f>
        <v>8.4265316170781368E-2</v>
      </c>
      <c r="F54" s="136">
        <f t="shared" ref="F54:J54" si="23">F53/E53-1</f>
        <v>-6.8121559919159802E-3</v>
      </c>
      <c r="G54" s="136">
        <f t="shared" si="23"/>
        <v>0.1156614085850971</v>
      </c>
      <c r="H54" s="136">
        <f t="shared" si="23"/>
        <v>0.12299483505085629</v>
      </c>
      <c r="I54" s="136">
        <f t="shared" si="23"/>
        <v>0.13072068493315259</v>
      </c>
      <c r="J54" s="136">
        <f t="shared" si="23"/>
        <v>0.13876425067423437</v>
      </c>
    </row>
    <row r="55" spans="2:11" x14ac:dyDescent="0.2">
      <c r="B55" s="43" t="s">
        <v>109</v>
      </c>
      <c r="C55" s="125">
        <v>-403947.95400000009</v>
      </c>
      <c r="D55" s="125">
        <v>-448831.05999999994</v>
      </c>
      <c r="E55" s="125">
        <v>-518187.26000000007</v>
      </c>
      <c r="F55" s="54">
        <f>-(F53-F58)</f>
        <v>-1492724.085</v>
      </c>
      <c r="G55" s="54">
        <f t="shared" ref="G55:J55" si="24">-(G53-G58)</f>
        <v>-1665374.6553000002</v>
      </c>
      <c r="H55" s="54">
        <f t="shared" si="24"/>
        <v>-1870207.1363265002</v>
      </c>
      <c r="I55" s="54">
        <f t="shared" si="24"/>
        <v>-2114681.8941539703</v>
      </c>
      <c r="J55" s="54">
        <f t="shared" si="24"/>
        <v>-2408124.1426106165</v>
      </c>
    </row>
    <row r="56" spans="2:11" x14ac:dyDescent="0.2">
      <c r="B56" s="43" t="s">
        <v>156</v>
      </c>
      <c r="C56" s="126">
        <v>-874439</v>
      </c>
      <c r="D56" s="126">
        <v>-937318.94000000006</v>
      </c>
      <c r="E56" s="126">
        <v>-984722.74</v>
      </c>
      <c r="F56" s="54"/>
      <c r="G56" s="54"/>
      <c r="H56" s="54"/>
      <c r="I56" s="54"/>
      <c r="J56" s="54"/>
    </row>
    <row r="57" spans="2:11" x14ac:dyDescent="0.2">
      <c r="B57" s="138" t="s">
        <v>151</v>
      </c>
      <c r="C57" s="135"/>
      <c r="D57" s="136">
        <f>SUM(D55:D56)/SUM(C55:C56)-1</f>
        <v>8.4296108985480123E-2</v>
      </c>
      <c r="E57" s="136">
        <f>SUM(E55:E56)/SUM(D55:D56)-1</f>
        <v>8.4233308083540681E-2</v>
      </c>
      <c r="F57" s="137"/>
      <c r="G57" s="136">
        <f>SUM(G55:G56)/SUM(F55:F56)-1</f>
        <v>0.1156614085850971</v>
      </c>
      <c r="H57" s="136">
        <f t="shared" ref="H57:J57" si="25">SUM(H55:H56)/SUM(G55:G56)-1</f>
        <v>0.12299483505085629</v>
      </c>
      <c r="I57" s="136">
        <f t="shared" si="25"/>
        <v>0.13072068493315259</v>
      </c>
      <c r="J57" s="136">
        <f t="shared" si="25"/>
        <v>0.13876425067423437</v>
      </c>
    </row>
    <row r="58" spans="2:11" ht="12.75" thickBot="1" x14ac:dyDescent="0.25">
      <c r="B58" s="127" t="s">
        <v>149</v>
      </c>
      <c r="C58" s="128">
        <f>C53+SUM(C55:C56)</f>
        <v>426173.04599999986</v>
      </c>
      <c r="D58" s="128">
        <f>D53+SUM(D55:D56)</f>
        <v>462060</v>
      </c>
      <c r="E58" s="128">
        <f>E53+SUM(E55:E56)</f>
        <v>501040</v>
      </c>
      <c r="F58" s="128">
        <f>F48*0.25</f>
        <v>497574.69500000001</v>
      </c>
      <c r="G58" s="128">
        <f t="shared" ref="G58:J58" si="26">G48*0.25</f>
        <v>555124.88510000007</v>
      </c>
      <c r="H58" s="128">
        <f t="shared" si="26"/>
        <v>623402.37877550011</v>
      </c>
      <c r="I58" s="128">
        <f t="shared" si="26"/>
        <v>704893.96471799014</v>
      </c>
      <c r="J58" s="128">
        <f t="shared" si="26"/>
        <v>802708.04753687221</v>
      </c>
      <c r="K58" s="54"/>
    </row>
    <row r="59" spans="2:11" x14ac:dyDescent="0.2">
      <c r="B59" s="83" t="s">
        <v>148</v>
      </c>
      <c r="C59" s="122"/>
      <c r="D59" s="123">
        <f>D58/C58-1</f>
        <v>8.4207470033194287E-2</v>
      </c>
      <c r="E59" s="123">
        <f>E58/D58-1</f>
        <v>8.4361338354326243E-2</v>
      </c>
      <c r="F59" s="123">
        <f>F58/E58-1</f>
        <v>-6.9162242535526497E-3</v>
      </c>
      <c r="G59" s="123">
        <f t="shared" ref="G59:J59" si="27">G58/F58-1</f>
        <v>0.1156614085850971</v>
      </c>
      <c r="H59" s="123">
        <f t="shared" si="27"/>
        <v>0.12299483505085629</v>
      </c>
      <c r="I59" s="123">
        <f t="shared" si="27"/>
        <v>0.13072068493315259</v>
      </c>
      <c r="J59" s="123">
        <f t="shared" si="27"/>
        <v>0.13876425067423437</v>
      </c>
    </row>
  </sheetData>
  <mergeCells count="4">
    <mergeCell ref="C36:E36"/>
    <mergeCell ref="F36:J36"/>
    <mergeCell ref="C51:E51"/>
    <mergeCell ref="F51:J51"/>
  </mergeCells>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22BE4-E798-465F-B16F-86785FA559D9}">
  <sheetPr>
    <tabColor rgb="FF002060"/>
  </sheetPr>
  <dimension ref="B1:B10"/>
  <sheetViews>
    <sheetView workbookViewId="0">
      <selection activeCell="B10" sqref="B10"/>
    </sheetView>
  </sheetViews>
  <sheetFormatPr defaultRowHeight="12" x14ac:dyDescent="0.2"/>
  <cols>
    <col min="1" max="1" width="2" style="43" customWidth="1"/>
    <col min="2" max="2" width="28.5703125" style="43" bestFit="1" customWidth="1"/>
    <col min="3" max="16384" width="9.140625" style="43"/>
  </cols>
  <sheetData>
    <row r="1" spans="2:2" ht="15.75" x14ac:dyDescent="0.25">
      <c r="B1" s="44"/>
    </row>
    <row r="10" spans="2:2" ht="37.5" x14ac:dyDescent="0.5">
      <c r="B10" s="139" t="s">
        <v>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10F0F-A2BF-4161-87C5-E165AA35777E}">
  <sheetPr>
    <tabColor theme="9"/>
  </sheetPr>
  <dimension ref="A1:I93"/>
  <sheetViews>
    <sheetView showGridLines="0" workbookViewId="0">
      <pane ySplit="4" topLeftCell="A5" activePane="bottomLeft" state="frozen"/>
      <selection activeCell="G5" sqref="G5:G75"/>
      <selection pane="bottomLeft" activeCell="E8" sqref="E8"/>
    </sheetView>
  </sheetViews>
  <sheetFormatPr defaultColWidth="8.85546875" defaultRowHeight="15" x14ac:dyDescent="0.25"/>
  <cols>
    <col min="1" max="1" width="2" style="148" customWidth="1"/>
    <col min="2" max="2" width="31.85546875" style="1" bestFit="1" customWidth="1"/>
    <col min="3" max="3" width="15.42578125" style="1" bestFit="1" customWidth="1"/>
    <col min="4" max="4" width="14.42578125" style="1" bestFit="1" customWidth="1"/>
    <col min="5" max="5" width="24.140625" style="1" customWidth="1"/>
    <col min="6" max="6" width="15.28515625" style="1" customWidth="1"/>
    <col min="7" max="7" width="12.42578125" style="1" customWidth="1"/>
    <col min="8" max="8" width="17.28515625" style="1" bestFit="1" customWidth="1"/>
    <col min="9" max="9" width="15.85546875" style="1" customWidth="1"/>
    <col min="10" max="11" width="12.28515625" bestFit="1" customWidth="1"/>
    <col min="12" max="14" width="14.140625" bestFit="1" customWidth="1"/>
  </cols>
  <sheetData>
    <row r="1" spans="1:9" s="69" customFormat="1" ht="15.75" x14ac:dyDescent="0.25">
      <c r="A1" s="67"/>
      <c r="B1" s="68" t="s">
        <v>166</v>
      </c>
      <c r="C1" s="67" t="s">
        <v>167</v>
      </c>
      <c r="D1" s="67" t="s">
        <v>168</v>
      </c>
      <c r="E1" s="67" t="s">
        <v>169</v>
      </c>
      <c r="F1" s="67" t="s">
        <v>170</v>
      </c>
      <c r="G1" s="67" t="s">
        <v>171</v>
      </c>
      <c r="H1" s="67" t="s">
        <v>172</v>
      </c>
      <c r="I1" s="67" t="s">
        <v>173</v>
      </c>
    </row>
    <row r="2" spans="1:9" ht="15.75" x14ac:dyDescent="0.25">
      <c r="B2" s="4" t="s">
        <v>129</v>
      </c>
    </row>
    <row r="3" spans="1:9" ht="15.75" x14ac:dyDescent="0.25">
      <c r="B3" s="4" t="s">
        <v>139</v>
      </c>
    </row>
    <row r="4" spans="1:9" ht="15.75" thickBot="1" x14ac:dyDescent="0.3">
      <c r="B4" s="70" t="s">
        <v>110</v>
      </c>
      <c r="C4" s="70" t="s">
        <v>12</v>
      </c>
      <c r="D4" s="70" t="s">
        <v>111</v>
      </c>
      <c r="E4" s="70" t="s">
        <v>112</v>
      </c>
      <c r="F4" s="70" t="s">
        <v>17</v>
      </c>
      <c r="G4" s="77" t="s">
        <v>2</v>
      </c>
      <c r="H4" s="77" t="s">
        <v>1</v>
      </c>
      <c r="I4" s="77" t="s">
        <v>0</v>
      </c>
    </row>
    <row r="5" spans="1:9" x14ac:dyDescent="0.25">
      <c r="A5" s="148" t="str">
        <f>Table1[[#This Row],[Column1]]&amp;"/"&amp;Table1[[#This Row],[Column5]]</f>
        <v>Admin expenses - Payroll-Employee 54/Employee 54</v>
      </c>
      <c r="B5" s="71" t="str">
        <f>"Admin expenses - Payroll"&amp;"-"&amp;Table1[[#This Row],[Column5]]</f>
        <v>Admin expenses - Payroll-Employee 54</v>
      </c>
      <c r="C5" s="72" t="s">
        <v>10</v>
      </c>
      <c r="D5" s="72" t="s">
        <v>14</v>
      </c>
      <c r="E5" s="72" t="s">
        <v>7</v>
      </c>
      <c r="F5" s="72" t="s">
        <v>59</v>
      </c>
      <c r="G5" s="73">
        <v>1131.2662500000001</v>
      </c>
      <c r="H5" s="74">
        <v>1256.9625000000001</v>
      </c>
      <c r="I5" s="74">
        <v>1441.4575</v>
      </c>
    </row>
    <row r="6" spans="1:9" x14ac:dyDescent="0.25">
      <c r="A6" s="148" t="str">
        <f>Table1[[#This Row],[Column1]]&amp;"/"&amp;Table1[[#This Row],[Column5]]</f>
        <v>Admin expenses - Payroll-Employee 52/Employee 52</v>
      </c>
      <c r="B6" s="71" t="str">
        <f>"Admin expenses - Payroll"&amp;"-"&amp;Table1[[#This Row],[Column5]]</f>
        <v>Admin expenses - Payroll-Employee 52</v>
      </c>
      <c r="C6" s="72" t="s">
        <v>9</v>
      </c>
      <c r="D6" s="72" t="s">
        <v>14</v>
      </c>
      <c r="E6" s="72" t="s">
        <v>7</v>
      </c>
      <c r="F6" s="72" t="s">
        <v>57</v>
      </c>
      <c r="G6" s="73">
        <v>7545.0167999999994</v>
      </c>
      <c r="H6" s="74">
        <v>8383.351999999999</v>
      </c>
      <c r="I6" s="74">
        <v>8724.9929999999986</v>
      </c>
    </row>
    <row r="7" spans="1:9" x14ac:dyDescent="0.25">
      <c r="A7" s="148" t="str">
        <f>Table1[[#This Row],[Column1]]&amp;"/"&amp;Table1[[#This Row],[Column5]]</f>
        <v>Admin expenses - Payroll-Employee 51/Employee 51</v>
      </c>
      <c r="B7" s="71" t="str">
        <f>"Admin expenses - Payroll"&amp;"-"&amp;Table1[[#This Row],[Column5]]</f>
        <v>Admin expenses - Payroll-Employee 51</v>
      </c>
      <c r="C7" s="72" t="s">
        <v>10</v>
      </c>
      <c r="D7" s="72" t="s">
        <v>14</v>
      </c>
      <c r="E7" s="72" t="s">
        <v>7</v>
      </c>
      <c r="F7" s="72" t="s">
        <v>56</v>
      </c>
      <c r="G7" s="73">
        <v>1274.4449999999999</v>
      </c>
      <c r="H7" s="74">
        <v>1416.05</v>
      </c>
      <c r="I7" s="74">
        <v>1416.05</v>
      </c>
    </row>
    <row r="8" spans="1:9" x14ac:dyDescent="0.25">
      <c r="A8" s="148" t="str">
        <f>Table1[[#This Row],[Column1]]&amp;"/"&amp;Table1[[#This Row],[Column5]]</f>
        <v>Admin expenses - Payroll-Employee 50/Employee 50</v>
      </c>
      <c r="B8" s="71" t="str">
        <f>"Admin expenses - Payroll"&amp;"-"&amp;Table1[[#This Row],[Column5]]</f>
        <v>Admin expenses - Payroll-Employee 50</v>
      </c>
      <c r="C8" s="72" t="s">
        <v>10</v>
      </c>
      <c r="D8" s="72" t="s">
        <v>14</v>
      </c>
      <c r="E8" s="72" t="s">
        <v>7</v>
      </c>
      <c r="F8" s="72" t="s">
        <v>55</v>
      </c>
      <c r="G8" s="73">
        <v>1334.25</v>
      </c>
      <c r="H8" s="74">
        <v>1482.5</v>
      </c>
      <c r="I8" s="74">
        <v>1482.5</v>
      </c>
    </row>
    <row r="9" spans="1:9" x14ac:dyDescent="0.25">
      <c r="A9" s="148" t="str">
        <f>Table1[[#This Row],[Column1]]&amp;"/"&amp;Table1[[#This Row],[Column5]]</f>
        <v>Admin expenses - Payroll-Employee 38/Employee 38</v>
      </c>
      <c r="B9" s="71" t="str">
        <f>"Admin expenses - Payroll"&amp;"-"&amp;Table1[[#This Row],[Column5]]</f>
        <v>Admin expenses - Payroll-Employee 38</v>
      </c>
      <c r="C9" s="72" t="s">
        <v>10</v>
      </c>
      <c r="D9" s="72" t="s">
        <v>14</v>
      </c>
      <c r="E9" s="72" t="s">
        <v>7</v>
      </c>
      <c r="F9" s="72" t="s">
        <v>48</v>
      </c>
      <c r="G9" s="73">
        <v>1417.5</v>
      </c>
      <c r="H9" s="74">
        <v>1575</v>
      </c>
      <c r="I9" s="74">
        <v>1575</v>
      </c>
    </row>
    <row r="10" spans="1:9" x14ac:dyDescent="0.25">
      <c r="A10" s="148" t="str">
        <f>Table1[[#This Row],[Column1]]&amp;"/"&amp;Table1[[#This Row],[Column5]]</f>
        <v>Admin expenses - Payroll-Employee 146/Employee 146</v>
      </c>
      <c r="B10" s="71" t="str">
        <f>"Admin expenses - Payroll"&amp;"-"&amp;Table1[[#This Row],[Column5]]</f>
        <v>Admin expenses - Payroll-Employee 146</v>
      </c>
      <c r="C10" s="72" t="s">
        <v>11</v>
      </c>
      <c r="D10" s="71" t="s">
        <v>13</v>
      </c>
      <c r="E10" s="72" t="s">
        <v>7</v>
      </c>
      <c r="F10" s="72" t="s">
        <v>106</v>
      </c>
      <c r="G10" s="73">
        <v>13913.019</v>
      </c>
      <c r="H10" s="75">
        <v>15458.91</v>
      </c>
      <c r="I10" s="75">
        <v>19015.73</v>
      </c>
    </row>
    <row r="11" spans="1:9" x14ac:dyDescent="0.25">
      <c r="A11" s="148" t="str">
        <f>Table1[[#This Row],[Column1]]&amp;"/"&amp;Table1[[#This Row],[Column5]]</f>
        <v>Admin expenses - Payroll-Employee 137/Employee 137</v>
      </c>
      <c r="B11" s="71" t="str">
        <f>"Admin expenses - Payroll"&amp;"-"&amp;Table1[[#This Row],[Column5]]</f>
        <v>Admin expenses - Payroll-Employee 137</v>
      </c>
      <c r="C11" s="72" t="s">
        <v>11</v>
      </c>
      <c r="D11" s="71" t="s">
        <v>13</v>
      </c>
      <c r="E11" s="72" t="s">
        <v>7</v>
      </c>
      <c r="F11" s="72" t="s">
        <v>101</v>
      </c>
      <c r="G11" s="73">
        <v>9704.9340000000011</v>
      </c>
      <c r="H11" s="75">
        <v>10783.26</v>
      </c>
      <c r="I11" s="75">
        <v>11162.105</v>
      </c>
    </row>
    <row r="12" spans="1:9" x14ac:dyDescent="0.25">
      <c r="A12" s="148" t="str">
        <f>Table1[[#This Row],[Column1]]&amp;"/"&amp;Table1[[#This Row],[Column5]]</f>
        <v>Admin expenses - Payroll-Employee 126/Employee 126</v>
      </c>
      <c r="B12" s="71" t="str">
        <f>"Admin expenses - Payroll"&amp;"-"&amp;Table1[[#This Row],[Column5]]</f>
        <v>Admin expenses - Payroll-Employee 126</v>
      </c>
      <c r="C12" s="72" t="s">
        <v>11</v>
      </c>
      <c r="D12" s="71" t="s">
        <v>13</v>
      </c>
      <c r="E12" s="72" t="s">
        <v>7</v>
      </c>
      <c r="F12" s="72" t="s">
        <v>97</v>
      </c>
      <c r="G12" s="73">
        <v>13076.5005</v>
      </c>
      <c r="H12" s="75">
        <v>14529.445</v>
      </c>
      <c r="I12" s="75">
        <v>16029.64</v>
      </c>
    </row>
    <row r="13" spans="1:9" x14ac:dyDescent="0.25">
      <c r="A13" s="148" t="str">
        <f>Table1[[#This Row],[Column1]]&amp;"/"&amp;Table1[[#This Row],[Column5]]</f>
        <v>Admin expenses - Payroll-Employee 123/Employee 123</v>
      </c>
      <c r="B13" s="71" t="str">
        <f>"Admin expenses - Payroll"&amp;"-"&amp;Table1[[#This Row],[Column5]]</f>
        <v>Admin expenses - Payroll-Employee 123</v>
      </c>
      <c r="C13" s="72" t="s">
        <v>11</v>
      </c>
      <c r="D13" s="71" t="s">
        <v>13</v>
      </c>
      <c r="E13" s="72" t="s">
        <v>7</v>
      </c>
      <c r="F13" s="72" t="s">
        <v>96</v>
      </c>
      <c r="G13" s="73">
        <v>14175</v>
      </c>
      <c r="H13" s="75">
        <v>15750</v>
      </c>
      <c r="I13" s="75">
        <v>18080</v>
      </c>
    </row>
    <row r="14" spans="1:9" x14ac:dyDescent="0.25">
      <c r="A14" s="148" t="str">
        <f>Table1[[#This Row],[Column1]]&amp;"/"&amp;Table1[[#This Row],[Column5]]</f>
        <v>Admin expenses - Payroll-Employee 82/Employee 82</v>
      </c>
      <c r="B14" s="71" t="str">
        <f>"Admin expenses - Payroll"&amp;"-"&amp;Table1[[#This Row],[Column5]]</f>
        <v>Admin expenses - Payroll-Employee 82</v>
      </c>
      <c r="C14" s="72" t="s">
        <v>10</v>
      </c>
      <c r="D14" s="72" t="s">
        <v>16</v>
      </c>
      <c r="E14" s="72" t="s">
        <v>7</v>
      </c>
      <c r="F14" s="72" t="s">
        <v>82</v>
      </c>
      <c r="G14" s="73">
        <v>3626.7558750000003</v>
      </c>
      <c r="H14" s="74">
        <v>4029.7287500000002</v>
      </c>
      <c r="I14" s="74">
        <f>H14</f>
        <v>4029.7287500000002</v>
      </c>
    </row>
    <row r="15" spans="1:9" x14ac:dyDescent="0.25">
      <c r="A15" s="148" t="str">
        <f>Table1[[#This Row],[Column1]]&amp;"/"&amp;Table1[[#This Row],[Column5]]</f>
        <v>Admin expenses - Payroll-Employee 81/Employee 81</v>
      </c>
      <c r="B15" s="71" t="str">
        <f>"Admin expenses - Payroll"&amp;"-"&amp;Table1[[#This Row],[Column5]]</f>
        <v>Admin expenses - Payroll-Employee 81</v>
      </c>
      <c r="C15" s="72" t="s">
        <v>10</v>
      </c>
      <c r="D15" s="72" t="s">
        <v>16</v>
      </c>
      <c r="E15" s="72" t="s">
        <v>7</v>
      </c>
      <c r="F15" s="72" t="s">
        <v>81</v>
      </c>
      <c r="G15" s="73">
        <v>2444.5575000000003</v>
      </c>
      <c r="H15" s="74">
        <v>2716.1750000000002</v>
      </c>
      <c r="I15" s="74">
        <v>2866.1412500000001</v>
      </c>
    </row>
    <row r="16" spans="1:9" x14ac:dyDescent="0.25">
      <c r="A16" s="148" t="str">
        <f>Table1[[#This Row],[Column1]]&amp;"/"&amp;Table1[[#This Row],[Column5]]</f>
        <v>Admin expenses - Payroll-Employee 78/Employee 78</v>
      </c>
      <c r="B16" s="71" t="str">
        <f>"Admin expenses - Payroll"&amp;"-"&amp;Table1[[#This Row],[Column5]]</f>
        <v>Admin expenses - Payroll-Employee 78</v>
      </c>
      <c r="C16" s="72" t="s">
        <v>10</v>
      </c>
      <c r="D16" s="72" t="s">
        <v>16</v>
      </c>
      <c r="E16" s="72" t="s">
        <v>7</v>
      </c>
      <c r="F16" s="72" t="s">
        <v>80</v>
      </c>
      <c r="G16" s="73">
        <v>2406.7597499999997</v>
      </c>
      <c r="H16" s="74">
        <v>2674.1774999999998</v>
      </c>
      <c r="I16" s="74">
        <v>3154.84</v>
      </c>
    </row>
    <row r="17" spans="1:9" x14ac:dyDescent="0.25">
      <c r="A17" s="148" t="str">
        <f>Table1[[#This Row],[Column1]]&amp;"/"&amp;Table1[[#This Row],[Column5]]</f>
        <v>Admin expenses - Payroll-Employee 70/Employee 70</v>
      </c>
      <c r="B17" s="71" t="str">
        <f>"Admin expenses - Payroll"&amp;"-"&amp;Table1[[#This Row],[Column5]]</f>
        <v>Admin expenses - Payroll-Employee 70</v>
      </c>
      <c r="C17" s="72" t="s">
        <v>10</v>
      </c>
      <c r="D17" s="72" t="s">
        <v>16</v>
      </c>
      <c r="E17" s="72" t="s">
        <v>7</v>
      </c>
      <c r="F17" s="72" t="s">
        <v>74</v>
      </c>
      <c r="G17" s="73">
        <v>2433.9926250000003</v>
      </c>
      <c r="H17" s="74">
        <v>2704.4362500000002</v>
      </c>
      <c r="I17" s="74">
        <v>3941.2737500000007</v>
      </c>
    </row>
    <row r="18" spans="1:9" x14ac:dyDescent="0.25">
      <c r="A18" s="148" t="str">
        <f>Table1[[#This Row],[Column1]]&amp;"/"&amp;Table1[[#This Row],[Column5]]</f>
        <v>Admin expenses - Payroll-Employee 7/Employee 7</v>
      </c>
      <c r="B18" s="71" t="str">
        <f>"Admin expenses - Payroll"&amp;"-"&amp;Table1[[#This Row],[Column5]]</f>
        <v>Admin expenses - Payroll-Employee 7</v>
      </c>
      <c r="C18" s="72" t="s">
        <v>10</v>
      </c>
      <c r="D18" s="72" t="s">
        <v>15</v>
      </c>
      <c r="E18" s="72" t="s">
        <v>7</v>
      </c>
      <c r="F18" s="72" t="s">
        <v>23</v>
      </c>
      <c r="G18" s="73">
        <v>4118.0040000000008</v>
      </c>
      <c r="H18" s="74">
        <v>4575.5600000000004</v>
      </c>
      <c r="I18" s="74">
        <f>H18</f>
        <v>4575.5600000000004</v>
      </c>
    </row>
    <row r="19" spans="1:9" x14ac:dyDescent="0.25">
      <c r="A19" s="148" t="str">
        <f>Table1[[#This Row],[Column1]]&amp;"/"&amp;Table1[[#This Row],[Column5]]</f>
        <v>Admin expenses - Payroll-Employee 69/Employee 69</v>
      </c>
      <c r="B19" s="71" t="str">
        <f>"Admin expenses - Payroll"&amp;"-"&amp;Table1[[#This Row],[Column5]]</f>
        <v>Admin expenses - Payroll-Employee 69</v>
      </c>
      <c r="C19" s="72" t="s">
        <v>10</v>
      </c>
      <c r="D19" s="72" t="s">
        <v>16</v>
      </c>
      <c r="E19" s="72" t="s">
        <v>7</v>
      </c>
      <c r="F19" s="72" t="s">
        <v>73</v>
      </c>
      <c r="G19" s="73">
        <v>3407.4</v>
      </c>
      <c r="H19" s="74">
        <v>3786</v>
      </c>
      <c r="I19" s="74">
        <v>4019.6237499999997</v>
      </c>
    </row>
    <row r="20" spans="1:9" x14ac:dyDescent="0.25">
      <c r="A20" s="148" t="str">
        <f>Table1[[#This Row],[Column1]]&amp;"/"&amp;Table1[[#This Row],[Column5]]</f>
        <v>Admin expenses - Payroll-Employee 6/Employee 6</v>
      </c>
      <c r="B20" s="71" t="str">
        <f>"Admin expenses - Payroll"&amp;"-"&amp;Table1[[#This Row],[Column5]]</f>
        <v>Admin expenses - Payroll-Employee 6</v>
      </c>
      <c r="C20" s="72" t="s">
        <v>10</v>
      </c>
      <c r="D20" s="72" t="s">
        <v>15</v>
      </c>
      <c r="E20" s="72" t="s">
        <v>7</v>
      </c>
      <c r="F20" s="72" t="s">
        <v>22</v>
      </c>
      <c r="G20" s="73">
        <v>1868.7273749999999</v>
      </c>
      <c r="H20" s="74">
        <v>2076.36375</v>
      </c>
      <c r="I20" s="74">
        <v>2796.5387500000002</v>
      </c>
    </row>
    <row r="21" spans="1:9" x14ac:dyDescent="0.25">
      <c r="A21" s="148" t="str">
        <f>Table1[[#This Row],[Column1]]&amp;"/"&amp;Table1[[#This Row],[Column5]]</f>
        <v>Admin expenses - Payroll-Employee 35/Employee 35</v>
      </c>
      <c r="B21" s="71" t="str">
        <f>"Admin expenses - Payroll"&amp;"-"&amp;Table1[[#This Row],[Column5]]</f>
        <v>Admin expenses - Payroll-Employee 35</v>
      </c>
      <c r="C21" s="72" t="s">
        <v>10</v>
      </c>
      <c r="D21" s="72" t="s">
        <v>15</v>
      </c>
      <c r="E21" s="72" t="s">
        <v>7</v>
      </c>
      <c r="F21" s="72" t="s">
        <v>45</v>
      </c>
      <c r="G21" s="73">
        <v>4089.9363749999998</v>
      </c>
      <c r="H21" s="74">
        <v>4544.3737499999997</v>
      </c>
      <c r="I21" s="74">
        <f>H21</f>
        <v>4544.3737499999997</v>
      </c>
    </row>
    <row r="22" spans="1:9" x14ac:dyDescent="0.25">
      <c r="A22" s="148" t="str">
        <f>Table1[[#This Row],[Column1]]&amp;"/"&amp;Table1[[#This Row],[Column5]]</f>
        <v>Admin expenses - Payroll-Employee 27/Employee 27</v>
      </c>
      <c r="B22" s="71" t="str">
        <f>"Admin expenses - Payroll"&amp;"-"&amp;Table1[[#This Row],[Column5]]</f>
        <v>Admin expenses - Payroll-Employee 27</v>
      </c>
      <c r="C22" s="72" t="s">
        <v>10</v>
      </c>
      <c r="D22" s="72" t="s">
        <v>15</v>
      </c>
      <c r="E22" s="72" t="s">
        <v>7</v>
      </c>
      <c r="F22" s="72" t="s">
        <v>38</v>
      </c>
      <c r="G22" s="73">
        <v>4175.9853750000002</v>
      </c>
      <c r="H22" s="74">
        <v>4639.9837500000003</v>
      </c>
      <c r="I22" s="74">
        <f>H22</f>
        <v>4639.9837500000003</v>
      </c>
    </row>
    <row r="23" spans="1:9" x14ac:dyDescent="0.25">
      <c r="A23" s="148" t="str">
        <f>Table1[[#This Row],[Column1]]&amp;"/"&amp;Table1[[#This Row],[Column5]]</f>
        <v>Admin expenses - Payroll-Employee 26/Employee 26</v>
      </c>
      <c r="B23" s="71" t="str">
        <f>"Admin expenses - Payroll"&amp;"-"&amp;Table1[[#This Row],[Column5]]</f>
        <v>Admin expenses - Payroll-Employee 26</v>
      </c>
      <c r="C23" s="72" t="s">
        <v>10</v>
      </c>
      <c r="D23" s="72" t="s">
        <v>15</v>
      </c>
      <c r="E23" s="72" t="s">
        <v>7</v>
      </c>
      <c r="F23" s="72" t="s">
        <v>37</v>
      </c>
      <c r="G23" s="73">
        <v>4607.5252499999997</v>
      </c>
      <c r="H23" s="74">
        <v>5119.4724999999999</v>
      </c>
      <c r="I23" s="74">
        <v>5119.4724999999999</v>
      </c>
    </row>
    <row r="24" spans="1:9" x14ac:dyDescent="0.25">
      <c r="A24" s="148" t="str">
        <f>Table1[[#This Row],[Column1]]&amp;"/"&amp;Table1[[#This Row],[Column5]]</f>
        <v>Admin expenses - Payroll-Employee 21/Employee 21</v>
      </c>
      <c r="B24" s="71" t="str">
        <f>"Admin expenses - Payroll"&amp;"-"&amp;Table1[[#This Row],[Column5]]</f>
        <v>Admin expenses - Payroll-Employee 21</v>
      </c>
      <c r="C24" s="72" t="s">
        <v>10</v>
      </c>
      <c r="D24" s="72" t="s">
        <v>15</v>
      </c>
      <c r="E24" s="72" t="s">
        <v>7</v>
      </c>
      <c r="F24" s="72" t="s">
        <v>34</v>
      </c>
      <c r="G24" s="73">
        <v>2391.1548750000002</v>
      </c>
      <c r="H24" s="74">
        <v>2656.8387500000003</v>
      </c>
      <c r="I24" s="74">
        <v>3540</v>
      </c>
    </row>
    <row r="25" spans="1:9" x14ac:dyDescent="0.25">
      <c r="A25" s="148" t="str">
        <f>Table1[[#This Row],[Column1]]&amp;"/"&amp;Table1[[#This Row],[Column5]]</f>
        <v>Admin expenses - Payroll-Employee 10/Employee 10</v>
      </c>
      <c r="B25" s="71" t="str">
        <f>"Admin expenses - Payroll"&amp;"-"&amp;Table1[[#This Row],[Column5]]</f>
        <v>Admin expenses - Payroll-Employee 10</v>
      </c>
      <c r="C25" s="72" t="s">
        <v>10</v>
      </c>
      <c r="D25" s="72" t="s">
        <v>15</v>
      </c>
      <c r="E25" s="72" t="s">
        <v>7</v>
      </c>
      <c r="F25" s="72" t="s">
        <v>26</v>
      </c>
      <c r="G25" s="73">
        <v>2182.0770000000002</v>
      </c>
      <c r="H25" s="74">
        <v>2424.5300000000002</v>
      </c>
      <c r="I25" s="74">
        <v>4099.3574999999992</v>
      </c>
    </row>
    <row r="26" spans="1:9" x14ac:dyDescent="0.25">
      <c r="A26" s="148" t="str">
        <f>Table1[[#This Row],[Column1]]&amp;"/"&amp;Table1[[#This Row],[Column5]]</f>
        <v>Admin expenses - Payroll-Employee 63/Employee 63</v>
      </c>
      <c r="B26" s="71" t="str">
        <f>"Admin expenses - Payroll"&amp;"-"&amp;Table1[[#This Row],[Column5]]</f>
        <v>Admin expenses - Payroll-Employee 63</v>
      </c>
      <c r="C26" s="72" t="s">
        <v>10</v>
      </c>
      <c r="D26" s="72" t="s">
        <v>14</v>
      </c>
      <c r="E26" s="72" t="s">
        <v>4</v>
      </c>
      <c r="F26" s="72" t="s">
        <v>67</v>
      </c>
      <c r="G26" s="73">
        <v>1056.1167</v>
      </c>
      <c r="H26" s="74">
        <v>1173.463</v>
      </c>
      <c r="I26" s="74">
        <v>1173.463</v>
      </c>
    </row>
    <row r="27" spans="1:9" x14ac:dyDescent="0.25">
      <c r="A27" s="148" t="str">
        <f>Table1[[#This Row],[Column1]]&amp;"/"&amp;Table1[[#This Row],[Column5]]</f>
        <v>Admin expenses - Payroll-Employee 61/Employee 61</v>
      </c>
      <c r="B27" s="71" t="str">
        <f>"Admin expenses - Payroll"&amp;"-"&amp;Table1[[#This Row],[Column5]]</f>
        <v>Admin expenses - Payroll-Employee 61</v>
      </c>
      <c r="C27" s="72" t="s">
        <v>10</v>
      </c>
      <c r="D27" s="72" t="s">
        <v>14</v>
      </c>
      <c r="E27" s="72" t="s">
        <v>4</v>
      </c>
      <c r="F27" s="72" t="s">
        <v>65</v>
      </c>
      <c r="G27" s="73">
        <v>1693.7788499999999</v>
      </c>
      <c r="H27" s="74">
        <v>1881.9765</v>
      </c>
      <c r="I27" s="74">
        <v>2221</v>
      </c>
    </row>
    <row r="28" spans="1:9" x14ac:dyDescent="0.25">
      <c r="A28" s="148" t="str">
        <f>Table1[[#This Row],[Column1]]&amp;"/"&amp;Table1[[#This Row],[Column5]]</f>
        <v>Admin expenses - Payroll-Employee 55/Employee 55</v>
      </c>
      <c r="B28" s="71" t="str">
        <f>"Admin expenses - Payroll"&amp;"-"&amp;Table1[[#This Row],[Column5]]</f>
        <v>Admin expenses - Payroll-Employee 55</v>
      </c>
      <c r="C28" s="72" t="s">
        <v>10</v>
      </c>
      <c r="D28" s="72" t="s">
        <v>14</v>
      </c>
      <c r="E28" s="72" t="s">
        <v>4</v>
      </c>
      <c r="F28" s="72" t="s">
        <v>60</v>
      </c>
      <c r="G28" s="73">
        <v>1079.01675</v>
      </c>
      <c r="H28" s="74">
        <v>1198.9075</v>
      </c>
      <c r="I28" s="74">
        <v>1198.9075</v>
      </c>
    </row>
    <row r="29" spans="1:9" x14ac:dyDescent="0.25">
      <c r="A29" s="148" t="str">
        <f>Table1[[#This Row],[Column1]]&amp;"/"&amp;Table1[[#This Row],[Column5]]</f>
        <v>Admin expenses - Payroll-Employee 43/Employee 43</v>
      </c>
      <c r="B29" s="71" t="str">
        <f>"Admin expenses - Payroll"&amp;"-"&amp;Table1[[#This Row],[Column5]]</f>
        <v>Admin expenses - Payroll-Employee 43</v>
      </c>
      <c r="C29" s="72" t="s">
        <v>10</v>
      </c>
      <c r="D29" s="72" t="s">
        <v>14</v>
      </c>
      <c r="E29" s="72" t="s">
        <v>4</v>
      </c>
      <c r="F29" s="72" t="s">
        <v>53</v>
      </c>
      <c r="G29" s="73">
        <v>1128.1518000000001</v>
      </c>
      <c r="H29" s="74">
        <v>1253.502</v>
      </c>
      <c r="I29" s="74">
        <v>1712</v>
      </c>
    </row>
    <row r="30" spans="1:9" x14ac:dyDescent="0.25">
      <c r="A30" s="148" t="str">
        <f>Table1[[#This Row],[Column1]]&amp;"/"&amp;Table1[[#This Row],[Column5]]</f>
        <v>Admin expenses - Payroll-Employee 42/Employee 42</v>
      </c>
      <c r="B30" s="71" t="str">
        <f>"Admin expenses - Payroll"&amp;"-"&amp;Table1[[#This Row],[Column5]]</f>
        <v>Admin expenses - Payroll-Employee 42</v>
      </c>
      <c r="C30" s="72" t="s">
        <v>10</v>
      </c>
      <c r="D30" s="72" t="s">
        <v>14</v>
      </c>
      <c r="E30" s="72" t="s">
        <v>4</v>
      </c>
      <c r="F30" s="72" t="s">
        <v>52</v>
      </c>
      <c r="G30" s="73">
        <v>1714.0887</v>
      </c>
      <c r="H30" s="74">
        <v>1904.5429999999999</v>
      </c>
      <c r="I30" s="74">
        <v>1904.5429999999999</v>
      </c>
    </row>
    <row r="31" spans="1:9" x14ac:dyDescent="0.25">
      <c r="A31" s="148" t="str">
        <f>Table1[[#This Row],[Column1]]&amp;"/"&amp;Table1[[#This Row],[Column5]]</f>
        <v>Admin expenses - Payroll-Employee 40/Employee 40</v>
      </c>
      <c r="B31" s="71" t="str">
        <f>"Admin expenses - Payroll"&amp;"-"&amp;Table1[[#This Row],[Column5]]</f>
        <v>Admin expenses - Payroll-Employee 40</v>
      </c>
      <c r="C31" s="72" t="s">
        <v>10</v>
      </c>
      <c r="D31" s="72" t="s">
        <v>14</v>
      </c>
      <c r="E31" s="72" t="s">
        <v>4</v>
      </c>
      <c r="F31" s="72" t="s">
        <v>50</v>
      </c>
      <c r="G31" s="73">
        <v>1664.6242499999998</v>
      </c>
      <c r="H31" s="74">
        <v>1849.5824999999998</v>
      </c>
      <c r="I31" s="74">
        <v>2520.3130000000001</v>
      </c>
    </row>
    <row r="32" spans="1:9" x14ac:dyDescent="0.25">
      <c r="A32" s="148" t="str">
        <f>Table1[[#This Row],[Column1]]&amp;"/"&amp;Table1[[#This Row],[Column5]]</f>
        <v>Admin expenses - Payroll-Employee 2/Employee 2</v>
      </c>
      <c r="B32" s="71" t="str">
        <f>"Admin expenses - Payroll"&amp;"-"&amp;Table1[[#This Row],[Column5]]</f>
        <v>Admin expenses - Payroll-Employee 2</v>
      </c>
      <c r="C32" s="72" t="s">
        <v>107</v>
      </c>
      <c r="D32" s="71" t="s">
        <v>13</v>
      </c>
      <c r="E32" s="72" t="s">
        <v>4</v>
      </c>
      <c r="F32" s="72" t="s">
        <v>19</v>
      </c>
      <c r="G32" s="73">
        <v>22546.786500000002</v>
      </c>
      <c r="H32" s="75">
        <v>25051.985000000001</v>
      </c>
      <c r="I32" s="76">
        <v>27708.37</v>
      </c>
    </row>
    <row r="33" spans="1:9" x14ac:dyDescent="0.25">
      <c r="A33" s="148" t="str">
        <f>Table1[[#This Row],[Column1]]&amp;"/"&amp;Table1[[#This Row],[Column5]]</f>
        <v>Admin expenses - Payroll-Employee 138/Employee 138</v>
      </c>
      <c r="B33" s="71" t="str">
        <f>"Admin expenses - Payroll"&amp;"-"&amp;Table1[[#This Row],[Column5]]</f>
        <v>Admin expenses - Payroll-Employee 138</v>
      </c>
      <c r="C33" s="72" t="s">
        <v>107</v>
      </c>
      <c r="D33" s="71" t="s">
        <v>13</v>
      </c>
      <c r="E33" s="72" t="s">
        <v>4</v>
      </c>
      <c r="F33" s="72" t="s">
        <v>102</v>
      </c>
      <c r="G33" s="73">
        <v>32499.017999999996</v>
      </c>
      <c r="H33" s="75">
        <v>36110.019999999997</v>
      </c>
      <c r="I33" s="76">
        <v>37731.175000000003</v>
      </c>
    </row>
    <row r="34" spans="1:9" x14ac:dyDescent="0.25">
      <c r="A34" s="148" t="str">
        <f>Table1[[#This Row],[Column1]]&amp;"/"&amp;Table1[[#This Row],[Column5]]</f>
        <v>Admin expenses - Payroll-Employee 136/Employee 136</v>
      </c>
      <c r="B34" s="71" t="str">
        <f>"Admin expenses - Payroll"&amp;"-"&amp;Table1[[#This Row],[Column5]]</f>
        <v>Admin expenses - Payroll-Employee 136</v>
      </c>
      <c r="C34" s="72" t="s">
        <v>11</v>
      </c>
      <c r="D34" s="71" t="s">
        <v>13</v>
      </c>
      <c r="E34" s="72" t="s">
        <v>4</v>
      </c>
      <c r="F34" s="72" t="s">
        <v>100</v>
      </c>
      <c r="G34" s="73">
        <v>10550.322</v>
      </c>
      <c r="H34" s="75">
        <v>11722.58</v>
      </c>
      <c r="I34" s="75">
        <v>17050.25</v>
      </c>
    </row>
    <row r="35" spans="1:9" x14ac:dyDescent="0.25">
      <c r="A35" s="148" t="str">
        <f>Table1[[#This Row],[Column1]]&amp;"/"&amp;Table1[[#This Row],[Column5]]</f>
        <v>Admin expenses - Payroll-Employee 118/Employee 118</v>
      </c>
      <c r="B35" s="71" t="str">
        <f>"Admin expenses - Payroll"&amp;"-"&amp;Table1[[#This Row],[Column5]]</f>
        <v>Admin expenses - Payroll-Employee 118</v>
      </c>
      <c r="C35" s="72" t="s">
        <v>11</v>
      </c>
      <c r="D35" s="71" t="s">
        <v>13</v>
      </c>
      <c r="E35" s="72" t="s">
        <v>4</v>
      </c>
      <c r="F35" s="72" t="s">
        <v>91</v>
      </c>
      <c r="G35" s="73">
        <v>10363.068000000001</v>
      </c>
      <c r="H35" s="75">
        <v>11514.52</v>
      </c>
      <c r="I35" s="75">
        <v>15764.644999999999</v>
      </c>
    </row>
    <row r="36" spans="1:9" x14ac:dyDescent="0.25">
      <c r="A36" s="148" t="str">
        <f>Table1[[#This Row],[Column1]]&amp;"/"&amp;Table1[[#This Row],[Column5]]</f>
        <v>Admin expenses - Payroll-Employee 117/Employee 117</v>
      </c>
      <c r="B36" s="71" t="str">
        <f>"Admin expenses - Payroll"&amp;"-"&amp;Table1[[#This Row],[Column5]]</f>
        <v>Admin expenses - Payroll-Employee 117</v>
      </c>
      <c r="C36" s="72" t="s">
        <v>11</v>
      </c>
      <c r="D36" s="71" t="s">
        <v>13</v>
      </c>
      <c r="E36" s="72" t="s">
        <v>4</v>
      </c>
      <c r="F36" s="72" t="s">
        <v>90</v>
      </c>
      <c r="G36" s="73">
        <v>10693.242</v>
      </c>
      <c r="H36" s="75">
        <v>11881.38</v>
      </c>
      <c r="I36" s="76">
        <v>17401.11</v>
      </c>
    </row>
    <row r="37" spans="1:9" x14ac:dyDescent="0.25">
      <c r="A37" s="148" t="str">
        <f>Table1[[#This Row],[Column1]]&amp;"/"&amp;Table1[[#This Row],[Column5]]</f>
        <v>Admin expenses - Payroll-Employee 116/Employee 116</v>
      </c>
      <c r="B37" s="71" t="str">
        <f>"Admin expenses - Payroll"&amp;"-"&amp;Table1[[#This Row],[Column5]]</f>
        <v>Admin expenses - Payroll-Employee 116</v>
      </c>
      <c r="C37" s="72" t="s">
        <v>11</v>
      </c>
      <c r="D37" s="71" t="s">
        <v>13</v>
      </c>
      <c r="E37" s="72" t="s">
        <v>4</v>
      </c>
      <c r="F37" s="72" t="s">
        <v>89</v>
      </c>
      <c r="G37" s="73">
        <v>13260.829500000002</v>
      </c>
      <c r="H37" s="75">
        <v>14734.255000000001</v>
      </c>
      <c r="I37" s="76">
        <v>17524.010000000002</v>
      </c>
    </row>
    <row r="38" spans="1:9" x14ac:dyDescent="0.25">
      <c r="A38" s="148" t="str">
        <f>Table1[[#This Row],[Column1]]&amp;"/"&amp;Table1[[#This Row],[Column5]]</f>
        <v>Admin expenses - Payroll-Employee 115/Employee 115</v>
      </c>
      <c r="B38" s="71" t="str">
        <f>"Admin expenses - Payroll"&amp;"-"&amp;Table1[[#This Row],[Column5]]</f>
        <v>Admin expenses - Payroll-Employee 115</v>
      </c>
      <c r="C38" s="72" t="s">
        <v>11</v>
      </c>
      <c r="D38" s="72" t="s">
        <v>13</v>
      </c>
      <c r="E38" s="72" t="s">
        <v>4</v>
      </c>
      <c r="F38" s="72" t="s">
        <v>88</v>
      </c>
      <c r="G38" s="73">
        <v>14182.56</v>
      </c>
      <c r="H38" s="75">
        <v>15758.4</v>
      </c>
      <c r="I38" s="76">
        <v>18070.799999999996</v>
      </c>
    </row>
    <row r="39" spans="1:9" x14ac:dyDescent="0.25">
      <c r="A39" s="148" t="str">
        <f>Table1[[#This Row],[Column1]]&amp;"/"&amp;Table1[[#This Row],[Column5]]</f>
        <v>Admin expenses - Payroll-Employee 110/Employee 110</v>
      </c>
      <c r="B39" s="71" t="str">
        <f>"Admin expenses - Payroll"&amp;"-"&amp;Table1[[#This Row],[Column5]]</f>
        <v>Admin expenses - Payroll-Employee 110</v>
      </c>
      <c r="C39" s="72" t="s">
        <v>11</v>
      </c>
      <c r="D39" s="72" t="s">
        <v>13</v>
      </c>
      <c r="E39" s="72" t="s">
        <v>4</v>
      </c>
      <c r="F39" s="72" t="s">
        <v>87</v>
      </c>
      <c r="G39" s="73">
        <v>10526.228999999999</v>
      </c>
      <c r="H39" s="75">
        <v>11695.81</v>
      </c>
      <c r="I39" s="75">
        <v>16616.14</v>
      </c>
    </row>
    <row r="40" spans="1:9" x14ac:dyDescent="0.25">
      <c r="A40" s="148" t="str">
        <f>Table1[[#This Row],[Column1]]&amp;"/"&amp;Table1[[#This Row],[Column5]]</f>
        <v>Admin expenses - Payroll-Employee 109/Employee 109</v>
      </c>
      <c r="B40" s="71" t="str">
        <f>"Admin expenses - Payroll"&amp;"-"&amp;Table1[[#This Row],[Column5]]</f>
        <v>Admin expenses - Payroll-Employee 109</v>
      </c>
      <c r="C40" s="72" t="s">
        <v>11</v>
      </c>
      <c r="D40" s="72" t="s">
        <v>13</v>
      </c>
      <c r="E40" s="72" t="s">
        <v>4</v>
      </c>
      <c r="F40" s="72" t="s">
        <v>86</v>
      </c>
      <c r="G40" s="73">
        <v>13439.943000000001</v>
      </c>
      <c r="H40" s="75">
        <v>14933.27</v>
      </c>
      <c r="I40" s="76">
        <v>19909.219999999998</v>
      </c>
    </row>
    <row r="41" spans="1:9" x14ac:dyDescent="0.25">
      <c r="A41" s="148" t="str">
        <f>Table1[[#This Row],[Column1]]&amp;"/"&amp;Table1[[#This Row],[Column5]]</f>
        <v>Admin expenses - Payroll-Employee 108/Employee 108</v>
      </c>
      <c r="B41" s="71" t="str">
        <f>"Admin expenses - Payroll"&amp;"-"&amp;Table1[[#This Row],[Column5]]</f>
        <v>Admin expenses - Payroll-Employee 108</v>
      </c>
      <c r="C41" s="72" t="s">
        <v>9</v>
      </c>
      <c r="D41" s="72" t="s">
        <v>13</v>
      </c>
      <c r="E41" s="72" t="s">
        <v>4</v>
      </c>
      <c r="F41" s="72" t="s">
        <v>85</v>
      </c>
      <c r="G41" s="73">
        <v>41484.307500000003</v>
      </c>
      <c r="H41" s="75">
        <v>46093.675000000003</v>
      </c>
      <c r="I41" s="76">
        <v>48737.83</v>
      </c>
    </row>
    <row r="42" spans="1:9" x14ac:dyDescent="0.25">
      <c r="A42" s="148" t="str">
        <f>Table1[[#This Row],[Column1]]&amp;"/"&amp;Table1[[#This Row],[Column5]]</f>
        <v>Admin expenses - Payroll-Employee 104/Employee 104</v>
      </c>
      <c r="B42" s="71" t="str">
        <f>"Admin expenses - Payroll"&amp;"-"&amp;Table1[[#This Row],[Column5]]</f>
        <v>Admin expenses - Payroll-Employee 104</v>
      </c>
      <c r="C42" s="72" t="s">
        <v>11</v>
      </c>
      <c r="D42" s="72" t="s">
        <v>13</v>
      </c>
      <c r="E42" s="72" t="s">
        <v>4</v>
      </c>
      <c r="F42" s="72" t="s">
        <v>84</v>
      </c>
      <c r="G42" s="73">
        <v>10314.531000000001</v>
      </c>
      <c r="H42" s="75">
        <v>11460.59</v>
      </c>
      <c r="I42" s="76">
        <v>19496.169999999998</v>
      </c>
    </row>
    <row r="43" spans="1:9" x14ac:dyDescent="0.25">
      <c r="A43" s="148" t="str">
        <f>Table1[[#This Row],[Column1]]&amp;"/"&amp;Table1[[#This Row],[Column5]]</f>
        <v>Admin expenses - Payroll-Employee 1/Employee 1</v>
      </c>
      <c r="B43" s="71" t="str">
        <f>"Admin expenses - Payroll"&amp;"-"&amp;Table1[[#This Row],[Column5]]</f>
        <v>Admin expenses - Payroll-Employee 1</v>
      </c>
      <c r="C43" s="72" t="s">
        <v>107</v>
      </c>
      <c r="D43" s="72" t="s">
        <v>13</v>
      </c>
      <c r="E43" s="72" t="s">
        <v>4</v>
      </c>
      <c r="F43" s="72" t="s">
        <v>18</v>
      </c>
      <c r="G43" s="73">
        <v>20531.245500000001</v>
      </c>
      <c r="H43" s="75">
        <v>22812.494999999999</v>
      </c>
      <c r="I43" s="76">
        <v>23691.805</v>
      </c>
    </row>
    <row r="44" spans="1:9" x14ac:dyDescent="0.25">
      <c r="A44" s="148" t="str">
        <f>Table1[[#This Row],[Column1]]&amp;"/"&amp;Table1[[#This Row],[Column5]]</f>
        <v>Admin expenses - Payroll-Employee 9/Employee 9</v>
      </c>
      <c r="B44" s="71" t="str">
        <f>"Admin expenses - Payroll"&amp;"-"&amp;Table1[[#This Row],[Column5]]</f>
        <v>Admin expenses - Payroll-Employee 9</v>
      </c>
      <c r="C44" s="72" t="s">
        <v>10</v>
      </c>
      <c r="D44" s="72" t="s">
        <v>15</v>
      </c>
      <c r="E44" s="72" t="s">
        <v>4</v>
      </c>
      <c r="F44" s="72" t="s">
        <v>25</v>
      </c>
      <c r="G44" s="73">
        <v>3803.64075</v>
      </c>
      <c r="H44" s="74">
        <v>4226.2674999999999</v>
      </c>
      <c r="I44" s="74">
        <v>4457.7487499999997</v>
      </c>
    </row>
    <row r="45" spans="1:9" x14ac:dyDescent="0.25">
      <c r="A45" s="148" t="str">
        <f>Table1[[#This Row],[Column1]]&amp;"/"&amp;Table1[[#This Row],[Column5]]</f>
        <v>Admin expenses - Payroll-Employee 8/Employee 8</v>
      </c>
      <c r="B45" s="71" t="str">
        <f>"Admin expenses - Payroll"&amp;"-"&amp;Table1[[#This Row],[Column5]]</f>
        <v>Admin expenses - Payroll-Employee 8</v>
      </c>
      <c r="C45" s="72" t="s">
        <v>10</v>
      </c>
      <c r="D45" s="72" t="s">
        <v>15</v>
      </c>
      <c r="E45" s="72" t="s">
        <v>4</v>
      </c>
      <c r="F45" s="72" t="s">
        <v>24</v>
      </c>
      <c r="G45" s="73">
        <v>4033.4141250000002</v>
      </c>
      <c r="H45" s="74">
        <v>4481.57125</v>
      </c>
      <c r="I45" s="74">
        <v>5041.6125000000002</v>
      </c>
    </row>
    <row r="46" spans="1:9" x14ac:dyDescent="0.25">
      <c r="A46" s="148" t="str">
        <f>Table1[[#This Row],[Column1]]&amp;"/"&amp;Table1[[#This Row],[Column5]]</f>
        <v>Admin expenses - Payroll-Employee 65/Employee 65</v>
      </c>
      <c r="B46" s="71" t="str">
        <f>"Admin expenses - Payroll"&amp;"-"&amp;Table1[[#This Row],[Column5]]</f>
        <v>Admin expenses - Payroll-Employee 65</v>
      </c>
      <c r="C46" s="72" t="s">
        <v>107</v>
      </c>
      <c r="D46" s="72" t="s">
        <v>16</v>
      </c>
      <c r="E46" s="72" t="s">
        <v>4</v>
      </c>
      <c r="F46" s="72" t="s">
        <v>69</v>
      </c>
      <c r="G46" s="73">
        <v>4068.8966250000012</v>
      </c>
      <c r="H46" s="74">
        <v>4520.9962500000011</v>
      </c>
      <c r="I46" s="74">
        <v>4520.9962500000011</v>
      </c>
    </row>
    <row r="47" spans="1:9" x14ac:dyDescent="0.25">
      <c r="A47" s="148" t="str">
        <f>Table1[[#This Row],[Column1]]&amp;"/"&amp;Table1[[#This Row],[Column5]]</f>
        <v>Admin expenses - Payroll-Employee 32/Employee 32</v>
      </c>
      <c r="B47" s="71" t="str">
        <f>"Admin expenses - Payroll"&amp;"-"&amp;Table1[[#This Row],[Column5]]</f>
        <v>Admin expenses - Payroll-Employee 32</v>
      </c>
      <c r="C47" s="72" t="s">
        <v>107</v>
      </c>
      <c r="D47" s="72" t="s">
        <v>15</v>
      </c>
      <c r="E47" s="72" t="s">
        <v>4</v>
      </c>
      <c r="F47" s="72" t="s">
        <v>43</v>
      </c>
      <c r="G47" s="73">
        <v>5259.375</v>
      </c>
      <c r="H47" s="74">
        <v>5843.75</v>
      </c>
      <c r="I47" s="74">
        <v>6131.25</v>
      </c>
    </row>
    <row r="48" spans="1:9" x14ac:dyDescent="0.25">
      <c r="A48" s="148" t="str">
        <f>Table1[[#This Row],[Column1]]&amp;"/"&amp;Table1[[#This Row],[Column5]]</f>
        <v>Admin expenses - Payroll-Employee 31/Employee 31</v>
      </c>
      <c r="B48" s="71" t="str">
        <f>"Admin expenses - Payroll"&amp;"-"&amp;Table1[[#This Row],[Column5]]</f>
        <v>Admin expenses - Payroll-Employee 31</v>
      </c>
      <c r="C48" s="72" t="s">
        <v>107</v>
      </c>
      <c r="D48" s="72" t="s">
        <v>15</v>
      </c>
      <c r="E48" s="72" t="s">
        <v>4</v>
      </c>
      <c r="F48" s="72" t="s">
        <v>42</v>
      </c>
      <c r="G48" s="73">
        <v>5628.4953750000004</v>
      </c>
      <c r="H48" s="74">
        <v>6253.88375</v>
      </c>
      <c r="I48" s="74">
        <v>6499.2887499999997</v>
      </c>
    </row>
    <row r="49" spans="1:9" x14ac:dyDescent="0.25">
      <c r="A49" s="148" t="str">
        <f>Table1[[#This Row],[Column1]]&amp;"/"&amp;Table1[[#This Row],[Column5]]</f>
        <v>Admin expenses - Payroll-Employee 3/Employee 3</v>
      </c>
      <c r="B49" s="71" t="str">
        <f>"Admin expenses - Payroll"&amp;"-"&amp;Table1[[#This Row],[Column5]]</f>
        <v>Admin expenses - Payroll-Employee 3</v>
      </c>
      <c r="C49" s="72" t="s">
        <v>10</v>
      </c>
      <c r="D49" s="72" t="s">
        <v>15</v>
      </c>
      <c r="E49" s="72" t="s">
        <v>4</v>
      </c>
      <c r="F49" s="72" t="s">
        <v>20</v>
      </c>
      <c r="G49" s="73">
        <v>4386.9059999999999</v>
      </c>
      <c r="H49" s="74">
        <v>4874.34</v>
      </c>
      <c r="I49" s="74">
        <v>4984.9212500000003</v>
      </c>
    </row>
    <row r="50" spans="1:9" x14ac:dyDescent="0.25">
      <c r="A50" s="148" t="str">
        <f>Table1[[#This Row],[Column1]]&amp;"/"&amp;Table1[[#This Row],[Column5]]</f>
        <v>Admin expenses - Payroll-Employee 53/Employee 53</v>
      </c>
      <c r="B50" s="71" t="str">
        <f>"Admin expenses - Payroll"&amp;"-"&amp;Table1[[#This Row],[Column5]]</f>
        <v>Admin expenses - Payroll-Employee 53</v>
      </c>
      <c r="C50" s="72" t="s">
        <v>10</v>
      </c>
      <c r="D50" s="72" t="s">
        <v>14</v>
      </c>
      <c r="E50" s="72" t="s">
        <v>8</v>
      </c>
      <c r="F50" s="72" t="s">
        <v>58</v>
      </c>
      <c r="G50" s="73">
        <v>1031.2501500000001</v>
      </c>
      <c r="H50" s="74">
        <v>1145.8335</v>
      </c>
      <c r="I50" s="74">
        <v>1672.0355000000004</v>
      </c>
    </row>
    <row r="51" spans="1:9" x14ac:dyDescent="0.25">
      <c r="A51" s="148" t="str">
        <f>Table1[[#This Row],[Column1]]&amp;"/"&amp;Table1[[#This Row],[Column5]]</f>
        <v>Admin expenses - Payroll-Employee 49/Employee 49</v>
      </c>
      <c r="B51" s="71" t="str">
        <f>"Admin expenses - Payroll"&amp;"-"&amp;Table1[[#This Row],[Column5]]</f>
        <v>Admin expenses - Payroll-Employee 49</v>
      </c>
      <c r="C51" s="72" t="s">
        <v>9</v>
      </c>
      <c r="D51" s="72" t="s">
        <v>14</v>
      </c>
      <c r="E51" s="72" t="s">
        <v>8</v>
      </c>
      <c r="F51" s="72" t="s">
        <v>54</v>
      </c>
      <c r="G51" s="73">
        <v>1016.2457999999998</v>
      </c>
      <c r="H51" s="74">
        <v>1129.1619999999998</v>
      </c>
      <c r="I51" s="74">
        <v>1129.1619999999998</v>
      </c>
    </row>
    <row r="52" spans="1:9" x14ac:dyDescent="0.25">
      <c r="A52" s="148" t="str">
        <f>Table1[[#This Row],[Column1]]&amp;"/"&amp;Table1[[#This Row],[Column5]]</f>
        <v>Admin expenses - Payroll-Employee 143/Employee 143</v>
      </c>
      <c r="B52" s="71" t="str">
        <f>"Admin expenses - Payroll"&amp;"-"&amp;Table1[[#This Row],[Column5]]</f>
        <v>Admin expenses - Payroll-Employee 143</v>
      </c>
      <c r="C52" s="72" t="s">
        <v>11</v>
      </c>
      <c r="D52" s="71" t="s">
        <v>13</v>
      </c>
      <c r="E52" s="72" t="s">
        <v>8</v>
      </c>
      <c r="F52" s="72" t="s">
        <v>105</v>
      </c>
      <c r="G52" s="73">
        <v>10026.994500000001</v>
      </c>
      <c r="H52" s="75">
        <v>11141.105</v>
      </c>
      <c r="I52" s="75">
        <v>11572.655000000002</v>
      </c>
    </row>
    <row r="53" spans="1:9" x14ac:dyDescent="0.25">
      <c r="A53" s="148" t="str">
        <f>Table1[[#This Row],[Column1]]&amp;"/"&amp;Table1[[#This Row],[Column5]]</f>
        <v>Admin expenses - Payroll-Employee 121/Employee 121</v>
      </c>
      <c r="B53" s="71" t="str">
        <f>"Admin expenses - Payroll"&amp;"-"&amp;Table1[[#This Row],[Column5]]</f>
        <v>Admin expenses - Payroll-Employee 121</v>
      </c>
      <c r="C53" s="72" t="s">
        <v>11</v>
      </c>
      <c r="D53" s="71" t="s">
        <v>13</v>
      </c>
      <c r="E53" s="72" t="s">
        <v>8</v>
      </c>
      <c r="F53" s="72" t="s">
        <v>94</v>
      </c>
      <c r="G53" s="73">
        <v>9969.2145</v>
      </c>
      <c r="H53" s="75">
        <v>11076.905000000001</v>
      </c>
      <c r="I53" s="75">
        <v>13589.950000000003</v>
      </c>
    </row>
    <row r="54" spans="1:9" x14ac:dyDescent="0.25">
      <c r="A54" s="148" t="str">
        <f>Table1[[#This Row],[Column1]]&amp;"/"&amp;Table1[[#This Row],[Column5]]</f>
        <v>Admin expenses - Payroll-Employee 76/Employee 76</v>
      </c>
      <c r="B54" s="71" t="str">
        <f>"Admin expenses - Payroll"&amp;"-"&amp;Table1[[#This Row],[Column5]]</f>
        <v>Admin expenses - Payroll-Employee 76</v>
      </c>
      <c r="C54" s="72" t="s">
        <v>10</v>
      </c>
      <c r="D54" s="72" t="s">
        <v>16</v>
      </c>
      <c r="E54" s="72" t="s">
        <v>8</v>
      </c>
      <c r="F54" s="72" t="s">
        <v>79</v>
      </c>
      <c r="G54" s="73">
        <v>2452.2266250000002</v>
      </c>
      <c r="H54" s="74">
        <v>2724.69625</v>
      </c>
      <c r="I54" s="74">
        <v>3304.8125</v>
      </c>
    </row>
    <row r="55" spans="1:9" x14ac:dyDescent="0.25">
      <c r="A55" s="148" t="str">
        <f>Table1[[#This Row],[Column1]]&amp;"/"&amp;Table1[[#This Row],[Column5]]</f>
        <v>Admin expenses - Payroll-Employee 73/Employee 73</v>
      </c>
      <c r="B55" s="71" t="str">
        <f>"Admin expenses - Payroll"&amp;"-"&amp;Table1[[#This Row],[Column5]]</f>
        <v>Admin expenses - Payroll-Employee 73</v>
      </c>
      <c r="C55" s="72" t="s">
        <v>10</v>
      </c>
      <c r="D55" s="72" t="s">
        <v>16</v>
      </c>
      <c r="E55" s="72" t="s">
        <v>8</v>
      </c>
      <c r="F55" s="72" t="s">
        <v>77</v>
      </c>
      <c r="G55" s="73">
        <v>2570.0658749999998</v>
      </c>
      <c r="H55" s="74">
        <v>2855.6287499999999</v>
      </c>
      <c r="I55" s="74">
        <v>3540.6412499999997</v>
      </c>
    </row>
    <row r="56" spans="1:9" x14ac:dyDescent="0.25">
      <c r="A56" s="148" t="str">
        <f>Table1[[#This Row],[Column1]]&amp;"/"&amp;Table1[[#This Row],[Column5]]</f>
        <v>Admin expenses - Payroll-Employee 72/Employee 72</v>
      </c>
      <c r="B56" s="71" t="str">
        <f>"Admin expenses - Payroll"&amp;"-"&amp;Table1[[#This Row],[Column5]]</f>
        <v>Admin expenses - Payroll-Employee 72</v>
      </c>
      <c r="C56" s="72" t="s">
        <v>10</v>
      </c>
      <c r="D56" s="72" t="s">
        <v>16</v>
      </c>
      <c r="E56" s="72" t="s">
        <v>8</v>
      </c>
      <c r="F56" s="72" t="s">
        <v>76</v>
      </c>
      <c r="G56" s="73">
        <v>2560.0477500000002</v>
      </c>
      <c r="H56" s="74">
        <v>2844.4974999999999</v>
      </c>
      <c r="I56" s="74">
        <v>3669.95</v>
      </c>
    </row>
    <row r="57" spans="1:9" x14ac:dyDescent="0.25">
      <c r="A57" s="148" t="str">
        <f>Table1[[#This Row],[Column1]]&amp;"/"&amp;Table1[[#This Row],[Column5]]</f>
        <v>Admin expenses - Payroll-Employee 71/Employee 71</v>
      </c>
      <c r="B57" s="71" t="str">
        <f>"Admin expenses - Payroll"&amp;"-"&amp;Table1[[#This Row],[Column5]]</f>
        <v>Admin expenses - Payroll-Employee 71</v>
      </c>
      <c r="C57" s="72" t="s">
        <v>10</v>
      </c>
      <c r="D57" s="72" t="s">
        <v>16</v>
      </c>
      <c r="E57" s="72" t="s">
        <v>8</v>
      </c>
      <c r="F57" s="72" t="s">
        <v>75</v>
      </c>
      <c r="G57" s="73">
        <v>3376.0158750000001</v>
      </c>
      <c r="H57" s="74">
        <v>3751.1287499999999</v>
      </c>
      <c r="I57" s="74">
        <v>3751.1287499999999</v>
      </c>
    </row>
    <row r="58" spans="1:9" x14ac:dyDescent="0.25">
      <c r="A58" s="148" t="str">
        <f>Table1[[#This Row],[Column1]]&amp;"/"&amp;Table1[[#This Row],[Column5]]</f>
        <v>Admin expenses - Payroll-Employee 68/Employee 68</v>
      </c>
      <c r="B58" s="71" t="str">
        <f>"Admin expenses - Payroll"&amp;"-"&amp;Table1[[#This Row],[Column5]]</f>
        <v>Admin expenses - Payroll-Employee 68</v>
      </c>
      <c r="C58" s="72" t="s">
        <v>10</v>
      </c>
      <c r="D58" s="72" t="s">
        <v>16</v>
      </c>
      <c r="E58" s="72" t="s">
        <v>8</v>
      </c>
      <c r="F58" s="72" t="s">
        <v>72</v>
      </c>
      <c r="G58" s="73">
        <v>3462.325875</v>
      </c>
      <c r="H58" s="74">
        <v>3847.0287499999999</v>
      </c>
      <c r="I58" s="74">
        <v>4238.2837499999996</v>
      </c>
    </row>
    <row r="59" spans="1:9" x14ac:dyDescent="0.25">
      <c r="A59" s="148" t="str">
        <f>Table1[[#This Row],[Column1]]&amp;"/"&amp;Table1[[#This Row],[Column5]]</f>
        <v>Admin expenses - Payroll-Employee 66/Employee 66</v>
      </c>
      <c r="B59" s="71" t="str">
        <f>"Admin expenses - Payroll"&amp;"-"&amp;Table1[[#This Row],[Column5]]</f>
        <v>Admin expenses - Payroll-Employee 66</v>
      </c>
      <c r="C59" s="72" t="s">
        <v>107</v>
      </c>
      <c r="D59" s="72" t="s">
        <v>16</v>
      </c>
      <c r="E59" s="72" t="s">
        <v>8</v>
      </c>
      <c r="F59" s="72" t="s">
        <v>70</v>
      </c>
      <c r="G59" s="73">
        <v>3437.41725</v>
      </c>
      <c r="H59" s="74">
        <v>3819.3525</v>
      </c>
      <c r="I59" s="74">
        <v>4471.92</v>
      </c>
    </row>
    <row r="60" spans="1:9" x14ac:dyDescent="0.25">
      <c r="A60" s="148" t="str">
        <f>Table1[[#This Row],[Column1]]&amp;"/"&amp;Table1[[#This Row],[Column5]]</f>
        <v>Admin expenses - Payroll-Employee 12/Employee 12</v>
      </c>
      <c r="B60" s="71" t="str">
        <f>"Admin expenses - Payroll"&amp;"-"&amp;Table1[[#This Row],[Column5]]</f>
        <v>Admin expenses - Payroll-Employee 12</v>
      </c>
      <c r="C60" s="72" t="s">
        <v>10</v>
      </c>
      <c r="D60" s="72" t="s">
        <v>15</v>
      </c>
      <c r="E60" s="72" t="s">
        <v>8</v>
      </c>
      <c r="F60" s="72" t="s">
        <v>28</v>
      </c>
      <c r="G60" s="73">
        <v>3371.65425</v>
      </c>
      <c r="H60" s="74">
        <v>3746.2824999999998</v>
      </c>
      <c r="I60" s="74">
        <v>3746.2824999999998</v>
      </c>
    </row>
    <row r="61" spans="1:9" x14ac:dyDescent="0.25">
      <c r="A61" s="148" t="str">
        <f>Table1[[#This Row],[Column1]]&amp;"/"&amp;Table1[[#This Row],[Column5]]</f>
        <v>Admin expenses - Payroll-Employee 11/Employee 11</v>
      </c>
      <c r="B61" s="71" t="str">
        <f>"Admin expenses - Payroll"&amp;"-"&amp;Table1[[#This Row],[Column5]]</f>
        <v>Admin expenses - Payroll-Employee 11</v>
      </c>
      <c r="C61" s="72" t="s">
        <v>10</v>
      </c>
      <c r="D61" s="72" t="s">
        <v>15</v>
      </c>
      <c r="E61" s="72" t="s">
        <v>8</v>
      </c>
      <c r="F61" s="72" t="s">
        <v>27</v>
      </c>
      <c r="G61" s="73">
        <v>3425.8185000000003</v>
      </c>
      <c r="H61" s="74">
        <v>3806.4650000000001</v>
      </c>
      <c r="I61" s="74">
        <v>3916.3337499999998</v>
      </c>
    </row>
    <row r="62" spans="1:9" x14ac:dyDescent="0.25">
      <c r="A62" s="148" t="str">
        <f>Table1[[#This Row],[Column1]]&amp;"/"&amp;Table1[[#This Row],[Column5]]</f>
        <v>Admin expenses - Payroll-Employee 62/Employee 62</v>
      </c>
      <c r="B62" s="71" t="str">
        <f>"Admin expenses - Payroll"&amp;"-"&amp;Table1[[#This Row],[Column5]]</f>
        <v>Admin expenses - Payroll-Employee 62</v>
      </c>
      <c r="C62" s="72" t="s">
        <v>10</v>
      </c>
      <c r="D62" s="72" t="s">
        <v>14</v>
      </c>
      <c r="E62" s="72" t="s">
        <v>5</v>
      </c>
      <c r="F62" s="72" t="s">
        <v>66</v>
      </c>
      <c r="G62" s="73">
        <v>1725.47685</v>
      </c>
      <c r="H62" s="74">
        <v>1917.1965</v>
      </c>
      <c r="I62" s="74">
        <v>2136</v>
      </c>
    </row>
    <row r="63" spans="1:9" x14ac:dyDescent="0.25">
      <c r="A63" s="148" t="str">
        <f>Table1[[#This Row],[Column1]]&amp;"/"&amp;Table1[[#This Row],[Column5]]</f>
        <v>Admin expenses - Payroll-Employee 60/Employee 60</v>
      </c>
      <c r="B63" s="71" t="str">
        <f>"Admin expenses - Payroll"&amp;"-"&amp;Table1[[#This Row],[Column5]]</f>
        <v>Admin expenses - Payroll-Employee 60</v>
      </c>
      <c r="C63" s="72" t="s">
        <v>10</v>
      </c>
      <c r="D63" s="72" t="s">
        <v>14</v>
      </c>
      <c r="E63" s="72" t="s">
        <v>5</v>
      </c>
      <c r="F63" s="72" t="s">
        <v>64</v>
      </c>
      <c r="G63" s="73">
        <v>1973.8071000000002</v>
      </c>
      <c r="H63" s="74">
        <v>2193.1190000000001</v>
      </c>
      <c r="I63" s="74">
        <v>2193.1190000000001</v>
      </c>
    </row>
    <row r="64" spans="1:9" x14ac:dyDescent="0.25">
      <c r="A64" s="148" t="str">
        <f>Table1[[#This Row],[Column1]]&amp;"/"&amp;Table1[[#This Row],[Column5]]</f>
        <v>Admin expenses - Payroll-Employee 59/Employee 59</v>
      </c>
      <c r="B64" s="71" t="str">
        <f>"Admin expenses - Payroll"&amp;"-"&amp;Table1[[#This Row],[Column5]]</f>
        <v>Admin expenses - Payroll-Employee 59</v>
      </c>
      <c r="C64" s="72" t="s">
        <v>107</v>
      </c>
      <c r="D64" s="72" t="s">
        <v>14</v>
      </c>
      <c r="E64" s="72" t="s">
        <v>5</v>
      </c>
      <c r="F64" s="72" t="s">
        <v>63</v>
      </c>
      <c r="G64" s="73">
        <v>1972.4975999999999</v>
      </c>
      <c r="H64" s="74">
        <v>2191.6639999999998</v>
      </c>
      <c r="I64" s="74">
        <v>2191.6639999999998</v>
      </c>
    </row>
    <row r="65" spans="1:9" x14ac:dyDescent="0.25">
      <c r="A65" s="148" t="str">
        <f>Table1[[#This Row],[Column1]]&amp;"/"&amp;Table1[[#This Row],[Column5]]</f>
        <v>Admin expenses - Payroll-Employee 58/Employee 58</v>
      </c>
      <c r="B65" s="71" t="str">
        <f>"Admin expenses - Payroll"&amp;"-"&amp;Table1[[#This Row],[Column5]]</f>
        <v>Admin expenses - Payroll-Employee 58</v>
      </c>
      <c r="C65" s="72" t="s">
        <v>107</v>
      </c>
      <c r="D65" s="72" t="s">
        <v>14</v>
      </c>
      <c r="E65" s="72" t="s">
        <v>5</v>
      </c>
      <c r="F65" s="72" t="s">
        <v>62</v>
      </c>
      <c r="G65" s="73">
        <v>2738.6581500000002</v>
      </c>
      <c r="H65" s="74">
        <v>3042.9535000000001</v>
      </c>
      <c r="I65" s="74">
        <v>3484</v>
      </c>
    </row>
    <row r="66" spans="1:9" x14ac:dyDescent="0.25">
      <c r="A66" s="148" t="str">
        <f>Table1[[#This Row],[Column1]]&amp;"/"&amp;Table1[[#This Row],[Column5]]</f>
        <v>Admin expenses - Payroll-Employee 57/Employee 57</v>
      </c>
      <c r="B66" s="71" t="str">
        <f>"Admin expenses - Payroll"&amp;"-"&amp;Table1[[#This Row],[Column5]]</f>
        <v>Admin expenses - Payroll-Employee 57</v>
      </c>
      <c r="C66" s="72" t="s">
        <v>107</v>
      </c>
      <c r="D66" s="72" t="s">
        <v>14</v>
      </c>
      <c r="E66" s="72" t="s">
        <v>5</v>
      </c>
      <c r="F66" s="72" t="s">
        <v>61</v>
      </c>
      <c r="G66" s="73">
        <v>3806.7624000000001</v>
      </c>
      <c r="H66" s="74">
        <v>4229.7359999999999</v>
      </c>
      <c r="I66" s="74">
        <v>4229.7359999999999</v>
      </c>
    </row>
    <row r="67" spans="1:9" x14ac:dyDescent="0.25">
      <c r="A67" s="148" t="str">
        <f>Table1[[#This Row],[Column1]]&amp;"/"&amp;Table1[[#This Row],[Column5]]</f>
        <v>Admin expenses - Payroll-Employee 41/Employee 41</v>
      </c>
      <c r="B67" s="71" t="str">
        <f>"Admin expenses - Payroll"&amp;"-"&amp;Table1[[#This Row],[Column5]]</f>
        <v>Admin expenses - Payroll-Employee 41</v>
      </c>
      <c r="C67" s="72" t="s">
        <v>10</v>
      </c>
      <c r="D67" s="72" t="s">
        <v>14</v>
      </c>
      <c r="E67" s="72" t="s">
        <v>5</v>
      </c>
      <c r="F67" s="72" t="s">
        <v>51</v>
      </c>
      <c r="G67" s="73">
        <v>1936.6735499999998</v>
      </c>
      <c r="H67" s="74">
        <v>2151.8594999999996</v>
      </c>
      <c r="I67" s="74">
        <v>2151.8594999999996</v>
      </c>
    </row>
    <row r="68" spans="1:9" x14ac:dyDescent="0.25">
      <c r="A68" s="148" t="str">
        <f>Table1[[#This Row],[Column1]]&amp;"/"&amp;Table1[[#This Row],[Column5]]</f>
        <v>Admin expenses - Payroll-Employee 39/Employee 39</v>
      </c>
      <c r="B68" s="71" t="str">
        <f>"Admin expenses - Payroll"&amp;"-"&amp;Table1[[#This Row],[Column5]]</f>
        <v>Admin expenses - Payroll-Employee 39</v>
      </c>
      <c r="C68" s="72" t="s">
        <v>10</v>
      </c>
      <c r="D68" s="72" t="s">
        <v>14</v>
      </c>
      <c r="E68" s="72" t="s">
        <v>5</v>
      </c>
      <c r="F68" s="72" t="s">
        <v>49</v>
      </c>
      <c r="G68" s="73">
        <v>1886.5183500000001</v>
      </c>
      <c r="H68" s="74">
        <v>2096.1315</v>
      </c>
      <c r="I68" s="74">
        <v>2911.8049999999994</v>
      </c>
    </row>
    <row r="69" spans="1:9" x14ac:dyDescent="0.25">
      <c r="A69" s="148" t="str">
        <f>Table1[[#This Row],[Column1]]&amp;"/"&amp;Table1[[#This Row],[Column5]]</f>
        <v>Admin expenses - Payroll-Employee 36/Employee 36</v>
      </c>
      <c r="B69" s="71" t="str">
        <f>"Admin expenses - Payroll"&amp;"-"&amp;Table1[[#This Row],[Column5]]</f>
        <v>Admin expenses - Payroll-Employee 36</v>
      </c>
      <c r="C69" s="72" t="s">
        <v>107</v>
      </c>
      <c r="D69" s="72" t="s">
        <v>14</v>
      </c>
      <c r="E69" s="72" t="s">
        <v>5</v>
      </c>
      <c r="F69" s="72" t="s">
        <v>46</v>
      </c>
      <c r="G69" s="73">
        <v>2613.35115</v>
      </c>
      <c r="H69" s="74">
        <v>2903.7235000000001</v>
      </c>
      <c r="I69" s="74">
        <v>3100</v>
      </c>
    </row>
    <row r="70" spans="1:9" x14ac:dyDescent="0.25">
      <c r="A70" s="148" t="str">
        <f>Table1[[#This Row],[Column1]]&amp;"/"&amp;Table1[[#This Row],[Column5]]</f>
        <v>Admin expenses - Payroll-Employee 139/Employee 139</v>
      </c>
      <c r="B70" s="71" t="str">
        <f>"Admin expenses - Payroll"&amp;"-"&amp;Table1[[#This Row],[Column5]]</f>
        <v>Admin expenses - Payroll-Employee 139</v>
      </c>
      <c r="C70" s="72" t="s">
        <v>11</v>
      </c>
      <c r="D70" s="71" t="s">
        <v>13</v>
      </c>
      <c r="E70" s="72" t="s">
        <v>5</v>
      </c>
      <c r="F70" s="72" t="s">
        <v>103</v>
      </c>
      <c r="G70" s="73">
        <v>18022.824000000001</v>
      </c>
      <c r="H70" s="75">
        <v>20025.36</v>
      </c>
      <c r="I70" s="76">
        <v>20122.294999999998</v>
      </c>
    </row>
    <row r="71" spans="1:9" x14ac:dyDescent="0.25">
      <c r="A71" s="148" t="str">
        <f>Table1[[#This Row],[Column1]]&amp;"/"&amp;Table1[[#This Row],[Column5]]</f>
        <v>Admin expenses - Payroll-Employee 135/Employee 135</v>
      </c>
      <c r="B71" s="71" t="str">
        <f>"Admin expenses - Payroll"&amp;"-"&amp;Table1[[#This Row],[Column5]]</f>
        <v>Admin expenses - Payroll-Employee 135</v>
      </c>
      <c r="C71" s="72" t="s">
        <v>107</v>
      </c>
      <c r="D71" s="71" t="s">
        <v>13</v>
      </c>
      <c r="E71" s="72" t="s">
        <v>5</v>
      </c>
      <c r="F71" s="72" t="s">
        <v>99</v>
      </c>
      <c r="G71" s="73">
        <v>29987.743499999997</v>
      </c>
      <c r="H71" s="75">
        <v>33319.714999999997</v>
      </c>
      <c r="I71" s="76">
        <v>35953.15</v>
      </c>
    </row>
    <row r="72" spans="1:9" x14ac:dyDescent="0.25">
      <c r="A72" s="148" t="str">
        <f>Table1[[#This Row],[Column1]]&amp;"/"&amp;Table1[[#This Row],[Column5]]</f>
        <v>Admin expenses - Payroll-Employee 30/Employee 30</v>
      </c>
      <c r="B72" s="71" t="str">
        <f>"Admin expenses - Payroll"&amp;"-"&amp;Table1[[#This Row],[Column5]]</f>
        <v>Admin expenses - Payroll-Employee 30</v>
      </c>
      <c r="C72" s="72" t="s">
        <v>107</v>
      </c>
      <c r="D72" s="72" t="s">
        <v>15</v>
      </c>
      <c r="E72" s="72" t="s">
        <v>5</v>
      </c>
      <c r="F72" s="72" t="s">
        <v>41</v>
      </c>
      <c r="G72" s="73">
        <v>6098.0625</v>
      </c>
      <c r="H72" s="74">
        <v>6775.625</v>
      </c>
      <c r="I72" s="74">
        <v>7706.25</v>
      </c>
    </row>
    <row r="73" spans="1:9" x14ac:dyDescent="0.25">
      <c r="A73" s="148" t="str">
        <f>Table1[[#This Row],[Column1]]&amp;"/"&amp;Table1[[#This Row],[Column5]]</f>
        <v>Admin expenses - Payroll-Employee 29/Employee 29</v>
      </c>
      <c r="B73" s="71" t="str">
        <f>"Admin expenses - Payroll"&amp;"-"&amp;Table1[[#This Row],[Column5]]</f>
        <v>Admin expenses - Payroll-Employee 29</v>
      </c>
      <c r="C73" s="72" t="s">
        <v>9</v>
      </c>
      <c r="D73" s="72" t="s">
        <v>15</v>
      </c>
      <c r="E73" s="72" t="s">
        <v>5</v>
      </c>
      <c r="F73" s="72" t="s">
        <v>40</v>
      </c>
      <c r="G73" s="73">
        <v>6591.6371250000002</v>
      </c>
      <c r="H73" s="74">
        <v>7324.0412500000002</v>
      </c>
      <c r="I73" s="74">
        <v>8102.5812500000002</v>
      </c>
    </row>
    <row r="74" spans="1:9" x14ac:dyDescent="0.25">
      <c r="A74" s="148" t="str">
        <f>Table1[[#This Row],[Column1]]&amp;"/"&amp;Table1[[#This Row],[Column5]]</f>
        <v>Admin expenses - Payroll-Employee 5/Employee 5</v>
      </c>
      <c r="B74" s="71" t="str">
        <f>"Admin expenses - Payroll"&amp;"-"&amp;Table1[[#This Row],[Column5]]</f>
        <v>Admin expenses - Payroll-Employee 5</v>
      </c>
      <c r="C74" s="72" t="s">
        <v>10</v>
      </c>
      <c r="D74" s="72" t="s">
        <v>14</v>
      </c>
      <c r="E74" s="72" t="s">
        <v>6</v>
      </c>
      <c r="F74" s="72" t="s">
        <v>21</v>
      </c>
      <c r="G74" s="73">
        <v>920.50604999999996</v>
      </c>
      <c r="H74" s="74">
        <v>1022.7845</v>
      </c>
      <c r="I74" s="74">
        <v>1250.3915</v>
      </c>
    </row>
    <row r="75" spans="1:9" x14ac:dyDescent="0.25">
      <c r="A75" s="148" t="str">
        <f>Table1[[#This Row],[Column1]]&amp;"/"&amp;Table1[[#This Row],[Column5]]</f>
        <v>Admin expenses - Payroll-Employee 37/Employee 37</v>
      </c>
      <c r="B75" s="71" t="str">
        <f>"Admin expenses - Payroll"&amp;"-"&amp;Table1[[#This Row],[Column5]]</f>
        <v>Admin expenses - Payroll-Employee 37</v>
      </c>
      <c r="C75" s="72" t="s">
        <v>10</v>
      </c>
      <c r="D75" s="72" t="s">
        <v>14</v>
      </c>
      <c r="E75" s="72" t="s">
        <v>6</v>
      </c>
      <c r="F75" s="72" t="s">
        <v>47</v>
      </c>
      <c r="G75" s="73">
        <v>1494</v>
      </c>
      <c r="H75" s="74">
        <v>1660</v>
      </c>
      <c r="I75" s="74">
        <v>1660</v>
      </c>
    </row>
    <row r="76" spans="1:9" x14ac:dyDescent="0.25">
      <c r="A76" s="148" t="str">
        <f>Table1[[#This Row],[Column1]]&amp;"/"&amp;Table1[[#This Row],[Column5]]</f>
        <v>Admin expenses - Payroll-Employee 140/Employee 140</v>
      </c>
      <c r="B76" s="71" t="str">
        <f>"Admin expenses - Payroll"&amp;"-"&amp;Table1[[#This Row],[Column5]]</f>
        <v>Admin expenses - Payroll-Employee 140</v>
      </c>
      <c r="C76" s="72" t="s">
        <v>11</v>
      </c>
      <c r="D76" s="71" t="s">
        <v>13</v>
      </c>
      <c r="E76" s="72" t="s">
        <v>6</v>
      </c>
      <c r="F76" s="72" t="s">
        <v>104</v>
      </c>
      <c r="G76" s="73">
        <v>15751.107</v>
      </c>
      <c r="H76" s="75">
        <v>17501.23</v>
      </c>
      <c r="I76" s="76">
        <v>19591.314999999999</v>
      </c>
    </row>
    <row r="77" spans="1:9" x14ac:dyDescent="0.25">
      <c r="A77" s="148" t="str">
        <f>Table1[[#This Row],[Column1]]&amp;"/"&amp;Table1[[#This Row],[Column5]]</f>
        <v>Admin expenses - Payroll-Employee 133/Employee 133</v>
      </c>
      <c r="B77" s="71" t="str">
        <f>"Admin expenses - Payroll"&amp;"-"&amp;Table1[[#This Row],[Column5]]</f>
        <v>Admin expenses - Payroll-Employee 133</v>
      </c>
      <c r="C77" s="72" t="s">
        <v>11</v>
      </c>
      <c r="D77" s="71" t="s">
        <v>13</v>
      </c>
      <c r="E77" s="72" t="s">
        <v>6</v>
      </c>
      <c r="F77" s="72" t="s">
        <v>98</v>
      </c>
      <c r="G77" s="73">
        <v>15570</v>
      </c>
      <c r="H77" s="75">
        <v>17300</v>
      </c>
      <c r="I77" s="75">
        <v>17500</v>
      </c>
    </row>
    <row r="78" spans="1:9" x14ac:dyDescent="0.25">
      <c r="A78" s="148" t="str">
        <f>Table1[[#This Row],[Column1]]&amp;"/"&amp;Table1[[#This Row],[Column5]]</f>
        <v>Admin expenses - Payroll-Employee 122/Employee 122</v>
      </c>
      <c r="B78" s="71" t="str">
        <f>"Admin expenses - Payroll"&amp;"-"&amp;Table1[[#This Row],[Column5]]</f>
        <v>Admin expenses - Payroll-Employee 122</v>
      </c>
      <c r="C78" s="72" t="s">
        <v>11</v>
      </c>
      <c r="D78" s="71" t="s">
        <v>13</v>
      </c>
      <c r="E78" s="72" t="s">
        <v>6</v>
      </c>
      <c r="F78" s="72" t="s">
        <v>95</v>
      </c>
      <c r="G78" s="73">
        <v>9401.7690000000021</v>
      </c>
      <c r="H78" s="75">
        <v>10446.410000000002</v>
      </c>
      <c r="I78" s="75">
        <v>13466.865000000002</v>
      </c>
    </row>
    <row r="79" spans="1:9" x14ac:dyDescent="0.25">
      <c r="A79" s="148" t="str">
        <f>Table1[[#This Row],[Column1]]&amp;"/"&amp;Table1[[#This Row],[Column5]]</f>
        <v>Admin expenses - Payroll-Employee 120/Employee 120</v>
      </c>
      <c r="B79" s="71" t="str">
        <f>"Admin expenses - Payroll"&amp;"-"&amp;Table1[[#This Row],[Column5]]</f>
        <v>Admin expenses - Payroll-Employee 120</v>
      </c>
      <c r="C79" s="72" t="s">
        <v>11</v>
      </c>
      <c r="D79" s="71" t="s">
        <v>13</v>
      </c>
      <c r="E79" s="72" t="s">
        <v>6</v>
      </c>
      <c r="F79" s="72" t="s">
        <v>93</v>
      </c>
      <c r="G79" s="73">
        <v>17644.266000000003</v>
      </c>
      <c r="H79" s="75">
        <v>19604.740000000002</v>
      </c>
      <c r="I79" s="75">
        <v>23932.03</v>
      </c>
    </row>
    <row r="80" spans="1:9" x14ac:dyDescent="0.25">
      <c r="A80" s="148" t="str">
        <f>Table1[[#This Row],[Column1]]&amp;"/"&amp;Table1[[#This Row],[Column5]]</f>
        <v>Admin expenses - Payroll-Employee 119/Employee 119</v>
      </c>
      <c r="B80" s="71" t="str">
        <f>"Admin expenses - Payroll"&amp;"-"&amp;Table1[[#This Row],[Column5]]</f>
        <v>Admin expenses - Payroll-Employee 119</v>
      </c>
      <c r="C80" s="72" t="s">
        <v>11</v>
      </c>
      <c r="D80" s="71" t="s">
        <v>13</v>
      </c>
      <c r="E80" s="72" t="s">
        <v>6</v>
      </c>
      <c r="F80" s="72" t="s">
        <v>92</v>
      </c>
      <c r="G80" s="73">
        <v>16312.5</v>
      </c>
      <c r="H80" s="75">
        <v>18125</v>
      </c>
      <c r="I80" s="75">
        <v>18470</v>
      </c>
    </row>
    <row r="81" spans="1:9" x14ac:dyDescent="0.25">
      <c r="A81" s="148" t="str">
        <f>Table1[[#This Row],[Column1]]&amp;"/"&amp;Table1[[#This Row],[Column5]]</f>
        <v>Admin expenses - Payroll-Employee 87/Employee 87</v>
      </c>
      <c r="B81" s="71" t="str">
        <f>"Admin expenses - Payroll"&amp;"-"&amp;Table1[[#This Row],[Column5]]</f>
        <v>Admin expenses - Payroll-Employee 87</v>
      </c>
      <c r="C81" s="72" t="s">
        <v>10</v>
      </c>
      <c r="D81" s="72" t="s">
        <v>16</v>
      </c>
      <c r="E81" s="72" t="s">
        <v>6</v>
      </c>
      <c r="F81" s="72" t="s">
        <v>83</v>
      </c>
      <c r="G81" s="73">
        <v>2125.7730000000001</v>
      </c>
      <c r="H81" s="74">
        <v>2361.9700000000003</v>
      </c>
      <c r="I81" s="74">
        <v>2361.9700000000003</v>
      </c>
    </row>
    <row r="82" spans="1:9" x14ac:dyDescent="0.25">
      <c r="A82" s="148" t="str">
        <f>Table1[[#This Row],[Column1]]&amp;"/"&amp;Table1[[#This Row],[Column5]]</f>
        <v>Admin expenses - Payroll-Employee 74/Employee 74</v>
      </c>
      <c r="B82" s="71" t="str">
        <f>"Admin expenses - Payroll"&amp;"-"&amp;Table1[[#This Row],[Column5]]</f>
        <v>Admin expenses - Payroll-Employee 74</v>
      </c>
      <c r="C82" s="72" t="s">
        <v>10</v>
      </c>
      <c r="D82" s="72" t="s">
        <v>16</v>
      </c>
      <c r="E82" s="72" t="s">
        <v>6</v>
      </c>
      <c r="F82" s="72" t="s">
        <v>78</v>
      </c>
      <c r="G82" s="73">
        <v>2382.1514999999999</v>
      </c>
      <c r="H82" s="74">
        <v>2646.835</v>
      </c>
      <c r="I82" s="74">
        <v>3481.2</v>
      </c>
    </row>
    <row r="83" spans="1:9" x14ac:dyDescent="0.25">
      <c r="A83" s="148" t="str">
        <f>Table1[[#This Row],[Column1]]&amp;"/"&amp;Table1[[#This Row],[Column5]]</f>
        <v>Admin expenses - Payroll-Employee 67/Employee 67</v>
      </c>
      <c r="B83" s="71" t="str">
        <f>"Admin expenses - Payroll"&amp;"-"&amp;Table1[[#This Row],[Column5]]</f>
        <v>Admin expenses - Payroll-Employee 67</v>
      </c>
      <c r="C83" s="72" t="s">
        <v>107</v>
      </c>
      <c r="D83" s="72" t="s">
        <v>16</v>
      </c>
      <c r="E83" s="72" t="s">
        <v>6</v>
      </c>
      <c r="F83" s="72" t="s">
        <v>71</v>
      </c>
      <c r="G83" s="73">
        <v>4192.5566250000002</v>
      </c>
      <c r="H83" s="74">
        <v>4658.3962499999998</v>
      </c>
      <c r="I83" s="74">
        <v>4705.40625</v>
      </c>
    </row>
    <row r="84" spans="1:9" x14ac:dyDescent="0.25">
      <c r="A84" s="148" t="str">
        <f>Table1[[#This Row],[Column1]]&amp;"/"&amp;Table1[[#This Row],[Column5]]</f>
        <v>Admin expenses - Payroll-Employee 64/Employee 64</v>
      </c>
      <c r="B84" s="71" t="str">
        <f>"Admin expenses - Payroll"&amp;"-"&amp;Table1[[#This Row],[Column5]]</f>
        <v>Admin expenses - Payroll-Employee 64</v>
      </c>
      <c r="C84" s="72" t="s">
        <v>9</v>
      </c>
      <c r="D84" s="72" t="s">
        <v>16</v>
      </c>
      <c r="E84" s="72" t="s">
        <v>6</v>
      </c>
      <c r="F84" s="72" t="s">
        <v>68</v>
      </c>
      <c r="G84" s="73">
        <v>4264.8547500000013</v>
      </c>
      <c r="H84" s="74">
        <v>4738.7275000000009</v>
      </c>
      <c r="I84" s="74">
        <v>4738.7275000000009</v>
      </c>
    </row>
    <row r="85" spans="1:9" x14ac:dyDescent="0.25">
      <c r="A85" s="148" t="str">
        <f>Table1[[#This Row],[Column1]]&amp;"/"&amp;Table1[[#This Row],[Column5]]</f>
        <v>Admin expenses - Payroll-Employee 33/Employee 33</v>
      </c>
      <c r="B85" s="71" t="str">
        <f>"Admin expenses - Payroll"&amp;"-"&amp;Table1[[#This Row],[Column5]]</f>
        <v>Admin expenses - Payroll-Employee 33</v>
      </c>
      <c r="C85" s="72" t="s">
        <v>10</v>
      </c>
      <c r="D85" s="72" t="s">
        <v>15</v>
      </c>
      <c r="E85" s="72" t="s">
        <v>6</v>
      </c>
      <c r="F85" s="72" t="s">
        <v>44</v>
      </c>
      <c r="G85" s="73">
        <v>2784.9375</v>
      </c>
      <c r="H85" s="74">
        <v>3094.375</v>
      </c>
      <c r="I85" s="74">
        <v>3779.0625</v>
      </c>
    </row>
    <row r="86" spans="1:9" x14ac:dyDescent="0.25">
      <c r="A86" s="148" t="str">
        <f>Table1[[#This Row],[Column1]]&amp;"/"&amp;Table1[[#This Row],[Column5]]</f>
        <v>Admin expenses - Payroll-Employee 28/Employee 28</v>
      </c>
      <c r="B86" s="71" t="str">
        <f>"Admin expenses - Payroll"&amp;"-"&amp;Table1[[#This Row],[Column5]]</f>
        <v>Admin expenses - Payroll-Employee 28</v>
      </c>
      <c r="C86" s="72" t="s">
        <v>10</v>
      </c>
      <c r="D86" s="72" t="s">
        <v>15</v>
      </c>
      <c r="E86" s="72" t="s">
        <v>6</v>
      </c>
      <c r="F86" s="72" t="s">
        <v>39</v>
      </c>
      <c r="G86" s="73">
        <v>5062.8060000000005</v>
      </c>
      <c r="H86" s="74">
        <v>5625.34</v>
      </c>
      <c r="I86" s="74">
        <f>H86</f>
        <v>5625.34</v>
      </c>
    </row>
    <row r="87" spans="1:9" x14ac:dyDescent="0.25">
      <c r="A87" s="148" t="str">
        <f>Table1[[#This Row],[Column1]]&amp;"/"&amp;Table1[[#This Row],[Column5]]</f>
        <v>Admin expenses - Payroll-Employee 24/Employee 24</v>
      </c>
      <c r="B87" s="71" t="str">
        <f>"Admin expenses - Payroll"&amp;"-"&amp;Table1[[#This Row],[Column5]]</f>
        <v>Admin expenses - Payroll-Employee 24</v>
      </c>
      <c r="C87" s="72" t="s">
        <v>10</v>
      </c>
      <c r="D87" s="72" t="s">
        <v>15</v>
      </c>
      <c r="E87" s="72" t="s">
        <v>6</v>
      </c>
      <c r="F87" s="72" t="s">
        <v>36</v>
      </c>
      <c r="G87" s="73">
        <v>2248.5431250000001</v>
      </c>
      <c r="H87" s="74">
        <v>2498.3812499999999</v>
      </c>
      <c r="I87" s="74">
        <v>2697.9012499999999</v>
      </c>
    </row>
    <row r="88" spans="1:9" x14ac:dyDescent="0.25">
      <c r="A88" s="148" t="str">
        <f>Table1[[#This Row],[Column1]]&amp;"/"&amp;Table1[[#This Row],[Column5]]</f>
        <v>Admin expenses - Payroll-Employee 22/Employee 22</v>
      </c>
      <c r="B88" s="71" t="str">
        <f>"Admin expenses - Payroll"&amp;"-"&amp;Table1[[#This Row],[Column5]]</f>
        <v>Admin expenses - Payroll-Employee 22</v>
      </c>
      <c r="C88" s="72" t="s">
        <v>10</v>
      </c>
      <c r="D88" s="72" t="s">
        <v>15</v>
      </c>
      <c r="E88" s="72" t="s">
        <v>6</v>
      </c>
      <c r="F88" s="72" t="s">
        <v>35</v>
      </c>
      <c r="G88" s="73">
        <v>2293.05375</v>
      </c>
      <c r="H88" s="74">
        <v>2547.8375000000001</v>
      </c>
      <c r="I88" s="74">
        <v>3627.0400000000004</v>
      </c>
    </row>
    <row r="89" spans="1:9" x14ac:dyDescent="0.25">
      <c r="A89" s="148" t="str">
        <f>Table1[[#This Row],[Column1]]&amp;"/"&amp;Table1[[#This Row],[Column5]]</f>
        <v>Admin expenses - Payroll-Employee 20/Employee 20</v>
      </c>
      <c r="B89" s="71" t="str">
        <f>"Admin expenses - Payroll"&amp;"-"&amp;Table1[[#This Row],[Column5]]</f>
        <v>Admin expenses - Payroll-Employee 20</v>
      </c>
      <c r="C89" s="72" t="s">
        <v>10</v>
      </c>
      <c r="D89" s="72" t="s">
        <v>15</v>
      </c>
      <c r="E89" s="72" t="s">
        <v>6</v>
      </c>
      <c r="F89" s="72" t="s">
        <v>33</v>
      </c>
      <c r="G89" s="73">
        <v>2366.866125</v>
      </c>
      <c r="H89" s="74">
        <v>2629.8512499999997</v>
      </c>
      <c r="I89" s="74">
        <v>3681.6062499999998</v>
      </c>
    </row>
    <row r="90" spans="1:9" x14ac:dyDescent="0.25">
      <c r="A90" s="148" t="str">
        <f>Table1[[#This Row],[Column1]]&amp;"/"&amp;Table1[[#This Row],[Column5]]</f>
        <v>Admin expenses - Payroll-Employee 16/Employee 16</v>
      </c>
      <c r="B90" s="71" t="str">
        <f>"Admin expenses - Payroll"&amp;"-"&amp;Table1[[#This Row],[Column5]]</f>
        <v>Admin expenses - Payroll-Employee 16</v>
      </c>
      <c r="C90" s="72" t="s">
        <v>10</v>
      </c>
      <c r="D90" s="72" t="s">
        <v>15</v>
      </c>
      <c r="E90" s="72" t="s">
        <v>6</v>
      </c>
      <c r="F90" s="72" t="s">
        <v>32</v>
      </c>
      <c r="G90" s="73">
        <v>4923.5467500000004</v>
      </c>
      <c r="H90" s="74">
        <v>5470.6075000000001</v>
      </c>
      <c r="I90" s="74">
        <f>H90</f>
        <v>5470.6075000000001</v>
      </c>
    </row>
    <row r="91" spans="1:9" x14ac:dyDescent="0.25">
      <c r="A91" s="148" t="str">
        <f>Table1[[#This Row],[Column1]]&amp;"/"&amp;Table1[[#This Row],[Column5]]</f>
        <v>Admin expenses - Payroll-Employee 15/Employee 15</v>
      </c>
      <c r="B91" s="71" t="str">
        <f>"Admin expenses - Payroll"&amp;"-"&amp;Table1[[#This Row],[Column5]]</f>
        <v>Admin expenses - Payroll-Employee 15</v>
      </c>
      <c r="C91" s="72" t="s">
        <v>10</v>
      </c>
      <c r="D91" s="72" t="s">
        <v>15</v>
      </c>
      <c r="E91" s="72" t="s">
        <v>6</v>
      </c>
      <c r="F91" s="72" t="s">
        <v>31</v>
      </c>
      <c r="G91" s="73">
        <v>2605.5123750000002</v>
      </c>
      <c r="H91" s="74">
        <v>2895.0137500000001</v>
      </c>
      <c r="I91" s="74">
        <v>3289.2075</v>
      </c>
    </row>
    <row r="92" spans="1:9" x14ac:dyDescent="0.25">
      <c r="A92" s="148" t="str">
        <f>Table1[[#This Row],[Column1]]&amp;"/"&amp;Table1[[#This Row],[Column5]]</f>
        <v>Admin expenses - Payroll-Employee 14/Employee 14</v>
      </c>
      <c r="B92" s="71" t="str">
        <f>"Admin expenses - Payroll"&amp;"-"&amp;Table1[[#This Row],[Column5]]</f>
        <v>Admin expenses - Payroll-Employee 14</v>
      </c>
      <c r="C92" s="72" t="s">
        <v>10</v>
      </c>
      <c r="D92" s="72" t="s">
        <v>15</v>
      </c>
      <c r="E92" s="72" t="s">
        <v>6</v>
      </c>
      <c r="F92" s="72" t="s">
        <v>30</v>
      </c>
      <c r="G92" s="73">
        <v>3177.723375</v>
      </c>
      <c r="H92" s="74">
        <v>3530.80375</v>
      </c>
      <c r="I92" s="74">
        <v>3604.2687499999997</v>
      </c>
    </row>
    <row r="93" spans="1:9" x14ac:dyDescent="0.25">
      <c r="A93" s="148" t="str">
        <f>Table1[[#This Row],[Column1]]&amp;"/"&amp;Table1[[#This Row],[Column5]]</f>
        <v>Admin expenses - Payroll-Employee 13/Employee 13</v>
      </c>
      <c r="B93" s="71" t="str">
        <f>"Admin expenses - Payroll"&amp;"-"&amp;Table1[[#This Row],[Column5]]</f>
        <v>Admin expenses - Payroll-Employee 13</v>
      </c>
      <c r="C93" s="72" t="s">
        <v>10</v>
      </c>
      <c r="D93" s="72" t="s">
        <v>15</v>
      </c>
      <c r="E93" s="72" t="s">
        <v>6</v>
      </c>
      <c r="F93" s="72" t="s">
        <v>29</v>
      </c>
      <c r="G93" s="73">
        <v>3193.7973750000001</v>
      </c>
      <c r="H93" s="74">
        <v>3548.6637500000002</v>
      </c>
      <c r="I93" s="74">
        <v>3666.7562499999999</v>
      </c>
    </row>
  </sheetData>
  <phoneticPr fontId="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CBDC7-BCB0-4140-828B-02DD117FC7E0}">
  <sheetPr>
    <tabColor theme="9"/>
  </sheetPr>
  <dimension ref="B1"/>
  <sheetViews>
    <sheetView workbookViewId="0">
      <selection activeCell="H24" sqref="H24"/>
    </sheetView>
  </sheetViews>
  <sheetFormatPr defaultRowHeight="12" x14ac:dyDescent="0.2"/>
  <cols>
    <col min="1" max="1" width="2" style="43" customWidth="1"/>
    <col min="2" max="16384" width="9.140625" style="43"/>
  </cols>
  <sheetData>
    <row r="1" spans="2:2" ht="15.75" x14ac:dyDescent="0.25">
      <c r="B1" s="44"/>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11B7-ECA7-47B3-BC4A-03A8FDBFBD8F}">
  <sheetPr>
    <tabColor theme="9"/>
  </sheetPr>
  <dimension ref="B1:E17"/>
  <sheetViews>
    <sheetView showGridLines="0" zoomScaleNormal="100" workbookViewId="0">
      <selection activeCell="G5" sqref="G5:G75"/>
    </sheetView>
  </sheetViews>
  <sheetFormatPr defaultColWidth="8.85546875" defaultRowHeight="12" x14ac:dyDescent="0.2"/>
  <cols>
    <col min="1" max="1" width="3.28515625" style="1" customWidth="1"/>
    <col min="2" max="2" width="22.7109375" style="1" customWidth="1"/>
    <col min="3" max="3" width="12.7109375" style="1" bestFit="1" customWidth="1"/>
    <col min="4" max="4" width="12.42578125" style="1" customWidth="1"/>
    <col min="5" max="5" width="12" style="1" customWidth="1"/>
    <col min="6" max="16384" width="8.85546875" style="1"/>
  </cols>
  <sheetData>
    <row r="1" spans="2:5" ht="15.75" x14ac:dyDescent="0.25">
      <c r="B1" s="4" t="s">
        <v>129</v>
      </c>
    </row>
    <row r="2" spans="2:5" ht="15.75" x14ac:dyDescent="0.25">
      <c r="B2" s="4" t="s">
        <v>140</v>
      </c>
    </row>
    <row r="4" spans="2:5" ht="12.75" thickBot="1" x14ac:dyDescent="0.25">
      <c r="C4" s="2" t="s">
        <v>141</v>
      </c>
      <c r="D4" s="2"/>
      <c r="E4" s="2"/>
    </row>
    <row r="5" spans="2:5" ht="12.75" thickBot="1" x14ac:dyDescent="0.25">
      <c r="B5" s="5" t="s">
        <v>142</v>
      </c>
      <c r="C5" s="5" t="s">
        <v>2</v>
      </c>
      <c r="D5" s="5" t="s">
        <v>1</v>
      </c>
      <c r="E5" s="5" t="s">
        <v>0</v>
      </c>
    </row>
    <row r="6" spans="2:5" x14ac:dyDescent="0.2">
      <c r="B6" s="12" t="s">
        <v>5</v>
      </c>
      <c r="C6" s="13">
        <v>296080</v>
      </c>
      <c r="D6" s="13">
        <v>304962</v>
      </c>
      <c r="E6" s="13">
        <v>314111</v>
      </c>
    </row>
    <row r="7" spans="2:5" x14ac:dyDescent="0.2">
      <c r="B7" s="14" t="s">
        <v>143</v>
      </c>
      <c r="C7" s="15"/>
      <c r="D7" s="16">
        <f>D6/C6-1</f>
        <v>2.9998649013780021E-2</v>
      </c>
      <c r="E7" s="16">
        <f>E6/D6-1</f>
        <v>3.0000459073589392E-2</v>
      </c>
    </row>
    <row r="8" spans="2:5" x14ac:dyDescent="0.2">
      <c r="B8" s="12" t="s">
        <v>4</v>
      </c>
      <c r="C8" s="13">
        <v>381987</v>
      </c>
      <c r="D8" s="13">
        <v>420186</v>
      </c>
      <c r="E8" s="13">
        <v>462204</v>
      </c>
    </row>
    <row r="9" spans="2:5" x14ac:dyDescent="0.2">
      <c r="B9" s="14" t="s">
        <v>143</v>
      </c>
      <c r="C9" s="15"/>
      <c r="D9" s="16">
        <f>D8/C8-1</f>
        <v>0.10000078536704127</v>
      </c>
      <c r="E9" s="16">
        <f>E8/D8-1</f>
        <v>9.9998572060944424E-2</v>
      </c>
    </row>
    <row r="10" spans="2:5" x14ac:dyDescent="0.2">
      <c r="B10" s="12" t="s">
        <v>6</v>
      </c>
      <c r="C10" s="13">
        <v>268286</v>
      </c>
      <c r="D10" s="13">
        <v>326014</v>
      </c>
      <c r="E10" s="13">
        <v>422280</v>
      </c>
    </row>
    <row r="11" spans="2:5" x14ac:dyDescent="0.2">
      <c r="B11" s="14" t="s">
        <v>143</v>
      </c>
      <c r="C11" s="15"/>
      <c r="D11" s="16">
        <f>D10/C10-1</f>
        <v>0.21517335977277985</v>
      </c>
      <c r="E11" s="16">
        <f>E10/D10-1</f>
        <v>0.29528179771420859</v>
      </c>
    </row>
    <row r="12" spans="2:5" x14ac:dyDescent="0.2">
      <c r="B12" s="12" t="s">
        <v>8</v>
      </c>
      <c r="C12" s="13">
        <v>358100</v>
      </c>
      <c r="D12" s="13">
        <v>287941</v>
      </c>
      <c r="E12" s="13">
        <v>208910</v>
      </c>
    </row>
    <row r="13" spans="2:5" x14ac:dyDescent="0.2">
      <c r="B13" s="14" t="s">
        <v>143</v>
      </c>
      <c r="C13" s="17"/>
      <c r="D13" s="16">
        <f>D12/C12-1</f>
        <v>-0.19592013404077069</v>
      </c>
      <c r="E13" s="16">
        <f>E12/D12-1</f>
        <v>-0.27446942255531515</v>
      </c>
    </row>
    <row r="14" spans="2:5" x14ac:dyDescent="0.2">
      <c r="B14" s="12" t="s">
        <v>7</v>
      </c>
      <c r="C14" s="13">
        <v>400107</v>
      </c>
      <c r="D14" s="13">
        <v>509107</v>
      </c>
      <c r="E14" s="13">
        <v>596445</v>
      </c>
    </row>
    <row r="15" spans="2:5" x14ac:dyDescent="0.2">
      <c r="B15" s="14" t="s">
        <v>143</v>
      </c>
      <c r="C15" s="18"/>
      <c r="D15" s="16">
        <f>D14/C14-1</f>
        <v>0.27242712574386352</v>
      </c>
      <c r="E15" s="16">
        <f>E14/D14-1</f>
        <v>0.17155136346583322</v>
      </c>
    </row>
    <row r="16" spans="2:5" s="12" customFormat="1" x14ac:dyDescent="0.2">
      <c r="B16" s="19" t="s">
        <v>144</v>
      </c>
      <c r="C16" s="20">
        <f>C6+C8+C10+C12+C14</f>
        <v>1704560</v>
      </c>
      <c r="D16" s="20">
        <f>D6+D8+D10+D12+D14</f>
        <v>1848210</v>
      </c>
      <c r="E16" s="20">
        <f>E6+E8+E10+E12+E14</f>
        <v>2003950</v>
      </c>
    </row>
    <row r="17" spans="2:5" x14ac:dyDescent="0.2">
      <c r="B17" s="42" t="s">
        <v>162</v>
      </c>
      <c r="C17" s="41">
        <f>C16-'COGS Breakdown'!D8</f>
        <v>0</v>
      </c>
      <c r="D17" s="41">
        <f>D16-'COGS Breakdown'!E8</f>
        <v>0</v>
      </c>
      <c r="E17" s="41">
        <f>E16-'COGS Breakdown'!F8</f>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04D94-5059-4EAC-8A43-7791A1B7937D}">
  <sheetPr>
    <tabColor theme="9"/>
  </sheetPr>
  <dimension ref="B1:U14"/>
  <sheetViews>
    <sheetView showGridLines="0" zoomScaleNormal="100" workbookViewId="0">
      <selection activeCell="O13" sqref="O13"/>
    </sheetView>
  </sheetViews>
  <sheetFormatPr defaultColWidth="8.85546875" defaultRowHeight="12" x14ac:dyDescent="0.2"/>
  <cols>
    <col min="1" max="1" width="3.140625" style="1" customWidth="1"/>
    <col min="2" max="2" width="23" style="1" customWidth="1"/>
    <col min="3" max="3" width="8.85546875" style="1"/>
    <col min="4" max="4" width="12.42578125" style="1" customWidth="1"/>
    <col min="5" max="5" width="14.28515625" style="1" customWidth="1"/>
    <col min="6" max="6" width="14" style="1" customWidth="1"/>
    <col min="7" max="7" width="8.85546875" style="1"/>
    <col min="8" max="8" width="23.7109375" style="1" hidden="1" customWidth="1"/>
    <col min="9" max="9" width="13" style="1" hidden="1" customWidth="1"/>
    <col min="10" max="10" width="5.42578125" style="1" hidden="1" customWidth="1"/>
    <col min="11" max="11" width="16.140625" style="1" hidden="1" customWidth="1"/>
    <col min="12" max="12" width="2.7109375" style="1" hidden="1" customWidth="1"/>
    <col min="13" max="13" width="3.28515625" style="1" hidden="1" customWidth="1"/>
    <col min="14" max="14" width="8.85546875" style="1" hidden="1" customWidth="1"/>
    <col min="15" max="17" width="8.85546875" style="1"/>
    <col min="18" max="20" width="11.5703125" style="1" bestFit="1" customWidth="1"/>
    <col min="21" max="16384" width="8.85546875" style="1"/>
  </cols>
  <sheetData>
    <row r="1" spans="2:21" ht="15.75" x14ac:dyDescent="0.25">
      <c r="B1" s="4" t="s">
        <v>129</v>
      </c>
    </row>
    <row r="2" spans="2:21" ht="15.75" x14ac:dyDescent="0.25">
      <c r="B2" s="4" t="s">
        <v>161</v>
      </c>
    </row>
    <row r="5" spans="2:21" ht="12.75" thickBot="1" x14ac:dyDescent="0.25">
      <c r="B5" s="32"/>
      <c r="D5" s="2" t="s">
        <v>141</v>
      </c>
      <c r="E5" s="2"/>
      <c r="F5" s="2"/>
    </row>
    <row r="6" spans="2:21" ht="12.75" thickBot="1" x14ac:dyDescent="0.25">
      <c r="B6" s="38" t="s">
        <v>160</v>
      </c>
      <c r="C6" s="2"/>
      <c r="D6" s="2" t="s">
        <v>2</v>
      </c>
      <c r="E6" s="2" t="s">
        <v>1</v>
      </c>
      <c r="F6" s="2" t="s">
        <v>0</v>
      </c>
    </row>
    <row r="7" spans="2:21" x14ac:dyDescent="0.2">
      <c r="B7" s="36"/>
      <c r="C7" s="32"/>
      <c r="E7" s="37"/>
      <c r="F7" s="37"/>
      <c r="H7" s="142" t="s">
        <v>155</v>
      </c>
      <c r="I7" s="31" t="s">
        <v>159</v>
      </c>
    </row>
    <row r="8" spans="2:21" x14ac:dyDescent="0.2">
      <c r="B8" s="36" t="s">
        <v>158</v>
      </c>
      <c r="C8" s="35"/>
      <c r="D8" s="3">
        <v>1704560</v>
      </c>
      <c r="E8" s="34">
        <v>1848210</v>
      </c>
      <c r="F8" s="34">
        <v>2003950</v>
      </c>
      <c r="H8" s="142"/>
      <c r="I8" s="29" t="s">
        <v>150</v>
      </c>
      <c r="R8" s="3"/>
      <c r="S8" s="3"/>
      <c r="T8" s="3"/>
      <c r="U8" s="3"/>
    </row>
    <row r="9" spans="2:21" x14ac:dyDescent="0.2">
      <c r="B9" s="14" t="s">
        <v>157</v>
      </c>
      <c r="C9" s="24"/>
      <c r="D9" s="24"/>
      <c r="E9" s="30">
        <f>E8/D8-1</f>
        <v>8.4273947528981097E-2</v>
      </c>
      <c r="F9" s="30">
        <f>F8/E8-1</f>
        <v>8.4265316170781368E-2</v>
      </c>
      <c r="R9" s="3"/>
      <c r="S9" s="3"/>
      <c r="T9" s="3"/>
      <c r="U9" s="3"/>
    </row>
    <row r="10" spans="2:21" x14ac:dyDescent="0.2">
      <c r="B10" s="1" t="s">
        <v>109</v>
      </c>
      <c r="C10" s="24"/>
      <c r="D10" s="3">
        <v>-403947.95400000009</v>
      </c>
      <c r="E10" s="3">
        <v>-448831.05999999994</v>
      </c>
      <c r="F10" s="3">
        <v>-518187.26000000007</v>
      </c>
      <c r="R10" s="21"/>
      <c r="S10" s="21"/>
      <c r="T10" s="21"/>
      <c r="U10" s="3"/>
    </row>
    <row r="11" spans="2:21" x14ac:dyDescent="0.2">
      <c r="B11" s="1" t="s">
        <v>156</v>
      </c>
      <c r="D11" s="33">
        <v>-874439</v>
      </c>
      <c r="E11" s="33">
        <v>-937318.94000000006</v>
      </c>
      <c r="F11" s="33">
        <v>-984722.74</v>
      </c>
      <c r="H11" s="142" t="s">
        <v>155</v>
      </c>
      <c r="I11" s="31" t="s">
        <v>154</v>
      </c>
      <c r="K11" s="143" t="s">
        <v>153</v>
      </c>
      <c r="L11" s="144" t="s">
        <v>146</v>
      </c>
      <c r="M11" s="144" t="s">
        <v>152</v>
      </c>
      <c r="N11" s="31" t="s">
        <v>145</v>
      </c>
      <c r="R11" s="21"/>
      <c r="S11" s="21"/>
      <c r="T11" s="21"/>
      <c r="U11" s="3"/>
    </row>
    <row r="12" spans="2:21" ht="11.45" customHeight="1" x14ac:dyDescent="0.2">
      <c r="B12" s="14" t="s">
        <v>151</v>
      </c>
      <c r="C12" s="24"/>
      <c r="D12" s="24"/>
      <c r="E12" s="30">
        <f>SUM(E10:E11)/SUM(D10:D11)-1</f>
        <v>8.4296108985480123E-2</v>
      </c>
      <c r="F12" s="30">
        <f>SUM(F10:F11)/SUM(E10:E11)-1</f>
        <v>8.4233308083540681E-2</v>
      </c>
      <c r="H12" s="142"/>
      <c r="I12" s="29" t="s">
        <v>150</v>
      </c>
      <c r="K12" s="142"/>
      <c r="L12" s="144"/>
      <c r="M12" s="144"/>
      <c r="N12" s="29" t="s">
        <v>150</v>
      </c>
      <c r="R12" s="21"/>
      <c r="S12" s="21"/>
      <c r="T12" s="21"/>
      <c r="U12" s="3"/>
    </row>
    <row r="13" spans="2:21" s="12" customFormat="1" ht="12.75" thickBot="1" x14ac:dyDescent="0.25">
      <c r="B13" s="28" t="s">
        <v>149</v>
      </c>
      <c r="C13" s="28"/>
      <c r="D13" s="27">
        <f>D8+SUM(D10:D11)</f>
        <v>426173.04599999986</v>
      </c>
      <c r="E13" s="27">
        <f>E8+SUM(E10:E11)</f>
        <v>462060</v>
      </c>
      <c r="F13" s="27">
        <f>F8+SUM(F10:F11)</f>
        <v>501040</v>
      </c>
      <c r="R13" s="26"/>
      <c r="S13" s="26"/>
      <c r="T13" s="26"/>
      <c r="U13" s="25"/>
    </row>
    <row r="14" spans="2:21" ht="14.45" customHeight="1" x14ac:dyDescent="0.2">
      <c r="B14" s="14" t="s">
        <v>148</v>
      </c>
      <c r="C14" s="24"/>
      <c r="D14" s="24"/>
      <c r="E14" s="23">
        <f>E13/D13-1</f>
        <v>8.4207470033194287E-2</v>
      </c>
      <c r="F14" s="23">
        <f>F13/E13-1</f>
        <v>8.4361338354326243E-2</v>
      </c>
      <c r="K14" s="39" t="s">
        <v>147</v>
      </c>
      <c r="L14" s="40" t="s">
        <v>146</v>
      </c>
      <c r="M14" s="140" t="s">
        <v>145</v>
      </c>
      <c r="N14" s="141"/>
      <c r="O14" s="22"/>
      <c r="R14" s="21"/>
      <c r="S14" s="21"/>
      <c r="T14" s="21"/>
      <c r="U14" s="3"/>
    </row>
  </sheetData>
  <mergeCells count="6">
    <mergeCell ref="M14:N14"/>
    <mergeCell ref="H7:H8"/>
    <mergeCell ref="H11:H12"/>
    <mergeCell ref="K11:K12"/>
    <mergeCell ref="M11:M12"/>
    <mergeCell ref="L11:L1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535F-9C8A-42CC-AE68-EA74E597C72D}">
  <sheetPr>
    <tabColor rgb="FF002060"/>
  </sheetPr>
  <dimension ref="B1:B10"/>
  <sheetViews>
    <sheetView workbookViewId="0">
      <selection activeCell="L19" sqref="L19"/>
    </sheetView>
  </sheetViews>
  <sheetFormatPr defaultRowHeight="12" x14ac:dyDescent="0.2"/>
  <cols>
    <col min="1" max="1" width="2" style="43" customWidth="1"/>
    <col min="2" max="2" width="35.28515625" style="43" bestFit="1" customWidth="1"/>
    <col min="3" max="16384" width="9.140625" style="43"/>
  </cols>
  <sheetData>
    <row r="1" spans="2:2" ht="15.75" x14ac:dyDescent="0.25">
      <c r="B1" s="44"/>
    </row>
    <row r="10" spans="2:2" ht="37.5" x14ac:dyDescent="0.5">
      <c r="B10" s="139" t="s">
        <v>187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DE2C-968B-4146-8721-71F46709DAF1}">
  <dimension ref="A3:I18"/>
  <sheetViews>
    <sheetView workbookViewId="0">
      <selection activeCell="M13" sqref="M13"/>
    </sheetView>
  </sheetViews>
  <sheetFormatPr defaultRowHeight="15" x14ac:dyDescent="0.25"/>
  <cols>
    <col min="1" max="1" width="25" style="146" bestFit="1" customWidth="1"/>
    <col min="2" max="2" width="13.28515625" style="146" bestFit="1" customWidth="1"/>
    <col min="3" max="9" width="7.28515625" style="146" bestFit="1" customWidth="1"/>
    <col min="10" max="10" width="12" style="146" bestFit="1" customWidth="1"/>
    <col min="11" max="16384" width="9.140625" style="146"/>
  </cols>
  <sheetData>
    <row r="3" spans="1:9" x14ac:dyDescent="0.25">
      <c r="A3"/>
      <c r="B3" s="174" t="s">
        <v>232</v>
      </c>
      <c r="C3" s="174" t="s">
        <v>233</v>
      </c>
      <c r="D3" s="174" t="s">
        <v>234</v>
      </c>
      <c r="E3" s="175" t="s">
        <v>235</v>
      </c>
      <c r="F3" s="176" t="s">
        <v>236</v>
      </c>
      <c r="G3" s="176" t="s">
        <v>237</v>
      </c>
      <c r="H3" s="176" t="s">
        <v>238</v>
      </c>
      <c r="I3" s="177" t="s">
        <v>239</v>
      </c>
    </row>
    <row r="4" spans="1:9" x14ac:dyDescent="0.25">
      <c r="A4" s="162" t="s">
        <v>7</v>
      </c>
      <c r="B4" s="161">
        <v>4824.9908357142858</v>
      </c>
      <c r="C4" s="161">
        <v>5361.100928571429</v>
      </c>
      <c r="D4" s="161">
        <v>6012.1128214285718</v>
      </c>
      <c r="E4" s="171">
        <v>6353.5748409523803</v>
      </c>
      <c r="F4" s="172">
        <v>6673.9989131523798</v>
      </c>
      <c r="G4" s="172">
        <v>6898.6246569355462</v>
      </c>
      <c r="H4" s="172">
        <v>7135.5991103460337</v>
      </c>
      <c r="I4" s="173">
        <v>7385.6179284358823</v>
      </c>
    </row>
    <row r="5" spans="1:9" x14ac:dyDescent="0.25">
      <c r="A5" s="166" t="s">
        <v>4</v>
      </c>
      <c r="B5" s="167">
        <v>10246.191121874997</v>
      </c>
      <c r="C5" s="167">
        <v>11384.656802083331</v>
      </c>
      <c r="D5" s="167">
        <v>13419.482041666668</v>
      </c>
      <c r="E5" s="168">
        <v>14433.695926250002</v>
      </c>
      <c r="F5" s="169">
        <v>13975.242755495237</v>
      </c>
      <c r="G5" s="169">
        <v>14888.475860992841</v>
      </c>
      <c r="H5" s="169">
        <v>15876.918714939067</v>
      </c>
      <c r="I5" s="170">
        <v>16947.263042180923</v>
      </c>
    </row>
    <row r="6" spans="1:9" x14ac:dyDescent="0.25">
      <c r="A6" s="162" t="s">
        <v>8</v>
      </c>
      <c r="B6" s="161">
        <v>3891.6064124999998</v>
      </c>
      <c r="C6" s="161">
        <v>4324.0071250000001</v>
      </c>
      <c r="D6" s="161">
        <v>4883.5962500000005</v>
      </c>
      <c r="E6" s="163"/>
      <c r="F6" s="164"/>
      <c r="G6" s="164"/>
      <c r="H6" s="164"/>
      <c r="I6" s="165"/>
    </row>
    <row r="7" spans="1:9" x14ac:dyDescent="0.25">
      <c r="A7" s="162" t="s">
        <v>5</v>
      </c>
      <c r="B7" s="161">
        <v>6612.8343562499986</v>
      </c>
      <c r="C7" s="161">
        <v>7347.593729166666</v>
      </c>
      <c r="D7" s="161">
        <v>7856.8716458333329</v>
      </c>
      <c r="E7" s="163">
        <v>8502.7204558333342</v>
      </c>
      <c r="F7" s="164">
        <v>8429.9300572742304</v>
      </c>
      <c r="G7" s="164">
        <v>8922.7394102760736</v>
      </c>
      <c r="H7" s="164">
        <v>9455.4248086983389</v>
      </c>
      <c r="I7" s="165">
        <v>10031.430398004502</v>
      </c>
    </row>
    <row r="8" spans="1:9" x14ac:dyDescent="0.25">
      <c r="A8" s="162" t="s">
        <v>6</v>
      </c>
      <c r="B8" s="161">
        <v>5935.8135149999998</v>
      </c>
      <c r="C8" s="161">
        <v>6595.3483500000002</v>
      </c>
      <c r="D8" s="161">
        <v>7329.9847624999993</v>
      </c>
      <c r="E8" s="163">
        <v>7749.780607749999</v>
      </c>
      <c r="F8" s="164">
        <v>7847.7209559644762</v>
      </c>
      <c r="G8" s="164">
        <v>8106.9532680104894</v>
      </c>
      <c r="H8" s="164">
        <v>8379.5572781512219</v>
      </c>
      <c r="I8" s="165">
        <v>8666.2302770658844</v>
      </c>
    </row>
    <row r="9" spans="1:9" x14ac:dyDescent="0.25">
      <c r="A9" s="182" t="s">
        <v>231</v>
      </c>
      <c r="B9" s="178">
        <v>6651.7185842696636</v>
      </c>
      <c r="C9" s="178">
        <v>7390.7984269662902</v>
      </c>
      <c r="D9" s="178">
        <v>8402.3286320224743</v>
      </c>
      <c r="E9" s="179">
        <v>9505.7823780301878</v>
      </c>
      <c r="F9" s="180">
        <v>9467.0912012793524</v>
      </c>
      <c r="G9" s="180">
        <v>9953.5097188048694</v>
      </c>
      <c r="H9" s="180">
        <v>10476.158487668888</v>
      </c>
      <c r="I9" s="181">
        <v>11038.007918095909</v>
      </c>
    </row>
    <row r="12" spans="1:9" x14ac:dyDescent="0.25">
      <c r="A12" s="159" t="s">
        <v>230</v>
      </c>
      <c r="B12" t="s">
        <v>222</v>
      </c>
      <c r="C12" t="s">
        <v>223</v>
      </c>
      <c r="D12" t="s">
        <v>224</v>
      </c>
      <c r="E12" t="s">
        <v>225</v>
      </c>
      <c r="F12" t="s">
        <v>226</v>
      </c>
      <c r="G12" t="s">
        <v>227</v>
      </c>
      <c r="H12" t="s">
        <v>228</v>
      </c>
      <c r="I12" t="s">
        <v>229</v>
      </c>
    </row>
    <row r="13" spans="1:9" x14ac:dyDescent="0.25">
      <c r="A13" s="160" t="s">
        <v>7</v>
      </c>
      <c r="B13" s="158">
        <v>101324.80755</v>
      </c>
      <c r="C13" s="158">
        <v>112583.1195</v>
      </c>
      <c r="D13" s="158">
        <v>126254.36925</v>
      </c>
      <c r="E13" s="158">
        <v>165192.94586476189</v>
      </c>
      <c r="F13" s="158">
        <v>173523.97174196187</v>
      </c>
      <c r="G13" s="158">
        <v>179364.24108032419</v>
      </c>
      <c r="H13" s="158">
        <v>185525.57686899687</v>
      </c>
      <c r="I13" s="158">
        <v>192026.06613933295</v>
      </c>
    </row>
    <row r="14" spans="1:9" x14ac:dyDescent="0.25">
      <c r="A14" s="160" t="s">
        <v>4</v>
      </c>
      <c r="B14" s="158">
        <v>245908.58692499995</v>
      </c>
      <c r="C14" s="158">
        <v>273231.76324999996</v>
      </c>
      <c r="D14" s="158">
        <v>322067.56900000002</v>
      </c>
      <c r="E14" s="158">
        <v>418577.18186125008</v>
      </c>
      <c r="F14" s="158">
        <v>405282.03990936186</v>
      </c>
      <c r="G14" s="158">
        <v>431765.79996879242</v>
      </c>
      <c r="H14" s="158">
        <v>460430.64273323293</v>
      </c>
      <c r="I14" s="158">
        <v>491470.62822324672</v>
      </c>
    </row>
    <row r="15" spans="1:9" x14ac:dyDescent="0.25">
      <c r="A15" s="160" t="s">
        <v>8</v>
      </c>
      <c r="B15" s="158">
        <v>46699.276949999999</v>
      </c>
      <c r="C15" s="158">
        <v>51888.085500000001</v>
      </c>
      <c r="D15" s="158">
        <v>58603.155000000006</v>
      </c>
      <c r="E15" s="158"/>
      <c r="F15" s="158"/>
      <c r="G15" s="158"/>
      <c r="H15" s="158"/>
      <c r="I15" s="158"/>
    </row>
    <row r="16" spans="1:9" x14ac:dyDescent="0.25">
      <c r="A16" s="160" t="s">
        <v>5</v>
      </c>
      <c r="B16" s="158">
        <v>79354.012274999986</v>
      </c>
      <c r="C16" s="158">
        <v>88171.124749999988</v>
      </c>
      <c r="D16" s="158">
        <v>94282.459749999995</v>
      </c>
      <c r="E16" s="158">
        <v>144546.24774916668</v>
      </c>
      <c r="F16" s="158">
        <v>143308.81097366192</v>
      </c>
      <c r="G16" s="158">
        <v>151686.56997469327</v>
      </c>
      <c r="H16" s="158">
        <v>160742.22174787175</v>
      </c>
      <c r="I16" s="158">
        <v>170534.31676607655</v>
      </c>
    </row>
    <row r="17" spans="1:9" x14ac:dyDescent="0.25">
      <c r="A17" s="160" t="s">
        <v>6</v>
      </c>
      <c r="B17" s="158">
        <v>118716.2703</v>
      </c>
      <c r="C17" s="158">
        <v>131906.967</v>
      </c>
      <c r="D17" s="158">
        <v>146599.69524999999</v>
      </c>
      <c r="E17" s="158">
        <v>193744.51519374998</v>
      </c>
      <c r="F17" s="158">
        <v>196193.0238991119</v>
      </c>
      <c r="G17" s="158">
        <v>202673.83170026224</v>
      </c>
      <c r="H17" s="158">
        <v>209488.93195378056</v>
      </c>
      <c r="I17" s="158">
        <v>216655.75692664713</v>
      </c>
    </row>
    <row r="18" spans="1:9" x14ac:dyDescent="0.25">
      <c r="A18" s="160" t="s">
        <v>231</v>
      </c>
      <c r="B18" s="158">
        <v>592002.95399999991</v>
      </c>
      <c r="C18" s="158">
        <v>657781.06000000006</v>
      </c>
      <c r="D18" s="158">
        <v>747807.24825000006</v>
      </c>
      <c r="E18" s="158">
        <v>922060.89066892862</v>
      </c>
      <c r="F18" s="158">
        <v>918307.84652409761</v>
      </c>
      <c r="G18" s="158">
        <v>965490.44272407214</v>
      </c>
      <c r="H18" s="158">
        <v>1016187.3733038821</v>
      </c>
      <c r="I18" s="158">
        <v>1070686.7680553033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B8A2E-FB56-4F61-B7A7-2732681D736A}">
  <sheetPr>
    <tabColor theme="0"/>
  </sheetPr>
  <dimension ref="A1:N113"/>
  <sheetViews>
    <sheetView workbookViewId="0">
      <selection activeCell="H13" sqref="H13"/>
    </sheetView>
  </sheetViews>
  <sheetFormatPr defaultRowHeight="12" x14ac:dyDescent="0.2"/>
  <cols>
    <col min="1" max="1" width="2" style="67" customWidth="1"/>
    <col min="2" max="2" width="35" style="46" customWidth="1"/>
    <col min="3" max="3" width="11.5703125" style="46" customWidth="1"/>
    <col min="4" max="4" width="12.28515625" style="46" customWidth="1"/>
    <col min="5" max="5" width="22.28515625" style="46" customWidth="1"/>
    <col min="6" max="6" width="12.5703125" style="46" customWidth="1"/>
    <col min="7" max="7" width="8" style="47" customWidth="1"/>
    <col min="8" max="9" width="10" style="47" bestFit="1" customWidth="1"/>
    <col min="10" max="14" width="9.140625" style="54"/>
    <col min="15" max="16384" width="9.140625" style="43"/>
  </cols>
  <sheetData>
    <row r="1" spans="1:14" ht="15.75" x14ac:dyDescent="0.25">
      <c r="B1" s="147" t="s">
        <v>216</v>
      </c>
    </row>
    <row r="2" spans="1:14" ht="15.75" x14ac:dyDescent="0.25">
      <c r="B2" s="147" t="s">
        <v>217</v>
      </c>
    </row>
    <row r="4" spans="1:14" x14ac:dyDescent="0.2">
      <c r="B4" s="94" t="s">
        <v>110</v>
      </c>
      <c r="C4" s="94" t="s">
        <v>12</v>
      </c>
      <c r="D4" s="94" t="s">
        <v>111</v>
      </c>
      <c r="E4" s="94" t="s">
        <v>112</v>
      </c>
      <c r="F4" s="94" t="s">
        <v>17</v>
      </c>
      <c r="G4" s="95" t="s">
        <v>2</v>
      </c>
      <c r="H4" s="95" t="s">
        <v>1</v>
      </c>
      <c r="I4" s="95" t="s">
        <v>0</v>
      </c>
      <c r="J4" s="95" t="s">
        <v>188</v>
      </c>
      <c r="K4" s="95" t="s">
        <v>189</v>
      </c>
      <c r="L4" s="95" t="s">
        <v>190</v>
      </c>
      <c r="M4" s="95" t="s">
        <v>191</v>
      </c>
      <c r="N4" s="95" t="s">
        <v>192</v>
      </c>
    </row>
    <row r="5" spans="1:14" x14ac:dyDescent="0.2">
      <c r="B5" s="46" t="str">
        <f>'List of employees &amp; salaries'!B25</f>
        <v>Admin expenses - Payroll-Employee 10</v>
      </c>
      <c r="C5" s="46" t="str">
        <f>VLOOKUP($B5,Table1[],2,FALSE)</f>
        <v>White collar</v>
      </c>
      <c r="D5" s="46" t="str">
        <f>VLOOKUP($B5,Table1[],3,FALSE)</f>
        <v>Sales</v>
      </c>
      <c r="E5" s="46" t="str">
        <f>VLOOKUP($B5,Table1[],4,FALSE)</f>
        <v>Baby &amp; Kids</v>
      </c>
      <c r="F5" s="46" t="str">
        <f>VLOOKUP($B5,Table1[],5,FALSE)</f>
        <v>Employee 10</v>
      </c>
      <c r="G5" s="51">
        <f>VLOOKUP($B5,Table1[],6,FALSE)</f>
        <v>2182.0770000000002</v>
      </c>
      <c r="H5" s="51">
        <f>VLOOKUP($B5,Table1[],7,FALSE)</f>
        <v>2424.5300000000002</v>
      </c>
      <c r="I5" s="51">
        <f>VLOOKUP($B5,Table1[],8,FALSE)</f>
        <v>4099.3574999999992</v>
      </c>
      <c r="J5" s="51">
        <f>I5*1.1</f>
        <v>4509.2932499999997</v>
      </c>
      <c r="K5" s="51">
        <f>J5*1.07</f>
        <v>4824.9437774999997</v>
      </c>
      <c r="L5" s="51">
        <f>$K5</f>
        <v>4824.9437774999997</v>
      </c>
      <c r="M5" s="51">
        <f t="shared" ref="M5:N5" si="0">$K5</f>
        <v>4824.9437774999997</v>
      </c>
      <c r="N5" s="51">
        <f t="shared" si="0"/>
        <v>4824.9437774999997</v>
      </c>
    </row>
    <row r="6" spans="1:14" x14ac:dyDescent="0.2">
      <c r="A6" s="67" t="str">
        <f>Table1[[#This Row],[Column1]]&amp;"/"&amp;Table1[[#This Row],[Column5]]</f>
        <v>Admin expenses - Payroll-Employee 52/Employee 52</v>
      </c>
      <c r="B6" s="46" t="str">
        <f>'List of employees &amp; salaries'!B13</f>
        <v>Admin expenses - Payroll-Employee 123</v>
      </c>
      <c r="C6" s="46" t="str">
        <f>VLOOKUP($B6,Table1[],2,FALSE)</f>
        <v>Blue collar</v>
      </c>
      <c r="D6" s="46" t="str">
        <f>VLOOKUP($B6,Table1[],3,FALSE)</f>
        <v>Production</v>
      </c>
      <c r="E6" s="46" t="str">
        <f>VLOOKUP($B6,Table1[],4,FALSE)</f>
        <v>Baby &amp; Kids</v>
      </c>
      <c r="F6" s="46" t="str">
        <f>VLOOKUP($B6,Table1[],5,FALSE)</f>
        <v>Employee 123</v>
      </c>
      <c r="G6" s="51">
        <f>VLOOKUP($B6,Table1[],6,FALSE)</f>
        <v>14175</v>
      </c>
      <c r="H6" s="51">
        <f>VLOOKUP($B6,Table1[],7,FALSE)</f>
        <v>15750</v>
      </c>
      <c r="I6" s="51">
        <f>VLOOKUP($B6,Table1[],8,FALSE)</f>
        <v>18080</v>
      </c>
      <c r="J6" s="51">
        <f>I6*1.05</f>
        <v>18984</v>
      </c>
      <c r="K6" s="51">
        <f>J6*1.05</f>
        <v>19933.2</v>
      </c>
      <c r="L6" s="51">
        <f>K6*1.05</f>
        <v>20929.86</v>
      </c>
      <c r="M6" s="51">
        <f>L6*1.05</f>
        <v>21976.353000000003</v>
      </c>
      <c r="N6" s="51">
        <f>M6*1.05</f>
        <v>23075.170650000004</v>
      </c>
    </row>
    <row r="7" spans="1:14" x14ac:dyDescent="0.2">
      <c r="A7" s="67" t="str">
        <f>Table1[[#This Row],[Column1]]&amp;"/"&amp;Table1[[#This Row],[Column5]]</f>
        <v>Admin expenses - Payroll-Employee 51/Employee 51</v>
      </c>
      <c r="B7" s="46" t="str">
        <f>'List of employees &amp; salaries'!B12</f>
        <v>Admin expenses - Payroll-Employee 126</v>
      </c>
      <c r="C7" s="46" t="str">
        <f>VLOOKUP($B7,Table1[],2,FALSE)</f>
        <v>Blue collar</v>
      </c>
      <c r="D7" s="46" t="str">
        <f>VLOOKUP($B7,Table1[],3,FALSE)</f>
        <v>Production</v>
      </c>
      <c r="E7" s="46" t="str">
        <f>VLOOKUP($B7,Table1[],4,FALSE)</f>
        <v>Baby &amp; Kids</v>
      </c>
      <c r="F7" s="46" t="str">
        <f>VLOOKUP($B7,Table1[],5,FALSE)</f>
        <v>Employee 126</v>
      </c>
      <c r="G7" s="51">
        <f>VLOOKUP($B7,Table1[],6,FALSE)</f>
        <v>13076.5005</v>
      </c>
      <c r="H7" s="51">
        <f>VLOOKUP($B7,Table1[],7,FALSE)</f>
        <v>14529.445</v>
      </c>
      <c r="I7" s="51">
        <f>VLOOKUP($B7,Table1[],8,FALSE)</f>
        <v>16029.64</v>
      </c>
      <c r="J7" s="51">
        <f>I7*1.05</f>
        <v>16831.121999999999</v>
      </c>
      <c r="K7" s="51">
        <f>J7*1.05</f>
        <v>17672.678100000001</v>
      </c>
      <c r="L7" s="51">
        <f>K7*1.05</f>
        <v>18556.312005000003</v>
      </c>
      <c r="M7" s="51">
        <f>L7*1.05</f>
        <v>19484.127605250003</v>
      </c>
      <c r="N7" s="51">
        <f>M7*1.05</f>
        <v>20458.333985512505</v>
      </c>
    </row>
    <row r="8" spans="1:14" x14ac:dyDescent="0.2">
      <c r="A8" s="67" t="str">
        <f>Table1[[#This Row],[Column1]]&amp;"/"&amp;Table1[[#This Row],[Column5]]</f>
        <v>Admin expenses - Payroll-Employee 50/Employee 50</v>
      </c>
      <c r="B8" s="46" t="str">
        <f>'List of employees &amp; salaries'!B11</f>
        <v>Admin expenses - Payroll-Employee 137</v>
      </c>
      <c r="C8" s="46" t="str">
        <f>VLOOKUP($B8,Table1[],2,FALSE)</f>
        <v>Blue collar</v>
      </c>
      <c r="D8" s="46" t="str">
        <f>VLOOKUP($B8,Table1[],3,FALSE)</f>
        <v>Production</v>
      </c>
      <c r="E8" s="46" t="str">
        <f>VLOOKUP($B8,Table1[],4,FALSE)</f>
        <v>Baby &amp; Kids</v>
      </c>
      <c r="F8" s="46" t="str">
        <f>VLOOKUP($B8,Table1[],5,FALSE)</f>
        <v>Employee 137</v>
      </c>
      <c r="G8" s="51">
        <f>VLOOKUP($B8,Table1[],6,FALSE)</f>
        <v>9704.9340000000011</v>
      </c>
      <c r="H8" s="51">
        <f>VLOOKUP($B8,Table1[],7,FALSE)</f>
        <v>10783.26</v>
      </c>
      <c r="I8" s="51">
        <f>VLOOKUP($B8,Table1[],8,FALSE)</f>
        <v>11162.105</v>
      </c>
      <c r="J8" s="51">
        <f>I8*1.05</f>
        <v>11720.21025</v>
      </c>
      <c r="K8" s="51">
        <f>J8*1.05</f>
        <v>12306.220762500001</v>
      </c>
      <c r="L8" s="51">
        <f>K8*1.05</f>
        <v>12921.531800625002</v>
      </c>
      <c r="M8" s="51">
        <f>L8*1.05</f>
        <v>13567.608390656253</v>
      </c>
      <c r="N8" s="51">
        <f>M8*1.05</f>
        <v>14245.988810189066</v>
      </c>
    </row>
    <row r="9" spans="1:14" x14ac:dyDescent="0.2">
      <c r="A9" s="67" t="str">
        <f>Table1[[#This Row],[Column1]]&amp;"/"&amp;Table1[[#This Row],[Column5]]</f>
        <v>Admin expenses - Payroll-Employee 38/Employee 38</v>
      </c>
      <c r="B9" s="46" t="str">
        <f>'List of employees &amp; salaries'!B10</f>
        <v>Admin expenses - Payroll-Employee 146</v>
      </c>
      <c r="C9" s="46" t="str">
        <f>VLOOKUP($B9,Table1[],2,FALSE)</f>
        <v>Blue collar</v>
      </c>
      <c r="D9" s="46" t="str">
        <f>VLOOKUP($B9,Table1[],3,FALSE)</f>
        <v>Production</v>
      </c>
      <c r="E9" s="46" t="str">
        <f>VLOOKUP($B9,Table1[],4,FALSE)</f>
        <v>Baby &amp; Kids</v>
      </c>
      <c r="F9" s="46" t="str">
        <f>VLOOKUP($B9,Table1[],5,FALSE)</f>
        <v>Employee 146</v>
      </c>
      <c r="G9" s="51">
        <f>VLOOKUP($B9,Table1[],6,FALSE)</f>
        <v>13913.019</v>
      </c>
      <c r="H9" s="51">
        <f>VLOOKUP($B9,Table1[],7,FALSE)</f>
        <v>15458.91</v>
      </c>
      <c r="I9" s="51">
        <f>VLOOKUP($B9,Table1[],8,FALSE)</f>
        <v>19015.73</v>
      </c>
      <c r="J9" s="51">
        <f>I9*1.05</f>
        <v>19966.516500000002</v>
      </c>
      <c r="K9" s="51">
        <f>J9*1.05</f>
        <v>20964.842325000001</v>
      </c>
      <c r="L9" s="51">
        <f>K9*1.05</f>
        <v>22013.084441250001</v>
      </c>
      <c r="M9" s="51">
        <f>L9*1.05</f>
        <v>23113.738663312502</v>
      </c>
      <c r="N9" s="51">
        <f>M9*1.05</f>
        <v>24269.42559647813</v>
      </c>
    </row>
    <row r="10" spans="1:14" x14ac:dyDescent="0.2">
      <c r="A10" s="67" t="str">
        <f>Table1[[#This Row],[Column1]]&amp;"/"&amp;Table1[[#This Row],[Column5]]</f>
        <v>Admin expenses - Payroll-Employee 146/Employee 146</v>
      </c>
      <c r="B10" s="46" t="str">
        <f>'List of employees &amp; salaries'!B24</f>
        <v>Admin expenses - Payroll-Employee 21</v>
      </c>
      <c r="C10" s="46" t="str">
        <f>VLOOKUP($B10,Table1[],2,FALSE)</f>
        <v>White collar</v>
      </c>
      <c r="D10" s="46" t="str">
        <f>VLOOKUP($B10,Table1[],3,FALSE)</f>
        <v>Sales</v>
      </c>
      <c r="E10" s="46" t="str">
        <f>VLOOKUP($B10,Table1[],4,FALSE)</f>
        <v>Baby &amp; Kids</v>
      </c>
      <c r="F10" s="46" t="str">
        <f>VLOOKUP($B10,Table1[],5,FALSE)</f>
        <v>Employee 21</v>
      </c>
      <c r="G10" s="51">
        <f>VLOOKUP($B10,Table1[],6,FALSE)</f>
        <v>2391.1548750000002</v>
      </c>
      <c r="H10" s="51">
        <f>VLOOKUP($B10,Table1[],7,FALSE)</f>
        <v>2656.8387500000003</v>
      </c>
      <c r="I10" s="51">
        <f>VLOOKUP($B10,Table1[],8,FALSE)</f>
        <v>3540</v>
      </c>
      <c r="J10" s="51">
        <f t="shared" ref="J10:J13" si="1">I10*1.1</f>
        <v>3894.0000000000005</v>
      </c>
      <c r="K10" s="51">
        <f t="shared" ref="K10:K13" si="2">J10*1.07</f>
        <v>4166.5800000000008</v>
      </c>
      <c r="L10" s="51">
        <f t="shared" ref="L10:N13" si="3">$K10</f>
        <v>4166.5800000000008</v>
      </c>
      <c r="M10" s="51">
        <f t="shared" si="3"/>
        <v>4166.5800000000008</v>
      </c>
      <c r="N10" s="51">
        <f t="shared" si="3"/>
        <v>4166.5800000000008</v>
      </c>
    </row>
    <row r="11" spans="1:14" x14ac:dyDescent="0.2">
      <c r="A11" s="67" t="str">
        <f>Table1[[#This Row],[Column1]]&amp;"/"&amp;Table1[[#This Row],[Column5]]</f>
        <v>Admin expenses - Payroll-Employee 137/Employee 137</v>
      </c>
      <c r="B11" s="46" t="str">
        <f>'List of employees &amp; salaries'!B23</f>
        <v>Admin expenses - Payroll-Employee 26</v>
      </c>
      <c r="C11" s="46" t="str">
        <f>VLOOKUP($B11,Table1[],2,FALSE)</f>
        <v>White collar</v>
      </c>
      <c r="D11" s="46" t="str">
        <f>VLOOKUP($B11,Table1[],3,FALSE)</f>
        <v>Sales</v>
      </c>
      <c r="E11" s="46" t="str">
        <f>VLOOKUP($B11,Table1[],4,FALSE)</f>
        <v>Baby &amp; Kids</v>
      </c>
      <c r="F11" s="46" t="str">
        <f>VLOOKUP($B11,Table1[],5,FALSE)</f>
        <v>Employee 26</v>
      </c>
      <c r="G11" s="51">
        <f>VLOOKUP($B11,Table1[],6,FALSE)</f>
        <v>4607.5252499999997</v>
      </c>
      <c r="H11" s="51">
        <f>VLOOKUP($B11,Table1[],7,FALSE)</f>
        <v>5119.4724999999999</v>
      </c>
      <c r="I11" s="51">
        <f>VLOOKUP($B11,Table1[],8,FALSE)</f>
        <v>5119.4724999999999</v>
      </c>
      <c r="J11" s="51">
        <f t="shared" si="1"/>
        <v>5631.41975</v>
      </c>
      <c r="K11" s="51">
        <f t="shared" si="2"/>
        <v>6025.6191325</v>
      </c>
      <c r="L11" s="51">
        <f t="shared" si="3"/>
        <v>6025.6191325</v>
      </c>
      <c r="M11" s="51">
        <f t="shared" si="3"/>
        <v>6025.6191325</v>
      </c>
      <c r="N11" s="51">
        <f t="shared" si="3"/>
        <v>6025.6191325</v>
      </c>
    </row>
    <row r="12" spans="1:14" x14ac:dyDescent="0.2">
      <c r="A12" s="67" t="str">
        <f>Table1[[#This Row],[Column1]]&amp;"/"&amp;Table1[[#This Row],[Column5]]</f>
        <v>Admin expenses - Payroll-Employee 126/Employee 126</v>
      </c>
      <c r="B12" s="46" t="str">
        <f>'List of employees &amp; salaries'!B22</f>
        <v>Admin expenses - Payroll-Employee 27</v>
      </c>
      <c r="C12" s="46" t="str">
        <f>VLOOKUP($B12,Table1[],2,FALSE)</f>
        <v>White collar</v>
      </c>
      <c r="D12" s="46" t="str">
        <f>VLOOKUP($B12,Table1[],3,FALSE)</f>
        <v>Sales</v>
      </c>
      <c r="E12" s="46" t="str">
        <f>VLOOKUP($B12,Table1[],4,FALSE)</f>
        <v>Baby &amp; Kids</v>
      </c>
      <c r="F12" s="46" t="str">
        <f>VLOOKUP($B12,Table1[],5,FALSE)</f>
        <v>Employee 27</v>
      </c>
      <c r="G12" s="51">
        <f>VLOOKUP($B12,Table1[],6,FALSE)</f>
        <v>4175.9853750000002</v>
      </c>
      <c r="H12" s="51">
        <f>VLOOKUP($B12,Table1[],7,FALSE)</f>
        <v>4639.9837500000003</v>
      </c>
      <c r="I12" s="51">
        <f>VLOOKUP($B12,Table1[],8,FALSE)</f>
        <v>4639.9837500000003</v>
      </c>
      <c r="J12" s="51">
        <f t="shared" si="1"/>
        <v>5103.9821250000005</v>
      </c>
      <c r="K12" s="51">
        <f t="shared" si="2"/>
        <v>5461.2608737500004</v>
      </c>
      <c r="L12" s="51">
        <f t="shared" si="3"/>
        <v>5461.2608737500004</v>
      </c>
      <c r="M12" s="51">
        <f t="shared" si="3"/>
        <v>5461.2608737500004</v>
      </c>
      <c r="N12" s="51">
        <f t="shared" si="3"/>
        <v>5461.2608737500004</v>
      </c>
    </row>
    <row r="13" spans="1:14" x14ac:dyDescent="0.2">
      <c r="A13" s="67" t="str">
        <f>Table1[[#This Row],[Column1]]&amp;"/"&amp;Table1[[#This Row],[Column5]]</f>
        <v>Admin expenses - Payroll-Employee 123/Employee 123</v>
      </c>
      <c r="B13" s="46" t="str">
        <f>'List of employees &amp; salaries'!B21</f>
        <v>Admin expenses - Payroll-Employee 35</v>
      </c>
      <c r="C13" s="46" t="str">
        <f>VLOOKUP($B13,Table1[],2,FALSE)</f>
        <v>White collar</v>
      </c>
      <c r="D13" s="46" t="str">
        <f>VLOOKUP($B13,Table1[],3,FALSE)</f>
        <v>Sales</v>
      </c>
      <c r="E13" s="46" t="str">
        <f>VLOOKUP($B13,Table1[],4,FALSE)</f>
        <v>Baby &amp; Kids</v>
      </c>
      <c r="F13" s="46" t="str">
        <f>VLOOKUP($B13,Table1[],5,FALSE)</f>
        <v>Employee 35</v>
      </c>
      <c r="G13" s="51">
        <f>VLOOKUP($B13,Table1[],6,FALSE)</f>
        <v>4089.9363749999998</v>
      </c>
      <c r="H13" s="51">
        <f>VLOOKUP($B13,Table1[],7,FALSE)</f>
        <v>4544.3737499999997</v>
      </c>
      <c r="I13" s="51">
        <f>VLOOKUP($B13,Table1[],8,FALSE)</f>
        <v>4544.3737499999997</v>
      </c>
      <c r="J13" s="51">
        <f t="shared" si="1"/>
        <v>4998.8111250000002</v>
      </c>
      <c r="K13" s="51">
        <f t="shared" si="2"/>
        <v>5348.7279037500002</v>
      </c>
      <c r="L13" s="51">
        <f t="shared" si="3"/>
        <v>5348.7279037500002</v>
      </c>
      <c r="M13" s="51">
        <f t="shared" si="3"/>
        <v>5348.7279037500002</v>
      </c>
      <c r="N13" s="51">
        <f t="shared" si="3"/>
        <v>5348.7279037500002</v>
      </c>
    </row>
    <row r="14" spans="1:14" x14ac:dyDescent="0.2">
      <c r="A14" s="67" t="str">
        <f>Table1[[#This Row],[Column1]]&amp;"/"&amp;Table1[[#This Row],[Column5]]</f>
        <v>Admin expenses - Payroll-Employee 82/Employee 82</v>
      </c>
      <c r="B14" s="46" t="str">
        <f>'List of employees &amp; salaries'!B9</f>
        <v>Admin expenses - Payroll-Employee 38</v>
      </c>
      <c r="C14" s="46" t="str">
        <f>VLOOKUP($B14,Table1[],2,FALSE)</f>
        <v>White collar</v>
      </c>
      <c r="D14" s="46" t="str">
        <f>VLOOKUP($B14,Table1[],3,FALSE)</f>
        <v>Finance</v>
      </c>
      <c r="E14" s="46" t="str">
        <f>VLOOKUP($B14,Table1[],4,FALSE)</f>
        <v>Baby &amp; Kids</v>
      </c>
      <c r="F14" s="46" t="str">
        <f>VLOOKUP($B14,Table1[],5,FALSE)</f>
        <v>Employee 38</v>
      </c>
      <c r="G14" s="51">
        <f>VLOOKUP($B14,Table1[],6,FALSE)</f>
        <v>1417.5</v>
      </c>
      <c r="H14" s="51">
        <f>VLOOKUP($B14,Table1[],7,FALSE)</f>
        <v>1575</v>
      </c>
      <c r="I14" s="51">
        <f>VLOOKUP($B14,Table1[],8,FALSE)</f>
        <v>1575</v>
      </c>
      <c r="J14" s="51">
        <f>I14*1.07</f>
        <v>1685.25</v>
      </c>
      <c r="K14" s="51">
        <f>J14*1.07</f>
        <v>1803.2175000000002</v>
      </c>
      <c r="L14" s="51">
        <f>K14*1.07</f>
        <v>1929.4427250000003</v>
      </c>
      <c r="M14" s="51">
        <f>L14*1.07</f>
        <v>2064.5037157500005</v>
      </c>
      <c r="N14" s="51">
        <f>M14*1.07</f>
        <v>2209.0189758525007</v>
      </c>
    </row>
    <row r="15" spans="1:14" x14ac:dyDescent="0.2">
      <c r="A15" s="67" t="str">
        <f>Table1[[#This Row],[Column1]]&amp;"/"&amp;Table1[[#This Row],[Column5]]</f>
        <v>Admin expenses - Payroll-Employee 81/Employee 81</v>
      </c>
      <c r="B15" s="46" t="str">
        <f>'List of employees &amp; salaries'!B8</f>
        <v>Admin expenses - Payroll-Employee 50</v>
      </c>
      <c r="C15" s="46" t="str">
        <f>VLOOKUP($B15,Table1[],2,FALSE)</f>
        <v>White collar</v>
      </c>
      <c r="D15" s="46" t="str">
        <f>VLOOKUP($B15,Table1[],3,FALSE)</f>
        <v>Finance</v>
      </c>
      <c r="E15" s="46" t="str">
        <f>VLOOKUP($B15,Table1[],4,FALSE)</f>
        <v>Baby &amp; Kids</v>
      </c>
      <c r="F15" s="46" t="str">
        <f>VLOOKUP($B15,Table1[],5,FALSE)</f>
        <v>Employee 50</v>
      </c>
      <c r="G15" s="51">
        <f>VLOOKUP($B15,Table1[],6,FALSE)</f>
        <v>1334.25</v>
      </c>
      <c r="H15" s="51">
        <f>VLOOKUP($B15,Table1[],7,FALSE)</f>
        <v>1482.5</v>
      </c>
      <c r="I15" s="51">
        <f>VLOOKUP($B15,Table1[],8,FALSE)</f>
        <v>1482.5</v>
      </c>
      <c r="J15" s="51">
        <f>I15*1.07</f>
        <v>1586.2750000000001</v>
      </c>
      <c r="K15" s="51">
        <f>J15*1.07</f>
        <v>1697.3142500000001</v>
      </c>
      <c r="L15" s="51">
        <f>K15*1.07</f>
        <v>1816.1262475000003</v>
      </c>
      <c r="M15" s="51">
        <f>L15*1.07</f>
        <v>1943.2550848250005</v>
      </c>
      <c r="N15" s="51">
        <f>M15*1.07</f>
        <v>2079.2829407627505</v>
      </c>
    </row>
    <row r="16" spans="1:14" x14ac:dyDescent="0.2">
      <c r="A16" s="67" t="str">
        <f>Table1[[#This Row],[Column1]]&amp;"/"&amp;Table1[[#This Row],[Column5]]</f>
        <v>Admin expenses - Payroll-Employee 78/Employee 78</v>
      </c>
      <c r="B16" s="46" t="str">
        <f>'List of employees &amp; salaries'!B7</f>
        <v>Admin expenses - Payroll-Employee 51</v>
      </c>
      <c r="C16" s="46" t="str">
        <f>VLOOKUP($B16,Table1[],2,FALSE)</f>
        <v>White collar</v>
      </c>
      <c r="D16" s="46" t="str">
        <f>VLOOKUP($B16,Table1[],3,FALSE)</f>
        <v>Finance</v>
      </c>
      <c r="E16" s="46" t="str">
        <f>VLOOKUP($B16,Table1[],4,FALSE)</f>
        <v>Baby &amp; Kids</v>
      </c>
      <c r="F16" s="46" t="str">
        <f>VLOOKUP($B16,Table1[],5,FALSE)</f>
        <v>Employee 51</v>
      </c>
      <c r="G16" s="51">
        <f>VLOOKUP($B16,Table1[],6,FALSE)</f>
        <v>1274.4449999999999</v>
      </c>
      <c r="H16" s="51">
        <f>VLOOKUP($B16,Table1[],7,FALSE)</f>
        <v>1416.05</v>
      </c>
      <c r="I16" s="51">
        <f>VLOOKUP($B16,Table1[],8,FALSE)</f>
        <v>1416.05</v>
      </c>
      <c r="J16" s="51">
        <f>I16*1.07</f>
        <v>1515.1735000000001</v>
      </c>
      <c r="K16" s="51">
        <f>J16*1.07</f>
        <v>1621.2356450000002</v>
      </c>
      <c r="L16" s="51">
        <f>K16*1.07</f>
        <v>1734.7221401500003</v>
      </c>
      <c r="M16" s="51">
        <f>L16*1.07</f>
        <v>1856.1526899605005</v>
      </c>
      <c r="N16" s="51">
        <f>M16*1.07</f>
        <v>1986.0833782577356</v>
      </c>
    </row>
    <row r="17" spans="1:14" x14ac:dyDescent="0.2">
      <c r="A17" s="67" t="str">
        <f>Table1[[#This Row],[Column1]]&amp;"/"&amp;Table1[[#This Row],[Column5]]</f>
        <v>Admin expenses - Payroll-Employee 70/Employee 70</v>
      </c>
      <c r="B17" s="46" t="str">
        <f>'List of employees &amp; salaries'!B6</f>
        <v>Admin expenses - Payroll-Employee 52</v>
      </c>
      <c r="C17" s="46" t="str">
        <f>VLOOKUP($B17,Table1[],2,FALSE)</f>
        <v>Director</v>
      </c>
      <c r="D17" s="46" t="str">
        <f>VLOOKUP($B17,Table1[],3,FALSE)</f>
        <v>Finance</v>
      </c>
      <c r="E17" s="46" t="str">
        <f>VLOOKUP($B17,Table1[],4,FALSE)</f>
        <v>Baby &amp; Kids</v>
      </c>
      <c r="F17" s="46" t="str">
        <f>VLOOKUP($B17,Table1[],5,FALSE)</f>
        <v>Employee 52</v>
      </c>
      <c r="G17" s="51">
        <f>VLOOKUP($B17,Table1[],6,FALSE)</f>
        <v>7545.0167999999994</v>
      </c>
      <c r="H17" s="51">
        <f>VLOOKUP($B17,Table1[],7,FALSE)</f>
        <v>8383.351999999999</v>
      </c>
      <c r="I17" s="51">
        <f>VLOOKUP($B17,Table1[],8,FALSE)</f>
        <v>8724.9929999999986</v>
      </c>
      <c r="J17" s="51">
        <f>I17*1.07</f>
        <v>9335.7425099999982</v>
      </c>
      <c r="K17" s="51">
        <f>J17*1.07</f>
        <v>9989.2444856999991</v>
      </c>
      <c r="L17" s="51">
        <f>K17*1.07</f>
        <v>10688.491599699</v>
      </c>
      <c r="M17" s="51">
        <f>L17*1.07</f>
        <v>11436.686011677932</v>
      </c>
      <c r="N17" s="51">
        <f>M17*1.07</f>
        <v>12237.254032495388</v>
      </c>
    </row>
    <row r="18" spans="1:14" x14ac:dyDescent="0.2">
      <c r="A18" s="67" t="str">
        <f>Table1[[#This Row],[Column1]]&amp;"/"&amp;Table1[[#This Row],[Column5]]</f>
        <v>Admin expenses - Payroll-Employee 7/Employee 7</v>
      </c>
      <c r="B18" s="46" t="str">
        <f>'List of employees &amp; salaries'!B5</f>
        <v>Admin expenses - Payroll-Employee 54</v>
      </c>
      <c r="C18" s="46" t="str">
        <f>VLOOKUP($B18,Table1[],2,FALSE)</f>
        <v>White collar</v>
      </c>
      <c r="D18" s="46" t="str">
        <f>VLOOKUP($B18,Table1[],3,FALSE)</f>
        <v>Finance</v>
      </c>
      <c r="E18" s="46" t="str">
        <f>VLOOKUP($B18,Table1[],4,FALSE)</f>
        <v>Baby &amp; Kids</v>
      </c>
      <c r="F18" s="46" t="str">
        <f>VLOOKUP($B18,Table1[],5,FALSE)</f>
        <v>Employee 54</v>
      </c>
      <c r="G18" s="51">
        <f>VLOOKUP($B18,Table1[],6,FALSE)</f>
        <v>1131.2662500000001</v>
      </c>
      <c r="H18" s="51">
        <f>VLOOKUP($B18,Table1[],7,FALSE)</f>
        <v>1256.9625000000001</v>
      </c>
      <c r="I18" s="51">
        <f>VLOOKUP($B18,Table1[],8,FALSE)</f>
        <v>1441.4575</v>
      </c>
      <c r="J18" s="51">
        <f>I18*1.07</f>
        <v>1542.3595250000001</v>
      </c>
      <c r="K18" s="51">
        <f>J18*1.07</f>
        <v>1650.3246917500003</v>
      </c>
      <c r="L18" s="51">
        <f>K18*1.07</f>
        <v>1765.8474201725005</v>
      </c>
      <c r="M18" s="51">
        <f>L18*1.07</f>
        <v>1889.4567395845756</v>
      </c>
      <c r="N18" s="51">
        <f>M18*1.07</f>
        <v>2021.718711355496</v>
      </c>
    </row>
    <row r="19" spans="1:14" x14ac:dyDescent="0.2">
      <c r="A19" s="67" t="str">
        <f>Table1[[#This Row],[Column1]]&amp;"/"&amp;Table1[[#This Row],[Column5]]</f>
        <v>Admin expenses - Payroll-Employee 69/Employee 69</v>
      </c>
      <c r="B19" s="46" t="str">
        <f>'List of employees &amp; salaries'!B20</f>
        <v>Admin expenses - Payroll-Employee 6</v>
      </c>
      <c r="C19" s="46" t="str">
        <f>VLOOKUP($B19,Table1[],2,FALSE)</f>
        <v>White collar</v>
      </c>
      <c r="D19" s="46" t="str">
        <f>VLOOKUP($B19,Table1[],3,FALSE)</f>
        <v>Sales</v>
      </c>
      <c r="E19" s="46" t="str">
        <f>VLOOKUP($B19,Table1[],4,FALSE)</f>
        <v>Baby &amp; Kids</v>
      </c>
      <c r="F19" s="46" t="str">
        <f>VLOOKUP($B19,Table1[],5,FALSE)</f>
        <v>Employee 6</v>
      </c>
      <c r="G19" s="51">
        <f>VLOOKUP($B19,Table1[],6,FALSE)</f>
        <v>1868.7273749999999</v>
      </c>
      <c r="H19" s="51">
        <f>VLOOKUP($B19,Table1[],7,FALSE)</f>
        <v>2076.36375</v>
      </c>
      <c r="I19" s="51">
        <f>VLOOKUP($B19,Table1[],8,FALSE)</f>
        <v>2796.5387500000002</v>
      </c>
      <c r="J19" s="51">
        <f>I19*1.1</f>
        <v>3076.1926250000006</v>
      </c>
      <c r="K19" s="51">
        <f>J19*1.07</f>
        <v>3291.5261087500007</v>
      </c>
      <c r="L19" s="51">
        <f>$K19</f>
        <v>3291.5261087500007</v>
      </c>
      <c r="M19" s="51">
        <f t="shared" ref="M19:N19" si="4">$K19</f>
        <v>3291.5261087500007</v>
      </c>
      <c r="N19" s="51">
        <f t="shared" si="4"/>
        <v>3291.5261087500007</v>
      </c>
    </row>
    <row r="20" spans="1:14" x14ac:dyDescent="0.2">
      <c r="A20" s="67" t="str">
        <f>Table1[[#This Row],[Column1]]&amp;"/"&amp;Table1[[#This Row],[Column5]]</f>
        <v>Admin expenses - Payroll-Employee 6/Employee 6</v>
      </c>
      <c r="B20" s="46" t="str">
        <f>'List of employees &amp; salaries'!B19</f>
        <v>Admin expenses - Payroll-Employee 69</v>
      </c>
      <c r="C20" s="46" t="str">
        <f>VLOOKUP($B20,Table1[],2,FALSE)</f>
        <v>White collar</v>
      </c>
      <c r="D20" s="46" t="str">
        <f>VLOOKUP($B20,Table1[],3,FALSE)</f>
        <v>Marketing</v>
      </c>
      <c r="E20" s="46" t="str">
        <f>VLOOKUP($B20,Table1[],4,FALSE)</f>
        <v>Baby &amp; Kids</v>
      </c>
      <c r="F20" s="46" t="str">
        <f>VLOOKUP($B20,Table1[],5,FALSE)</f>
        <v>Employee 69</v>
      </c>
      <c r="G20" s="51">
        <f>VLOOKUP($B20,Table1[],6,FALSE)</f>
        <v>3407.4</v>
      </c>
      <c r="H20" s="51">
        <f>VLOOKUP($B20,Table1[],7,FALSE)</f>
        <v>3786</v>
      </c>
      <c r="I20" s="51">
        <f>VLOOKUP($B20,Table1[],8,FALSE)</f>
        <v>4019.6237499999997</v>
      </c>
      <c r="J20" s="51">
        <f>$I20</f>
        <v>4019.6237499999997</v>
      </c>
      <c r="K20" s="51">
        <f>$I20</f>
        <v>4019.6237499999997</v>
      </c>
      <c r="L20" s="51">
        <f>$I20</f>
        <v>4019.6237499999997</v>
      </c>
      <c r="M20" s="51">
        <f>$I20</f>
        <v>4019.6237499999997</v>
      </c>
      <c r="N20" s="51">
        <f>$I20</f>
        <v>4019.6237499999997</v>
      </c>
    </row>
    <row r="21" spans="1:14" x14ac:dyDescent="0.2">
      <c r="A21" s="67" t="str">
        <f>Table1[[#This Row],[Column1]]&amp;"/"&amp;Table1[[#This Row],[Column5]]</f>
        <v>Admin expenses - Payroll-Employee 35/Employee 35</v>
      </c>
      <c r="B21" s="46" t="str">
        <f>'List of employees &amp; salaries'!B18</f>
        <v>Admin expenses - Payroll-Employee 7</v>
      </c>
      <c r="C21" s="46" t="str">
        <f>VLOOKUP($B21,Table1[],2,FALSE)</f>
        <v>White collar</v>
      </c>
      <c r="D21" s="46" t="str">
        <f>VLOOKUP($B21,Table1[],3,FALSE)</f>
        <v>Sales</v>
      </c>
      <c r="E21" s="46" t="str">
        <f>VLOOKUP($B21,Table1[],4,FALSE)</f>
        <v>Baby &amp; Kids</v>
      </c>
      <c r="F21" s="46" t="str">
        <f>VLOOKUP($B21,Table1[],5,FALSE)</f>
        <v>Employee 7</v>
      </c>
      <c r="G21" s="51">
        <f>VLOOKUP($B21,Table1[],6,FALSE)</f>
        <v>4118.0040000000008</v>
      </c>
      <c r="H21" s="51">
        <f>VLOOKUP($B21,Table1[],7,FALSE)</f>
        <v>4575.5600000000004</v>
      </c>
      <c r="I21" s="51">
        <f>VLOOKUP($B21,Table1[],8,FALSE)</f>
        <v>4575.5600000000004</v>
      </c>
      <c r="J21" s="51">
        <f>I21*1.1</f>
        <v>5033.1160000000009</v>
      </c>
      <c r="K21" s="51">
        <f>J21*1.07</f>
        <v>5385.4341200000017</v>
      </c>
      <c r="L21" s="51">
        <f>$K21</f>
        <v>5385.4341200000017</v>
      </c>
      <c r="M21" s="51">
        <f t="shared" ref="M21:N21" si="5">$K21</f>
        <v>5385.4341200000017</v>
      </c>
      <c r="N21" s="51">
        <f t="shared" si="5"/>
        <v>5385.4341200000017</v>
      </c>
    </row>
    <row r="22" spans="1:14" x14ac:dyDescent="0.2">
      <c r="A22" s="67" t="str">
        <f>Table1[[#This Row],[Column1]]&amp;"/"&amp;Table1[[#This Row],[Column5]]</f>
        <v>Admin expenses - Payroll-Employee 27/Employee 27</v>
      </c>
      <c r="B22" s="46" t="str">
        <f>'List of employees &amp; salaries'!B17</f>
        <v>Admin expenses - Payroll-Employee 70</v>
      </c>
      <c r="C22" s="46" t="str">
        <f>VLOOKUP($B22,Table1[],2,FALSE)</f>
        <v>White collar</v>
      </c>
      <c r="D22" s="46" t="str">
        <f>VLOOKUP($B22,Table1[],3,FALSE)</f>
        <v>Marketing</v>
      </c>
      <c r="E22" s="46" t="str">
        <f>VLOOKUP($B22,Table1[],4,FALSE)</f>
        <v>Baby &amp; Kids</v>
      </c>
      <c r="F22" s="46" t="str">
        <f>VLOOKUP($B22,Table1[],5,FALSE)</f>
        <v>Employee 70</v>
      </c>
      <c r="G22" s="51">
        <f>VLOOKUP($B22,Table1[],6,FALSE)</f>
        <v>2433.9926250000003</v>
      </c>
      <c r="H22" s="51">
        <f>VLOOKUP($B22,Table1[],7,FALSE)</f>
        <v>2704.4362500000002</v>
      </c>
      <c r="I22" s="51">
        <f>VLOOKUP($B22,Table1[],8,FALSE)</f>
        <v>3941.2737500000007</v>
      </c>
      <c r="J22" s="51">
        <f>$I22</f>
        <v>3941.2737500000007</v>
      </c>
      <c r="K22" s="51">
        <f>$I22</f>
        <v>3941.2737500000007</v>
      </c>
      <c r="L22" s="51">
        <f>$I22</f>
        <v>3941.2737500000007</v>
      </c>
      <c r="M22" s="51">
        <f>$I22</f>
        <v>3941.2737500000007</v>
      </c>
      <c r="N22" s="51">
        <f>$I22</f>
        <v>3941.2737500000007</v>
      </c>
    </row>
    <row r="23" spans="1:14" x14ac:dyDescent="0.2">
      <c r="A23" s="67" t="str">
        <f>Table1[[#This Row],[Column1]]&amp;"/"&amp;Table1[[#This Row],[Column5]]</f>
        <v>Admin expenses - Payroll-Employee 26/Employee 26</v>
      </c>
      <c r="B23" s="46" t="str">
        <f>'List of employees &amp; salaries'!B16</f>
        <v>Admin expenses - Payroll-Employee 78</v>
      </c>
      <c r="C23" s="46" t="str">
        <f>VLOOKUP($B23,Table1[],2,FALSE)</f>
        <v>White collar</v>
      </c>
      <c r="D23" s="46" t="str">
        <f>VLOOKUP($B23,Table1[],3,FALSE)</f>
        <v>Marketing</v>
      </c>
      <c r="E23" s="46" t="str">
        <f>VLOOKUP($B23,Table1[],4,FALSE)</f>
        <v>Baby &amp; Kids</v>
      </c>
      <c r="F23" s="46" t="str">
        <f>VLOOKUP($B23,Table1[],5,FALSE)</f>
        <v>Employee 78</v>
      </c>
      <c r="G23" s="51">
        <f>VLOOKUP($B23,Table1[],6,FALSE)</f>
        <v>2406.7597499999997</v>
      </c>
      <c r="H23" s="51">
        <f>VLOOKUP($B23,Table1[],7,FALSE)</f>
        <v>2674.1774999999998</v>
      </c>
      <c r="I23" s="51">
        <f>VLOOKUP($B23,Table1[],8,FALSE)</f>
        <v>3154.84</v>
      </c>
      <c r="J23" s="51">
        <f>$I23</f>
        <v>3154.84</v>
      </c>
      <c r="K23" s="51">
        <f>$I23</f>
        <v>3154.84</v>
      </c>
      <c r="L23" s="51">
        <f>$I23</f>
        <v>3154.84</v>
      </c>
      <c r="M23" s="51">
        <f>$I23</f>
        <v>3154.84</v>
      </c>
      <c r="N23" s="51">
        <f>$I23</f>
        <v>3154.84</v>
      </c>
    </row>
    <row r="24" spans="1:14" x14ac:dyDescent="0.2">
      <c r="A24" s="67" t="str">
        <f>Table1[[#This Row],[Column1]]&amp;"/"&amp;Table1[[#This Row],[Column5]]</f>
        <v>Admin expenses - Payroll-Employee 21/Employee 21</v>
      </c>
      <c r="B24" s="46" t="str">
        <f>'List of employees &amp; salaries'!B15</f>
        <v>Admin expenses - Payroll-Employee 81</v>
      </c>
      <c r="C24" s="46" t="str">
        <f>VLOOKUP($B24,Table1[],2,FALSE)</f>
        <v>White collar</v>
      </c>
      <c r="D24" s="46" t="str">
        <f>VLOOKUP($B24,Table1[],3,FALSE)</f>
        <v>Marketing</v>
      </c>
      <c r="E24" s="46" t="str">
        <f>VLOOKUP($B24,Table1[],4,FALSE)</f>
        <v>Baby &amp; Kids</v>
      </c>
      <c r="F24" s="46" t="str">
        <f>VLOOKUP($B24,Table1[],5,FALSE)</f>
        <v>Employee 81</v>
      </c>
      <c r="G24" s="51">
        <f>VLOOKUP($B24,Table1[],6,FALSE)</f>
        <v>2444.5575000000003</v>
      </c>
      <c r="H24" s="51">
        <f>VLOOKUP($B24,Table1[],7,FALSE)</f>
        <v>2716.1750000000002</v>
      </c>
      <c r="I24" s="51">
        <f>VLOOKUP($B24,Table1[],8,FALSE)</f>
        <v>2866.1412500000001</v>
      </c>
      <c r="J24" s="51">
        <f>$I24</f>
        <v>2866.1412500000001</v>
      </c>
      <c r="K24" s="51">
        <f>$I24</f>
        <v>2866.1412500000001</v>
      </c>
      <c r="L24" s="51">
        <f>$I24</f>
        <v>2866.1412500000001</v>
      </c>
      <c r="M24" s="51">
        <f>$I24</f>
        <v>2866.1412500000001</v>
      </c>
      <c r="N24" s="51">
        <f>$I24</f>
        <v>2866.1412500000001</v>
      </c>
    </row>
    <row r="25" spans="1:14" x14ac:dyDescent="0.2">
      <c r="A25" s="67" t="str">
        <f>Table1[[#This Row],[Column1]]&amp;"/"&amp;Table1[[#This Row],[Column5]]</f>
        <v>Admin expenses - Payroll-Employee 10/Employee 10</v>
      </c>
      <c r="B25" s="46" t="str">
        <f>'List of employees &amp; salaries'!B14</f>
        <v>Admin expenses - Payroll-Employee 82</v>
      </c>
      <c r="C25" s="46" t="str">
        <f>VLOOKUP($B25,Table1[],2,FALSE)</f>
        <v>White collar</v>
      </c>
      <c r="D25" s="46" t="str">
        <f>VLOOKUP($B25,Table1[],3,FALSE)</f>
        <v>Marketing</v>
      </c>
      <c r="E25" s="46" t="str">
        <f>VLOOKUP($B25,Table1[],4,FALSE)</f>
        <v>Baby &amp; Kids</v>
      </c>
      <c r="F25" s="46" t="str">
        <f>VLOOKUP($B25,Table1[],5,FALSE)</f>
        <v>Employee 82</v>
      </c>
      <c r="G25" s="51">
        <f>VLOOKUP($B25,Table1[],6,FALSE)</f>
        <v>3626.7558750000003</v>
      </c>
      <c r="H25" s="51">
        <f>VLOOKUP($B25,Table1[],7,FALSE)</f>
        <v>4029.7287500000002</v>
      </c>
      <c r="I25" s="51">
        <f>VLOOKUP($B25,Table1[],8,FALSE)</f>
        <v>4029.7287500000002</v>
      </c>
      <c r="J25" s="51">
        <f>$I25</f>
        <v>4029.7287500000002</v>
      </c>
      <c r="K25" s="51">
        <f>$I25</f>
        <v>4029.7287500000002</v>
      </c>
      <c r="L25" s="51">
        <f>$I25</f>
        <v>4029.7287500000002</v>
      </c>
      <c r="M25" s="51">
        <f>$I25</f>
        <v>4029.7287500000002</v>
      </c>
      <c r="N25" s="51">
        <f>$I25</f>
        <v>4029.7287500000002</v>
      </c>
    </row>
    <row r="26" spans="1:14" x14ac:dyDescent="0.2">
      <c r="A26" s="67" t="str">
        <f>Table1[[#This Row],[Column1]]&amp;"/"&amp;Table1[[#This Row],[Column5]]</f>
        <v>Admin expenses - Payroll-Employee 63/Employee 63</v>
      </c>
      <c r="B26" s="46" t="str">
        <f>'List of employees &amp; salaries'!B26</f>
        <v>Admin expenses - Payroll-Employee 63</v>
      </c>
      <c r="C26" s="46" t="str">
        <f>VLOOKUP($B26,Table1[],2,FALSE)</f>
        <v>White collar</v>
      </c>
      <c r="D26" s="46" t="str">
        <f>VLOOKUP($B26,Table1[],3,FALSE)</f>
        <v>Finance</v>
      </c>
      <c r="E26" s="46" t="str">
        <f>VLOOKUP($B26,Table1[],4,FALSE)</f>
        <v>Home care</v>
      </c>
      <c r="F26" s="46" t="str">
        <f>VLOOKUP($B26,Table1[],5,FALSE)</f>
        <v>Employee 63</v>
      </c>
      <c r="G26" s="51">
        <f>VLOOKUP($B26,Table1[],6,FALSE)</f>
        <v>1056.1167</v>
      </c>
      <c r="H26" s="51">
        <f>VLOOKUP($B26,Table1[],7,FALSE)</f>
        <v>1173.463</v>
      </c>
      <c r="I26" s="51">
        <f>VLOOKUP($B26,Table1[],8,FALSE)</f>
        <v>1173.463</v>
      </c>
      <c r="J26" s="51">
        <f>I26*1.07</f>
        <v>1255.6054100000001</v>
      </c>
      <c r="K26" s="51">
        <f>J26*1.07</f>
        <v>1343.4977887000002</v>
      </c>
      <c r="L26" s="51">
        <f>K26*1.07</f>
        <v>1437.5426339090004</v>
      </c>
      <c r="M26" s="51">
        <f>L26*1.07</f>
        <v>1538.1706182826306</v>
      </c>
      <c r="N26" s="51">
        <f>M26*1.07</f>
        <v>1645.8425615624149</v>
      </c>
    </row>
    <row r="27" spans="1:14" x14ac:dyDescent="0.2">
      <c r="A27" s="67" t="str">
        <f>Table1[[#This Row],[Column1]]&amp;"/"&amp;Table1[[#This Row],[Column5]]</f>
        <v>Admin expenses - Payroll-Employee 61/Employee 61</v>
      </c>
      <c r="B27" s="46" t="str">
        <f>'List of employees &amp; salaries'!B27</f>
        <v>Admin expenses - Payroll-Employee 61</v>
      </c>
      <c r="C27" s="46" t="str">
        <f>VLOOKUP($B27,Table1[],2,FALSE)</f>
        <v>White collar</v>
      </c>
      <c r="D27" s="46" t="str">
        <f>VLOOKUP($B27,Table1[],3,FALSE)</f>
        <v>Finance</v>
      </c>
      <c r="E27" s="46" t="str">
        <f>VLOOKUP($B27,Table1[],4,FALSE)</f>
        <v>Home care</v>
      </c>
      <c r="F27" s="46" t="str">
        <f>VLOOKUP($B27,Table1[],5,FALSE)</f>
        <v>Employee 61</v>
      </c>
      <c r="G27" s="51">
        <f>VLOOKUP($B27,Table1[],6,FALSE)</f>
        <v>1693.7788499999999</v>
      </c>
      <c r="H27" s="51">
        <f>VLOOKUP($B27,Table1[],7,FALSE)</f>
        <v>1881.9765</v>
      </c>
      <c r="I27" s="51">
        <f>VLOOKUP($B27,Table1[],8,FALSE)</f>
        <v>2221</v>
      </c>
      <c r="J27" s="51">
        <f>I27*1.07</f>
        <v>2376.4700000000003</v>
      </c>
      <c r="K27" s="51">
        <f>J27*1.07</f>
        <v>2542.8229000000006</v>
      </c>
      <c r="L27" s="51">
        <f>K27*1.07</f>
        <v>2720.8205030000008</v>
      </c>
      <c r="M27" s="51">
        <f>L27*1.07</f>
        <v>2911.2779382100011</v>
      </c>
      <c r="N27" s="51">
        <f>M27*1.07</f>
        <v>3115.0673938847012</v>
      </c>
    </row>
    <row r="28" spans="1:14" x14ac:dyDescent="0.2">
      <c r="A28" s="67" t="str">
        <f>Table1[[#This Row],[Column1]]&amp;"/"&amp;Table1[[#This Row],[Column5]]</f>
        <v>Admin expenses - Payroll-Employee 55/Employee 55</v>
      </c>
      <c r="B28" s="46" t="str">
        <f>'List of employees &amp; salaries'!B28</f>
        <v>Admin expenses - Payroll-Employee 55</v>
      </c>
      <c r="C28" s="46" t="str">
        <f>VLOOKUP($B28,Table1[],2,FALSE)</f>
        <v>White collar</v>
      </c>
      <c r="D28" s="46" t="str">
        <f>VLOOKUP($B28,Table1[],3,FALSE)</f>
        <v>Finance</v>
      </c>
      <c r="E28" s="46" t="str">
        <f>VLOOKUP($B28,Table1[],4,FALSE)</f>
        <v>Home care</v>
      </c>
      <c r="F28" s="46" t="str">
        <f>VLOOKUP($B28,Table1[],5,FALSE)</f>
        <v>Employee 55</v>
      </c>
      <c r="G28" s="51">
        <f>VLOOKUP($B28,Table1[],6,FALSE)</f>
        <v>1079.01675</v>
      </c>
      <c r="H28" s="51">
        <f>VLOOKUP($B28,Table1[],7,FALSE)</f>
        <v>1198.9075</v>
      </c>
      <c r="I28" s="51">
        <f>VLOOKUP($B28,Table1[],8,FALSE)</f>
        <v>1198.9075</v>
      </c>
      <c r="J28" s="51">
        <f>I28*1.07</f>
        <v>1282.8310250000002</v>
      </c>
      <c r="K28" s="51">
        <f>J28*1.07</f>
        <v>1372.6291967500003</v>
      </c>
      <c r="L28" s="51">
        <f>K28*1.07</f>
        <v>1468.7132405225004</v>
      </c>
      <c r="M28" s="51">
        <f>L28*1.07</f>
        <v>1571.5231673590756</v>
      </c>
      <c r="N28" s="51">
        <f>M28*1.07</f>
        <v>1681.5297890742111</v>
      </c>
    </row>
    <row r="29" spans="1:14" x14ac:dyDescent="0.2">
      <c r="A29" s="67" t="str">
        <f>Table1[[#This Row],[Column1]]&amp;"/"&amp;Table1[[#This Row],[Column5]]</f>
        <v>Admin expenses - Payroll-Employee 43/Employee 43</v>
      </c>
      <c r="B29" s="46" t="str">
        <f>'List of employees &amp; salaries'!B29</f>
        <v>Admin expenses - Payroll-Employee 43</v>
      </c>
      <c r="C29" s="46" t="str">
        <f>VLOOKUP($B29,Table1[],2,FALSE)</f>
        <v>White collar</v>
      </c>
      <c r="D29" s="46" t="str">
        <f>VLOOKUP($B29,Table1[],3,FALSE)</f>
        <v>Finance</v>
      </c>
      <c r="E29" s="46" t="str">
        <f>VLOOKUP($B29,Table1[],4,FALSE)</f>
        <v>Home care</v>
      </c>
      <c r="F29" s="46" t="str">
        <f>VLOOKUP($B29,Table1[],5,FALSE)</f>
        <v>Employee 43</v>
      </c>
      <c r="G29" s="51">
        <f>VLOOKUP($B29,Table1[],6,FALSE)</f>
        <v>1128.1518000000001</v>
      </c>
      <c r="H29" s="51">
        <f>VLOOKUP($B29,Table1[],7,FALSE)</f>
        <v>1253.502</v>
      </c>
      <c r="I29" s="51">
        <f>VLOOKUP($B29,Table1[],8,FALSE)</f>
        <v>1712</v>
      </c>
      <c r="J29" s="51">
        <f>I29*1.07</f>
        <v>1831.8400000000001</v>
      </c>
      <c r="K29" s="51">
        <f>J29*1.07</f>
        <v>1960.0688000000002</v>
      </c>
      <c r="L29" s="51">
        <f>K29*1.07</f>
        <v>2097.2736160000004</v>
      </c>
      <c r="M29" s="51">
        <f>L29*1.07</f>
        <v>2244.0827691200006</v>
      </c>
      <c r="N29" s="51">
        <f>M29*1.07</f>
        <v>2401.1685629584008</v>
      </c>
    </row>
    <row r="30" spans="1:14" x14ac:dyDescent="0.2">
      <c r="A30" s="67" t="str">
        <f>Table1[[#This Row],[Column1]]&amp;"/"&amp;Table1[[#This Row],[Column5]]</f>
        <v>Admin expenses - Payroll-Employee 42/Employee 42</v>
      </c>
      <c r="B30" s="46" t="str">
        <f>'List of employees &amp; salaries'!B30</f>
        <v>Admin expenses - Payroll-Employee 42</v>
      </c>
      <c r="C30" s="46" t="str">
        <f>VLOOKUP($B30,Table1[],2,FALSE)</f>
        <v>White collar</v>
      </c>
      <c r="D30" s="46" t="str">
        <f>VLOOKUP($B30,Table1[],3,FALSE)</f>
        <v>Finance</v>
      </c>
      <c r="E30" s="46" t="str">
        <f>VLOOKUP($B30,Table1[],4,FALSE)</f>
        <v>Home care</v>
      </c>
      <c r="F30" s="46" t="str">
        <f>VLOOKUP($B30,Table1[],5,FALSE)</f>
        <v>Employee 42</v>
      </c>
      <c r="G30" s="51">
        <f>VLOOKUP($B30,Table1[],6,FALSE)</f>
        <v>1714.0887</v>
      </c>
      <c r="H30" s="51">
        <f>VLOOKUP($B30,Table1[],7,FALSE)</f>
        <v>1904.5429999999999</v>
      </c>
      <c r="I30" s="51">
        <f>VLOOKUP($B30,Table1[],8,FALSE)</f>
        <v>1904.5429999999999</v>
      </c>
      <c r="J30" s="51">
        <f>I30*1.07</f>
        <v>2037.8610100000001</v>
      </c>
      <c r="K30" s="51">
        <f>J30*1.07</f>
        <v>2180.5112807</v>
      </c>
      <c r="L30" s="51">
        <f>K30*1.07</f>
        <v>2333.1470703490004</v>
      </c>
      <c r="M30" s="51">
        <f>L30*1.07</f>
        <v>2496.4673652734305</v>
      </c>
      <c r="N30" s="51">
        <f>M30*1.07</f>
        <v>2671.220080842571</v>
      </c>
    </row>
    <row r="31" spans="1:14" x14ac:dyDescent="0.2">
      <c r="A31" s="67" t="str">
        <f>Table1[[#This Row],[Column1]]&amp;"/"&amp;Table1[[#This Row],[Column5]]</f>
        <v>Admin expenses - Payroll-Employee 40/Employee 40</v>
      </c>
      <c r="B31" s="46" t="str">
        <f>'List of employees &amp; salaries'!B31</f>
        <v>Admin expenses - Payroll-Employee 40</v>
      </c>
      <c r="C31" s="46" t="str">
        <f>VLOOKUP($B31,Table1[],2,FALSE)</f>
        <v>White collar</v>
      </c>
      <c r="D31" s="46" t="str">
        <f>VLOOKUP($B31,Table1[],3,FALSE)</f>
        <v>Finance</v>
      </c>
      <c r="E31" s="46" t="str">
        <f>VLOOKUP($B31,Table1[],4,FALSE)</f>
        <v>Home care</v>
      </c>
      <c r="F31" s="46" t="str">
        <f>VLOOKUP($B31,Table1[],5,FALSE)</f>
        <v>Employee 40</v>
      </c>
      <c r="G31" s="51">
        <f>VLOOKUP($B31,Table1[],6,FALSE)</f>
        <v>1664.6242499999998</v>
      </c>
      <c r="H31" s="51">
        <f>VLOOKUP($B31,Table1[],7,FALSE)</f>
        <v>1849.5824999999998</v>
      </c>
      <c r="I31" s="51">
        <f>VLOOKUP($B31,Table1[],8,FALSE)</f>
        <v>2520.3130000000001</v>
      </c>
      <c r="J31" s="51">
        <f>I31*1.07</f>
        <v>2696.7349100000001</v>
      </c>
      <c r="K31" s="51">
        <f>J31*1.07</f>
        <v>2885.5063537000001</v>
      </c>
      <c r="L31" s="51">
        <f>K31*1.07</f>
        <v>3087.4917984590002</v>
      </c>
      <c r="M31" s="51">
        <f>L31*1.07</f>
        <v>3303.6162243511303</v>
      </c>
      <c r="N31" s="51">
        <f>M31*1.07</f>
        <v>3534.8693600557094</v>
      </c>
    </row>
    <row r="32" spans="1:14" x14ac:dyDescent="0.2">
      <c r="A32" s="67" t="str">
        <f>Table1[[#This Row],[Column1]]&amp;"/"&amp;Table1[[#This Row],[Column5]]</f>
        <v>Admin expenses - Payroll-Employee 2/Employee 2</v>
      </c>
      <c r="B32" s="46" t="str">
        <f>'List of employees &amp; salaries'!B32</f>
        <v>Admin expenses - Payroll-Employee 2</v>
      </c>
      <c r="C32" s="46" t="str">
        <f>VLOOKUP($B32,Table1[],2,FALSE)</f>
        <v>Manager</v>
      </c>
      <c r="D32" s="46" t="str">
        <f>VLOOKUP($B32,Table1[],3,FALSE)</f>
        <v>Production</v>
      </c>
      <c r="E32" s="46" t="str">
        <f>VLOOKUP($B32,Table1[],4,FALSE)</f>
        <v>Home care</v>
      </c>
      <c r="F32" s="46" t="str">
        <f>VLOOKUP($B32,Table1[],5,FALSE)</f>
        <v>Employee 2</v>
      </c>
      <c r="G32" s="51">
        <f>VLOOKUP($B32,Table1[],6,FALSE)</f>
        <v>22546.786500000002</v>
      </c>
      <c r="H32" s="51">
        <f>VLOOKUP($B32,Table1[],7,FALSE)</f>
        <v>25051.985000000001</v>
      </c>
      <c r="I32" s="51">
        <f>VLOOKUP($B32,Table1[],8,FALSE)</f>
        <v>27708.37</v>
      </c>
      <c r="J32" s="51">
        <f>I32*1.1</f>
        <v>30479.207000000002</v>
      </c>
      <c r="K32" s="51">
        <f>J32*1.1</f>
        <v>33527.127700000005</v>
      </c>
      <c r="L32" s="51">
        <f>K32*1.1</f>
        <v>36879.84047000001</v>
      </c>
      <c r="M32" s="51">
        <f>L32*1.1</f>
        <v>40567.824517000015</v>
      </c>
      <c r="N32" s="51">
        <f>M32*1.1</f>
        <v>44624.60696870002</v>
      </c>
    </row>
    <row r="33" spans="1:14" x14ac:dyDescent="0.2">
      <c r="A33" s="67" t="str">
        <f>Table1[[#This Row],[Column1]]&amp;"/"&amp;Table1[[#This Row],[Column5]]</f>
        <v>Admin expenses - Payroll-Employee 138/Employee 138</v>
      </c>
      <c r="B33" s="46" t="str">
        <f>'List of employees &amp; salaries'!B33</f>
        <v>Admin expenses - Payroll-Employee 138</v>
      </c>
      <c r="C33" s="46" t="str">
        <f>VLOOKUP($B33,Table1[],2,FALSE)</f>
        <v>Manager</v>
      </c>
      <c r="D33" s="46" t="str">
        <f>VLOOKUP($B33,Table1[],3,FALSE)</f>
        <v>Production</v>
      </c>
      <c r="E33" s="46" t="str">
        <f>VLOOKUP($B33,Table1[],4,FALSE)</f>
        <v>Home care</v>
      </c>
      <c r="F33" s="46" t="str">
        <f>VLOOKUP($B33,Table1[],5,FALSE)</f>
        <v>Employee 138</v>
      </c>
      <c r="G33" s="51">
        <f>VLOOKUP($B33,Table1[],6,FALSE)</f>
        <v>32499.017999999996</v>
      </c>
      <c r="H33" s="51">
        <f>VLOOKUP($B33,Table1[],7,FALSE)</f>
        <v>36110.019999999997</v>
      </c>
      <c r="I33" s="51">
        <f>VLOOKUP($B33,Table1[],8,FALSE)</f>
        <v>37731.175000000003</v>
      </c>
      <c r="J33" s="51">
        <f>I33*1.1</f>
        <v>41504.292500000003</v>
      </c>
      <c r="K33" s="51">
        <f>J33*1.1</f>
        <v>45654.721750000004</v>
      </c>
      <c r="L33" s="51">
        <f>K33*1.1</f>
        <v>50220.193925000007</v>
      </c>
      <c r="M33" s="51">
        <f>L33*1.1</f>
        <v>55242.213317500013</v>
      </c>
      <c r="N33" s="51">
        <f>M33*1.1</f>
        <v>60766.434649250019</v>
      </c>
    </row>
    <row r="34" spans="1:14" x14ac:dyDescent="0.2">
      <c r="A34" s="67" t="str">
        <f>Table1[[#This Row],[Column1]]&amp;"/"&amp;Table1[[#This Row],[Column5]]</f>
        <v>Admin expenses - Payroll-Employee 136/Employee 136</v>
      </c>
      <c r="B34" s="46" t="str">
        <f>'List of employees &amp; salaries'!B34</f>
        <v>Admin expenses - Payroll-Employee 136</v>
      </c>
      <c r="C34" s="46" t="str">
        <f>VLOOKUP($B34,Table1[],2,FALSE)</f>
        <v>Blue collar</v>
      </c>
      <c r="D34" s="46" t="str">
        <f>VLOOKUP($B34,Table1[],3,FALSE)</f>
        <v>Production</v>
      </c>
      <c r="E34" s="46" t="str">
        <f>VLOOKUP($B34,Table1[],4,FALSE)</f>
        <v>Home care</v>
      </c>
      <c r="F34" s="46" t="str">
        <f>VLOOKUP($B34,Table1[],5,FALSE)</f>
        <v>Employee 136</v>
      </c>
      <c r="G34" s="51">
        <f>VLOOKUP($B34,Table1[],6,FALSE)</f>
        <v>10550.322</v>
      </c>
      <c r="H34" s="51">
        <f>VLOOKUP($B34,Table1[],7,FALSE)</f>
        <v>11722.58</v>
      </c>
      <c r="I34" s="51">
        <f>VLOOKUP($B34,Table1[],8,FALSE)</f>
        <v>17050.25</v>
      </c>
      <c r="J34" s="51">
        <f>I34*1.05</f>
        <v>17902.762500000001</v>
      </c>
      <c r="K34" s="51">
        <f>J34*1.05</f>
        <v>18797.900625000002</v>
      </c>
      <c r="L34" s="51">
        <f>K34*1.05</f>
        <v>19737.795656250004</v>
      </c>
      <c r="M34" s="51">
        <f>L34*1.05</f>
        <v>20724.685439062505</v>
      </c>
      <c r="N34" s="51">
        <f>M34*1.05</f>
        <v>21760.919711015631</v>
      </c>
    </row>
    <row r="35" spans="1:14" x14ac:dyDescent="0.2">
      <c r="A35" s="67" t="str">
        <f>Table1[[#This Row],[Column1]]&amp;"/"&amp;Table1[[#This Row],[Column5]]</f>
        <v>Admin expenses - Payroll-Employee 118/Employee 118</v>
      </c>
      <c r="B35" s="46" t="str">
        <f>'List of employees &amp; salaries'!B35</f>
        <v>Admin expenses - Payroll-Employee 118</v>
      </c>
      <c r="C35" s="46" t="str">
        <f>VLOOKUP($B35,Table1[],2,FALSE)</f>
        <v>Blue collar</v>
      </c>
      <c r="D35" s="46" t="str">
        <f>VLOOKUP($B35,Table1[],3,FALSE)</f>
        <v>Production</v>
      </c>
      <c r="E35" s="46" t="str">
        <f>VLOOKUP($B35,Table1[],4,FALSE)</f>
        <v>Home care</v>
      </c>
      <c r="F35" s="46" t="str">
        <f>VLOOKUP($B35,Table1[],5,FALSE)</f>
        <v>Employee 118</v>
      </c>
      <c r="G35" s="51">
        <f>VLOOKUP($B35,Table1[],6,FALSE)</f>
        <v>10363.068000000001</v>
      </c>
      <c r="H35" s="51">
        <f>VLOOKUP($B35,Table1[],7,FALSE)</f>
        <v>11514.52</v>
      </c>
      <c r="I35" s="51">
        <f>VLOOKUP($B35,Table1[],8,FALSE)</f>
        <v>15764.644999999999</v>
      </c>
      <c r="J35" s="51">
        <f>I35*1.05</f>
        <v>16552.877249999998</v>
      </c>
      <c r="K35" s="51">
        <f>J35*1.05</f>
        <v>17380.521112499999</v>
      </c>
      <c r="L35" s="51">
        <f>K35*1.05</f>
        <v>18249.547168124998</v>
      </c>
      <c r="M35" s="51">
        <f>L35*1.05</f>
        <v>19162.024526531248</v>
      </c>
      <c r="N35" s="51">
        <f>M35*1.05</f>
        <v>20120.12575285781</v>
      </c>
    </row>
    <row r="36" spans="1:14" x14ac:dyDescent="0.2">
      <c r="A36" s="67" t="str">
        <f>Table1[[#This Row],[Column1]]&amp;"/"&amp;Table1[[#This Row],[Column5]]</f>
        <v>Admin expenses - Payroll-Employee 117/Employee 117</v>
      </c>
      <c r="B36" s="46" t="str">
        <f>'List of employees &amp; salaries'!B36</f>
        <v>Admin expenses - Payroll-Employee 117</v>
      </c>
      <c r="C36" s="46" t="str">
        <f>VLOOKUP($B36,Table1[],2,FALSE)</f>
        <v>Blue collar</v>
      </c>
      <c r="D36" s="46" t="str">
        <f>VLOOKUP($B36,Table1[],3,FALSE)</f>
        <v>Production</v>
      </c>
      <c r="E36" s="46" t="str">
        <f>VLOOKUP($B36,Table1[],4,FALSE)</f>
        <v>Home care</v>
      </c>
      <c r="F36" s="46" t="str">
        <f>VLOOKUP($B36,Table1[],5,FALSE)</f>
        <v>Employee 117</v>
      </c>
      <c r="G36" s="51">
        <f>VLOOKUP($B36,Table1[],6,FALSE)</f>
        <v>10693.242</v>
      </c>
      <c r="H36" s="51">
        <f>VLOOKUP($B36,Table1[],7,FALSE)</f>
        <v>11881.38</v>
      </c>
      <c r="I36" s="51">
        <f>VLOOKUP($B36,Table1[],8,FALSE)</f>
        <v>17401.11</v>
      </c>
      <c r="J36" s="51">
        <f>I36*1.05</f>
        <v>18271.165500000003</v>
      </c>
      <c r="K36" s="51">
        <f>J36*1.05</f>
        <v>19184.723775000002</v>
      </c>
      <c r="L36" s="51">
        <f>K36*1.05</f>
        <v>20143.959963750003</v>
      </c>
      <c r="M36" s="51">
        <f>L36*1.05</f>
        <v>21151.157961937504</v>
      </c>
      <c r="N36" s="51">
        <f>M36*1.05</f>
        <v>22208.715860034379</v>
      </c>
    </row>
    <row r="37" spans="1:14" x14ac:dyDescent="0.2">
      <c r="A37" s="67" t="str">
        <f>Table1[[#This Row],[Column1]]&amp;"/"&amp;Table1[[#This Row],[Column5]]</f>
        <v>Admin expenses - Payroll-Employee 116/Employee 116</v>
      </c>
      <c r="B37" s="46" t="str">
        <f>'List of employees &amp; salaries'!B37</f>
        <v>Admin expenses - Payroll-Employee 116</v>
      </c>
      <c r="C37" s="46" t="str">
        <f>VLOOKUP($B37,Table1[],2,FALSE)</f>
        <v>Blue collar</v>
      </c>
      <c r="D37" s="46" t="str">
        <f>VLOOKUP($B37,Table1[],3,FALSE)</f>
        <v>Production</v>
      </c>
      <c r="E37" s="46" t="str">
        <f>VLOOKUP($B37,Table1[],4,FALSE)</f>
        <v>Home care</v>
      </c>
      <c r="F37" s="46" t="str">
        <f>VLOOKUP($B37,Table1[],5,FALSE)</f>
        <v>Employee 116</v>
      </c>
      <c r="G37" s="51">
        <f>VLOOKUP($B37,Table1[],6,FALSE)</f>
        <v>13260.829500000002</v>
      </c>
      <c r="H37" s="51">
        <f>VLOOKUP($B37,Table1[],7,FALSE)</f>
        <v>14734.255000000001</v>
      </c>
      <c r="I37" s="51">
        <f>VLOOKUP($B37,Table1[],8,FALSE)</f>
        <v>17524.010000000002</v>
      </c>
      <c r="J37" s="51">
        <f>I37*1.05</f>
        <v>18400.210500000005</v>
      </c>
      <c r="K37" s="51">
        <f>J37*1.05</f>
        <v>19320.221025000006</v>
      </c>
      <c r="L37" s="51">
        <f>K37*1.05</f>
        <v>20286.232076250006</v>
      </c>
      <c r="M37" s="51">
        <f>L37*1.05</f>
        <v>21300.543680062507</v>
      </c>
      <c r="N37" s="51">
        <f>M37*1.05</f>
        <v>22365.570864065634</v>
      </c>
    </row>
    <row r="38" spans="1:14" x14ac:dyDescent="0.2">
      <c r="A38" s="67" t="str">
        <f>Table1[[#This Row],[Column1]]&amp;"/"&amp;Table1[[#This Row],[Column5]]</f>
        <v>Admin expenses - Payroll-Employee 115/Employee 115</v>
      </c>
      <c r="B38" s="46" t="str">
        <f>'List of employees &amp; salaries'!B38</f>
        <v>Admin expenses - Payroll-Employee 115</v>
      </c>
      <c r="C38" s="46" t="str">
        <f>VLOOKUP($B38,Table1[],2,FALSE)</f>
        <v>Blue collar</v>
      </c>
      <c r="D38" s="46" t="str">
        <f>VLOOKUP($B38,Table1[],3,FALSE)</f>
        <v>Production</v>
      </c>
      <c r="E38" s="46" t="str">
        <f>VLOOKUP($B38,Table1[],4,FALSE)</f>
        <v>Home care</v>
      </c>
      <c r="F38" s="46" t="str">
        <f>VLOOKUP($B38,Table1[],5,FALSE)</f>
        <v>Employee 115</v>
      </c>
      <c r="G38" s="51">
        <f>VLOOKUP($B38,Table1[],6,FALSE)</f>
        <v>14182.56</v>
      </c>
      <c r="H38" s="51">
        <f>VLOOKUP($B38,Table1[],7,FALSE)</f>
        <v>15758.4</v>
      </c>
      <c r="I38" s="51">
        <f>VLOOKUP($B38,Table1[],8,FALSE)</f>
        <v>18070.799999999996</v>
      </c>
      <c r="J38" s="51">
        <f>I38*1.05</f>
        <v>18974.339999999997</v>
      </c>
      <c r="K38" s="51">
        <f>J38*1.05</f>
        <v>19923.056999999997</v>
      </c>
      <c r="L38" s="51">
        <f>K38*1.05</f>
        <v>20919.209849999999</v>
      </c>
      <c r="M38" s="51">
        <f>L38*1.05</f>
        <v>21965.170342500001</v>
      </c>
      <c r="N38" s="51">
        <f>M38*1.05</f>
        <v>23063.428859625001</v>
      </c>
    </row>
    <row r="39" spans="1:14" x14ac:dyDescent="0.2">
      <c r="A39" s="67" t="str">
        <f>Table1[[#This Row],[Column1]]&amp;"/"&amp;Table1[[#This Row],[Column5]]</f>
        <v>Admin expenses - Payroll-Employee 110/Employee 110</v>
      </c>
      <c r="B39" s="46" t="str">
        <f>'List of employees &amp; salaries'!B39</f>
        <v>Admin expenses - Payroll-Employee 110</v>
      </c>
      <c r="C39" s="46" t="str">
        <f>VLOOKUP($B39,Table1[],2,FALSE)</f>
        <v>Blue collar</v>
      </c>
      <c r="D39" s="46" t="str">
        <f>VLOOKUP($B39,Table1[],3,FALSE)</f>
        <v>Production</v>
      </c>
      <c r="E39" s="46" t="str">
        <f>VLOOKUP($B39,Table1[],4,FALSE)</f>
        <v>Home care</v>
      </c>
      <c r="F39" s="46" t="str">
        <f>VLOOKUP($B39,Table1[],5,FALSE)</f>
        <v>Employee 110</v>
      </c>
      <c r="G39" s="51">
        <f>VLOOKUP($B39,Table1[],6,FALSE)</f>
        <v>10526.228999999999</v>
      </c>
      <c r="H39" s="51">
        <f>VLOOKUP($B39,Table1[],7,FALSE)</f>
        <v>11695.81</v>
      </c>
      <c r="I39" s="51">
        <f>VLOOKUP($B39,Table1[],8,FALSE)</f>
        <v>16616.14</v>
      </c>
      <c r="J39" s="51">
        <f>I39*1.05</f>
        <v>17446.947</v>
      </c>
      <c r="K39" s="51">
        <f>J39*1.05</f>
        <v>18319.29435</v>
      </c>
      <c r="L39" s="51">
        <f>K39*1.05</f>
        <v>19235.259067499999</v>
      </c>
      <c r="M39" s="51">
        <f>L39*1.05</f>
        <v>20197.022020875</v>
      </c>
      <c r="N39" s="51">
        <f>M39*1.05</f>
        <v>21206.87312191875</v>
      </c>
    </row>
    <row r="40" spans="1:14" x14ac:dyDescent="0.2">
      <c r="A40" s="67" t="str">
        <f>Table1[[#This Row],[Column1]]&amp;"/"&amp;Table1[[#This Row],[Column5]]</f>
        <v>Admin expenses - Payroll-Employee 109/Employee 109</v>
      </c>
      <c r="B40" s="46" t="str">
        <f>'List of employees &amp; salaries'!B40</f>
        <v>Admin expenses - Payroll-Employee 109</v>
      </c>
      <c r="C40" s="46" t="str">
        <f>VLOOKUP($B40,Table1[],2,FALSE)</f>
        <v>Blue collar</v>
      </c>
      <c r="D40" s="46" t="str">
        <f>VLOOKUP($B40,Table1[],3,FALSE)</f>
        <v>Production</v>
      </c>
      <c r="E40" s="46" t="str">
        <f>VLOOKUP($B40,Table1[],4,FALSE)</f>
        <v>Home care</v>
      </c>
      <c r="F40" s="46" t="str">
        <f>VLOOKUP($B40,Table1[],5,FALSE)</f>
        <v>Employee 109</v>
      </c>
      <c r="G40" s="51">
        <f>VLOOKUP($B40,Table1[],6,FALSE)</f>
        <v>13439.943000000001</v>
      </c>
      <c r="H40" s="51">
        <f>VLOOKUP($B40,Table1[],7,FALSE)</f>
        <v>14933.27</v>
      </c>
      <c r="I40" s="51">
        <f>VLOOKUP($B40,Table1[],8,FALSE)</f>
        <v>19909.219999999998</v>
      </c>
      <c r="J40" s="51">
        <f>I40*1.05</f>
        <v>20904.680999999997</v>
      </c>
      <c r="K40" s="51">
        <f>J40*1.05</f>
        <v>21949.915049999996</v>
      </c>
      <c r="L40" s="51">
        <f>K40*1.05</f>
        <v>23047.410802499995</v>
      </c>
      <c r="M40" s="51">
        <f>L40*1.05</f>
        <v>24199.781342624996</v>
      </c>
      <c r="N40" s="51">
        <f>M40*1.05</f>
        <v>25409.770409756245</v>
      </c>
    </row>
    <row r="41" spans="1:14" x14ac:dyDescent="0.2">
      <c r="A41" s="67" t="str">
        <f>Table1[[#This Row],[Column1]]&amp;"/"&amp;Table1[[#This Row],[Column5]]</f>
        <v>Admin expenses - Payroll-Employee 108/Employee 108</v>
      </c>
      <c r="B41" s="46" t="str">
        <f>'List of employees &amp; salaries'!B41</f>
        <v>Admin expenses - Payroll-Employee 108</v>
      </c>
      <c r="C41" s="46" t="str">
        <f>VLOOKUP($B41,Table1[],2,FALSE)</f>
        <v>Director</v>
      </c>
      <c r="D41" s="46" t="str">
        <f>VLOOKUP($B41,Table1[],3,FALSE)</f>
        <v>Production</v>
      </c>
      <c r="E41" s="46" t="str">
        <f>VLOOKUP($B41,Table1[],4,FALSE)</f>
        <v>Home care</v>
      </c>
      <c r="F41" s="46" t="str">
        <f>VLOOKUP($B41,Table1[],5,FALSE)</f>
        <v>Employee 108</v>
      </c>
      <c r="G41" s="51">
        <f>VLOOKUP($B41,Table1[],6,FALSE)</f>
        <v>41484.307500000003</v>
      </c>
      <c r="H41" s="51">
        <f>VLOOKUP($B41,Table1[],7,FALSE)</f>
        <v>46093.675000000003</v>
      </c>
      <c r="I41" s="51">
        <f>VLOOKUP($B41,Table1[],8,FALSE)</f>
        <v>48737.83</v>
      </c>
      <c r="J41" s="51">
        <f>I41*1.1</f>
        <v>53611.613000000005</v>
      </c>
      <c r="K41" s="51">
        <f>J41*1.1</f>
        <v>58972.774300000012</v>
      </c>
      <c r="L41" s="51">
        <f>K41*1.1</f>
        <v>64870.051730000021</v>
      </c>
      <c r="M41" s="51">
        <f>L41*1.1</f>
        <v>71357.056903000033</v>
      </c>
      <c r="N41" s="51">
        <f>M41*1.1</f>
        <v>78492.762593300038</v>
      </c>
    </row>
    <row r="42" spans="1:14" x14ac:dyDescent="0.2">
      <c r="A42" s="67" t="str">
        <f>Table1[[#This Row],[Column1]]&amp;"/"&amp;Table1[[#This Row],[Column5]]</f>
        <v>Admin expenses - Payroll-Employee 104/Employee 104</v>
      </c>
      <c r="B42" s="46" t="str">
        <f>'List of employees &amp; salaries'!B42</f>
        <v>Admin expenses - Payroll-Employee 104</v>
      </c>
      <c r="C42" s="46" t="str">
        <f>VLOOKUP($B42,Table1[],2,FALSE)</f>
        <v>Blue collar</v>
      </c>
      <c r="D42" s="46" t="str">
        <f>VLOOKUP($B42,Table1[],3,FALSE)</f>
        <v>Production</v>
      </c>
      <c r="E42" s="46" t="str">
        <f>VLOOKUP($B42,Table1[],4,FALSE)</f>
        <v>Home care</v>
      </c>
      <c r="F42" s="46" t="str">
        <f>VLOOKUP($B42,Table1[],5,FALSE)</f>
        <v>Employee 104</v>
      </c>
      <c r="G42" s="51">
        <f>VLOOKUP($B42,Table1[],6,FALSE)</f>
        <v>10314.531000000001</v>
      </c>
      <c r="H42" s="51">
        <f>VLOOKUP($B42,Table1[],7,FALSE)</f>
        <v>11460.59</v>
      </c>
      <c r="I42" s="51">
        <f>VLOOKUP($B42,Table1[],8,FALSE)</f>
        <v>19496.169999999998</v>
      </c>
      <c r="J42" s="51">
        <f>I42*1.05</f>
        <v>20470.978499999997</v>
      </c>
      <c r="K42" s="51">
        <f>J42*1.05</f>
        <v>21494.527424999997</v>
      </c>
      <c r="L42" s="51">
        <f>K42*1.05</f>
        <v>22569.253796249999</v>
      </c>
      <c r="M42" s="51">
        <f>L42*1.05</f>
        <v>23697.716486062502</v>
      </c>
      <c r="N42" s="51">
        <f>M42*1.05</f>
        <v>24882.602310365626</v>
      </c>
    </row>
    <row r="43" spans="1:14" x14ac:dyDescent="0.2">
      <c r="A43" s="67" t="str">
        <f>Table1[[#This Row],[Column1]]&amp;"/"&amp;Table1[[#This Row],[Column5]]</f>
        <v>Admin expenses - Payroll-Employee 1/Employee 1</v>
      </c>
      <c r="B43" s="46" t="str">
        <f>'List of employees &amp; salaries'!B43</f>
        <v>Admin expenses - Payroll-Employee 1</v>
      </c>
      <c r="C43" s="46" t="str">
        <f>VLOOKUP($B43,Table1[],2,FALSE)</f>
        <v>Manager</v>
      </c>
      <c r="D43" s="46" t="str">
        <f>VLOOKUP($B43,Table1[],3,FALSE)</f>
        <v>Production</v>
      </c>
      <c r="E43" s="46" t="str">
        <f>VLOOKUP($B43,Table1[],4,FALSE)</f>
        <v>Home care</v>
      </c>
      <c r="F43" s="46" t="str">
        <f>VLOOKUP($B43,Table1[],5,FALSE)</f>
        <v>Employee 1</v>
      </c>
      <c r="G43" s="51">
        <f>VLOOKUP($B43,Table1[],6,FALSE)</f>
        <v>20531.245500000001</v>
      </c>
      <c r="H43" s="51">
        <f>VLOOKUP($B43,Table1[],7,FALSE)</f>
        <v>22812.494999999999</v>
      </c>
      <c r="I43" s="51">
        <f>VLOOKUP($B43,Table1[],8,FALSE)</f>
        <v>23691.805</v>
      </c>
      <c r="J43" s="51">
        <f>I43*1.1</f>
        <v>26060.985500000003</v>
      </c>
      <c r="K43" s="51">
        <f>J43*1.1</f>
        <v>28667.084050000005</v>
      </c>
      <c r="L43" s="51">
        <f>K43*1.1</f>
        <v>31533.79245500001</v>
      </c>
      <c r="M43" s="51">
        <f>L43*1.1</f>
        <v>34687.17170050001</v>
      </c>
      <c r="N43" s="51">
        <f>M43*1.1</f>
        <v>38155.888870550014</v>
      </c>
    </row>
    <row r="44" spans="1:14" x14ac:dyDescent="0.2">
      <c r="A44" s="67" t="str">
        <f>Table1[[#This Row],[Column1]]&amp;"/"&amp;Table1[[#This Row],[Column5]]</f>
        <v>Admin expenses - Payroll-Employee 9/Employee 9</v>
      </c>
      <c r="B44" s="46" t="str">
        <f>'List of employees &amp; salaries'!B44</f>
        <v>Admin expenses - Payroll-Employee 9</v>
      </c>
      <c r="C44" s="46" t="str">
        <f>VLOOKUP($B44,Table1[],2,FALSE)</f>
        <v>White collar</v>
      </c>
      <c r="D44" s="46" t="str">
        <f>VLOOKUP($B44,Table1[],3,FALSE)</f>
        <v>Sales</v>
      </c>
      <c r="E44" s="46" t="str">
        <f>VLOOKUP($B44,Table1[],4,FALSE)</f>
        <v>Home care</v>
      </c>
      <c r="F44" s="46" t="str">
        <f>VLOOKUP($B44,Table1[],5,FALSE)</f>
        <v>Employee 9</v>
      </c>
      <c r="G44" s="51">
        <f>VLOOKUP($B44,Table1[],6,FALSE)</f>
        <v>3803.64075</v>
      </c>
      <c r="H44" s="51">
        <f>VLOOKUP($B44,Table1[],7,FALSE)</f>
        <v>4226.2674999999999</v>
      </c>
      <c r="I44" s="51">
        <f>VLOOKUP($B44,Table1[],8,FALSE)</f>
        <v>4457.7487499999997</v>
      </c>
      <c r="J44" s="51">
        <f t="shared" ref="J44:J45" si="6">I44*1.1</f>
        <v>4903.5236249999998</v>
      </c>
      <c r="K44" s="51">
        <f t="shared" ref="K44:K45" si="7">J44*1.07</f>
        <v>5246.7702787500002</v>
      </c>
      <c r="L44" s="51">
        <f t="shared" ref="L44:N45" si="8">$K44</f>
        <v>5246.7702787500002</v>
      </c>
      <c r="M44" s="51">
        <f t="shared" si="8"/>
        <v>5246.7702787500002</v>
      </c>
      <c r="N44" s="51">
        <f t="shared" si="8"/>
        <v>5246.7702787500002</v>
      </c>
    </row>
    <row r="45" spans="1:14" x14ac:dyDescent="0.2">
      <c r="A45" s="67" t="str">
        <f>Table1[[#This Row],[Column1]]&amp;"/"&amp;Table1[[#This Row],[Column5]]</f>
        <v>Admin expenses - Payroll-Employee 8/Employee 8</v>
      </c>
      <c r="B45" s="46" t="str">
        <f>'List of employees &amp; salaries'!B45</f>
        <v>Admin expenses - Payroll-Employee 8</v>
      </c>
      <c r="C45" s="46" t="str">
        <f>VLOOKUP($B45,Table1[],2,FALSE)</f>
        <v>White collar</v>
      </c>
      <c r="D45" s="46" t="str">
        <f>VLOOKUP($B45,Table1[],3,FALSE)</f>
        <v>Sales</v>
      </c>
      <c r="E45" s="46" t="str">
        <f>VLOOKUP($B45,Table1[],4,FALSE)</f>
        <v>Home care</v>
      </c>
      <c r="F45" s="46" t="str">
        <f>VLOOKUP($B45,Table1[],5,FALSE)</f>
        <v>Employee 8</v>
      </c>
      <c r="G45" s="51">
        <f>VLOOKUP($B45,Table1[],6,FALSE)</f>
        <v>4033.4141250000002</v>
      </c>
      <c r="H45" s="51">
        <f>VLOOKUP($B45,Table1[],7,FALSE)</f>
        <v>4481.57125</v>
      </c>
      <c r="I45" s="51">
        <f>VLOOKUP($B45,Table1[],8,FALSE)</f>
        <v>5041.6125000000002</v>
      </c>
      <c r="J45" s="51">
        <f t="shared" si="6"/>
        <v>5545.7737500000003</v>
      </c>
      <c r="K45" s="51">
        <f t="shared" si="7"/>
        <v>5933.9779125000005</v>
      </c>
      <c r="L45" s="51">
        <f t="shared" si="8"/>
        <v>5933.9779125000005</v>
      </c>
      <c r="M45" s="51">
        <f t="shared" si="8"/>
        <v>5933.9779125000005</v>
      </c>
      <c r="N45" s="51">
        <f t="shared" si="8"/>
        <v>5933.9779125000005</v>
      </c>
    </row>
    <row r="46" spans="1:14" x14ac:dyDescent="0.2">
      <c r="A46" s="67" t="str">
        <f>Table1[[#This Row],[Column1]]&amp;"/"&amp;Table1[[#This Row],[Column5]]</f>
        <v>Admin expenses - Payroll-Employee 65/Employee 65</v>
      </c>
      <c r="B46" s="46" t="str">
        <f>'List of employees &amp; salaries'!B46</f>
        <v>Admin expenses - Payroll-Employee 65</v>
      </c>
      <c r="C46" s="46" t="str">
        <f>VLOOKUP($B46,Table1[],2,FALSE)</f>
        <v>Manager</v>
      </c>
      <c r="D46" s="46" t="str">
        <f>VLOOKUP($B46,Table1[],3,FALSE)</f>
        <v>Marketing</v>
      </c>
      <c r="E46" s="46" t="str">
        <f>VLOOKUP($B46,Table1[],4,FALSE)</f>
        <v>Home care</v>
      </c>
      <c r="F46" s="46" t="str">
        <f>VLOOKUP($B46,Table1[],5,FALSE)</f>
        <v>Employee 65</v>
      </c>
      <c r="G46" s="51">
        <f>VLOOKUP($B46,Table1[],6,FALSE)</f>
        <v>4068.8966250000012</v>
      </c>
      <c r="H46" s="51">
        <f>VLOOKUP($B46,Table1[],7,FALSE)</f>
        <v>4520.9962500000011</v>
      </c>
      <c r="I46" s="51">
        <f>VLOOKUP($B46,Table1[],8,FALSE)</f>
        <v>4520.9962500000011</v>
      </c>
      <c r="J46" s="51">
        <f>$I46</f>
        <v>4520.9962500000011</v>
      </c>
      <c r="K46" s="51">
        <f>$I46</f>
        <v>4520.9962500000011</v>
      </c>
      <c r="L46" s="51">
        <f>$I46</f>
        <v>4520.9962500000011</v>
      </c>
      <c r="M46" s="51">
        <f>$I46</f>
        <v>4520.9962500000011</v>
      </c>
      <c r="N46" s="51">
        <f>$I46</f>
        <v>4520.9962500000011</v>
      </c>
    </row>
    <row r="47" spans="1:14" x14ac:dyDescent="0.2">
      <c r="A47" s="67" t="str">
        <f>Table1[[#This Row],[Column1]]&amp;"/"&amp;Table1[[#This Row],[Column5]]</f>
        <v>Admin expenses - Payroll-Employee 32/Employee 32</v>
      </c>
      <c r="B47" s="46" t="str">
        <f>'List of employees &amp; salaries'!B47</f>
        <v>Admin expenses - Payroll-Employee 32</v>
      </c>
      <c r="C47" s="46" t="str">
        <f>VLOOKUP($B47,Table1[],2,FALSE)</f>
        <v>Manager</v>
      </c>
      <c r="D47" s="46" t="str">
        <f>VLOOKUP($B47,Table1[],3,FALSE)</f>
        <v>Sales</v>
      </c>
      <c r="E47" s="46" t="str">
        <f>VLOOKUP($B47,Table1[],4,FALSE)</f>
        <v>Home care</v>
      </c>
      <c r="F47" s="46" t="str">
        <f>VLOOKUP($B47,Table1[],5,FALSE)</f>
        <v>Employee 32</v>
      </c>
      <c r="G47" s="51">
        <f>VLOOKUP($B47,Table1[],6,FALSE)</f>
        <v>5259.375</v>
      </c>
      <c r="H47" s="51">
        <f>VLOOKUP($B47,Table1[],7,FALSE)</f>
        <v>5843.75</v>
      </c>
      <c r="I47" s="51">
        <f>VLOOKUP($B47,Table1[],8,FALSE)</f>
        <v>6131.25</v>
      </c>
      <c r="J47" s="51">
        <f t="shared" ref="J47:J49" si="9">I47*1.1</f>
        <v>6744.3750000000009</v>
      </c>
      <c r="K47" s="51">
        <f t="shared" ref="K47:K49" si="10">J47*1.07</f>
        <v>7216.4812500000016</v>
      </c>
      <c r="L47" s="51">
        <f t="shared" ref="L47:N49" si="11">$K47</f>
        <v>7216.4812500000016</v>
      </c>
      <c r="M47" s="51">
        <f t="shared" si="11"/>
        <v>7216.4812500000016</v>
      </c>
      <c r="N47" s="51">
        <f t="shared" si="11"/>
        <v>7216.4812500000016</v>
      </c>
    </row>
    <row r="48" spans="1:14" x14ac:dyDescent="0.2">
      <c r="A48" s="67" t="str">
        <f>Table1[[#This Row],[Column1]]&amp;"/"&amp;Table1[[#This Row],[Column5]]</f>
        <v>Admin expenses - Payroll-Employee 31/Employee 31</v>
      </c>
      <c r="B48" s="46" t="str">
        <f>'List of employees &amp; salaries'!B48</f>
        <v>Admin expenses - Payroll-Employee 31</v>
      </c>
      <c r="C48" s="46" t="str">
        <f>VLOOKUP($B48,Table1[],2,FALSE)</f>
        <v>Manager</v>
      </c>
      <c r="D48" s="46" t="str">
        <f>VLOOKUP($B48,Table1[],3,FALSE)</f>
        <v>Sales</v>
      </c>
      <c r="E48" s="46" t="str">
        <f>VLOOKUP($B48,Table1[],4,FALSE)</f>
        <v>Home care</v>
      </c>
      <c r="F48" s="46" t="str">
        <f>VLOOKUP($B48,Table1[],5,FALSE)</f>
        <v>Employee 31</v>
      </c>
      <c r="G48" s="51">
        <f>VLOOKUP($B48,Table1[],6,FALSE)</f>
        <v>5628.4953750000004</v>
      </c>
      <c r="H48" s="51">
        <f>VLOOKUP($B48,Table1[],7,FALSE)</f>
        <v>6253.88375</v>
      </c>
      <c r="I48" s="51">
        <f>VLOOKUP($B48,Table1[],8,FALSE)</f>
        <v>6499.2887499999997</v>
      </c>
      <c r="J48" s="51">
        <f t="shared" si="9"/>
        <v>7149.2176250000002</v>
      </c>
      <c r="K48" s="51">
        <f t="shared" si="10"/>
        <v>7649.6628587500009</v>
      </c>
      <c r="L48" s="51">
        <f t="shared" si="11"/>
        <v>7649.6628587500009</v>
      </c>
      <c r="M48" s="51">
        <f t="shared" si="11"/>
        <v>7649.6628587500009</v>
      </c>
      <c r="N48" s="51">
        <f t="shared" si="11"/>
        <v>7649.6628587500009</v>
      </c>
    </row>
    <row r="49" spans="1:14" x14ac:dyDescent="0.2">
      <c r="A49" s="67" t="str">
        <f>Table1[[#This Row],[Column1]]&amp;"/"&amp;Table1[[#This Row],[Column5]]</f>
        <v>Admin expenses - Payroll-Employee 3/Employee 3</v>
      </c>
      <c r="B49" s="46" t="str">
        <f>'List of employees &amp; salaries'!B49</f>
        <v>Admin expenses - Payroll-Employee 3</v>
      </c>
      <c r="C49" s="46" t="str">
        <f>VLOOKUP($B49,Table1[],2,FALSE)</f>
        <v>White collar</v>
      </c>
      <c r="D49" s="46" t="str">
        <f>VLOOKUP($B49,Table1[],3,FALSE)</f>
        <v>Sales</v>
      </c>
      <c r="E49" s="46" t="str">
        <f>VLOOKUP($B49,Table1[],4,FALSE)</f>
        <v>Home care</v>
      </c>
      <c r="F49" s="46" t="str">
        <f>VLOOKUP($B49,Table1[],5,FALSE)</f>
        <v>Employee 3</v>
      </c>
      <c r="G49" s="51">
        <f>VLOOKUP($B49,Table1[],6,FALSE)</f>
        <v>4386.9059999999999</v>
      </c>
      <c r="H49" s="51">
        <f>VLOOKUP($B49,Table1[],7,FALSE)</f>
        <v>4874.34</v>
      </c>
      <c r="I49" s="51">
        <f>VLOOKUP($B49,Table1[],8,FALSE)</f>
        <v>4984.9212500000003</v>
      </c>
      <c r="J49" s="51">
        <f t="shared" si="9"/>
        <v>5483.413375000001</v>
      </c>
      <c r="K49" s="51">
        <f t="shared" si="10"/>
        <v>5867.2523112500012</v>
      </c>
      <c r="L49" s="51">
        <f t="shared" si="11"/>
        <v>5867.2523112500012</v>
      </c>
      <c r="M49" s="51">
        <f t="shared" si="11"/>
        <v>5867.2523112500012</v>
      </c>
      <c r="N49" s="51">
        <f t="shared" si="11"/>
        <v>5867.2523112500012</v>
      </c>
    </row>
    <row r="50" spans="1:14" x14ac:dyDescent="0.2">
      <c r="A50" s="67" t="str">
        <f>Table1[[#This Row],[Column1]]&amp;"/"&amp;Table1[[#This Row],[Column5]]</f>
        <v>Admin expenses - Payroll-Employee 53/Employee 53</v>
      </c>
      <c r="B50" s="183" t="str">
        <f>'List of employees &amp; salaries'!B50</f>
        <v>Admin expenses - Payroll-Employee 53</v>
      </c>
      <c r="C50" s="183" t="str">
        <f>VLOOKUP($B50,Table1[],2,FALSE)</f>
        <v>White collar</v>
      </c>
      <c r="D50" s="183" t="str">
        <f>VLOOKUP($B50,Table1[],3,FALSE)</f>
        <v>Finance</v>
      </c>
      <c r="E50" s="183" t="str">
        <f>VLOOKUP($B50,Table1[],4,FALSE)</f>
        <v>Leisure and entertainment</v>
      </c>
      <c r="F50" s="183" t="str">
        <f>VLOOKUP($B50,Table1[],5,FALSE)</f>
        <v>Employee 53</v>
      </c>
      <c r="G50" s="149">
        <f>VLOOKUP($B50,Table1[],6,FALSE)</f>
        <v>1031.2501500000001</v>
      </c>
      <c r="H50" s="149">
        <f>VLOOKUP($B50,Table1[],7,FALSE)</f>
        <v>1145.8335</v>
      </c>
      <c r="I50" s="149">
        <f>VLOOKUP($B50,Table1[],8,FALSE)</f>
        <v>1672.0355000000004</v>
      </c>
      <c r="J50" s="149"/>
      <c r="K50" s="149"/>
      <c r="L50" s="149"/>
      <c r="M50" s="149"/>
      <c r="N50" s="149"/>
    </row>
    <row r="51" spans="1:14" x14ac:dyDescent="0.2">
      <c r="A51" s="67" t="str">
        <f>Table1[[#This Row],[Column1]]&amp;"/"&amp;Table1[[#This Row],[Column5]]</f>
        <v>Admin expenses - Payroll-Employee 49/Employee 49</v>
      </c>
      <c r="B51" s="183" t="str">
        <f>'List of employees &amp; salaries'!B51</f>
        <v>Admin expenses - Payroll-Employee 49</v>
      </c>
      <c r="C51" s="183" t="str">
        <f>VLOOKUP($B51,Table1[],2,FALSE)</f>
        <v>Director</v>
      </c>
      <c r="D51" s="183" t="str">
        <f>VLOOKUP($B51,Table1[],3,FALSE)</f>
        <v>Finance</v>
      </c>
      <c r="E51" s="183" t="str">
        <f>VLOOKUP($B51,Table1[],4,FALSE)</f>
        <v>Leisure and entertainment</v>
      </c>
      <c r="F51" s="183" t="str">
        <f>VLOOKUP($B51,Table1[],5,FALSE)</f>
        <v>Employee 49</v>
      </c>
      <c r="G51" s="149">
        <f>VLOOKUP($B51,Table1[],6,FALSE)</f>
        <v>1016.2457999999998</v>
      </c>
      <c r="H51" s="149">
        <f>VLOOKUP($B51,Table1[],7,FALSE)</f>
        <v>1129.1619999999998</v>
      </c>
      <c r="I51" s="149">
        <f>VLOOKUP($B51,Table1[],8,FALSE)</f>
        <v>1129.1619999999998</v>
      </c>
      <c r="J51" s="149"/>
      <c r="K51" s="149"/>
      <c r="L51" s="149"/>
      <c r="M51" s="149"/>
      <c r="N51" s="149"/>
    </row>
    <row r="52" spans="1:14" x14ac:dyDescent="0.2">
      <c r="A52" s="67" t="str">
        <f>Table1[[#This Row],[Column1]]&amp;"/"&amp;Table1[[#This Row],[Column5]]</f>
        <v>Admin expenses - Payroll-Employee 143/Employee 143</v>
      </c>
      <c r="B52" s="183" t="str">
        <f>'List of employees &amp; salaries'!B52</f>
        <v>Admin expenses - Payroll-Employee 143</v>
      </c>
      <c r="C52" s="183" t="str">
        <f>VLOOKUP($B52,Table1[],2,FALSE)</f>
        <v>Blue collar</v>
      </c>
      <c r="D52" s="183" t="str">
        <f>VLOOKUP($B52,Table1[],3,FALSE)</f>
        <v>Production</v>
      </c>
      <c r="E52" s="183" t="str">
        <f>VLOOKUP($B52,Table1[],4,FALSE)</f>
        <v>Leisure and entertainment</v>
      </c>
      <c r="F52" s="183" t="str">
        <f>VLOOKUP($B52,Table1[],5,FALSE)</f>
        <v>Employee 143</v>
      </c>
      <c r="G52" s="149">
        <f>VLOOKUP($B52,Table1[],6,FALSE)</f>
        <v>10026.994500000001</v>
      </c>
      <c r="H52" s="149">
        <f>VLOOKUP($B52,Table1[],7,FALSE)</f>
        <v>11141.105</v>
      </c>
      <c r="I52" s="149">
        <f>VLOOKUP($B52,Table1[],8,FALSE)</f>
        <v>11572.655000000002</v>
      </c>
      <c r="J52" s="149"/>
      <c r="K52" s="149"/>
      <c r="L52" s="149"/>
      <c r="M52" s="149"/>
      <c r="N52" s="149"/>
    </row>
    <row r="53" spans="1:14" x14ac:dyDescent="0.2">
      <c r="A53" s="67" t="str">
        <f>Table1[[#This Row],[Column1]]&amp;"/"&amp;Table1[[#This Row],[Column5]]</f>
        <v>Admin expenses - Payroll-Employee 121/Employee 121</v>
      </c>
      <c r="B53" s="183" t="str">
        <f>'List of employees &amp; salaries'!B53</f>
        <v>Admin expenses - Payroll-Employee 121</v>
      </c>
      <c r="C53" s="183" t="str">
        <f>VLOOKUP($B53,Table1[],2,FALSE)</f>
        <v>Blue collar</v>
      </c>
      <c r="D53" s="183" t="str">
        <f>VLOOKUP($B53,Table1[],3,FALSE)</f>
        <v>Production</v>
      </c>
      <c r="E53" s="183" t="str">
        <f>VLOOKUP($B53,Table1[],4,FALSE)</f>
        <v>Leisure and entertainment</v>
      </c>
      <c r="F53" s="183" t="str">
        <f>VLOOKUP($B53,Table1[],5,FALSE)</f>
        <v>Employee 121</v>
      </c>
      <c r="G53" s="149">
        <f>VLOOKUP($B53,Table1[],6,FALSE)</f>
        <v>9969.2145</v>
      </c>
      <c r="H53" s="149">
        <f>VLOOKUP($B53,Table1[],7,FALSE)</f>
        <v>11076.905000000001</v>
      </c>
      <c r="I53" s="149">
        <f>VLOOKUP($B53,Table1[],8,FALSE)</f>
        <v>13589.950000000003</v>
      </c>
      <c r="J53" s="149"/>
      <c r="K53" s="149"/>
      <c r="L53" s="149"/>
      <c r="M53" s="149"/>
      <c r="N53" s="149"/>
    </row>
    <row r="54" spans="1:14" x14ac:dyDescent="0.2">
      <c r="A54" s="67" t="str">
        <f>Table1[[#This Row],[Column1]]&amp;"/"&amp;Table1[[#This Row],[Column5]]</f>
        <v>Admin expenses - Payroll-Employee 76/Employee 76</v>
      </c>
      <c r="B54" s="183" t="str">
        <f>'List of employees &amp; salaries'!B54</f>
        <v>Admin expenses - Payroll-Employee 76</v>
      </c>
      <c r="C54" s="183" t="str">
        <f>VLOOKUP($B54,Table1[],2,FALSE)</f>
        <v>White collar</v>
      </c>
      <c r="D54" s="183" t="str">
        <f>VLOOKUP($B54,Table1[],3,FALSE)</f>
        <v>Marketing</v>
      </c>
      <c r="E54" s="183" t="str">
        <f>VLOOKUP($B54,Table1[],4,FALSE)</f>
        <v>Leisure and entertainment</v>
      </c>
      <c r="F54" s="183" t="str">
        <f>VLOOKUP($B54,Table1[],5,FALSE)</f>
        <v>Employee 76</v>
      </c>
      <c r="G54" s="149">
        <f>VLOOKUP($B54,Table1[],6,FALSE)</f>
        <v>2452.2266250000002</v>
      </c>
      <c r="H54" s="149">
        <f>VLOOKUP($B54,Table1[],7,FALSE)</f>
        <v>2724.69625</v>
      </c>
      <c r="I54" s="149">
        <f>VLOOKUP($B54,Table1[],8,FALSE)</f>
        <v>3304.8125</v>
      </c>
      <c r="J54" s="149"/>
      <c r="K54" s="149"/>
      <c r="L54" s="149"/>
      <c r="M54" s="149"/>
      <c r="N54" s="149"/>
    </row>
    <row r="55" spans="1:14" x14ac:dyDescent="0.2">
      <c r="A55" s="67" t="str">
        <f>Table1[[#This Row],[Column1]]&amp;"/"&amp;Table1[[#This Row],[Column5]]</f>
        <v>Admin expenses - Payroll-Employee 73/Employee 73</v>
      </c>
      <c r="B55" s="183" t="str">
        <f>'List of employees &amp; salaries'!B55</f>
        <v>Admin expenses - Payroll-Employee 73</v>
      </c>
      <c r="C55" s="183" t="str">
        <f>VLOOKUP($B55,Table1[],2,FALSE)</f>
        <v>White collar</v>
      </c>
      <c r="D55" s="183" t="str">
        <f>VLOOKUP($B55,Table1[],3,FALSE)</f>
        <v>Marketing</v>
      </c>
      <c r="E55" s="183" t="str">
        <f>VLOOKUP($B55,Table1[],4,FALSE)</f>
        <v>Leisure and entertainment</v>
      </c>
      <c r="F55" s="183" t="str">
        <f>VLOOKUP($B55,Table1[],5,FALSE)</f>
        <v>Employee 73</v>
      </c>
      <c r="G55" s="149">
        <f>VLOOKUP($B55,Table1[],6,FALSE)</f>
        <v>2570.0658749999998</v>
      </c>
      <c r="H55" s="149">
        <f>VLOOKUP($B55,Table1[],7,FALSE)</f>
        <v>2855.6287499999999</v>
      </c>
      <c r="I55" s="149">
        <f>VLOOKUP($B55,Table1[],8,FALSE)</f>
        <v>3540.6412499999997</v>
      </c>
      <c r="J55" s="149"/>
      <c r="K55" s="149"/>
      <c r="L55" s="149"/>
      <c r="M55" s="149"/>
      <c r="N55" s="149"/>
    </row>
    <row r="56" spans="1:14" x14ac:dyDescent="0.2">
      <c r="A56" s="67" t="str">
        <f>Table1[[#This Row],[Column1]]&amp;"/"&amp;Table1[[#This Row],[Column5]]</f>
        <v>Admin expenses - Payroll-Employee 72/Employee 72</v>
      </c>
      <c r="B56" s="183" t="str">
        <f>'List of employees &amp; salaries'!B56</f>
        <v>Admin expenses - Payroll-Employee 72</v>
      </c>
      <c r="C56" s="183" t="str">
        <f>VLOOKUP($B56,Table1[],2,FALSE)</f>
        <v>White collar</v>
      </c>
      <c r="D56" s="183" t="str">
        <f>VLOOKUP($B56,Table1[],3,FALSE)</f>
        <v>Marketing</v>
      </c>
      <c r="E56" s="183" t="str">
        <f>VLOOKUP($B56,Table1[],4,FALSE)</f>
        <v>Leisure and entertainment</v>
      </c>
      <c r="F56" s="183" t="str">
        <f>VLOOKUP($B56,Table1[],5,FALSE)</f>
        <v>Employee 72</v>
      </c>
      <c r="G56" s="149">
        <f>VLOOKUP($B56,Table1[],6,FALSE)</f>
        <v>2560.0477500000002</v>
      </c>
      <c r="H56" s="149">
        <f>VLOOKUP($B56,Table1[],7,FALSE)</f>
        <v>2844.4974999999999</v>
      </c>
      <c r="I56" s="149">
        <f>VLOOKUP($B56,Table1[],8,FALSE)</f>
        <v>3669.95</v>
      </c>
      <c r="J56" s="149"/>
      <c r="K56" s="149"/>
      <c r="L56" s="149"/>
      <c r="M56" s="149"/>
      <c r="N56" s="149"/>
    </row>
    <row r="57" spans="1:14" x14ac:dyDescent="0.2">
      <c r="A57" s="67" t="str">
        <f>Table1[[#This Row],[Column1]]&amp;"/"&amp;Table1[[#This Row],[Column5]]</f>
        <v>Admin expenses - Payroll-Employee 71/Employee 71</v>
      </c>
      <c r="B57" s="183" t="str">
        <f>'List of employees &amp; salaries'!B57</f>
        <v>Admin expenses - Payroll-Employee 71</v>
      </c>
      <c r="C57" s="183" t="str">
        <f>VLOOKUP($B57,Table1[],2,FALSE)</f>
        <v>White collar</v>
      </c>
      <c r="D57" s="183" t="str">
        <f>VLOOKUP($B57,Table1[],3,FALSE)</f>
        <v>Marketing</v>
      </c>
      <c r="E57" s="183" t="str">
        <f>VLOOKUP($B57,Table1[],4,FALSE)</f>
        <v>Leisure and entertainment</v>
      </c>
      <c r="F57" s="183" t="str">
        <f>VLOOKUP($B57,Table1[],5,FALSE)</f>
        <v>Employee 71</v>
      </c>
      <c r="G57" s="149">
        <f>VLOOKUP($B57,Table1[],6,FALSE)</f>
        <v>3376.0158750000001</v>
      </c>
      <c r="H57" s="149">
        <f>VLOOKUP($B57,Table1[],7,FALSE)</f>
        <v>3751.1287499999999</v>
      </c>
      <c r="I57" s="149">
        <f>VLOOKUP($B57,Table1[],8,FALSE)</f>
        <v>3751.1287499999999</v>
      </c>
      <c r="J57" s="149"/>
      <c r="K57" s="149"/>
      <c r="L57" s="149"/>
      <c r="M57" s="149"/>
      <c r="N57" s="149"/>
    </row>
    <row r="58" spans="1:14" x14ac:dyDescent="0.2">
      <c r="A58" s="67" t="str">
        <f>Table1[[#This Row],[Column1]]&amp;"/"&amp;Table1[[#This Row],[Column5]]</f>
        <v>Admin expenses - Payroll-Employee 68/Employee 68</v>
      </c>
      <c r="B58" s="183" t="str">
        <f>'List of employees &amp; salaries'!B58</f>
        <v>Admin expenses - Payroll-Employee 68</v>
      </c>
      <c r="C58" s="183" t="str">
        <f>VLOOKUP($B58,Table1[],2,FALSE)</f>
        <v>White collar</v>
      </c>
      <c r="D58" s="183" t="str">
        <f>VLOOKUP($B58,Table1[],3,FALSE)</f>
        <v>Marketing</v>
      </c>
      <c r="E58" s="183" t="str">
        <f>VLOOKUP($B58,Table1[],4,FALSE)</f>
        <v>Leisure and entertainment</v>
      </c>
      <c r="F58" s="183" t="str">
        <f>VLOOKUP($B58,Table1[],5,FALSE)</f>
        <v>Employee 68</v>
      </c>
      <c r="G58" s="149">
        <f>VLOOKUP($B58,Table1[],6,FALSE)</f>
        <v>3462.325875</v>
      </c>
      <c r="H58" s="149">
        <f>VLOOKUP($B58,Table1[],7,FALSE)</f>
        <v>3847.0287499999999</v>
      </c>
      <c r="I58" s="149">
        <f>VLOOKUP($B58,Table1[],8,FALSE)</f>
        <v>4238.2837499999996</v>
      </c>
      <c r="J58" s="149"/>
      <c r="K58" s="149"/>
      <c r="L58" s="149"/>
      <c r="M58" s="149"/>
      <c r="N58" s="149"/>
    </row>
    <row r="59" spans="1:14" x14ac:dyDescent="0.2">
      <c r="A59" s="67" t="str">
        <f>Table1[[#This Row],[Column1]]&amp;"/"&amp;Table1[[#This Row],[Column5]]</f>
        <v>Admin expenses - Payroll-Employee 66/Employee 66</v>
      </c>
      <c r="B59" s="183" t="str">
        <f>'List of employees &amp; salaries'!B59</f>
        <v>Admin expenses - Payroll-Employee 66</v>
      </c>
      <c r="C59" s="183" t="str">
        <f>VLOOKUP($B59,Table1[],2,FALSE)</f>
        <v>Manager</v>
      </c>
      <c r="D59" s="183" t="str">
        <f>VLOOKUP($B59,Table1[],3,FALSE)</f>
        <v>Marketing</v>
      </c>
      <c r="E59" s="183" t="str">
        <f>VLOOKUP($B59,Table1[],4,FALSE)</f>
        <v>Leisure and entertainment</v>
      </c>
      <c r="F59" s="183" t="str">
        <f>VLOOKUP($B59,Table1[],5,FALSE)</f>
        <v>Employee 66</v>
      </c>
      <c r="G59" s="149">
        <f>VLOOKUP($B59,Table1[],6,FALSE)</f>
        <v>3437.41725</v>
      </c>
      <c r="H59" s="149">
        <f>VLOOKUP($B59,Table1[],7,FALSE)</f>
        <v>3819.3525</v>
      </c>
      <c r="I59" s="149">
        <f>VLOOKUP($B59,Table1[],8,FALSE)</f>
        <v>4471.92</v>
      </c>
      <c r="J59" s="149"/>
      <c r="K59" s="149"/>
      <c r="L59" s="149"/>
      <c r="M59" s="149"/>
      <c r="N59" s="149"/>
    </row>
    <row r="60" spans="1:14" x14ac:dyDescent="0.2">
      <c r="A60" s="67" t="str">
        <f>Table1[[#This Row],[Column1]]&amp;"/"&amp;Table1[[#This Row],[Column5]]</f>
        <v>Admin expenses - Payroll-Employee 12/Employee 12</v>
      </c>
      <c r="B60" s="183" t="str">
        <f>'List of employees &amp; salaries'!B60</f>
        <v>Admin expenses - Payroll-Employee 12</v>
      </c>
      <c r="C60" s="183" t="str">
        <f>VLOOKUP($B60,Table1[],2,FALSE)</f>
        <v>White collar</v>
      </c>
      <c r="D60" s="183" t="str">
        <f>VLOOKUP($B60,Table1[],3,FALSE)</f>
        <v>Sales</v>
      </c>
      <c r="E60" s="183" t="str">
        <f>VLOOKUP($B60,Table1[],4,FALSE)</f>
        <v>Leisure and entertainment</v>
      </c>
      <c r="F60" s="183" t="str">
        <f>VLOOKUP($B60,Table1[],5,FALSE)</f>
        <v>Employee 12</v>
      </c>
      <c r="G60" s="149">
        <f>VLOOKUP($B60,Table1[],6,FALSE)</f>
        <v>3371.65425</v>
      </c>
      <c r="H60" s="149">
        <f>VLOOKUP($B60,Table1[],7,FALSE)</f>
        <v>3746.2824999999998</v>
      </c>
      <c r="I60" s="149">
        <f>VLOOKUP($B60,Table1[],8,FALSE)</f>
        <v>3746.2824999999998</v>
      </c>
      <c r="J60" s="149"/>
      <c r="K60" s="149"/>
      <c r="L60" s="149"/>
      <c r="M60" s="149"/>
      <c r="N60" s="149"/>
    </row>
    <row r="61" spans="1:14" x14ac:dyDescent="0.2">
      <c r="A61" s="67" t="str">
        <f>Table1[[#This Row],[Column1]]&amp;"/"&amp;Table1[[#This Row],[Column5]]</f>
        <v>Admin expenses - Payroll-Employee 11/Employee 11</v>
      </c>
      <c r="B61" s="183" t="str">
        <f>'List of employees &amp; salaries'!B61</f>
        <v>Admin expenses - Payroll-Employee 11</v>
      </c>
      <c r="C61" s="183" t="str">
        <f>VLOOKUP($B61,Table1[],2,FALSE)</f>
        <v>White collar</v>
      </c>
      <c r="D61" s="183" t="str">
        <f>VLOOKUP($B61,Table1[],3,FALSE)</f>
        <v>Sales</v>
      </c>
      <c r="E61" s="183" t="str">
        <f>VLOOKUP($B61,Table1[],4,FALSE)</f>
        <v>Leisure and entertainment</v>
      </c>
      <c r="F61" s="183" t="str">
        <f>VLOOKUP($B61,Table1[],5,FALSE)</f>
        <v>Employee 11</v>
      </c>
      <c r="G61" s="149">
        <f>VLOOKUP($B61,Table1[],6,FALSE)</f>
        <v>3425.8185000000003</v>
      </c>
      <c r="H61" s="149">
        <f>VLOOKUP($B61,Table1[],7,FALSE)</f>
        <v>3806.4650000000001</v>
      </c>
      <c r="I61" s="149">
        <f>VLOOKUP($B61,Table1[],8,FALSE)</f>
        <v>3916.3337499999998</v>
      </c>
      <c r="J61" s="149"/>
      <c r="K61" s="149"/>
      <c r="L61" s="149"/>
      <c r="M61" s="149"/>
      <c r="N61" s="149"/>
    </row>
    <row r="62" spans="1:14" x14ac:dyDescent="0.2">
      <c r="A62" s="67" t="str">
        <f>Table1[[#This Row],[Column1]]&amp;"/"&amp;Table1[[#This Row],[Column5]]</f>
        <v>Admin expenses - Payroll-Employee 62/Employee 62</v>
      </c>
      <c r="B62" s="46" t="str">
        <f>'List of employees &amp; salaries'!B62</f>
        <v>Admin expenses - Payroll-Employee 62</v>
      </c>
      <c r="C62" s="46" t="str">
        <f>VLOOKUP($B62,Table1[],2,FALSE)</f>
        <v>White collar</v>
      </c>
      <c r="D62" s="46" t="str">
        <f>VLOOKUP($B62,Table1[],3,FALSE)</f>
        <v>Finance</v>
      </c>
      <c r="E62" s="46" t="str">
        <f>VLOOKUP($B62,Table1[],4,FALSE)</f>
        <v>Personal care</v>
      </c>
      <c r="F62" s="46" t="str">
        <f>VLOOKUP($B62,Table1[],5,FALSE)</f>
        <v>Employee 62</v>
      </c>
      <c r="G62" s="51">
        <f>VLOOKUP($B62,Table1[],6,FALSE)</f>
        <v>1725.47685</v>
      </c>
      <c r="H62" s="51">
        <f>VLOOKUP($B62,Table1[],7,FALSE)</f>
        <v>1917.1965</v>
      </c>
      <c r="I62" s="51">
        <f>VLOOKUP($B62,Table1[],8,FALSE)</f>
        <v>2136</v>
      </c>
      <c r="J62" s="51">
        <f>I62*1.07</f>
        <v>2285.52</v>
      </c>
      <c r="K62" s="51">
        <f>J62*1.07</f>
        <v>2445.5064000000002</v>
      </c>
      <c r="L62" s="51">
        <f>K62*1.07</f>
        <v>2616.6918480000004</v>
      </c>
      <c r="M62" s="51">
        <f>L62*1.07</f>
        <v>2799.8602773600005</v>
      </c>
      <c r="N62" s="51">
        <f>M62*1.07</f>
        <v>2995.8504967752006</v>
      </c>
    </row>
    <row r="63" spans="1:14" x14ac:dyDescent="0.2">
      <c r="A63" s="67" t="str">
        <f>Table1[[#This Row],[Column1]]&amp;"/"&amp;Table1[[#This Row],[Column5]]</f>
        <v>Admin expenses - Payroll-Employee 60/Employee 60</v>
      </c>
      <c r="B63" s="46" t="str">
        <f>'List of employees &amp; salaries'!B63</f>
        <v>Admin expenses - Payroll-Employee 60</v>
      </c>
      <c r="C63" s="46" t="str">
        <f>VLOOKUP($B63,Table1[],2,FALSE)</f>
        <v>White collar</v>
      </c>
      <c r="D63" s="46" t="str">
        <f>VLOOKUP($B63,Table1[],3,FALSE)</f>
        <v>Finance</v>
      </c>
      <c r="E63" s="46" t="str">
        <f>VLOOKUP($B63,Table1[],4,FALSE)</f>
        <v>Personal care</v>
      </c>
      <c r="F63" s="46" t="str">
        <f>VLOOKUP($B63,Table1[],5,FALSE)</f>
        <v>Employee 60</v>
      </c>
      <c r="G63" s="51">
        <f>VLOOKUP($B63,Table1[],6,FALSE)</f>
        <v>1973.8071000000002</v>
      </c>
      <c r="H63" s="51">
        <f>VLOOKUP($B63,Table1[],7,FALSE)</f>
        <v>2193.1190000000001</v>
      </c>
      <c r="I63" s="51">
        <f>VLOOKUP($B63,Table1[],8,FALSE)</f>
        <v>2193.1190000000001</v>
      </c>
      <c r="J63" s="51">
        <f>I63*1.07</f>
        <v>2346.6373300000005</v>
      </c>
      <c r="K63" s="51">
        <f>J63*1.07</f>
        <v>2510.9019431000006</v>
      </c>
      <c r="L63" s="51">
        <f>K63*1.07</f>
        <v>2686.6650791170009</v>
      </c>
      <c r="M63" s="51">
        <f>L63*1.07</f>
        <v>2874.7316346551911</v>
      </c>
      <c r="N63" s="51">
        <f>M63*1.07</f>
        <v>3075.9628490810546</v>
      </c>
    </row>
    <row r="64" spans="1:14" x14ac:dyDescent="0.2">
      <c r="A64" s="67" t="str">
        <f>Table1[[#This Row],[Column1]]&amp;"/"&amp;Table1[[#This Row],[Column5]]</f>
        <v>Admin expenses - Payroll-Employee 59/Employee 59</v>
      </c>
      <c r="B64" s="46" t="str">
        <f>'List of employees &amp; salaries'!B64</f>
        <v>Admin expenses - Payroll-Employee 59</v>
      </c>
      <c r="C64" s="46" t="str">
        <f>VLOOKUP($B64,Table1[],2,FALSE)</f>
        <v>Manager</v>
      </c>
      <c r="D64" s="46" t="str">
        <f>VLOOKUP($B64,Table1[],3,FALSE)</f>
        <v>Finance</v>
      </c>
      <c r="E64" s="46" t="str">
        <f>VLOOKUP($B64,Table1[],4,FALSE)</f>
        <v>Personal care</v>
      </c>
      <c r="F64" s="46" t="str">
        <f>VLOOKUP($B64,Table1[],5,FALSE)</f>
        <v>Employee 59</v>
      </c>
      <c r="G64" s="51">
        <f>VLOOKUP($B64,Table1[],6,FALSE)</f>
        <v>1972.4975999999999</v>
      </c>
      <c r="H64" s="51">
        <f>VLOOKUP($B64,Table1[],7,FALSE)</f>
        <v>2191.6639999999998</v>
      </c>
      <c r="I64" s="51">
        <f>VLOOKUP($B64,Table1[],8,FALSE)</f>
        <v>2191.6639999999998</v>
      </c>
      <c r="J64" s="51">
        <f>I64*1.07</f>
        <v>2345.0804800000001</v>
      </c>
      <c r="K64" s="51">
        <f>J64*1.07</f>
        <v>2509.2361136000004</v>
      </c>
      <c r="L64" s="51">
        <f>K64*1.07</f>
        <v>2684.8826415520007</v>
      </c>
      <c r="M64" s="51">
        <f>L64*1.07</f>
        <v>2872.824426460641</v>
      </c>
      <c r="N64" s="51">
        <f>M64*1.07</f>
        <v>3073.9221363128859</v>
      </c>
    </row>
    <row r="65" spans="1:14" x14ac:dyDescent="0.2">
      <c r="A65" s="67" t="str">
        <f>Table1[[#This Row],[Column1]]&amp;"/"&amp;Table1[[#This Row],[Column5]]</f>
        <v>Admin expenses - Payroll-Employee 58/Employee 58</v>
      </c>
      <c r="B65" s="46" t="str">
        <f>'List of employees &amp; salaries'!B65</f>
        <v>Admin expenses - Payroll-Employee 58</v>
      </c>
      <c r="C65" s="46" t="str">
        <f>VLOOKUP($B65,Table1[],2,FALSE)</f>
        <v>Manager</v>
      </c>
      <c r="D65" s="46" t="str">
        <f>VLOOKUP($B65,Table1[],3,FALSE)</f>
        <v>Finance</v>
      </c>
      <c r="E65" s="46" t="str">
        <f>VLOOKUP($B65,Table1[],4,FALSE)</f>
        <v>Personal care</v>
      </c>
      <c r="F65" s="46" t="str">
        <f>VLOOKUP($B65,Table1[],5,FALSE)</f>
        <v>Employee 58</v>
      </c>
      <c r="G65" s="51">
        <f>VLOOKUP($B65,Table1[],6,FALSE)</f>
        <v>2738.6581500000002</v>
      </c>
      <c r="H65" s="51">
        <f>VLOOKUP($B65,Table1[],7,FALSE)</f>
        <v>3042.9535000000001</v>
      </c>
      <c r="I65" s="51">
        <f>VLOOKUP($B65,Table1[],8,FALSE)</f>
        <v>3484</v>
      </c>
      <c r="J65" s="51">
        <f>I65*1.07</f>
        <v>3727.88</v>
      </c>
      <c r="K65" s="51">
        <f>J65*1.07</f>
        <v>3988.8316000000004</v>
      </c>
      <c r="L65" s="51">
        <f>K65*1.07</f>
        <v>4268.0498120000011</v>
      </c>
      <c r="M65" s="51">
        <f>L65*1.07</f>
        <v>4566.8132988400012</v>
      </c>
      <c r="N65" s="51">
        <f>M65*1.07</f>
        <v>4886.4902297588014</v>
      </c>
    </row>
    <row r="66" spans="1:14" x14ac:dyDescent="0.2">
      <c r="A66" s="67" t="str">
        <f>Table1[[#This Row],[Column1]]&amp;"/"&amp;Table1[[#This Row],[Column5]]</f>
        <v>Admin expenses - Payroll-Employee 57/Employee 57</v>
      </c>
      <c r="B66" s="46" t="str">
        <f>'List of employees &amp; salaries'!B66</f>
        <v>Admin expenses - Payroll-Employee 57</v>
      </c>
      <c r="C66" s="46" t="str">
        <f>VLOOKUP($B66,Table1[],2,FALSE)</f>
        <v>Manager</v>
      </c>
      <c r="D66" s="46" t="str">
        <f>VLOOKUP($B66,Table1[],3,FALSE)</f>
        <v>Finance</v>
      </c>
      <c r="E66" s="46" t="str">
        <f>VLOOKUP($B66,Table1[],4,FALSE)</f>
        <v>Personal care</v>
      </c>
      <c r="F66" s="46" t="str">
        <f>VLOOKUP($B66,Table1[],5,FALSE)</f>
        <v>Employee 57</v>
      </c>
      <c r="G66" s="51">
        <f>VLOOKUP($B66,Table1[],6,FALSE)</f>
        <v>3806.7624000000001</v>
      </c>
      <c r="H66" s="51">
        <f>VLOOKUP($B66,Table1[],7,FALSE)</f>
        <v>4229.7359999999999</v>
      </c>
      <c r="I66" s="51">
        <f>VLOOKUP($B66,Table1[],8,FALSE)</f>
        <v>4229.7359999999999</v>
      </c>
      <c r="J66" s="51">
        <f>I66*1.07</f>
        <v>4525.8175200000005</v>
      </c>
      <c r="K66" s="51">
        <f>J66*1.07</f>
        <v>4842.6247464000007</v>
      </c>
      <c r="L66" s="51">
        <f>K66*1.07</f>
        <v>5181.6084786480014</v>
      </c>
      <c r="M66" s="51">
        <f>L66*1.07</f>
        <v>5544.3210721533615</v>
      </c>
      <c r="N66" s="51">
        <f>M66*1.07</f>
        <v>5932.4235472040973</v>
      </c>
    </row>
    <row r="67" spans="1:14" x14ac:dyDescent="0.2">
      <c r="A67" s="67" t="str">
        <f>Table1[[#This Row],[Column1]]&amp;"/"&amp;Table1[[#This Row],[Column5]]</f>
        <v>Admin expenses - Payroll-Employee 41/Employee 41</v>
      </c>
      <c r="B67" s="46" t="str">
        <f>'List of employees &amp; salaries'!B67</f>
        <v>Admin expenses - Payroll-Employee 41</v>
      </c>
      <c r="C67" s="46" t="str">
        <f>VLOOKUP($B67,Table1[],2,FALSE)</f>
        <v>White collar</v>
      </c>
      <c r="D67" s="46" t="str">
        <f>VLOOKUP($B67,Table1[],3,FALSE)</f>
        <v>Finance</v>
      </c>
      <c r="E67" s="46" t="str">
        <f>VLOOKUP($B67,Table1[],4,FALSE)</f>
        <v>Personal care</v>
      </c>
      <c r="F67" s="46" t="str">
        <f>VLOOKUP($B67,Table1[],5,FALSE)</f>
        <v>Employee 41</v>
      </c>
      <c r="G67" s="51">
        <f>VLOOKUP($B67,Table1[],6,FALSE)</f>
        <v>1936.6735499999998</v>
      </c>
      <c r="H67" s="51">
        <f>VLOOKUP($B67,Table1[],7,FALSE)</f>
        <v>2151.8594999999996</v>
      </c>
      <c r="I67" s="51">
        <f>VLOOKUP($B67,Table1[],8,FALSE)</f>
        <v>2151.8594999999996</v>
      </c>
      <c r="J67" s="51">
        <f>I67*1.07</f>
        <v>2302.4896649999996</v>
      </c>
      <c r="K67" s="51">
        <f>J67*1.07</f>
        <v>2463.6639415499999</v>
      </c>
      <c r="L67" s="51">
        <f>K67*1.07</f>
        <v>2636.1204174585</v>
      </c>
      <c r="M67" s="51">
        <f>L67*1.07</f>
        <v>2820.6488466805954</v>
      </c>
      <c r="N67" s="51">
        <f>M67*1.07</f>
        <v>3018.0942659482371</v>
      </c>
    </row>
    <row r="68" spans="1:14" x14ac:dyDescent="0.2">
      <c r="A68" s="67" t="str">
        <f>Table1[[#This Row],[Column1]]&amp;"/"&amp;Table1[[#This Row],[Column5]]</f>
        <v>Admin expenses - Payroll-Employee 39/Employee 39</v>
      </c>
      <c r="B68" s="46" t="str">
        <f>'List of employees &amp; salaries'!B68</f>
        <v>Admin expenses - Payroll-Employee 39</v>
      </c>
      <c r="C68" s="46" t="str">
        <f>VLOOKUP($B68,Table1[],2,FALSE)</f>
        <v>White collar</v>
      </c>
      <c r="D68" s="46" t="str">
        <f>VLOOKUP($B68,Table1[],3,FALSE)</f>
        <v>Finance</v>
      </c>
      <c r="E68" s="46" t="str">
        <f>VLOOKUP($B68,Table1[],4,FALSE)</f>
        <v>Personal care</v>
      </c>
      <c r="F68" s="46" t="str">
        <f>VLOOKUP($B68,Table1[],5,FALSE)</f>
        <v>Employee 39</v>
      </c>
      <c r="G68" s="51">
        <f>VLOOKUP($B68,Table1[],6,FALSE)</f>
        <v>1886.5183500000001</v>
      </c>
      <c r="H68" s="51">
        <f>VLOOKUP($B68,Table1[],7,FALSE)</f>
        <v>2096.1315</v>
      </c>
      <c r="I68" s="51">
        <f>VLOOKUP($B68,Table1[],8,FALSE)</f>
        <v>2911.8049999999994</v>
      </c>
      <c r="J68" s="51">
        <f>I68*1.07</f>
        <v>3115.6313499999997</v>
      </c>
      <c r="K68" s="51">
        <f>J68*1.07</f>
        <v>3333.7255444999996</v>
      </c>
      <c r="L68" s="51">
        <f>K68*1.07</f>
        <v>3567.0863326149997</v>
      </c>
      <c r="M68" s="51">
        <f>L68*1.07</f>
        <v>3816.7823758980498</v>
      </c>
      <c r="N68" s="51">
        <f>M68*1.07</f>
        <v>4083.9571422109134</v>
      </c>
    </row>
    <row r="69" spans="1:14" x14ac:dyDescent="0.2">
      <c r="A69" s="67" t="str">
        <f>Table1[[#This Row],[Column1]]&amp;"/"&amp;Table1[[#This Row],[Column5]]</f>
        <v>Admin expenses - Payroll-Employee 36/Employee 36</v>
      </c>
      <c r="B69" s="46" t="str">
        <f>'List of employees &amp; salaries'!B69</f>
        <v>Admin expenses - Payroll-Employee 36</v>
      </c>
      <c r="C69" s="46" t="str">
        <f>VLOOKUP($B69,Table1[],2,FALSE)</f>
        <v>Manager</v>
      </c>
      <c r="D69" s="46" t="str">
        <f>VLOOKUP($B69,Table1[],3,FALSE)</f>
        <v>Finance</v>
      </c>
      <c r="E69" s="46" t="str">
        <f>VLOOKUP($B69,Table1[],4,FALSE)</f>
        <v>Personal care</v>
      </c>
      <c r="F69" s="46" t="str">
        <f>VLOOKUP($B69,Table1[],5,FALSE)</f>
        <v>Employee 36</v>
      </c>
      <c r="G69" s="51">
        <f>VLOOKUP($B69,Table1[],6,FALSE)</f>
        <v>2613.35115</v>
      </c>
      <c r="H69" s="51">
        <f>VLOOKUP($B69,Table1[],7,FALSE)</f>
        <v>2903.7235000000001</v>
      </c>
      <c r="I69" s="51">
        <f>VLOOKUP($B69,Table1[],8,FALSE)</f>
        <v>3100</v>
      </c>
      <c r="J69" s="51">
        <f>I69*1.07</f>
        <v>3317</v>
      </c>
      <c r="K69" s="51">
        <f>J69*1.07</f>
        <v>3549.19</v>
      </c>
      <c r="L69" s="51">
        <f>K69*1.07</f>
        <v>3797.6333000000004</v>
      </c>
      <c r="M69" s="51">
        <f>L69*1.07</f>
        <v>4063.4676310000009</v>
      </c>
      <c r="N69" s="51">
        <f>M69*1.07</f>
        <v>4347.9103651700016</v>
      </c>
    </row>
    <row r="70" spans="1:14" x14ac:dyDescent="0.2">
      <c r="A70" s="67" t="str">
        <f>Table1[[#This Row],[Column1]]&amp;"/"&amp;Table1[[#This Row],[Column5]]</f>
        <v>Admin expenses - Payroll-Employee 139/Employee 139</v>
      </c>
      <c r="B70" s="46" t="str">
        <f>'List of employees &amp; salaries'!B70</f>
        <v>Admin expenses - Payroll-Employee 139</v>
      </c>
      <c r="C70" s="46" t="str">
        <f>VLOOKUP($B70,Table1[],2,FALSE)</f>
        <v>Blue collar</v>
      </c>
      <c r="D70" s="46" t="str">
        <f>VLOOKUP($B70,Table1[],3,FALSE)</f>
        <v>Production</v>
      </c>
      <c r="E70" s="46" t="str">
        <f>VLOOKUP($B70,Table1[],4,FALSE)</f>
        <v>Personal care</v>
      </c>
      <c r="F70" s="46" t="str">
        <f>VLOOKUP($B70,Table1[],5,FALSE)</f>
        <v>Employee 139</v>
      </c>
      <c r="G70" s="51">
        <f>VLOOKUP($B70,Table1[],6,FALSE)</f>
        <v>18022.824000000001</v>
      </c>
      <c r="H70" s="51">
        <f>VLOOKUP($B70,Table1[],7,FALSE)</f>
        <v>20025.36</v>
      </c>
      <c r="I70" s="51">
        <f>VLOOKUP($B70,Table1[],8,FALSE)</f>
        <v>20122.294999999998</v>
      </c>
      <c r="J70" s="51">
        <f>I70*1.05</f>
        <v>21128.409749999999</v>
      </c>
      <c r="K70" s="51">
        <f>J70*1.05</f>
        <v>22184.830237499998</v>
      </c>
      <c r="L70" s="51">
        <f>K70*1.05</f>
        <v>23294.071749374998</v>
      </c>
      <c r="M70" s="51">
        <f>L70*1.05</f>
        <v>24458.775336843748</v>
      </c>
      <c r="N70" s="51">
        <f>M70*1.05</f>
        <v>25681.714103685936</v>
      </c>
    </row>
    <row r="71" spans="1:14" x14ac:dyDescent="0.2">
      <c r="A71" s="67" t="str">
        <f>Table1[[#This Row],[Column1]]&amp;"/"&amp;Table1[[#This Row],[Column5]]</f>
        <v>Admin expenses - Payroll-Employee 135/Employee 135</v>
      </c>
      <c r="B71" s="46" t="str">
        <f>'List of employees &amp; salaries'!B71</f>
        <v>Admin expenses - Payroll-Employee 135</v>
      </c>
      <c r="C71" s="46" t="str">
        <f>VLOOKUP($B71,Table1[],2,FALSE)</f>
        <v>Manager</v>
      </c>
      <c r="D71" s="46" t="str">
        <f>VLOOKUP($B71,Table1[],3,FALSE)</f>
        <v>Production</v>
      </c>
      <c r="E71" s="46" t="str">
        <f>VLOOKUP($B71,Table1[],4,FALSE)</f>
        <v>Personal care</v>
      </c>
      <c r="F71" s="46" t="str">
        <f>VLOOKUP($B71,Table1[],5,FALSE)</f>
        <v>Employee 135</v>
      </c>
      <c r="G71" s="51">
        <f>VLOOKUP($B71,Table1[],6,FALSE)</f>
        <v>29987.743499999997</v>
      </c>
      <c r="H71" s="51">
        <f>VLOOKUP($B71,Table1[],7,FALSE)</f>
        <v>33319.714999999997</v>
      </c>
      <c r="I71" s="51">
        <f>VLOOKUP($B71,Table1[],8,FALSE)</f>
        <v>35953.15</v>
      </c>
      <c r="J71" s="51">
        <f>I71*1.1</f>
        <v>39548.465000000004</v>
      </c>
      <c r="K71" s="51">
        <f>J71*1.1</f>
        <v>43503.311500000011</v>
      </c>
      <c r="L71" s="51">
        <f>K71*1.1</f>
        <v>47853.642650000016</v>
      </c>
      <c r="M71" s="51">
        <f>L71*1.1</f>
        <v>52639.00691500002</v>
      </c>
      <c r="N71" s="51">
        <f>M71*1.1</f>
        <v>57902.907606500026</v>
      </c>
    </row>
    <row r="72" spans="1:14" x14ac:dyDescent="0.2">
      <c r="A72" s="67" t="str">
        <f>Table1[[#This Row],[Column1]]&amp;"/"&amp;Table1[[#This Row],[Column5]]</f>
        <v>Admin expenses - Payroll-Employee 30/Employee 30</v>
      </c>
      <c r="B72" s="46" t="str">
        <f>'List of employees &amp; salaries'!B72</f>
        <v>Admin expenses - Payroll-Employee 30</v>
      </c>
      <c r="C72" s="46" t="str">
        <f>VLOOKUP($B72,Table1[],2,FALSE)</f>
        <v>Manager</v>
      </c>
      <c r="D72" s="46" t="str">
        <f>VLOOKUP($B72,Table1[],3,FALSE)</f>
        <v>Sales</v>
      </c>
      <c r="E72" s="46" t="str">
        <f>VLOOKUP($B72,Table1[],4,FALSE)</f>
        <v>Personal care</v>
      </c>
      <c r="F72" s="46" t="str">
        <f>VLOOKUP($B72,Table1[],5,FALSE)</f>
        <v>Employee 30</v>
      </c>
      <c r="G72" s="51">
        <f>VLOOKUP($B72,Table1[],6,FALSE)</f>
        <v>6098.0625</v>
      </c>
      <c r="H72" s="51">
        <f>VLOOKUP($B72,Table1[],7,FALSE)</f>
        <v>6775.625</v>
      </c>
      <c r="I72" s="51">
        <f>VLOOKUP($B72,Table1[],8,FALSE)</f>
        <v>7706.25</v>
      </c>
      <c r="J72" s="51">
        <f t="shared" ref="J72:J73" si="12">I72*1.1</f>
        <v>8476.875</v>
      </c>
      <c r="K72" s="51">
        <f t="shared" ref="K72:K73" si="13">J72*1.07</f>
        <v>9070.2562500000004</v>
      </c>
      <c r="L72" s="51">
        <f t="shared" ref="L72:N73" si="14">$K72</f>
        <v>9070.2562500000004</v>
      </c>
      <c r="M72" s="51">
        <f t="shared" si="14"/>
        <v>9070.2562500000004</v>
      </c>
      <c r="N72" s="51">
        <f t="shared" si="14"/>
        <v>9070.2562500000004</v>
      </c>
    </row>
    <row r="73" spans="1:14" x14ac:dyDescent="0.2">
      <c r="A73" s="67" t="str">
        <f>Table1[[#This Row],[Column1]]&amp;"/"&amp;Table1[[#This Row],[Column5]]</f>
        <v>Admin expenses - Payroll-Employee 29/Employee 29</v>
      </c>
      <c r="B73" s="46" t="str">
        <f>'List of employees &amp; salaries'!B73</f>
        <v>Admin expenses - Payroll-Employee 29</v>
      </c>
      <c r="C73" s="46" t="str">
        <f>VLOOKUP($B73,Table1[],2,FALSE)</f>
        <v>Director</v>
      </c>
      <c r="D73" s="46" t="str">
        <f>VLOOKUP($B73,Table1[],3,FALSE)</f>
        <v>Sales</v>
      </c>
      <c r="E73" s="46" t="str">
        <f>VLOOKUP($B73,Table1[],4,FALSE)</f>
        <v>Personal care</v>
      </c>
      <c r="F73" s="46" t="str">
        <f>VLOOKUP($B73,Table1[],5,FALSE)</f>
        <v>Employee 29</v>
      </c>
      <c r="G73" s="51">
        <f>VLOOKUP($B73,Table1[],6,FALSE)</f>
        <v>6591.6371250000002</v>
      </c>
      <c r="H73" s="51">
        <f>VLOOKUP($B73,Table1[],7,FALSE)</f>
        <v>7324.0412500000002</v>
      </c>
      <c r="I73" s="51">
        <f>VLOOKUP($B73,Table1[],8,FALSE)</f>
        <v>8102.5812500000002</v>
      </c>
      <c r="J73" s="51">
        <f t="shared" si="12"/>
        <v>8912.8393750000014</v>
      </c>
      <c r="K73" s="51">
        <f t="shared" si="13"/>
        <v>9536.738131250002</v>
      </c>
      <c r="L73" s="51">
        <f t="shared" si="14"/>
        <v>9536.738131250002</v>
      </c>
      <c r="M73" s="51">
        <f t="shared" si="14"/>
        <v>9536.738131250002</v>
      </c>
      <c r="N73" s="51">
        <f t="shared" si="14"/>
        <v>9536.738131250002</v>
      </c>
    </row>
    <row r="74" spans="1:14" x14ac:dyDescent="0.2">
      <c r="A74" s="67" t="str">
        <f>Table1[[#This Row],[Column1]]&amp;"/"&amp;Table1[[#This Row],[Column5]]</f>
        <v>Admin expenses - Payroll-Employee 5/Employee 5</v>
      </c>
      <c r="B74" s="46" t="str">
        <f>'List of employees &amp; salaries'!B74</f>
        <v>Admin expenses - Payroll-Employee 5</v>
      </c>
      <c r="C74" s="46" t="str">
        <f>VLOOKUP($B74,Table1[],2,FALSE)</f>
        <v>White collar</v>
      </c>
      <c r="D74" s="46" t="str">
        <f>VLOOKUP($B74,Table1[],3,FALSE)</f>
        <v>Finance</v>
      </c>
      <c r="E74" s="46" t="str">
        <f>VLOOKUP($B74,Table1[],4,FALSE)</f>
        <v>Pharmaceuticals</v>
      </c>
      <c r="F74" s="46" t="str">
        <f>VLOOKUP($B74,Table1[],5,FALSE)</f>
        <v>Employee 5</v>
      </c>
      <c r="G74" s="51">
        <f>VLOOKUP($B74,Table1[],6,FALSE)</f>
        <v>920.50604999999996</v>
      </c>
      <c r="H74" s="51">
        <f>VLOOKUP($B74,Table1[],7,FALSE)</f>
        <v>1022.7845</v>
      </c>
      <c r="I74" s="51">
        <f>VLOOKUP($B74,Table1[],8,FALSE)</f>
        <v>1250.3915</v>
      </c>
      <c r="J74" s="51">
        <f>I74*1.07</f>
        <v>1337.918905</v>
      </c>
      <c r="K74" s="51">
        <f>J74*1.07</f>
        <v>1431.5732283500001</v>
      </c>
      <c r="L74" s="51">
        <f>K74*1.07</f>
        <v>1531.7833543345002</v>
      </c>
      <c r="M74" s="51">
        <f>L74*1.07</f>
        <v>1639.0081891379155</v>
      </c>
      <c r="N74" s="51">
        <f>M74*1.07</f>
        <v>1753.7387623775696</v>
      </c>
    </row>
    <row r="75" spans="1:14" x14ac:dyDescent="0.2">
      <c r="A75" s="67" t="str">
        <f>Table1[[#This Row],[Column1]]&amp;"/"&amp;Table1[[#This Row],[Column5]]</f>
        <v>Admin expenses - Payroll-Employee 37/Employee 37</v>
      </c>
      <c r="B75" s="46" t="str">
        <f>'List of employees &amp; salaries'!B75</f>
        <v>Admin expenses - Payroll-Employee 37</v>
      </c>
      <c r="C75" s="46" t="str">
        <f>VLOOKUP($B75,Table1[],2,FALSE)</f>
        <v>White collar</v>
      </c>
      <c r="D75" s="46" t="str">
        <f>VLOOKUP($B75,Table1[],3,FALSE)</f>
        <v>Finance</v>
      </c>
      <c r="E75" s="46" t="str">
        <f>VLOOKUP($B75,Table1[],4,FALSE)</f>
        <v>Pharmaceuticals</v>
      </c>
      <c r="F75" s="46" t="str">
        <f>VLOOKUP($B75,Table1[],5,FALSE)</f>
        <v>Employee 37</v>
      </c>
      <c r="G75" s="51">
        <f>VLOOKUP($B75,Table1[],6,FALSE)</f>
        <v>1494</v>
      </c>
      <c r="H75" s="51">
        <f>VLOOKUP($B75,Table1[],7,FALSE)</f>
        <v>1660</v>
      </c>
      <c r="I75" s="51">
        <f>VLOOKUP($B75,Table1[],8,FALSE)</f>
        <v>1660</v>
      </c>
      <c r="J75" s="51">
        <f>I75*1.07</f>
        <v>1776.2</v>
      </c>
      <c r="K75" s="51">
        <f>J75*1.07</f>
        <v>1900.5340000000001</v>
      </c>
      <c r="L75" s="51">
        <f>K75*1.07</f>
        <v>2033.5713800000003</v>
      </c>
      <c r="M75" s="51">
        <f>L75*1.07</f>
        <v>2175.9213766000003</v>
      </c>
      <c r="N75" s="51">
        <f>M75*1.07</f>
        <v>2328.2358729620005</v>
      </c>
    </row>
    <row r="76" spans="1:14" x14ac:dyDescent="0.2">
      <c r="A76" s="67" t="str">
        <f>Table1[[#This Row],[Column1]]&amp;"/"&amp;Table1[[#This Row],[Column5]]</f>
        <v>Admin expenses - Payroll-Employee 140/Employee 140</v>
      </c>
      <c r="B76" s="46" t="str">
        <f>'List of employees &amp; salaries'!B76</f>
        <v>Admin expenses - Payroll-Employee 140</v>
      </c>
      <c r="C76" s="46" t="str">
        <f>VLOOKUP($B76,Table1[],2,FALSE)</f>
        <v>Blue collar</v>
      </c>
      <c r="D76" s="46" t="str">
        <f>VLOOKUP($B76,Table1[],3,FALSE)</f>
        <v>Production</v>
      </c>
      <c r="E76" s="46" t="str">
        <f>VLOOKUP($B76,Table1[],4,FALSE)</f>
        <v>Pharmaceuticals</v>
      </c>
      <c r="F76" s="46" t="str">
        <f>VLOOKUP($B76,Table1[],5,FALSE)</f>
        <v>Employee 140</v>
      </c>
      <c r="G76" s="51">
        <f>VLOOKUP($B76,Table1[],6,FALSE)</f>
        <v>15751.107</v>
      </c>
      <c r="H76" s="51">
        <f>VLOOKUP($B76,Table1[],7,FALSE)</f>
        <v>17501.23</v>
      </c>
      <c r="I76" s="51">
        <f>VLOOKUP($B76,Table1[],8,FALSE)</f>
        <v>19591.314999999999</v>
      </c>
      <c r="J76" s="51">
        <f>I76*1.05</f>
        <v>20570.88075</v>
      </c>
      <c r="K76" s="51">
        <f>J76*1.05</f>
        <v>21599.4247875</v>
      </c>
      <c r="L76" s="51">
        <f>K76*1.05</f>
        <v>22679.396026875002</v>
      </c>
      <c r="M76" s="51">
        <f>L76*1.05</f>
        <v>23813.365828218753</v>
      </c>
      <c r="N76" s="51">
        <f>M76*1.05</f>
        <v>25004.03411962969</v>
      </c>
    </row>
    <row r="77" spans="1:14" x14ac:dyDescent="0.2">
      <c r="A77" s="67" t="str">
        <f>Table1[[#This Row],[Column1]]&amp;"/"&amp;Table1[[#This Row],[Column5]]</f>
        <v>Admin expenses - Payroll-Employee 133/Employee 133</v>
      </c>
      <c r="B77" s="46" t="str">
        <f>'List of employees &amp; salaries'!B77</f>
        <v>Admin expenses - Payroll-Employee 133</v>
      </c>
      <c r="C77" s="46" t="str">
        <f>VLOOKUP($B77,Table1[],2,FALSE)</f>
        <v>Blue collar</v>
      </c>
      <c r="D77" s="46" t="str">
        <f>VLOOKUP($B77,Table1[],3,FALSE)</f>
        <v>Production</v>
      </c>
      <c r="E77" s="46" t="str">
        <f>VLOOKUP($B77,Table1[],4,FALSE)</f>
        <v>Pharmaceuticals</v>
      </c>
      <c r="F77" s="46" t="str">
        <f>VLOOKUP($B77,Table1[],5,FALSE)</f>
        <v>Employee 133</v>
      </c>
      <c r="G77" s="51">
        <f>VLOOKUP($B77,Table1[],6,FALSE)</f>
        <v>15570</v>
      </c>
      <c r="H77" s="51">
        <f>VLOOKUP($B77,Table1[],7,FALSE)</f>
        <v>17300</v>
      </c>
      <c r="I77" s="51">
        <f>VLOOKUP($B77,Table1[],8,FALSE)</f>
        <v>17500</v>
      </c>
      <c r="J77" s="51">
        <f>I77*1.05</f>
        <v>18375</v>
      </c>
      <c r="K77" s="51">
        <f>J77*1.05</f>
        <v>19293.75</v>
      </c>
      <c r="L77" s="51">
        <f>K77*1.05</f>
        <v>20258.4375</v>
      </c>
      <c r="M77" s="51">
        <f>L77*1.05</f>
        <v>21271.359375</v>
      </c>
      <c r="N77" s="51">
        <f>M77*1.05</f>
        <v>22334.927343750001</v>
      </c>
    </row>
    <row r="78" spans="1:14" x14ac:dyDescent="0.2">
      <c r="A78" s="67" t="str">
        <f>Table1[[#This Row],[Column1]]&amp;"/"&amp;Table1[[#This Row],[Column5]]</f>
        <v>Admin expenses - Payroll-Employee 122/Employee 122</v>
      </c>
      <c r="B78" s="46" t="str">
        <f>'List of employees &amp; salaries'!B78</f>
        <v>Admin expenses - Payroll-Employee 122</v>
      </c>
      <c r="C78" s="46" t="str">
        <f>VLOOKUP($B78,Table1[],2,FALSE)</f>
        <v>Blue collar</v>
      </c>
      <c r="D78" s="46" t="str">
        <f>VLOOKUP($B78,Table1[],3,FALSE)</f>
        <v>Production</v>
      </c>
      <c r="E78" s="46" t="str">
        <f>VLOOKUP($B78,Table1[],4,FALSE)</f>
        <v>Pharmaceuticals</v>
      </c>
      <c r="F78" s="46" t="str">
        <f>VLOOKUP($B78,Table1[],5,FALSE)</f>
        <v>Employee 122</v>
      </c>
      <c r="G78" s="51">
        <f>VLOOKUP($B78,Table1[],6,FALSE)</f>
        <v>9401.7690000000021</v>
      </c>
      <c r="H78" s="51">
        <f>VLOOKUP($B78,Table1[],7,FALSE)</f>
        <v>10446.410000000002</v>
      </c>
      <c r="I78" s="51">
        <f>VLOOKUP($B78,Table1[],8,FALSE)</f>
        <v>13466.865000000002</v>
      </c>
      <c r="J78" s="51">
        <f>I78*1.05</f>
        <v>14140.208250000001</v>
      </c>
      <c r="K78" s="51">
        <f>J78*1.05</f>
        <v>14847.218662500001</v>
      </c>
      <c r="L78" s="51">
        <f>K78*1.05</f>
        <v>15589.579595625002</v>
      </c>
      <c r="M78" s="51">
        <f>L78*1.05</f>
        <v>16369.058575406252</v>
      </c>
      <c r="N78" s="51">
        <f>M78*1.05</f>
        <v>17187.511504176564</v>
      </c>
    </row>
    <row r="79" spans="1:14" x14ac:dyDescent="0.2">
      <c r="A79" s="67" t="str">
        <f>Table1[[#This Row],[Column1]]&amp;"/"&amp;Table1[[#This Row],[Column5]]</f>
        <v>Admin expenses - Payroll-Employee 120/Employee 120</v>
      </c>
      <c r="B79" s="46" t="str">
        <f>'List of employees &amp; salaries'!B79</f>
        <v>Admin expenses - Payroll-Employee 120</v>
      </c>
      <c r="C79" s="46" t="str">
        <f>VLOOKUP($B79,Table1[],2,FALSE)</f>
        <v>Blue collar</v>
      </c>
      <c r="D79" s="46" t="str">
        <f>VLOOKUP($B79,Table1[],3,FALSE)</f>
        <v>Production</v>
      </c>
      <c r="E79" s="46" t="str">
        <f>VLOOKUP($B79,Table1[],4,FALSE)</f>
        <v>Pharmaceuticals</v>
      </c>
      <c r="F79" s="46" t="str">
        <f>VLOOKUP($B79,Table1[],5,FALSE)</f>
        <v>Employee 120</v>
      </c>
      <c r="G79" s="51">
        <f>VLOOKUP($B79,Table1[],6,FALSE)</f>
        <v>17644.266000000003</v>
      </c>
      <c r="H79" s="51">
        <f>VLOOKUP($B79,Table1[],7,FALSE)</f>
        <v>19604.740000000002</v>
      </c>
      <c r="I79" s="51">
        <f>VLOOKUP($B79,Table1[],8,FALSE)</f>
        <v>23932.03</v>
      </c>
      <c r="J79" s="51">
        <f>I79*1.05</f>
        <v>25128.6315</v>
      </c>
      <c r="K79" s="51">
        <f>J79*1.05</f>
        <v>26385.063075000002</v>
      </c>
      <c r="L79" s="51">
        <f>K79*1.05</f>
        <v>27704.316228750002</v>
      </c>
      <c r="M79" s="51">
        <f>L79*1.05</f>
        <v>29089.532040187503</v>
      </c>
      <c r="N79" s="51">
        <f>M79*1.05</f>
        <v>30544.008642196881</v>
      </c>
    </row>
    <row r="80" spans="1:14" x14ac:dyDescent="0.2">
      <c r="A80" s="67" t="str">
        <f>Table1[[#This Row],[Column1]]&amp;"/"&amp;Table1[[#This Row],[Column5]]</f>
        <v>Admin expenses - Payroll-Employee 119/Employee 119</v>
      </c>
      <c r="B80" s="46" t="str">
        <f>'List of employees &amp; salaries'!B80</f>
        <v>Admin expenses - Payroll-Employee 119</v>
      </c>
      <c r="C80" s="46" t="str">
        <f>VLOOKUP($B80,Table1[],2,FALSE)</f>
        <v>Blue collar</v>
      </c>
      <c r="D80" s="46" t="str">
        <f>VLOOKUP($B80,Table1[],3,FALSE)</f>
        <v>Production</v>
      </c>
      <c r="E80" s="46" t="str">
        <f>VLOOKUP($B80,Table1[],4,FALSE)</f>
        <v>Pharmaceuticals</v>
      </c>
      <c r="F80" s="46" t="str">
        <f>VLOOKUP($B80,Table1[],5,FALSE)</f>
        <v>Employee 119</v>
      </c>
      <c r="G80" s="51">
        <f>VLOOKUP($B80,Table1[],6,FALSE)</f>
        <v>16312.5</v>
      </c>
      <c r="H80" s="51">
        <f>VLOOKUP($B80,Table1[],7,FALSE)</f>
        <v>18125</v>
      </c>
      <c r="I80" s="51">
        <f>VLOOKUP($B80,Table1[],8,FALSE)</f>
        <v>18470</v>
      </c>
      <c r="J80" s="51">
        <f>I80*1.05</f>
        <v>19393.5</v>
      </c>
      <c r="K80" s="51">
        <f>J80*1.05</f>
        <v>20363.174999999999</v>
      </c>
      <c r="L80" s="51">
        <f>K80*1.05</f>
        <v>21381.333750000002</v>
      </c>
      <c r="M80" s="51">
        <f>L80*1.05</f>
        <v>22450.400437500004</v>
      </c>
      <c r="N80" s="51">
        <f>M80*1.05</f>
        <v>23572.920459375004</v>
      </c>
    </row>
    <row r="81" spans="1:14" x14ac:dyDescent="0.2">
      <c r="A81" s="67" t="str">
        <f>Table1[[#This Row],[Column1]]&amp;"/"&amp;Table1[[#This Row],[Column5]]</f>
        <v>Admin expenses - Payroll-Employee 87/Employee 87</v>
      </c>
      <c r="B81" s="46" t="str">
        <f>'List of employees &amp; salaries'!B81</f>
        <v>Admin expenses - Payroll-Employee 87</v>
      </c>
      <c r="C81" s="46" t="str">
        <f>VLOOKUP($B81,Table1[],2,FALSE)</f>
        <v>White collar</v>
      </c>
      <c r="D81" s="46" t="str">
        <f>VLOOKUP($B81,Table1[],3,FALSE)</f>
        <v>Marketing</v>
      </c>
      <c r="E81" s="46" t="str">
        <f>VLOOKUP($B81,Table1[],4,FALSE)</f>
        <v>Pharmaceuticals</v>
      </c>
      <c r="F81" s="46" t="str">
        <f>VLOOKUP($B81,Table1[],5,FALSE)</f>
        <v>Employee 87</v>
      </c>
      <c r="G81" s="51">
        <f>VLOOKUP($B81,Table1[],6,FALSE)</f>
        <v>2125.7730000000001</v>
      </c>
      <c r="H81" s="51">
        <f>VLOOKUP($B81,Table1[],7,FALSE)</f>
        <v>2361.9700000000003</v>
      </c>
      <c r="I81" s="51">
        <f>VLOOKUP($B81,Table1[],8,FALSE)</f>
        <v>2361.9700000000003</v>
      </c>
      <c r="J81" s="51">
        <f>$I81</f>
        <v>2361.9700000000003</v>
      </c>
      <c r="K81" s="51">
        <f>$I81</f>
        <v>2361.9700000000003</v>
      </c>
      <c r="L81" s="51">
        <f>$I81</f>
        <v>2361.9700000000003</v>
      </c>
      <c r="M81" s="51">
        <f>$I81</f>
        <v>2361.9700000000003</v>
      </c>
      <c r="N81" s="51">
        <f>$I81</f>
        <v>2361.9700000000003</v>
      </c>
    </row>
    <row r="82" spans="1:14" x14ac:dyDescent="0.2">
      <c r="A82" s="67" t="str">
        <f>Table1[[#This Row],[Column1]]&amp;"/"&amp;Table1[[#This Row],[Column5]]</f>
        <v>Admin expenses - Payroll-Employee 74/Employee 74</v>
      </c>
      <c r="B82" s="46" t="str">
        <f>'List of employees &amp; salaries'!B82</f>
        <v>Admin expenses - Payroll-Employee 74</v>
      </c>
      <c r="C82" s="46" t="str">
        <f>VLOOKUP($B82,Table1[],2,FALSE)</f>
        <v>White collar</v>
      </c>
      <c r="D82" s="46" t="str">
        <f>VLOOKUP($B82,Table1[],3,FALSE)</f>
        <v>Marketing</v>
      </c>
      <c r="E82" s="46" t="str">
        <f>VLOOKUP($B82,Table1[],4,FALSE)</f>
        <v>Pharmaceuticals</v>
      </c>
      <c r="F82" s="46" t="str">
        <f>VLOOKUP($B82,Table1[],5,FALSE)</f>
        <v>Employee 74</v>
      </c>
      <c r="G82" s="51">
        <f>VLOOKUP($B82,Table1[],6,FALSE)</f>
        <v>2382.1514999999999</v>
      </c>
      <c r="H82" s="51">
        <f>VLOOKUP($B82,Table1[],7,FALSE)</f>
        <v>2646.835</v>
      </c>
      <c r="I82" s="51">
        <f>VLOOKUP($B82,Table1[],8,FALSE)</f>
        <v>3481.2</v>
      </c>
      <c r="J82" s="51">
        <f>$I82</f>
        <v>3481.2</v>
      </c>
      <c r="K82" s="51">
        <f>$I82</f>
        <v>3481.2</v>
      </c>
      <c r="L82" s="51">
        <f>$I82</f>
        <v>3481.2</v>
      </c>
      <c r="M82" s="51">
        <f>$I82</f>
        <v>3481.2</v>
      </c>
      <c r="N82" s="51">
        <f>$I82</f>
        <v>3481.2</v>
      </c>
    </row>
    <row r="83" spans="1:14" x14ac:dyDescent="0.2">
      <c r="A83" s="67" t="str">
        <f>Table1[[#This Row],[Column1]]&amp;"/"&amp;Table1[[#This Row],[Column5]]</f>
        <v>Admin expenses - Payroll-Employee 67/Employee 67</v>
      </c>
      <c r="B83" s="46" t="str">
        <f>'List of employees &amp; salaries'!B83</f>
        <v>Admin expenses - Payroll-Employee 67</v>
      </c>
      <c r="C83" s="46" t="str">
        <f>VLOOKUP($B83,Table1[],2,FALSE)</f>
        <v>Manager</v>
      </c>
      <c r="D83" s="46" t="str">
        <f>VLOOKUP($B83,Table1[],3,FALSE)</f>
        <v>Marketing</v>
      </c>
      <c r="E83" s="46" t="str">
        <f>VLOOKUP($B83,Table1[],4,FALSE)</f>
        <v>Pharmaceuticals</v>
      </c>
      <c r="F83" s="46" t="str">
        <f>VLOOKUP($B83,Table1[],5,FALSE)</f>
        <v>Employee 67</v>
      </c>
      <c r="G83" s="51">
        <f>VLOOKUP($B83,Table1[],6,FALSE)</f>
        <v>4192.5566250000002</v>
      </c>
      <c r="H83" s="51">
        <f>VLOOKUP($B83,Table1[],7,FALSE)</f>
        <v>4658.3962499999998</v>
      </c>
      <c r="I83" s="51">
        <f>VLOOKUP($B83,Table1[],8,FALSE)</f>
        <v>4705.40625</v>
      </c>
      <c r="J83" s="51">
        <f>$I83</f>
        <v>4705.40625</v>
      </c>
      <c r="K83" s="51">
        <f>$I83</f>
        <v>4705.40625</v>
      </c>
      <c r="L83" s="51">
        <f>$I83</f>
        <v>4705.40625</v>
      </c>
      <c r="M83" s="51">
        <f>$I83</f>
        <v>4705.40625</v>
      </c>
      <c r="N83" s="51">
        <f>$I83</f>
        <v>4705.40625</v>
      </c>
    </row>
    <row r="84" spans="1:14" x14ac:dyDescent="0.2">
      <c r="A84" s="67" t="str">
        <f>Table1[[#This Row],[Column1]]&amp;"/"&amp;Table1[[#This Row],[Column5]]</f>
        <v>Admin expenses - Payroll-Employee 64/Employee 64</v>
      </c>
      <c r="B84" s="46" t="str">
        <f>'List of employees &amp; salaries'!B84</f>
        <v>Admin expenses - Payroll-Employee 64</v>
      </c>
      <c r="C84" s="46" t="str">
        <f>VLOOKUP($B84,Table1[],2,FALSE)</f>
        <v>Director</v>
      </c>
      <c r="D84" s="46" t="str">
        <f>VLOOKUP($B84,Table1[],3,FALSE)</f>
        <v>Marketing</v>
      </c>
      <c r="E84" s="46" t="str">
        <f>VLOOKUP($B84,Table1[],4,FALSE)</f>
        <v>Pharmaceuticals</v>
      </c>
      <c r="F84" s="46" t="str">
        <f>VLOOKUP($B84,Table1[],5,FALSE)</f>
        <v>Employee 64</v>
      </c>
      <c r="G84" s="51">
        <f>VLOOKUP($B84,Table1[],6,FALSE)</f>
        <v>4264.8547500000013</v>
      </c>
      <c r="H84" s="51">
        <f>VLOOKUP($B84,Table1[],7,FALSE)</f>
        <v>4738.7275000000009</v>
      </c>
      <c r="I84" s="51">
        <f>VLOOKUP($B84,Table1[],8,FALSE)</f>
        <v>4738.7275000000009</v>
      </c>
      <c r="J84" s="51">
        <f>$I84</f>
        <v>4738.7275000000009</v>
      </c>
      <c r="K84" s="51">
        <f>$I84</f>
        <v>4738.7275000000009</v>
      </c>
      <c r="L84" s="51">
        <f>$I84</f>
        <v>4738.7275000000009</v>
      </c>
      <c r="M84" s="51">
        <f>$I84</f>
        <v>4738.7275000000009</v>
      </c>
      <c r="N84" s="51">
        <f>$I84</f>
        <v>4738.7275000000009</v>
      </c>
    </row>
    <row r="85" spans="1:14" x14ac:dyDescent="0.2">
      <c r="A85" s="67" t="str">
        <f>Table1[[#This Row],[Column1]]&amp;"/"&amp;Table1[[#This Row],[Column5]]</f>
        <v>Admin expenses - Payroll-Employee 33/Employee 33</v>
      </c>
      <c r="B85" s="46" t="str">
        <f>'List of employees &amp; salaries'!B85</f>
        <v>Admin expenses - Payroll-Employee 33</v>
      </c>
      <c r="C85" s="46" t="str">
        <f>VLOOKUP($B85,Table1[],2,FALSE)</f>
        <v>White collar</v>
      </c>
      <c r="D85" s="46" t="str">
        <f>VLOOKUP($B85,Table1[],3,FALSE)</f>
        <v>Sales</v>
      </c>
      <c r="E85" s="46" t="str">
        <f>VLOOKUP($B85,Table1[],4,FALSE)</f>
        <v>Pharmaceuticals</v>
      </c>
      <c r="F85" s="46" t="str">
        <f>VLOOKUP($B85,Table1[],5,FALSE)</f>
        <v>Employee 33</v>
      </c>
      <c r="G85" s="51">
        <f>VLOOKUP($B85,Table1[],6,FALSE)</f>
        <v>2784.9375</v>
      </c>
      <c r="H85" s="51">
        <f>VLOOKUP($B85,Table1[],7,FALSE)</f>
        <v>3094.375</v>
      </c>
      <c r="I85" s="51">
        <f>VLOOKUP($B85,Table1[],8,FALSE)</f>
        <v>3779.0625</v>
      </c>
      <c r="J85" s="51">
        <f t="shared" ref="J85:J93" si="15">I85*1.1</f>
        <v>4156.96875</v>
      </c>
      <c r="K85" s="51">
        <f t="shared" ref="K85:K93" si="16">J85*1.07</f>
        <v>4447.9565625000005</v>
      </c>
      <c r="L85" s="51">
        <f t="shared" ref="L85:N93" si="17">$K85</f>
        <v>4447.9565625000005</v>
      </c>
      <c r="M85" s="51">
        <f t="shared" si="17"/>
        <v>4447.9565625000005</v>
      </c>
      <c r="N85" s="51">
        <f t="shared" si="17"/>
        <v>4447.9565625000005</v>
      </c>
    </row>
    <row r="86" spans="1:14" x14ac:dyDescent="0.2">
      <c r="A86" s="67" t="str">
        <f>Table1[[#This Row],[Column1]]&amp;"/"&amp;Table1[[#This Row],[Column5]]</f>
        <v>Admin expenses - Payroll-Employee 28/Employee 28</v>
      </c>
      <c r="B86" s="46" t="str">
        <f>'List of employees &amp; salaries'!B86</f>
        <v>Admin expenses - Payroll-Employee 28</v>
      </c>
      <c r="C86" s="46" t="str">
        <f>VLOOKUP($B86,Table1[],2,FALSE)</f>
        <v>White collar</v>
      </c>
      <c r="D86" s="46" t="str">
        <f>VLOOKUP($B86,Table1[],3,FALSE)</f>
        <v>Sales</v>
      </c>
      <c r="E86" s="46" t="str">
        <f>VLOOKUP($B86,Table1[],4,FALSE)</f>
        <v>Pharmaceuticals</v>
      </c>
      <c r="F86" s="46" t="str">
        <f>VLOOKUP($B86,Table1[],5,FALSE)</f>
        <v>Employee 28</v>
      </c>
      <c r="G86" s="51">
        <f>VLOOKUP($B86,Table1[],6,FALSE)</f>
        <v>5062.8060000000005</v>
      </c>
      <c r="H86" s="51">
        <f>VLOOKUP($B86,Table1[],7,FALSE)</f>
        <v>5625.34</v>
      </c>
      <c r="I86" s="51">
        <f>VLOOKUP($B86,Table1[],8,FALSE)</f>
        <v>5625.34</v>
      </c>
      <c r="J86" s="51">
        <f t="shared" si="15"/>
        <v>6187.8740000000007</v>
      </c>
      <c r="K86" s="51">
        <f t="shared" si="16"/>
        <v>6621.0251800000015</v>
      </c>
      <c r="L86" s="51">
        <f t="shared" si="17"/>
        <v>6621.0251800000015</v>
      </c>
      <c r="M86" s="51">
        <f t="shared" si="17"/>
        <v>6621.0251800000015</v>
      </c>
      <c r="N86" s="51">
        <f t="shared" si="17"/>
        <v>6621.0251800000015</v>
      </c>
    </row>
    <row r="87" spans="1:14" x14ac:dyDescent="0.2">
      <c r="A87" s="67" t="str">
        <f>Table1[[#This Row],[Column1]]&amp;"/"&amp;Table1[[#This Row],[Column5]]</f>
        <v>Admin expenses - Payroll-Employee 24/Employee 24</v>
      </c>
      <c r="B87" s="46" t="str">
        <f>'List of employees &amp; salaries'!B87</f>
        <v>Admin expenses - Payroll-Employee 24</v>
      </c>
      <c r="C87" s="46" t="str">
        <f>VLOOKUP($B87,Table1[],2,FALSE)</f>
        <v>White collar</v>
      </c>
      <c r="D87" s="46" t="str">
        <f>VLOOKUP($B87,Table1[],3,FALSE)</f>
        <v>Sales</v>
      </c>
      <c r="E87" s="46" t="str">
        <f>VLOOKUP($B87,Table1[],4,FALSE)</f>
        <v>Pharmaceuticals</v>
      </c>
      <c r="F87" s="46" t="str">
        <f>VLOOKUP($B87,Table1[],5,FALSE)</f>
        <v>Employee 24</v>
      </c>
      <c r="G87" s="51">
        <f>VLOOKUP($B87,Table1[],6,FALSE)</f>
        <v>2248.5431250000001</v>
      </c>
      <c r="H87" s="51">
        <f>VLOOKUP($B87,Table1[],7,FALSE)</f>
        <v>2498.3812499999999</v>
      </c>
      <c r="I87" s="51">
        <f>VLOOKUP($B87,Table1[],8,FALSE)</f>
        <v>2697.9012499999999</v>
      </c>
      <c r="J87" s="51">
        <f t="shared" si="15"/>
        <v>2967.6913750000003</v>
      </c>
      <c r="K87" s="51">
        <f t="shared" si="16"/>
        <v>3175.4297712500006</v>
      </c>
      <c r="L87" s="51">
        <f t="shared" si="17"/>
        <v>3175.4297712500006</v>
      </c>
      <c r="M87" s="51">
        <f t="shared" si="17"/>
        <v>3175.4297712500006</v>
      </c>
      <c r="N87" s="51">
        <f t="shared" si="17"/>
        <v>3175.4297712500006</v>
      </c>
    </row>
    <row r="88" spans="1:14" x14ac:dyDescent="0.2">
      <c r="A88" s="67" t="str">
        <f>Table1[[#This Row],[Column1]]&amp;"/"&amp;Table1[[#This Row],[Column5]]</f>
        <v>Admin expenses - Payroll-Employee 22/Employee 22</v>
      </c>
      <c r="B88" s="46" t="str">
        <f>'List of employees &amp; salaries'!B88</f>
        <v>Admin expenses - Payroll-Employee 22</v>
      </c>
      <c r="C88" s="46" t="str">
        <f>VLOOKUP($B88,Table1[],2,FALSE)</f>
        <v>White collar</v>
      </c>
      <c r="D88" s="46" t="str">
        <f>VLOOKUP($B88,Table1[],3,FALSE)</f>
        <v>Sales</v>
      </c>
      <c r="E88" s="46" t="str">
        <f>VLOOKUP($B88,Table1[],4,FALSE)</f>
        <v>Pharmaceuticals</v>
      </c>
      <c r="F88" s="46" t="str">
        <f>VLOOKUP($B88,Table1[],5,FALSE)</f>
        <v>Employee 22</v>
      </c>
      <c r="G88" s="51">
        <f>VLOOKUP($B88,Table1[],6,FALSE)</f>
        <v>2293.05375</v>
      </c>
      <c r="H88" s="51">
        <f>VLOOKUP($B88,Table1[],7,FALSE)</f>
        <v>2547.8375000000001</v>
      </c>
      <c r="I88" s="51">
        <f>VLOOKUP($B88,Table1[],8,FALSE)</f>
        <v>3627.0400000000004</v>
      </c>
      <c r="J88" s="51">
        <f t="shared" si="15"/>
        <v>3989.7440000000006</v>
      </c>
      <c r="K88" s="51">
        <f t="shared" si="16"/>
        <v>4269.0260800000005</v>
      </c>
      <c r="L88" s="51">
        <f t="shared" si="17"/>
        <v>4269.0260800000005</v>
      </c>
      <c r="M88" s="51">
        <f t="shared" si="17"/>
        <v>4269.0260800000005</v>
      </c>
      <c r="N88" s="51">
        <f t="shared" si="17"/>
        <v>4269.0260800000005</v>
      </c>
    </row>
    <row r="89" spans="1:14" x14ac:dyDescent="0.2">
      <c r="A89" s="67" t="str">
        <f>Table1[[#This Row],[Column1]]&amp;"/"&amp;Table1[[#This Row],[Column5]]</f>
        <v>Admin expenses - Payroll-Employee 20/Employee 20</v>
      </c>
      <c r="B89" s="46" t="str">
        <f>'List of employees &amp; salaries'!B89</f>
        <v>Admin expenses - Payroll-Employee 20</v>
      </c>
      <c r="C89" s="46" t="str">
        <f>VLOOKUP($B89,Table1[],2,FALSE)</f>
        <v>White collar</v>
      </c>
      <c r="D89" s="46" t="str">
        <f>VLOOKUP($B89,Table1[],3,FALSE)</f>
        <v>Sales</v>
      </c>
      <c r="E89" s="46" t="str">
        <f>VLOOKUP($B89,Table1[],4,FALSE)</f>
        <v>Pharmaceuticals</v>
      </c>
      <c r="F89" s="46" t="str">
        <f>VLOOKUP($B89,Table1[],5,FALSE)</f>
        <v>Employee 20</v>
      </c>
      <c r="G89" s="51">
        <f>VLOOKUP($B89,Table1[],6,FALSE)</f>
        <v>2366.866125</v>
      </c>
      <c r="H89" s="51">
        <f>VLOOKUP($B89,Table1[],7,FALSE)</f>
        <v>2629.8512499999997</v>
      </c>
      <c r="I89" s="51">
        <f>VLOOKUP($B89,Table1[],8,FALSE)</f>
        <v>3681.6062499999998</v>
      </c>
      <c r="J89" s="51">
        <f t="shared" si="15"/>
        <v>4049.7668750000003</v>
      </c>
      <c r="K89" s="51">
        <f t="shared" si="16"/>
        <v>4333.250556250001</v>
      </c>
      <c r="L89" s="51">
        <f t="shared" si="17"/>
        <v>4333.250556250001</v>
      </c>
      <c r="M89" s="51">
        <f t="shared" si="17"/>
        <v>4333.250556250001</v>
      </c>
      <c r="N89" s="51">
        <f t="shared" si="17"/>
        <v>4333.250556250001</v>
      </c>
    </row>
    <row r="90" spans="1:14" x14ac:dyDescent="0.2">
      <c r="A90" s="67" t="str">
        <f>Table1[[#This Row],[Column1]]&amp;"/"&amp;Table1[[#This Row],[Column5]]</f>
        <v>Admin expenses - Payroll-Employee 16/Employee 16</v>
      </c>
      <c r="B90" s="46" t="str">
        <f>'List of employees &amp; salaries'!B90</f>
        <v>Admin expenses - Payroll-Employee 16</v>
      </c>
      <c r="C90" s="46" t="str">
        <f>VLOOKUP($B90,Table1[],2,FALSE)</f>
        <v>White collar</v>
      </c>
      <c r="D90" s="46" t="str">
        <f>VLOOKUP($B90,Table1[],3,FALSE)</f>
        <v>Sales</v>
      </c>
      <c r="E90" s="46" t="str">
        <f>VLOOKUP($B90,Table1[],4,FALSE)</f>
        <v>Pharmaceuticals</v>
      </c>
      <c r="F90" s="46" t="str">
        <f>VLOOKUP($B90,Table1[],5,FALSE)</f>
        <v>Employee 16</v>
      </c>
      <c r="G90" s="51">
        <f>VLOOKUP($B90,Table1[],6,FALSE)</f>
        <v>4923.5467500000004</v>
      </c>
      <c r="H90" s="51">
        <f>VLOOKUP($B90,Table1[],7,FALSE)</f>
        <v>5470.6075000000001</v>
      </c>
      <c r="I90" s="51">
        <f>VLOOKUP($B90,Table1[],8,FALSE)</f>
        <v>5470.6075000000001</v>
      </c>
      <c r="J90" s="51">
        <f t="shared" si="15"/>
        <v>6017.6682500000006</v>
      </c>
      <c r="K90" s="51">
        <f t="shared" si="16"/>
        <v>6438.9050275000009</v>
      </c>
      <c r="L90" s="51">
        <f t="shared" si="17"/>
        <v>6438.9050275000009</v>
      </c>
      <c r="M90" s="51">
        <f t="shared" si="17"/>
        <v>6438.9050275000009</v>
      </c>
      <c r="N90" s="51">
        <f t="shared" si="17"/>
        <v>6438.9050275000009</v>
      </c>
    </row>
    <row r="91" spans="1:14" x14ac:dyDescent="0.2">
      <c r="A91" s="67" t="str">
        <f>Table1[[#This Row],[Column1]]&amp;"/"&amp;Table1[[#This Row],[Column5]]</f>
        <v>Admin expenses - Payroll-Employee 15/Employee 15</v>
      </c>
      <c r="B91" s="46" t="str">
        <f>'List of employees &amp; salaries'!B91</f>
        <v>Admin expenses - Payroll-Employee 15</v>
      </c>
      <c r="C91" s="46" t="str">
        <f>VLOOKUP($B91,Table1[],2,FALSE)</f>
        <v>White collar</v>
      </c>
      <c r="D91" s="46" t="str">
        <f>VLOOKUP($B91,Table1[],3,FALSE)</f>
        <v>Sales</v>
      </c>
      <c r="E91" s="46" t="str">
        <f>VLOOKUP($B91,Table1[],4,FALSE)</f>
        <v>Pharmaceuticals</v>
      </c>
      <c r="F91" s="46" t="str">
        <f>VLOOKUP($B91,Table1[],5,FALSE)</f>
        <v>Employee 15</v>
      </c>
      <c r="G91" s="51">
        <f>VLOOKUP($B91,Table1[],6,FALSE)</f>
        <v>2605.5123750000002</v>
      </c>
      <c r="H91" s="51">
        <f>VLOOKUP($B91,Table1[],7,FALSE)</f>
        <v>2895.0137500000001</v>
      </c>
      <c r="I91" s="51">
        <f>VLOOKUP($B91,Table1[],8,FALSE)</f>
        <v>3289.2075</v>
      </c>
      <c r="J91" s="51">
        <f t="shared" si="15"/>
        <v>3618.1282500000002</v>
      </c>
      <c r="K91" s="51">
        <f t="shared" si="16"/>
        <v>3871.3972275000006</v>
      </c>
      <c r="L91" s="51">
        <f t="shared" si="17"/>
        <v>3871.3972275000006</v>
      </c>
      <c r="M91" s="51">
        <f t="shared" si="17"/>
        <v>3871.3972275000006</v>
      </c>
      <c r="N91" s="51">
        <f t="shared" si="17"/>
        <v>3871.3972275000006</v>
      </c>
    </row>
    <row r="92" spans="1:14" x14ac:dyDescent="0.2">
      <c r="A92" s="67" t="str">
        <f>Table1[[#This Row],[Column1]]&amp;"/"&amp;Table1[[#This Row],[Column5]]</f>
        <v>Admin expenses - Payroll-Employee 14/Employee 14</v>
      </c>
      <c r="B92" s="46" t="str">
        <f>'List of employees &amp; salaries'!B92</f>
        <v>Admin expenses - Payroll-Employee 14</v>
      </c>
      <c r="C92" s="46" t="str">
        <f>VLOOKUP($B92,Table1[],2,FALSE)</f>
        <v>White collar</v>
      </c>
      <c r="D92" s="46" t="str">
        <f>VLOOKUP($B92,Table1[],3,FALSE)</f>
        <v>Sales</v>
      </c>
      <c r="E92" s="46" t="str">
        <f>VLOOKUP($B92,Table1[],4,FALSE)</f>
        <v>Pharmaceuticals</v>
      </c>
      <c r="F92" s="46" t="str">
        <f>VLOOKUP($B92,Table1[],5,FALSE)</f>
        <v>Employee 14</v>
      </c>
      <c r="G92" s="51">
        <f>VLOOKUP($B92,Table1[],6,FALSE)</f>
        <v>3177.723375</v>
      </c>
      <c r="H92" s="51">
        <f>VLOOKUP($B92,Table1[],7,FALSE)</f>
        <v>3530.80375</v>
      </c>
      <c r="I92" s="51">
        <f>VLOOKUP($B92,Table1[],8,FALSE)</f>
        <v>3604.2687499999997</v>
      </c>
      <c r="J92" s="51">
        <f t="shared" si="15"/>
        <v>3964.6956249999998</v>
      </c>
      <c r="K92" s="51">
        <f t="shared" si="16"/>
        <v>4242.2243187499998</v>
      </c>
      <c r="L92" s="51">
        <f t="shared" si="17"/>
        <v>4242.2243187499998</v>
      </c>
      <c r="M92" s="51">
        <f t="shared" si="17"/>
        <v>4242.2243187499998</v>
      </c>
      <c r="N92" s="51">
        <f t="shared" si="17"/>
        <v>4242.2243187499998</v>
      </c>
    </row>
    <row r="93" spans="1:14" x14ac:dyDescent="0.2">
      <c r="A93" s="67" t="str">
        <f>Table1[[#This Row],[Column1]]&amp;"/"&amp;Table1[[#This Row],[Column5]]</f>
        <v>Admin expenses - Payroll-Employee 13/Employee 13</v>
      </c>
      <c r="B93" s="46" t="str">
        <f>'List of employees &amp; salaries'!B93</f>
        <v>Admin expenses - Payroll-Employee 13</v>
      </c>
      <c r="C93" s="46" t="str">
        <f>VLOOKUP($B93,Table1[],2,FALSE)</f>
        <v>White collar</v>
      </c>
      <c r="D93" s="46" t="str">
        <f>VLOOKUP($B93,Table1[],3,FALSE)</f>
        <v>Sales</v>
      </c>
      <c r="E93" s="46" t="str">
        <f>VLOOKUP($B93,Table1[],4,FALSE)</f>
        <v>Pharmaceuticals</v>
      </c>
      <c r="F93" s="46" t="str">
        <f>VLOOKUP($B93,Table1[],5,FALSE)</f>
        <v>Employee 13</v>
      </c>
      <c r="G93" s="51">
        <f>VLOOKUP($B93,Table1[],6,FALSE)</f>
        <v>3193.7973750000001</v>
      </c>
      <c r="H93" s="51">
        <f>VLOOKUP($B93,Table1[],7,FALSE)</f>
        <v>3548.6637500000002</v>
      </c>
      <c r="I93" s="51">
        <f>VLOOKUP($B93,Table1[],8,FALSE)</f>
        <v>3666.7562499999999</v>
      </c>
      <c r="J93" s="51">
        <f t="shared" si="15"/>
        <v>4033.4318750000002</v>
      </c>
      <c r="K93" s="51">
        <f t="shared" si="16"/>
        <v>4315.7721062500004</v>
      </c>
      <c r="L93" s="51">
        <f t="shared" si="17"/>
        <v>4315.7721062500004</v>
      </c>
      <c r="M93" s="51">
        <f t="shared" si="17"/>
        <v>4315.7721062500004</v>
      </c>
      <c r="N93" s="51">
        <f t="shared" si="17"/>
        <v>4315.7721062500004</v>
      </c>
    </row>
    <row r="94" spans="1:14" x14ac:dyDescent="0.2">
      <c r="A94" s="67" t="e">
        <f>Table1[[#This Row],[Column1]]&amp;"/"&amp;Table1[[#This Row],[Column5]]</f>
        <v>#VALUE!</v>
      </c>
      <c r="B94" s="46" t="s">
        <v>193</v>
      </c>
      <c r="C94" s="46" t="s">
        <v>194</v>
      </c>
      <c r="D94" s="46" t="s">
        <v>15</v>
      </c>
      <c r="E94" s="46" t="s">
        <v>7</v>
      </c>
      <c r="F94" s="46" t="s">
        <v>195</v>
      </c>
      <c r="G94" s="150"/>
      <c r="H94" s="150"/>
      <c r="I94" s="150"/>
      <c r="J94" s="54">
        <f>AVERAGEIF($E$5:$E$93,$E$94,J$5:J$93)</f>
        <v>6353.5748409523803</v>
      </c>
      <c r="K94" s="54">
        <f>AVERAGEIF($E$5:$E$93,$E94,K$5:K$93)</f>
        <v>6673.9989131523807</v>
      </c>
      <c r="L94" s="54">
        <f t="shared" ref="L94:N94" si="18">AVERAGEIF($E$5:$E$93,$E94,L$5:L$93)</f>
        <v>6898.6246569355471</v>
      </c>
      <c r="M94" s="54">
        <f t="shared" si="18"/>
        <v>7135.5991103460356</v>
      </c>
      <c r="N94" s="54">
        <f t="shared" si="18"/>
        <v>7385.6179284358832</v>
      </c>
    </row>
    <row r="95" spans="1:14" x14ac:dyDescent="0.2">
      <c r="B95" s="46" t="s">
        <v>193</v>
      </c>
      <c r="C95" s="46" t="s">
        <v>194</v>
      </c>
      <c r="D95" s="46" t="s">
        <v>15</v>
      </c>
      <c r="E95" s="46" t="s">
        <v>7</v>
      </c>
      <c r="F95" s="46" t="s">
        <v>196</v>
      </c>
      <c r="G95" s="150"/>
      <c r="H95" s="150"/>
      <c r="I95" s="150"/>
      <c r="J95" s="54">
        <f t="shared" ref="J95:J113" si="19">AVERAGEIF($E$5:$E$93,E95,$J$5:$J$93)</f>
        <v>6353.5748409523803</v>
      </c>
      <c r="K95" s="54">
        <f t="shared" ref="K95:N113" si="20">AVERAGEIF($E$5:$E$93,$E95,K$5:K$93)</f>
        <v>6673.9989131523807</v>
      </c>
      <c r="L95" s="54">
        <f t="shared" si="20"/>
        <v>6898.6246569355471</v>
      </c>
      <c r="M95" s="54">
        <f t="shared" si="20"/>
        <v>7135.5991103460356</v>
      </c>
      <c r="N95" s="54">
        <f t="shared" si="20"/>
        <v>7385.6179284358832</v>
      </c>
    </row>
    <row r="96" spans="1:14" x14ac:dyDescent="0.2">
      <c r="B96" s="46" t="s">
        <v>193</v>
      </c>
      <c r="C96" s="46" t="s">
        <v>194</v>
      </c>
      <c r="D96" s="46" t="s">
        <v>15</v>
      </c>
      <c r="E96" s="46" t="s">
        <v>7</v>
      </c>
      <c r="F96" s="46" t="s">
        <v>197</v>
      </c>
      <c r="G96" s="150"/>
      <c r="H96" s="150"/>
      <c r="I96" s="150"/>
      <c r="J96" s="54">
        <f t="shared" si="19"/>
        <v>6353.5748409523803</v>
      </c>
      <c r="K96" s="54">
        <f t="shared" si="20"/>
        <v>6673.9989131523807</v>
      </c>
      <c r="L96" s="54">
        <f t="shared" si="20"/>
        <v>6898.6246569355471</v>
      </c>
      <c r="M96" s="54">
        <f t="shared" si="20"/>
        <v>7135.5991103460356</v>
      </c>
      <c r="N96" s="54">
        <f t="shared" si="20"/>
        <v>7385.6179284358832</v>
      </c>
    </row>
    <row r="97" spans="2:14" x14ac:dyDescent="0.2">
      <c r="B97" s="46" t="s">
        <v>193</v>
      </c>
      <c r="C97" s="46" t="s">
        <v>194</v>
      </c>
      <c r="D97" s="46" t="s">
        <v>15</v>
      </c>
      <c r="E97" s="46" t="s">
        <v>7</v>
      </c>
      <c r="F97" s="46" t="s">
        <v>198</v>
      </c>
      <c r="G97" s="150"/>
      <c r="H97" s="150"/>
      <c r="I97" s="150"/>
      <c r="J97" s="54">
        <f t="shared" si="19"/>
        <v>6353.5748409523803</v>
      </c>
      <c r="K97" s="54">
        <f t="shared" si="20"/>
        <v>6673.9989131523807</v>
      </c>
      <c r="L97" s="54">
        <f t="shared" si="20"/>
        <v>6898.6246569355471</v>
      </c>
      <c r="M97" s="54">
        <f t="shared" si="20"/>
        <v>7135.5991103460356</v>
      </c>
      <c r="N97" s="54">
        <f t="shared" si="20"/>
        <v>7385.6179284358832</v>
      </c>
    </row>
    <row r="98" spans="2:14" x14ac:dyDescent="0.2">
      <c r="B98" s="46" t="s">
        <v>193</v>
      </c>
      <c r="C98" s="46" t="s">
        <v>194</v>
      </c>
      <c r="D98" s="46" t="s">
        <v>15</v>
      </c>
      <c r="E98" s="46" t="s">
        <v>7</v>
      </c>
      <c r="F98" s="46" t="s">
        <v>199</v>
      </c>
      <c r="G98" s="150"/>
      <c r="H98" s="150"/>
      <c r="I98" s="150"/>
      <c r="J98" s="54">
        <f t="shared" si="19"/>
        <v>6353.5748409523803</v>
      </c>
      <c r="K98" s="54">
        <f t="shared" si="20"/>
        <v>6673.9989131523807</v>
      </c>
      <c r="L98" s="54">
        <f t="shared" si="20"/>
        <v>6898.6246569355471</v>
      </c>
      <c r="M98" s="54">
        <f t="shared" si="20"/>
        <v>7135.5991103460356</v>
      </c>
      <c r="N98" s="54">
        <f t="shared" si="20"/>
        <v>7385.6179284358832</v>
      </c>
    </row>
    <row r="99" spans="2:14" x14ac:dyDescent="0.2">
      <c r="B99" s="46" t="s">
        <v>193</v>
      </c>
      <c r="C99" s="46" t="s">
        <v>194</v>
      </c>
      <c r="D99" s="46" t="s">
        <v>15</v>
      </c>
      <c r="E99" s="46" t="s">
        <v>4</v>
      </c>
      <c r="F99" s="46" t="s">
        <v>200</v>
      </c>
      <c r="G99" s="150"/>
      <c r="H99" s="150"/>
      <c r="I99" s="150"/>
      <c r="J99" s="54">
        <f t="shared" si="19"/>
        <v>14433.69592625</v>
      </c>
      <c r="K99" s="54">
        <f t="shared" si="20"/>
        <v>15496.335222649999</v>
      </c>
      <c r="L99" s="54">
        <f t="shared" si="20"/>
        <v>16553.028195171439</v>
      </c>
      <c r="M99" s="54">
        <f t="shared" si="20"/>
        <v>17698.026965895944</v>
      </c>
      <c r="N99" s="54">
        <f t="shared" si="20"/>
        <v>18939.272440877798</v>
      </c>
    </row>
    <row r="100" spans="2:14" x14ac:dyDescent="0.2">
      <c r="B100" s="46" t="s">
        <v>193</v>
      </c>
      <c r="C100" s="46" t="s">
        <v>194</v>
      </c>
      <c r="D100" s="46" t="s">
        <v>15</v>
      </c>
      <c r="E100" s="46" t="s">
        <v>4</v>
      </c>
      <c r="F100" s="46" t="s">
        <v>201</v>
      </c>
      <c r="G100" s="150"/>
      <c r="H100" s="150"/>
      <c r="I100" s="150"/>
      <c r="J100" s="54">
        <f t="shared" si="19"/>
        <v>14433.69592625</v>
      </c>
      <c r="K100" s="54">
        <f t="shared" si="20"/>
        <v>15496.335222649999</v>
      </c>
      <c r="L100" s="54">
        <f t="shared" si="20"/>
        <v>16553.028195171439</v>
      </c>
      <c r="M100" s="54">
        <f t="shared" si="20"/>
        <v>17698.026965895944</v>
      </c>
      <c r="N100" s="54">
        <f t="shared" si="20"/>
        <v>18939.272440877798</v>
      </c>
    </row>
    <row r="101" spans="2:14" x14ac:dyDescent="0.2">
      <c r="B101" s="46" t="s">
        <v>193</v>
      </c>
      <c r="C101" s="46" t="s">
        <v>194</v>
      </c>
      <c r="D101" s="46" t="s">
        <v>15</v>
      </c>
      <c r="E101" s="46" t="s">
        <v>4</v>
      </c>
      <c r="F101" s="46" t="s">
        <v>202</v>
      </c>
      <c r="G101" s="150"/>
      <c r="H101" s="150"/>
      <c r="I101" s="150"/>
      <c r="J101" s="54">
        <f t="shared" si="19"/>
        <v>14433.69592625</v>
      </c>
      <c r="K101" s="54">
        <f t="shared" si="20"/>
        <v>15496.335222649999</v>
      </c>
      <c r="L101" s="54">
        <f t="shared" si="20"/>
        <v>16553.028195171439</v>
      </c>
      <c r="M101" s="54">
        <f t="shared" si="20"/>
        <v>17698.026965895944</v>
      </c>
      <c r="N101" s="54">
        <f t="shared" si="20"/>
        <v>18939.272440877798</v>
      </c>
    </row>
    <row r="102" spans="2:14" x14ac:dyDescent="0.2">
      <c r="B102" s="46" t="s">
        <v>193</v>
      </c>
      <c r="C102" s="46" t="s">
        <v>194</v>
      </c>
      <c r="D102" s="46" t="s">
        <v>15</v>
      </c>
      <c r="E102" s="46" t="s">
        <v>4</v>
      </c>
      <c r="F102" s="46" t="s">
        <v>203</v>
      </c>
      <c r="G102" s="150"/>
      <c r="H102" s="150"/>
      <c r="I102" s="150"/>
      <c r="J102" s="54">
        <f t="shared" si="19"/>
        <v>14433.69592625</v>
      </c>
      <c r="K102" s="54">
        <f t="shared" si="20"/>
        <v>15496.335222649999</v>
      </c>
      <c r="L102" s="54">
        <f t="shared" si="20"/>
        <v>16553.028195171439</v>
      </c>
      <c r="M102" s="54">
        <f t="shared" si="20"/>
        <v>17698.026965895944</v>
      </c>
      <c r="N102" s="54">
        <f t="shared" si="20"/>
        <v>18939.272440877798</v>
      </c>
    </row>
    <row r="103" spans="2:14" x14ac:dyDescent="0.2">
      <c r="B103" s="46" t="s">
        <v>193</v>
      </c>
      <c r="C103" s="46" t="s">
        <v>194</v>
      </c>
      <c r="D103" s="46" t="s">
        <v>15</v>
      </c>
      <c r="E103" s="46" t="s">
        <v>4</v>
      </c>
      <c r="F103" s="46" t="s">
        <v>204</v>
      </c>
      <c r="G103" s="150"/>
      <c r="H103" s="150"/>
      <c r="I103" s="150"/>
      <c r="J103" s="54">
        <f t="shared" si="19"/>
        <v>14433.69592625</v>
      </c>
      <c r="K103" s="54">
        <f t="shared" si="20"/>
        <v>15496.335222649999</v>
      </c>
      <c r="L103" s="54">
        <f t="shared" si="20"/>
        <v>16553.028195171439</v>
      </c>
      <c r="M103" s="54">
        <f t="shared" si="20"/>
        <v>17698.026965895944</v>
      </c>
      <c r="N103" s="54">
        <f t="shared" si="20"/>
        <v>18939.272440877798</v>
      </c>
    </row>
    <row r="104" spans="2:14" x14ac:dyDescent="0.2">
      <c r="B104" s="46" t="s">
        <v>193</v>
      </c>
      <c r="C104" s="46" t="s">
        <v>194</v>
      </c>
      <c r="D104" s="46" t="s">
        <v>15</v>
      </c>
      <c r="E104" s="46" t="s">
        <v>5</v>
      </c>
      <c r="F104" s="46" t="s">
        <v>205</v>
      </c>
      <c r="G104" s="150"/>
      <c r="H104" s="150"/>
      <c r="I104" s="150"/>
      <c r="J104" s="54">
        <f t="shared" si="19"/>
        <v>8502.7204558333342</v>
      </c>
      <c r="K104" s="54">
        <f t="shared" si="20"/>
        <v>9161.5680339916689</v>
      </c>
      <c r="L104" s="54">
        <f t="shared" si="20"/>
        <v>9766.1205575012955</v>
      </c>
      <c r="M104" s="54">
        <f t="shared" si="20"/>
        <v>10422.018849678469</v>
      </c>
      <c r="N104" s="54">
        <f t="shared" si="20"/>
        <v>11133.852260324762</v>
      </c>
    </row>
    <row r="105" spans="2:14" x14ac:dyDescent="0.2">
      <c r="B105" s="46" t="s">
        <v>193</v>
      </c>
      <c r="C105" s="46" t="s">
        <v>194</v>
      </c>
      <c r="D105" s="46" t="s">
        <v>15</v>
      </c>
      <c r="E105" s="46" t="s">
        <v>5</v>
      </c>
      <c r="F105" s="46" t="s">
        <v>206</v>
      </c>
      <c r="G105" s="150"/>
      <c r="H105" s="150"/>
      <c r="I105" s="150"/>
      <c r="J105" s="54">
        <f t="shared" si="19"/>
        <v>8502.7204558333342</v>
      </c>
      <c r="K105" s="54">
        <f t="shared" si="20"/>
        <v>9161.5680339916689</v>
      </c>
      <c r="L105" s="54">
        <f t="shared" si="20"/>
        <v>9766.1205575012955</v>
      </c>
      <c r="M105" s="54">
        <f t="shared" si="20"/>
        <v>10422.018849678469</v>
      </c>
      <c r="N105" s="54">
        <f t="shared" si="20"/>
        <v>11133.852260324762</v>
      </c>
    </row>
    <row r="106" spans="2:14" x14ac:dyDescent="0.2">
      <c r="B106" s="46" t="s">
        <v>193</v>
      </c>
      <c r="C106" s="46" t="s">
        <v>194</v>
      </c>
      <c r="D106" s="46" t="s">
        <v>15</v>
      </c>
      <c r="E106" s="46" t="s">
        <v>5</v>
      </c>
      <c r="F106" s="46" t="s">
        <v>207</v>
      </c>
      <c r="G106" s="150"/>
      <c r="H106" s="150"/>
      <c r="I106" s="150"/>
      <c r="J106" s="54">
        <f t="shared" si="19"/>
        <v>8502.7204558333342</v>
      </c>
      <c r="K106" s="54">
        <f t="shared" si="20"/>
        <v>9161.5680339916689</v>
      </c>
      <c r="L106" s="54">
        <f t="shared" si="20"/>
        <v>9766.1205575012955</v>
      </c>
      <c r="M106" s="54">
        <f t="shared" si="20"/>
        <v>10422.018849678469</v>
      </c>
      <c r="N106" s="54">
        <f t="shared" si="20"/>
        <v>11133.852260324762</v>
      </c>
    </row>
    <row r="107" spans="2:14" x14ac:dyDescent="0.2">
      <c r="B107" s="46" t="s">
        <v>193</v>
      </c>
      <c r="C107" s="46" t="s">
        <v>194</v>
      </c>
      <c r="D107" s="46" t="s">
        <v>15</v>
      </c>
      <c r="E107" s="46" t="s">
        <v>5</v>
      </c>
      <c r="F107" s="46" t="s">
        <v>208</v>
      </c>
      <c r="G107" s="150"/>
      <c r="H107" s="150"/>
      <c r="I107" s="150"/>
      <c r="J107" s="54">
        <f t="shared" si="19"/>
        <v>8502.7204558333342</v>
      </c>
      <c r="K107" s="54">
        <f t="shared" si="20"/>
        <v>9161.5680339916689</v>
      </c>
      <c r="L107" s="54">
        <f t="shared" si="20"/>
        <v>9766.1205575012955</v>
      </c>
      <c r="M107" s="54">
        <f t="shared" si="20"/>
        <v>10422.018849678469</v>
      </c>
      <c r="N107" s="54">
        <f t="shared" si="20"/>
        <v>11133.852260324762</v>
      </c>
    </row>
    <row r="108" spans="2:14" x14ac:dyDescent="0.2">
      <c r="B108" s="46" t="s">
        <v>193</v>
      </c>
      <c r="C108" s="46" t="s">
        <v>194</v>
      </c>
      <c r="D108" s="46" t="s">
        <v>15</v>
      </c>
      <c r="E108" s="46" t="s">
        <v>5</v>
      </c>
      <c r="F108" s="46" t="s">
        <v>209</v>
      </c>
      <c r="G108" s="150"/>
      <c r="H108" s="150"/>
      <c r="I108" s="150"/>
      <c r="J108" s="54">
        <f t="shared" si="19"/>
        <v>8502.7204558333342</v>
      </c>
      <c r="K108" s="54">
        <f t="shared" si="20"/>
        <v>9161.5680339916689</v>
      </c>
      <c r="L108" s="54">
        <f t="shared" si="20"/>
        <v>9766.1205575012955</v>
      </c>
      <c r="M108" s="54">
        <f t="shared" si="20"/>
        <v>10422.018849678469</v>
      </c>
      <c r="N108" s="54">
        <f t="shared" si="20"/>
        <v>11133.852260324762</v>
      </c>
    </row>
    <row r="109" spans="2:14" x14ac:dyDescent="0.2">
      <c r="B109" s="46" t="s">
        <v>193</v>
      </c>
      <c r="C109" s="46" t="s">
        <v>194</v>
      </c>
      <c r="D109" s="46" t="s">
        <v>15</v>
      </c>
      <c r="E109" s="46" t="s">
        <v>6</v>
      </c>
      <c r="F109" s="46" t="s">
        <v>210</v>
      </c>
      <c r="G109" s="150"/>
      <c r="H109" s="150"/>
      <c r="I109" s="150"/>
      <c r="J109" s="54">
        <f t="shared" si="19"/>
        <v>7749.780607749999</v>
      </c>
      <c r="K109" s="54">
        <f t="shared" si="20"/>
        <v>8141.1514666675012</v>
      </c>
      <c r="L109" s="54">
        <f t="shared" si="20"/>
        <v>8409.0354207792261</v>
      </c>
      <c r="M109" s="54">
        <f t="shared" si="20"/>
        <v>8690.5468201025215</v>
      </c>
      <c r="N109" s="54">
        <f t="shared" si="20"/>
        <v>8986.3833642233858</v>
      </c>
    </row>
    <row r="110" spans="2:14" x14ac:dyDescent="0.2">
      <c r="B110" s="46" t="s">
        <v>193</v>
      </c>
      <c r="C110" s="46" t="s">
        <v>194</v>
      </c>
      <c r="D110" s="46" t="s">
        <v>15</v>
      </c>
      <c r="E110" s="46" t="s">
        <v>6</v>
      </c>
      <c r="F110" s="46" t="s">
        <v>211</v>
      </c>
      <c r="G110" s="150"/>
      <c r="H110" s="150"/>
      <c r="I110" s="150"/>
      <c r="J110" s="54">
        <f t="shared" si="19"/>
        <v>7749.780607749999</v>
      </c>
      <c r="K110" s="54">
        <f t="shared" si="20"/>
        <v>8141.1514666675012</v>
      </c>
      <c r="L110" s="54">
        <f t="shared" si="20"/>
        <v>8409.0354207792261</v>
      </c>
      <c r="M110" s="54">
        <f t="shared" si="20"/>
        <v>8690.5468201025215</v>
      </c>
      <c r="N110" s="54">
        <f t="shared" si="20"/>
        <v>8986.3833642233858</v>
      </c>
    </row>
    <row r="111" spans="2:14" x14ac:dyDescent="0.2">
      <c r="B111" s="46" t="s">
        <v>193</v>
      </c>
      <c r="C111" s="46" t="s">
        <v>194</v>
      </c>
      <c r="D111" s="46" t="s">
        <v>15</v>
      </c>
      <c r="E111" s="46" t="s">
        <v>6</v>
      </c>
      <c r="F111" s="46" t="s">
        <v>212</v>
      </c>
      <c r="G111" s="150"/>
      <c r="H111" s="150"/>
      <c r="I111" s="150"/>
      <c r="J111" s="54">
        <f t="shared" si="19"/>
        <v>7749.780607749999</v>
      </c>
      <c r="K111" s="54">
        <f t="shared" si="20"/>
        <v>8141.1514666675012</v>
      </c>
      <c r="L111" s="54">
        <f t="shared" si="20"/>
        <v>8409.0354207792261</v>
      </c>
      <c r="M111" s="54">
        <f t="shared" si="20"/>
        <v>8690.5468201025215</v>
      </c>
      <c r="N111" s="54">
        <f t="shared" si="20"/>
        <v>8986.3833642233858</v>
      </c>
    </row>
    <row r="112" spans="2:14" x14ac:dyDescent="0.2">
      <c r="B112" s="46" t="s">
        <v>193</v>
      </c>
      <c r="C112" s="46" t="s">
        <v>194</v>
      </c>
      <c r="D112" s="46" t="s">
        <v>15</v>
      </c>
      <c r="E112" s="46" t="s">
        <v>6</v>
      </c>
      <c r="F112" s="46" t="s">
        <v>213</v>
      </c>
      <c r="G112" s="150"/>
      <c r="H112" s="150"/>
      <c r="I112" s="150"/>
      <c r="J112" s="54">
        <f t="shared" si="19"/>
        <v>7749.780607749999</v>
      </c>
      <c r="K112" s="54">
        <f t="shared" si="20"/>
        <v>8141.1514666675012</v>
      </c>
      <c r="L112" s="54">
        <f t="shared" si="20"/>
        <v>8409.0354207792261</v>
      </c>
      <c r="M112" s="54">
        <f t="shared" si="20"/>
        <v>8690.5468201025215</v>
      </c>
      <c r="N112" s="54">
        <f t="shared" si="20"/>
        <v>8986.3833642233858</v>
      </c>
    </row>
    <row r="113" spans="2:14" x14ac:dyDescent="0.2">
      <c r="B113" s="46" t="s">
        <v>193</v>
      </c>
      <c r="C113" s="46" t="s">
        <v>194</v>
      </c>
      <c r="D113" s="46" t="s">
        <v>15</v>
      </c>
      <c r="E113" s="46" t="s">
        <v>6</v>
      </c>
      <c r="F113" s="46" t="s">
        <v>214</v>
      </c>
      <c r="G113" s="150"/>
      <c r="H113" s="150"/>
      <c r="I113" s="150"/>
      <c r="J113" s="54">
        <f t="shared" si="19"/>
        <v>7749.780607749999</v>
      </c>
      <c r="K113" s="54">
        <f t="shared" si="20"/>
        <v>8141.1514666675012</v>
      </c>
      <c r="L113" s="54">
        <f t="shared" si="20"/>
        <v>8409.0354207792261</v>
      </c>
      <c r="M113" s="54">
        <f t="shared" si="20"/>
        <v>8690.5468201025215</v>
      </c>
      <c r="N113" s="54">
        <f t="shared" si="20"/>
        <v>8986.3833642233858</v>
      </c>
    </row>
  </sheetData>
  <autoFilter ref="B3:N113" xr:uid="{C79B8A2E-FB56-4F61-B7A7-2732681D736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d3b2d376-13d0-4ab0-8988-03c9d85742ba" xsi:nil="true"/>
    <TaxCatchAll xmlns="ede8f5c8-ce01-4a37-b337-4d1662605c72" xsi:nil="true"/>
    <lcf76f155ced4ddcb4097134ff3c332f xmlns="d3b2d376-13d0-4ab0-8988-03c9d85742b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18EF6904D81B40B088B076E2A628AD" ma:contentTypeVersion="12" ma:contentTypeDescription="Create a new document." ma:contentTypeScope="" ma:versionID="682ed1151e108a32dbc752ae80e45408">
  <xsd:schema xmlns:xsd="http://www.w3.org/2001/XMLSchema" xmlns:xs="http://www.w3.org/2001/XMLSchema" xmlns:p="http://schemas.microsoft.com/office/2006/metadata/properties" xmlns:ns2="d3b2d376-13d0-4ab0-8988-03c9d85742ba" xmlns:ns3="ede8f5c8-ce01-4a37-b337-4d1662605c72" targetNamespace="http://schemas.microsoft.com/office/2006/metadata/properties" ma:root="true" ma:fieldsID="55b13912cbd62ce0bfdc23c9c76522e6" ns2:_="" ns3:_="">
    <xsd:import namespace="d3b2d376-13d0-4ab0-8988-03c9d85742ba"/>
    <xsd:import namespace="ede8f5c8-ce01-4a37-b337-4d1662605c72"/>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b2d376-13d0-4ab0-8988-03c9d85742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1f6f7f3-e6e1-4bc4-a709-003d40ca4c0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e8f5c8-ce01-4a37-b337-4d1662605c7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b7a43c9-a38d-4130-890b-39255c9e425e}" ma:internalName="TaxCatchAll" ma:showField="CatchAllData" ma:web="ede8f5c8-ce01-4a37-b337-4d1662605c7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6C8784-478E-4E15-B8DC-5A42EBE2606E}">
  <ds:schemaRefs>
    <ds:schemaRef ds:uri="http://schemas.microsoft.com/sharepoint/v3/contenttype/forms"/>
  </ds:schemaRefs>
</ds:datastoreItem>
</file>

<file path=customXml/itemProps2.xml><?xml version="1.0" encoding="utf-8"?>
<ds:datastoreItem xmlns:ds="http://schemas.openxmlformats.org/officeDocument/2006/customXml" ds:itemID="{B2088C64-AFB2-4CF0-B0AC-E907A2109053}">
  <ds:schemaRefs>
    <ds:schemaRef ds:uri="http://schemas.microsoft.com/office/2006/metadata/properties"/>
    <ds:schemaRef ds:uri="http://schemas.microsoft.com/office/infopath/2007/PartnerControls"/>
    <ds:schemaRef ds:uri="d3b2d376-13d0-4ab0-8988-03c9d85742ba"/>
    <ds:schemaRef ds:uri="ede8f5c8-ce01-4a37-b337-4d1662605c72"/>
  </ds:schemaRefs>
</ds:datastoreItem>
</file>

<file path=customXml/itemProps3.xml><?xml version="1.0" encoding="utf-8"?>
<ds:datastoreItem xmlns:ds="http://schemas.openxmlformats.org/officeDocument/2006/customXml" ds:itemID="{1278755A-AA53-416E-B7DF-A29498C8AB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b2d376-13d0-4ab0-8988-03c9d85742ba"/>
    <ds:schemaRef ds:uri="ede8f5c8-ce01-4a37-b337-4d1662605c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Assumptions</vt:lpstr>
      <vt:lpstr>INPUT</vt:lpstr>
      <vt:lpstr>List of employees &amp; salaries</vt:lpstr>
      <vt:lpstr>Filter</vt:lpstr>
      <vt:lpstr>Revenue Breakdown</vt:lpstr>
      <vt:lpstr>COGS Breakdown</vt:lpstr>
      <vt:lpstr>OUTPUT---&gt;</vt:lpstr>
      <vt:lpstr>Sheet3</vt:lpstr>
      <vt:lpstr>Employees &amp; Salaries</vt:lpstr>
      <vt:lpstr>Payroll Workings</vt:lpstr>
      <vt:lpstr>Budgeting</vt:lpstr>
      <vt:lpstr>Summary</vt:lpstr>
      <vt:lpstr>Assumptions!_Hlk140581034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Borislav Baltov</dc:creator>
  <cp:lastModifiedBy>John Francis Rabe</cp:lastModifiedBy>
  <dcterms:created xsi:type="dcterms:W3CDTF">2020-03-25T09:21:18Z</dcterms:created>
  <dcterms:modified xsi:type="dcterms:W3CDTF">2023-11-02T18:15:03Z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0x0101003A18EF6904D81B40B088B076E2A628AD</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