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pivotTables/pivotTable1.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https://jgiquality.sharepoint.com/sites/JGI/Shared Documents/Kelly Kabler's OneDrive/Shared with Everyone/Dimensional Lab South/Peyton/Tools/Laser Trackers/"/>
    </mc:Choice>
  </mc:AlternateContent>
  <xr:revisionPtr revIDLastSave="147" documentId="8_{3D684F13-4E56-4E1C-AEB1-D811B36CC850}" xr6:coauthVersionLast="47" xr6:coauthVersionMax="47" xr10:uidLastSave="{CE79F4EF-5013-4653-83E0-C5D9751B4B7E}"/>
  <bookViews>
    <workbookView xWindow="-108" yWindow="-108" windowWidth="23256" windowHeight="13896" tabRatio="807" xr2:uid="{00000000-000D-0000-FFFF-FFFF00000000}"/>
  </bookViews>
  <sheets>
    <sheet name="The details" sheetId="14" r:id="rId1"/>
    <sheet name="JGI Method Testing" sheetId="1" r:id="rId2"/>
    <sheet name="SMR Certification" sheetId="12" r:id="rId3"/>
    <sheet name="Cert Page" sheetId="8" r:id="rId4"/>
    <sheet name="Datasheet, JGI Method" sheetId="7" r:id="rId5"/>
    <sheet name="Log" sheetId="15" r:id="rId6"/>
    <sheet name="Software Notes" sheetId="16" r:id="rId7"/>
    <sheet name="tracker specs" sheetId="11" r:id="rId8"/>
    <sheet name="B89.4.19 Testing" sheetId="5" r:id="rId9"/>
    <sheet name="Sheet2" sheetId="13" r:id="rId10"/>
    <sheet name="Logo Page" sheetId="9" r:id="rId11"/>
    <sheet name="Software Validation" sheetId="10" r:id="rId12"/>
  </sheets>
  <definedNames>
    <definedName name="A2LA">'Logo Page'!$B$4</definedName>
    <definedName name="Blank">'Logo Page'!$C$4</definedName>
    <definedName name="Imagy">INDIRECT('Logo Page'!$A$1)</definedName>
    <definedName name="_xlnm.Print_Area" localSheetId="3">'Cert Page'!$A$2:$M$62</definedName>
    <definedName name="_xlnm.Print_Area" localSheetId="4">'Datasheet, JGI Method'!$A$1:$K$36</definedName>
    <definedName name="_xlnm.Print_Area" localSheetId="1">'JGI Method Testing'!$A$1:$E$84</definedName>
    <definedName name="_xlnm.Print_Area" localSheetId="2">'SMR Certification'!$K$1:$U$228</definedName>
  </definedNames>
  <calcPr calcId="191028"/>
  <pivotCaches>
    <pivotCache cacheId="1"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 i="11" l="1"/>
  <c r="I19" i="1"/>
  <c r="L13" i="8" l="1"/>
  <c r="Q225" i="12"/>
  <c r="Q187" i="12"/>
  <c r="Q149" i="12"/>
  <c r="Q111" i="12"/>
  <c r="Q73" i="12"/>
  <c r="Q254" i="12"/>
  <c r="Q220" i="12"/>
  <c r="Q219" i="12"/>
  <c r="Q218" i="12"/>
  <c r="Q217" i="12"/>
  <c r="Q216" i="12"/>
  <c r="Q182" i="12"/>
  <c r="Q181" i="12"/>
  <c r="Q180" i="12"/>
  <c r="Q179" i="12"/>
  <c r="Q178" i="12"/>
  <c r="Q142" i="12"/>
  <c r="Q64" i="12"/>
  <c r="M215" i="12"/>
  <c r="M177" i="12"/>
  <c r="M63" i="12"/>
  <c r="P223" i="12"/>
  <c r="P185" i="12"/>
  <c r="P147" i="12"/>
  <c r="Q141" i="12" s="1"/>
  <c r="P109" i="12"/>
  <c r="Q106" i="12"/>
  <c r="P71" i="12"/>
  <c r="Q203" i="12"/>
  <c r="R203" i="12"/>
  <c r="S203" i="12"/>
  <c r="Q204" i="12"/>
  <c r="R204" i="12"/>
  <c r="R211" i="12"/>
  <c r="S204" i="12"/>
  <c r="Q205" i="12"/>
  <c r="R205" i="12"/>
  <c r="S205" i="12"/>
  <c r="Q206" i="12"/>
  <c r="R206" i="12"/>
  <c r="S206" i="12"/>
  <c r="Q207" i="12"/>
  <c r="Q211" i="12"/>
  <c r="R207" i="12"/>
  <c r="S207" i="12"/>
  <c r="Q208" i="12"/>
  <c r="R208" i="12"/>
  <c r="S208" i="12"/>
  <c r="Q209" i="12"/>
  <c r="R209" i="12"/>
  <c r="S209" i="12"/>
  <c r="R202" i="12"/>
  <c r="S202" i="12"/>
  <c r="Q202" i="12"/>
  <c r="Q165" i="12"/>
  <c r="R165" i="12"/>
  <c r="S165" i="12"/>
  <c r="Q166" i="12"/>
  <c r="R166" i="12"/>
  <c r="S166" i="12"/>
  <c r="Q167" i="12"/>
  <c r="R167" i="12"/>
  <c r="S167" i="12"/>
  <c r="Q168" i="12"/>
  <c r="R168" i="12"/>
  <c r="S168" i="12"/>
  <c r="Q169" i="12"/>
  <c r="R169" i="12"/>
  <c r="S169" i="12"/>
  <c r="Q170" i="12"/>
  <c r="R170" i="12"/>
  <c r="S170" i="12"/>
  <c r="Q171" i="12"/>
  <c r="R171" i="12"/>
  <c r="S171" i="12"/>
  <c r="R164" i="12"/>
  <c r="S164" i="12"/>
  <c r="Q164" i="12"/>
  <c r="Q127" i="12"/>
  <c r="R127" i="12"/>
  <c r="S127" i="12"/>
  <c r="Q128" i="12"/>
  <c r="R128" i="12"/>
  <c r="S128" i="12"/>
  <c r="Q129" i="12"/>
  <c r="R129" i="12"/>
  <c r="S129" i="12"/>
  <c r="Q130" i="12"/>
  <c r="R130" i="12"/>
  <c r="S130" i="12"/>
  <c r="Q131" i="12"/>
  <c r="R131" i="12"/>
  <c r="S131" i="12"/>
  <c r="Q132" i="12"/>
  <c r="R132" i="12"/>
  <c r="S132" i="12"/>
  <c r="Q133" i="12"/>
  <c r="R133" i="12"/>
  <c r="S133" i="12"/>
  <c r="R126" i="12"/>
  <c r="R136" i="12" s="1"/>
  <c r="S126" i="12"/>
  <c r="S136" i="12" s="1"/>
  <c r="Q126" i="12"/>
  <c r="Q90" i="12"/>
  <c r="R90" i="12"/>
  <c r="S90" i="12"/>
  <c r="Q91" i="12"/>
  <c r="R91" i="12"/>
  <c r="S91" i="12"/>
  <c r="Q92" i="12"/>
  <c r="R92" i="12"/>
  <c r="S92" i="12"/>
  <c r="Q93" i="12"/>
  <c r="Q98" i="12" s="1"/>
  <c r="R93" i="12"/>
  <c r="S93" i="12"/>
  <c r="Q94" i="12"/>
  <c r="R94" i="12"/>
  <c r="S94" i="12"/>
  <c r="Q95" i="12"/>
  <c r="R95" i="12"/>
  <c r="S95" i="12"/>
  <c r="R89" i="12"/>
  <c r="S89" i="12"/>
  <c r="Q89" i="12"/>
  <c r="N238" i="12"/>
  <c r="N237" i="12"/>
  <c r="N200" i="12"/>
  <c r="N199" i="12"/>
  <c r="N162" i="12"/>
  <c r="N161" i="12"/>
  <c r="N124" i="12"/>
  <c r="N123" i="12"/>
  <c r="N86" i="12"/>
  <c r="N85" i="12"/>
  <c r="M203" i="12"/>
  <c r="M204" i="12"/>
  <c r="M205" i="12"/>
  <c r="M206" i="12"/>
  <c r="M207" i="12"/>
  <c r="L207" i="12"/>
  <c r="L208" i="12"/>
  <c r="L209" i="12"/>
  <c r="M208" i="12"/>
  <c r="M209" i="12"/>
  <c r="M165" i="12"/>
  <c r="M166" i="12"/>
  <c r="M167" i="12"/>
  <c r="M168" i="12"/>
  <c r="M169" i="12"/>
  <c r="M170" i="12"/>
  <c r="M171" i="12"/>
  <c r="M202" i="12"/>
  <c r="M164" i="12"/>
  <c r="M127" i="12"/>
  <c r="M128" i="12"/>
  <c r="M129" i="12"/>
  <c r="M130" i="12"/>
  <c r="M131" i="12"/>
  <c r="L131" i="12" s="1"/>
  <c r="M132" i="12"/>
  <c r="M133" i="12"/>
  <c r="M126" i="12"/>
  <c r="M89" i="12"/>
  <c r="M90" i="12"/>
  <c r="M91" i="12"/>
  <c r="M92" i="12"/>
  <c r="M93" i="12"/>
  <c r="L93" i="12"/>
  <c r="L94" i="12"/>
  <c r="L95" i="12"/>
  <c r="M94" i="12"/>
  <c r="M95" i="12"/>
  <c r="M88" i="12"/>
  <c r="M51" i="12"/>
  <c r="M52" i="12"/>
  <c r="M53" i="12"/>
  <c r="M54" i="12"/>
  <c r="M55" i="12"/>
  <c r="L55" i="12"/>
  <c r="M56" i="12"/>
  <c r="L56" i="12" s="1"/>
  <c r="M57" i="12"/>
  <c r="L57" i="12" s="1"/>
  <c r="M50" i="12"/>
  <c r="M278" i="12"/>
  <c r="M240" i="12"/>
  <c r="M12" i="12"/>
  <c r="Q51" i="12"/>
  <c r="R51" i="12"/>
  <c r="S51" i="12"/>
  <c r="Q52" i="12"/>
  <c r="R52" i="12"/>
  <c r="S52" i="12"/>
  <c r="Q53" i="12"/>
  <c r="R53" i="12"/>
  <c r="S53" i="12"/>
  <c r="Q54" i="12"/>
  <c r="R54" i="12"/>
  <c r="S54" i="12"/>
  <c r="Q55" i="12"/>
  <c r="R55" i="12"/>
  <c r="S55" i="12"/>
  <c r="Q56" i="12"/>
  <c r="R56" i="12"/>
  <c r="S56" i="12"/>
  <c r="Q57" i="12"/>
  <c r="R57" i="12"/>
  <c r="S57" i="12"/>
  <c r="R50" i="12"/>
  <c r="S50" i="12"/>
  <c r="Q50" i="12"/>
  <c r="N48" i="12"/>
  <c r="N47" i="12"/>
  <c r="U191" i="12"/>
  <c r="U153" i="12"/>
  <c r="U115" i="12"/>
  <c r="U77" i="12"/>
  <c r="U39" i="12"/>
  <c r="Q301" i="12"/>
  <c r="Q299" i="12"/>
  <c r="P299" i="12"/>
  <c r="Q296" i="12"/>
  <c r="M296" i="12"/>
  <c r="L296" i="12" s="1"/>
  <c r="Q295" i="12"/>
  <c r="M295" i="12"/>
  <c r="L295" i="12"/>
  <c r="Q294" i="12"/>
  <c r="M294" i="12"/>
  <c r="L294" i="12"/>
  <c r="Q293" i="12"/>
  <c r="M293" i="12"/>
  <c r="L293" i="12" s="1"/>
  <c r="Q292" i="12"/>
  <c r="M292" i="12"/>
  <c r="L292" i="12" s="1"/>
  <c r="M291" i="12"/>
  <c r="S285" i="12"/>
  <c r="R285" i="12"/>
  <c r="Q285" i="12"/>
  <c r="M285" i="12"/>
  <c r="S284" i="12"/>
  <c r="R284" i="12"/>
  <c r="Q284" i="12"/>
  <c r="M284" i="12"/>
  <c r="S283" i="12"/>
  <c r="R283" i="12"/>
  <c r="Q283" i="12"/>
  <c r="M283" i="12"/>
  <c r="L283" i="12"/>
  <c r="S282" i="12"/>
  <c r="R282" i="12"/>
  <c r="Q282" i="12"/>
  <c r="M282" i="12"/>
  <c r="S281" i="12"/>
  <c r="R281" i="12"/>
  <c r="Q281" i="12"/>
  <c r="M281" i="12"/>
  <c r="S280" i="12"/>
  <c r="R280" i="12"/>
  <c r="Q280" i="12"/>
  <c r="M280" i="12"/>
  <c r="S279" i="12"/>
  <c r="S287" i="12"/>
  <c r="R279" i="12"/>
  <c r="R287" i="12"/>
  <c r="Q279" i="12"/>
  <c r="Q287" i="12"/>
  <c r="M279" i="12"/>
  <c r="S278" i="12"/>
  <c r="S288" i="12"/>
  <c r="S289" i="12"/>
  <c r="S286" i="12"/>
  <c r="R278" i="12"/>
  <c r="R288" i="12"/>
  <c r="Q278" i="12"/>
  <c r="Q288" i="12"/>
  <c r="S276" i="12"/>
  <c r="N276" i="12"/>
  <c r="N275" i="12"/>
  <c r="U267" i="12"/>
  <c r="M267" i="12"/>
  <c r="Q263" i="12"/>
  <c r="Q261" i="12"/>
  <c r="P261" i="12"/>
  <c r="Q258" i="12"/>
  <c r="M258" i="12"/>
  <c r="L258" i="12"/>
  <c r="Q257" i="12"/>
  <c r="M257" i="12"/>
  <c r="L257" i="12"/>
  <c r="Q256" i="12"/>
  <c r="M256" i="12"/>
  <c r="L256" i="12" s="1"/>
  <c r="Q255" i="12"/>
  <c r="M255" i="12"/>
  <c r="L255" i="12"/>
  <c r="M254" i="12"/>
  <c r="L254" i="12"/>
  <c r="M253" i="12"/>
  <c r="S247" i="12"/>
  <c r="R247" i="12"/>
  <c r="Q247" i="12"/>
  <c r="M247" i="12"/>
  <c r="S246" i="12"/>
  <c r="R246" i="12"/>
  <c r="Q246" i="12"/>
  <c r="M246" i="12"/>
  <c r="S245" i="12"/>
  <c r="R245" i="12"/>
  <c r="Q245" i="12"/>
  <c r="M245" i="12"/>
  <c r="L245" i="12" s="1"/>
  <c r="L246" i="12" s="1"/>
  <c r="S244" i="12"/>
  <c r="R244" i="12"/>
  <c r="Q244" i="12"/>
  <c r="M244" i="12"/>
  <c r="S243" i="12"/>
  <c r="R243" i="12"/>
  <c r="Q243" i="12"/>
  <c r="M243" i="12"/>
  <c r="S242" i="12"/>
  <c r="R242" i="12"/>
  <c r="Q242" i="12"/>
  <c r="M242" i="12"/>
  <c r="S241" i="12"/>
  <c r="S249" i="12"/>
  <c r="R241" i="12"/>
  <c r="R249" i="12"/>
  <c r="Q241" i="12"/>
  <c r="Q249" i="12"/>
  <c r="M241" i="12"/>
  <c r="S240" i="12"/>
  <c r="S250" i="12"/>
  <c r="R240" i="12"/>
  <c r="R250" i="12"/>
  <c r="Q240" i="12"/>
  <c r="Q250" i="12"/>
  <c r="S238" i="12"/>
  <c r="U229" i="12"/>
  <c r="M229" i="12"/>
  <c r="S200" i="12"/>
  <c r="M191" i="12"/>
  <c r="L169" i="12"/>
  <c r="S162" i="12"/>
  <c r="M153" i="12"/>
  <c r="S124" i="12"/>
  <c r="M115" i="12"/>
  <c r="S88" i="12"/>
  <c r="R88" i="12"/>
  <c r="Q88" i="12"/>
  <c r="S86" i="12"/>
  <c r="M77" i="12"/>
  <c r="S48" i="12"/>
  <c r="M39" i="12"/>
  <c r="Q35" i="12"/>
  <c r="S10" i="12"/>
  <c r="U1" i="12"/>
  <c r="M1" i="12"/>
  <c r="P33" i="12"/>
  <c r="Q26" i="12" s="1"/>
  <c r="D88" i="12"/>
  <c r="D89" i="12"/>
  <c r="D90" i="12"/>
  <c r="D91" i="12"/>
  <c r="D92" i="12"/>
  <c r="D93" i="12"/>
  <c r="D94" i="12"/>
  <c r="D87" i="12"/>
  <c r="C96" i="12"/>
  <c r="A92" i="12"/>
  <c r="A93" i="12"/>
  <c r="A94" i="12"/>
  <c r="A95" i="12"/>
  <c r="A96" i="12"/>
  <c r="A91" i="12"/>
  <c r="D71" i="12"/>
  <c r="D72" i="12"/>
  <c r="D73" i="12"/>
  <c r="D74" i="12"/>
  <c r="D75" i="12"/>
  <c r="D76" i="12"/>
  <c r="D77" i="12"/>
  <c r="D70" i="12"/>
  <c r="A75" i="12"/>
  <c r="A76" i="12"/>
  <c r="A77" i="12"/>
  <c r="A78" i="12"/>
  <c r="A79" i="12"/>
  <c r="A74" i="12"/>
  <c r="G97" i="12"/>
  <c r="F97" i="12"/>
  <c r="E97" i="12"/>
  <c r="G96" i="12"/>
  <c r="G98" i="12"/>
  <c r="F96" i="12"/>
  <c r="F98" i="12"/>
  <c r="E96" i="12"/>
  <c r="G80" i="12"/>
  <c r="F80" i="12"/>
  <c r="E80" i="12"/>
  <c r="G79" i="12"/>
  <c r="F79" i="12"/>
  <c r="E79" i="12"/>
  <c r="E81" i="12"/>
  <c r="C79" i="12"/>
  <c r="C62" i="12"/>
  <c r="A58" i="12"/>
  <c r="A59" i="12"/>
  <c r="A60" i="12"/>
  <c r="A61" i="12"/>
  <c r="A62" i="12"/>
  <c r="A57" i="12"/>
  <c r="C45" i="12"/>
  <c r="A41" i="12"/>
  <c r="A42" i="12"/>
  <c r="A43" i="12"/>
  <c r="A44" i="12"/>
  <c r="A45" i="12"/>
  <c r="A40" i="12"/>
  <c r="C29" i="12"/>
  <c r="A25" i="12"/>
  <c r="A26" i="12"/>
  <c r="A27" i="12"/>
  <c r="A28" i="12"/>
  <c r="A29" i="12"/>
  <c r="A24" i="12"/>
  <c r="C12" i="12"/>
  <c r="A12" i="12"/>
  <c r="A7" i="12"/>
  <c r="A8" i="12"/>
  <c r="A9" i="12"/>
  <c r="A10" i="12"/>
  <c r="A11" i="12"/>
  <c r="A6" i="12"/>
  <c r="S7" i="1"/>
  <c r="H30" i="14"/>
  <c r="F30" i="14"/>
  <c r="Q223" i="12"/>
  <c r="M220" i="12"/>
  <c r="L220" i="12"/>
  <c r="Q212" i="12"/>
  <c r="S212" i="12"/>
  <c r="E98" i="12"/>
  <c r="S173" i="12"/>
  <c r="S174" i="12"/>
  <c r="G81" i="12"/>
  <c r="Q185" i="12"/>
  <c r="M181" i="12"/>
  <c r="L181" i="12"/>
  <c r="M101" i="12"/>
  <c r="Q102" i="12"/>
  <c r="Q103" i="12"/>
  <c r="Q104" i="12"/>
  <c r="Q105" i="12"/>
  <c r="Q109" i="12"/>
  <c r="M106" i="12"/>
  <c r="L106" i="12"/>
  <c r="Q173" i="12"/>
  <c r="R174" i="12"/>
  <c r="Q174" i="12"/>
  <c r="Q175" i="12"/>
  <c r="Q172" i="12"/>
  <c r="F81" i="12"/>
  <c r="S59" i="12"/>
  <c r="Q59" i="12"/>
  <c r="S60" i="12"/>
  <c r="M180" i="12"/>
  <c r="L180" i="12"/>
  <c r="M104" i="12"/>
  <c r="L104" i="12"/>
  <c r="S211" i="12"/>
  <c r="S213" i="12"/>
  <c r="S210" i="12"/>
  <c r="R212" i="12"/>
  <c r="R213" i="12"/>
  <c r="R210" i="12"/>
  <c r="R173" i="12"/>
  <c r="R175" i="12"/>
  <c r="R172" i="12"/>
  <c r="L170" i="12"/>
  <c r="L171" i="12"/>
  <c r="L132" i="12"/>
  <c r="L133" i="12"/>
  <c r="Q60" i="12"/>
  <c r="Q61" i="12"/>
  <c r="Q58" i="12"/>
  <c r="Q289" i="12"/>
  <c r="Q286" i="12"/>
  <c r="R289" i="12"/>
  <c r="R286" i="12"/>
  <c r="Q251" i="12"/>
  <c r="Q248" i="12"/>
  <c r="R251" i="12"/>
  <c r="R248" i="12"/>
  <c r="S251" i="12"/>
  <c r="S248" i="12"/>
  <c r="Q213" i="12"/>
  <c r="Q210" i="12"/>
  <c r="O8" i="1"/>
  <c r="D9" i="14"/>
  <c r="S199" i="12" s="1"/>
  <c r="E29" i="7"/>
  <c r="E30" i="7"/>
  <c r="E31" i="7"/>
  <c r="E32" i="7"/>
  <c r="E33" i="7"/>
  <c r="E34" i="7"/>
  <c r="E35" i="7"/>
  <c r="E28" i="7"/>
  <c r="D29" i="7"/>
  <c r="D30" i="7"/>
  <c r="D31" i="7"/>
  <c r="D32" i="7"/>
  <c r="D33" i="7"/>
  <c r="D34" i="7"/>
  <c r="D35" i="7"/>
  <c r="D28" i="7"/>
  <c r="M7" i="11"/>
  <c r="M8" i="11"/>
  <c r="M9" i="11"/>
  <c r="M10" i="11"/>
  <c r="M11" i="11"/>
  <c r="M12" i="11"/>
  <c r="M13" i="11"/>
  <c r="M14" i="11"/>
  <c r="M15" i="11"/>
  <c r="J68" i="1"/>
  <c r="J66" i="1"/>
  <c r="H26" i="1"/>
  <c r="J64" i="1"/>
  <c r="H27" i="1"/>
  <c r="H28" i="1"/>
  <c r="H29" i="1"/>
  <c r="J70" i="1"/>
  <c r="G32" i="7" s="1"/>
  <c r="H30" i="1"/>
  <c r="J72" i="1"/>
  <c r="H31" i="1"/>
  <c r="J74" i="1"/>
  <c r="H32" i="1"/>
  <c r="J76" i="1" s="1"/>
  <c r="G35" i="7" s="1"/>
  <c r="H25" i="1"/>
  <c r="J62" i="1"/>
  <c r="K26" i="1"/>
  <c r="K27" i="1"/>
  <c r="K28" i="1"/>
  <c r="K29" i="1"/>
  <c r="K30" i="1"/>
  <c r="K31" i="1"/>
  <c r="K32" i="1"/>
  <c r="K25" i="1"/>
  <c r="Q25" i="1"/>
  <c r="X25" i="1"/>
  <c r="D25" i="1"/>
  <c r="Q26" i="1"/>
  <c r="X26" i="1"/>
  <c r="D26" i="1"/>
  <c r="Q27" i="1"/>
  <c r="X27" i="1"/>
  <c r="D27" i="1"/>
  <c r="Q28" i="1"/>
  <c r="X28" i="1"/>
  <c r="D28" i="1"/>
  <c r="Q29" i="1"/>
  <c r="X29" i="1"/>
  <c r="D29" i="1"/>
  <c r="Q30" i="1"/>
  <c r="X30" i="1"/>
  <c r="D30" i="1"/>
  <c r="Q31" i="1"/>
  <c r="X31" i="1"/>
  <c r="D31" i="1"/>
  <c r="Q32" i="1"/>
  <c r="X32" i="1"/>
  <c r="D32" i="1"/>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E7" i="7"/>
  <c r="C7" i="7"/>
  <c r="X34" i="1"/>
  <c r="D34" i="1"/>
  <c r="X35" i="1"/>
  <c r="D35" i="1"/>
  <c r="X36" i="1"/>
  <c r="D36" i="1"/>
  <c r="X37" i="1"/>
  <c r="D37" i="1"/>
  <c r="X8" i="1"/>
  <c r="D8" i="1"/>
  <c r="D8" i="7"/>
  <c r="X9" i="1"/>
  <c r="D9" i="1"/>
  <c r="D9" i="7"/>
  <c r="X10" i="1"/>
  <c r="D10" i="1"/>
  <c r="D10" i="7"/>
  <c r="X11" i="1"/>
  <c r="D11" i="1"/>
  <c r="D11" i="7"/>
  <c r="X12" i="1"/>
  <c r="D12" i="1"/>
  <c r="D12" i="7"/>
  <c r="X13" i="1"/>
  <c r="D13" i="1"/>
  <c r="D13" i="7"/>
  <c r="X14" i="1"/>
  <c r="D14" i="1"/>
  <c r="D14" i="7"/>
  <c r="X15" i="1"/>
  <c r="D15" i="1"/>
  <c r="D15" i="7"/>
  <c r="X16" i="1"/>
  <c r="D16" i="1"/>
  <c r="D16" i="7"/>
  <c r="X17" i="1"/>
  <c r="D17" i="1"/>
  <c r="D17" i="7"/>
  <c r="X18" i="1"/>
  <c r="D18" i="1"/>
  <c r="D18" i="7"/>
  <c r="X19" i="1"/>
  <c r="D19" i="1"/>
  <c r="D19" i="7"/>
  <c r="X20" i="1"/>
  <c r="D20" i="1"/>
  <c r="D20" i="7"/>
  <c r="X21" i="1"/>
  <c r="D21" i="1"/>
  <c r="D21" i="7"/>
  <c r="X22" i="1"/>
  <c r="D22" i="1"/>
  <c r="D22" i="7"/>
  <c r="X23" i="1"/>
  <c r="D23" i="1"/>
  <c r="D23" i="7"/>
  <c r="X24" i="1"/>
  <c r="D24" i="1"/>
  <c r="D24" i="7"/>
  <c r="X7" i="1"/>
  <c r="D7" i="1"/>
  <c r="D7" i="7"/>
  <c r="L17" i="11"/>
  <c r="K17" i="11"/>
  <c r="J17" i="11"/>
  <c r="I17" i="11"/>
  <c r="R7" i="1"/>
  <c r="P7" i="1" s="1"/>
  <c r="F5" i="15"/>
  <c r="B37" i="8"/>
  <c r="H3" i="7"/>
  <c r="G34" i="7"/>
  <c r="G33" i="7"/>
  <c r="G31" i="7"/>
  <c r="G30" i="7"/>
  <c r="G29" i="7"/>
  <c r="G28" i="7"/>
  <c r="B29" i="7"/>
  <c r="B30" i="7"/>
  <c r="B31" i="7"/>
  <c r="B32" i="7"/>
  <c r="B33" i="7"/>
  <c r="B34" i="7"/>
  <c r="B35" i="7"/>
  <c r="B28" i="7"/>
  <c r="G5" i="15"/>
  <c r="Q13" i="12"/>
  <c r="R13" i="12"/>
  <c r="S13" i="12"/>
  <c r="Q14" i="12"/>
  <c r="R14" i="12"/>
  <c r="S14" i="12"/>
  <c r="Q15" i="12"/>
  <c r="R15" i="12"/>
  <c r="S15" i="12"/>
  <c r="Q16" i="12"/>
  <c r="R16" i="12"/>
  <c r="S16" i="12"/>
  <c r="Q17" i="12"/>
  <c r="R17" i="12"/>
  <c r="S17" i="12"/>
  <c r="Q18" i="12"/>
  <c r="R18" i="12"/>
  <c r="S18" i="12"/>
  <c r="Q19" i="12"/>
  <c r="R19" i="12"/>
  <c r="S19" i="12"/>
  <c r="R12" i="12"/>
  <c r="S12" i="12"/>
  <c r="Q12" i="12"/>
  <c r="G6" i="15"/>
  <c r="H5" i="15"/>
  <c r="H6" i="15"/>
  <c r="D30" i="14"/>
  <c r="R16" i="8"/>
  <c r="G48" i="8"/>
  <c r="R17" i="8"/>
  <c r="F48" i="8"/>
  <c r="D54" i="12"/>
  <c r="D55" i="12"/>
  <c r="D56" i="12"/>
  <c r="D57" i="12"/>
  <c r="D58" i="12"/>
  <c r="D59" i="12"/>
  <c r="D60" i="12"/>
  <c r="D53" i="12"/>
  <c r="D36" i="12"/>
  <c r="D37" i="12"/>
  <c r="D38" i="12"/>
  <c r="D39" i="12"/>
  <c r="D40" i="12"/>
  <c r="D41" i="12"/>
  <c r="D42" i="12"/>
  <c r="D43" i="12"/>
  <c r="D20" i="12"/>
  <c r="D21" i="12"/>
  <c r="D22" i="12"/>
  <c r="D23" i="12"/>
  <c r="D24" i="12"/>
  <c r="D25" i="12"/>
  <c r="D26" i="12"/>
  <c r="D19" i="12"/>
  <c r="D3" i="12"/>
  <c r="D4" i="12"/>
  <c r="D5" i="12"/>
  <c r="D6" i="12"/>
  <c r="D7" i="12"/>
  <c r="D8" i="12"/>
  <c r="D9" i="12"/>
  <c r="D2" i="12"/>
  <c r="M13" i="12"/>
  <c r="M14" i="12"/>
  <c r="M15" i="12"/>
  <c r="M16" i="12"/>
  <c r="M17" i="12"/>
  <c r="L17" i="12" s="1"/>
  <c r="M18" i="12"/>
  <c r="M19" i="12"/>
  <c r="G63" i="12"/>
  <c r="F63" i="12"/>
  <c r="E63" i="12"/>
  <c r="G62" i="12"/>
  <c r="F62" i="12"/>
  <c r="E62" i="12"/>
  <c r="E64" i="12" s="1"/>
  <c r="G46" i="12"/>
  <c r="F46" i="12"/>
  <c r="E46" i="12"/>
  <c r="G45" i="12"/>
  <c r="G47" i="12" s="1"/>
  <c r="F45" i="12"/>
  <c r="F47" i="12" s="1"/>
  <c r="E45" i="12"/>
  <c r="K58" i="1"/>
  <c r="I35" i="8"/>
  <c r="K59" i="1"/>
  <c r="E35" i="8"/>
  <c r="B35" i="8"/>
  <c r="P33" i="1"/>
  <c r="Q33" i="1"/>
  <c r="Q34" i="1"/>
  <c r="Q35" i="1"/>
  <c r="Q36" i="1"/>
  <c r="Q37" i="1"/>
  <c r="U33" i="1"/>
  <c r="B36" i="8"/>
  <c r="B48" i="8"/>
  <c r="B45" i="8"/>
  <c r="V51" i="8"/>
  <c r="Q51" i="8"/>
  <c r="AE51" i="8"/>
  <c r="P51" i="8"/>
  <c r="AD51" i="8"/>
  <c r="V33" i="1"/>
  <c r="G16" i="14"/>
  <c r="W33" i="1"/>
  <c r="M9" i="8"/>
  <c r="K1" i="7"/>
  <c r="C17" i="8"/>
  <c r="L17" i="8"/>
  <c r="F17" i="8"/>
  <c r="C16" i="8"/>
  <c r="C14" i="8"/>
  <c r="H2" i="1"/>
  <c r="I22" i="1" s="1"/>
  <c r="I18" i="1"/>
  <c r="J19" i="7"/>
  <c r="C1" i="7"/>
  <c r="C11" i="8"/>
  <c r="C10" i="8"/>
  <c r="C9" i="8"/>
  <c r="N10" i="12"/>
  <c r="N9" i="12"/>
  <c r="G29" i="12"/>
  <c r="F29" i="12"/>
  <c r="E29" i="12"/>
  <c r="G28" i="12"/>
  <c r="F28" i="12"/>
  <c r="E28" i="12"/>
  <c r="S8" i="1"/>
  <c r="S9" i="1"/>
  <c r="S10" i="1"/>
  <c r="F11" i="12"/>
  <c r="G11" i="12"/>
  <c r="F12" i="12"/>
  <c r="F13" i="12" s="1"/>
  <c r="G12" i="12"/>
  <c r="E12" i="12"/>
  <c r="E11" i="12"/>
  <c r="E13" i="12" s="1"/>
  <c r="F16" i="11"/>
  <c r="G16" i="11"/>
  <c r="H16" i="11"/>
  <c r="E16" i="11"/>
  <c r="H76" i="1"/>
  <c r="H75" i="1"/>
  <c r="I10" i="11"/>
  <c r="J10" i="11"/>
  <c r="K10" i="11"/>
  <c r="L10" i="11"/>
  <c r="I11" i="11"/>
  <c r="J11" i="11"/>
  <c r="K11" i="11"/>
  <c r="L11" i="11"/>
  <c r="I13" i="11"/>
  <c r="J13" i="11"/>
  <c r="K13" i="11"/>
  <c r="L13" i="11"/>
  <c r="H14" i="11"/>
  <c r="I14" i="11"/>
  <c r="J14" i="11"/>
  <c r="K14" i="11"/>
  <c r="L14" i="11"/>
  <c r="H15" i="11"/>
  <c r="I15" i="11"/>
  <c r="J15" i="11"/>
  <c r="K15" i="11"/>
  <c r="L15" i="11"/>
  <c r="P34"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I75" i="1"/>
  <c r="G76" i="1"/>
  <c r="I76" i="1"/>
  <c r="P25" i="1"/>
  <c r="P35" i="1"/>
  <c r="P26" i="1"/>
  <c r="U25" i="1"/>
  <c r="V25" i="1"/>
  <c r="P36" i="1"/>
  <c r="I7" i="11"/>
  <c r="F5" i="11"/>
  <c r="F12" i="11"/>
  <c r="J12" i="11"/>
  <c r="G5" i="11"/>
  <c r="G12" i="11"/>
  <c r="K12" i="11"/>
  <c r="H5" i="11"/>
  <c r="H12" i="11"/>
  <c r="L12" i="11"/>
  <c r="E5" i="11"/>
  <c r="E12" i="11"/>
  <c r="I12" i="11"/>
  <c r="I16" i="11"/>
  <c r="J16" i="11"/>
  <c r="K16" i="11"/>
  <c r="L16" i="11"/>
  <c r="L9" i="11"/>
  <c r="K9" i="11"/>
  <c r="J9" i="11"/>
  <c r="I9" i="11"/>
  <c r="I18" i="11"/>
  <c r="J18" i="11"/>
  <c r="K18" i="11"/>
  <c r="L18" i="11"/>
  <c r="I19" i="11"/>
  <c r="J19" i="11"/>
  <c r="K19" i="11"/>
  <c r="L19" i="11"/>
  <c r="I20" i="11"/>
  <c r="J20" i="11"/>
  <c r="K20" i="11"/>
  <c r="L20" i="11"/>
  <c r="I21" i="11"/>
  <c r="J21" i="11"/>
  <c r="K21" i="11"/>
  <c r="L21" i="11"/>
  <c r="I22" i="11"/>
  <c r="J22" i="11"/>
  <c r="K22" i="11"/>
  <c r="L22" i="11"/>
  <c r="I23" i="11"/>
  <c r="J23" i="11"/>
  <c r="K23" i="11"/>
  <c r="L23" i="11"/>
  <c r="I11" i="1"/>
  <c r="J11" i="7" s="1"/>
  <c r="I12" i="1"/>
  <c r="J7" i="11"/>
  <c r="K7" i="11"/>
  <c r="L7" i="11"/>
  <c r="I8" i="11"/>
  <c r="J8" i="11"/>
  <c r="K8" i="11"/>
  <c r="L8" i="11"/>
  <c r="P27" i="1"/>
  <c r="W25" i="1"/>
  <c r="V26" i="1"/>
  <c r="U26" i="1"/>
  <c r="P37" i="1"/>
  <c r="L25" i="11"/>
  <c r="M25" i="11"/>
  <c r="J25" i="11"/>
  <c r="I13" i="1"/>
  <c r="I9" i="1"/>
  <c r="J9" i="7" s="1"/>
  <c r="K25" i="11"/>
  <c r="I25" i="11"/>
  <c r="AD52" i="8"/>
  <c r="Y52" i="8"/>
  <c r="AE52" i="8"/>
  <c r="AD53" i="8"/>
  <c r="AE53" i="8"/>
  <c r="AD54" i="8"/>
  <c r="Y54" i="8"/>
  <c r="AE54" i="8"/>
  <c r="AD55" i="8"/>
  <c r="AE55" i="8"/>
  <c r="AD56" i="8"/>
  <c r="Y56" i="8"/>
  <c r="AE56" i="8"/>
  <c r="AD57" i="8"/>
  <c r="AE57" i="8"/>
  <c r="Y57" i="8"/>
  <c r="AD58" i="8"/>
  <c r="Y58" i="8"/>
  <c r="AE58" i="8"/>
  <c r="AD59" i="8"/>
  <c r="AE59" i="8"/>
  <c r="AD60" i="8"/>
  <c r="Y60" i="8"/>
  <c r="AE60" i="8"/>
  <c r="AD61" i="8"/>
  <c r="AE61" i="8"/>
  <c r="AD62" i="8"/>
  <c r="Y62" i="8"/>
  <c r="AE62" i="8"/>
  <c r="P28" i="1"/>
  <c r="U27" i="1"/>
  <c r="W27" i="1" s="1"/>
  <c r="V27" i="1"/>
  <c r="W26" i="1"/>
  <c r="Y59" i="8"/>
  <c r="Y55" i="8"/>
  <c r="Y53" i="8"/>
  <c r="Y61" i="8"/>
  <c r="P29" i="1"/>
  <c r="U28" i="1"/>
  <c r="W28" i="1" s="1"/>
  <c r="V28" i="1"/>
  <c r="AA35" i="1"/>
  <c r="I34" i="8"/>
  <c r="H83" i="1"/>
  <c r="H80" i="1"/>
  <c r="P30" i="1"/>
  <c r="U29" i="1"/>
  <c r="V29" i="1"/>
  <c r="Y81" i="1"/>
  <c r="P32" i="1"/>
  <c r="P31" i="1"/>
  <c r="U30" i="1"/>
  <c r="V30" i="1"/>
  <c r="S51" i="8"/>
  <c r="O52" i="8"/>
  <c r="O53" i="8"/>
  <c r="O54" i="8"/>
  <c r="O55" i="8"/>
  <c r="O56" i="8"/>
  <c r="O57" i="8"/>
  <c r="O58" i="8"/>
  <c r="O59" i="8"/>
  <c r="O60" i="8"/>
  <c r="O61" i="8"/>
  <c r="O62" i="8"/>
  <c r="O51" i="8"/>
  <c r="S52" i="8"/>
  <c r="S53" i="8"/>
  <c r="S54" i="8"/>
  <c r="S55" i="8"/>
  <c r="S56" i="8"/>
  <c r="S57" i="8"/>
  <c r="S58" i="8"/>
  <c r="S59" i="8"/>
  <c r="S60" i="8"/>
  <c r="S61" i="8"/>
  <c r="S62" i="8"/>
  <c r="S48" i="8"/>
  <c r="U46" i="8"/>
  <c r="A40" i="8"/>
  <c r="U35" i="8"/>
  <c r="U34" i="8"/>
  <c r="U33" i="8"/>
  <c r="U32" i="8"/>
  <c r="U30" i="8"/>
  <c r="A7" i="8"/>
  <c r="V31" i="1"/>
  <c r="W31" i="1" s="1"/>
  <c r="U31" i="1"/>
  <c r="U32" i="1"/>
  <c r="V32" i="1"/>
  <c r="W30" i="1"/>
  <c r="AB35" i="1"/>
  <c r="E34" i="8"/>
  <c r="B28" i="8" s="1"/>
  <c r="B55" i="8"/>
  <c r="B58" i="8"/>
  <c r="B60" i="8"/>
  <c r="B59" i="8"/>
  <c r="B54" i="8"/>
  <c r="B53" i="8"/>
  <c r="B57" i="8"/>
  <c r="B52" i="8"/>
  <c r="B56" i="8"/>
  <c r="C5" i="9"/>
  <c r="A1" i="9"/>
  <c r="W32" i="1"/>
  <c r="G62" i="1"/>
  <c r="H62" i="1"/>
  <c r="I62" i="1"/>
  <c r="H61" i="1"/>
  <c r="I61" i="1"/>
  <c r="G61" i="1"/>
  <c r="Q80" i="1"/>
  <c r="P80" i="1"/>
  <c r="G80" i="1"/>
  <c r="I80" i="1"/>
  <c r="Y80" i="1"/>
  <c r="K80" i="1"/>
  <c r="AA80" i="1"/>
  <c r="Q81" i="1"/>
  <c r="P81" i="1"/>
  <c r="AA81" i="1"/>
  <c r="Q82" i="1"/>
  <c r="P82" i="1"/>
  <c r="Y82" i="1"/>
  <c r="AA82" i="1"/>
  <c r="Q83" i="1"/>
  <c r="P83" i="1"/>
  <c r="G83" i="1"/>
  <c r="Y83" i="1"/>
  <c r="K83" i="1"/>
  <c r="AA83" i="1"/>
  <c r="Q84" i="1"/>
  <c r="P84" i="1"/>
  <c r="Y84" i="1"/>
  <c r="AA84" i="1"/>
  <c r="Z80" i="1"/>
  <c r="Z84" i="1"/>
  <c r="Z83" i="1"/>
  <c r="Z82" i="1"/>
  <c r="I83" i="1"/>
  <c r="Z81" i="1"/>
  <c r="I116" i="5"/>
  <c r="G116" i="5"/>
  <c r="H116" i="5"/>
  <c r="I115" i="5"/>
  <c r="G115" i="5"/>
  <c r="H115" i="5"/>
  <c r="I114" i="5"/>
  <c r="G114" i="5"/>
  <c r="H114" i="5"/>
  <c r="I113" i="5"/>
  <c r="G113" i="5"/>
  <c r="H113" i="5"/>
  <c r="I112" i="5"/>
  <c r="G112" i="5"/>
  <c r="H112" i="5"/>
  <c r="I111" i="5"/>
  <c r="G111" i="5"/>
  <c r="H111" i="5"/>
  <c r="I110" i="5"/>
  <c r="G110" i="5"/>
  <c r="H110" i="5"/>
  <c r="I109" i="5"/>
  <c r="G109" i="5"/>
  <c r="H109" i="5"/>
  <c r="I108" i="5"/>
  <c r="G108" i="5"/>
  <c r="H108" i="5"/>
  <c r="I107" i="5"/>
  <c r="G107" i="5"/>
  <c r="H107" i="5"/>
  <c r="I106" i="5"/>
  <c r="G106" i="5"/>
  <c r="H106" i="5"/>
  <c r="I105" i="5"/>
  <c r="G105" i="5"/>
  <c r="H105" i="5"/>
  <c r="I104" i="5"/>
  <c r="G104" i="5"/>
  <c r="H104" i="5"/>
  <c r="I103" i="5"/>
  <c r="G103" i="5"/>
  <c r="H103" i="5"/>
  <c r="I102" i="5"/>
  <c r="G102" i="5"/>
  <c r="H102" i="5"/>
  <c r="I101" i="5"/>
  <c r="G101" i="5"/>
  <c r="H101" i="5"/>
  <c r="I100" i="5"/>
  <c r="G100" i="5"/>
  <c r="H100" i="5"/>
  <c r="I99" i="5"/>
  <c r="G99" i="5"/>
  <c r="H99" i="5"/>
  <c r="I98" i="5"/>
  <c r="G98" i="5"/>
  <c r="H98" i="5"/>
  <c r="I97" i="5"/>
  <c r="G97" i="5"/>
  <c r="H97" i="5"/>
  <c r="I96" i="5"/>
  <c r="G96" i="5"/>
  <c r="H96" i="5"/>
  <c r="I95" i="5"/>
  <c r="G95" i="5"/>
  <c r="H95" i="5"/>
  <c r="I94" i="5"/>
  <c r="G94" i="5"/>
  <c r="H94" i="5"/>
  <c r="I93" i="5"/>
  <c r="G93" i="5"/>
  <c r="H93" i="5"/>
  <c r="I92" i="5"/>
  <c r="G92" i="5"/>
  <c r="H92" i="5"/>
  <c r="I91" i="5"/>
  <c r="G91" i="5"/>
  <c r="H91" i="5"/>
  <c r="I90" i="5"/>
  <c r="G90" i="5"/>
  <c r="H90" i="5"/>
  <c r="I89" i="5"/>
  <c r="G89" i="5"/>
  <c r="H89" i="5"/>
  <c r="I88" i="5"/>
  <c r="G88" i="5"/>
  <c r="H88" i="5"/>
  <c r="I87" i="5"/>
  <c r="G87" i="5"/>
  <c r="H87" i="5"/>
  <c r="I86" i="5"/>
  <c r="G86" i="5"/>
  <c r="H86" i="5"/>
  <c r="I85" i="5"/>
  <c r="G85" i="5"/>
  <c r="H85" i="5"/>
  <c r="I84" i="5"/>
  <c r="G84" i="5"/>
  <c r="H84" i="5"/>
  <c r="I83" i="5"/>
  <c r="G83" i="5"/>
  <c r="H83" i="5"/>
  <c r="I82" i="5"/>
  <c r="G82" i="5"/>
  <c r="H82" i="5"/>
  <c r="I81" i="5"/>
  <c r="G81" i="5"/>
  <c r="H81" i="5"/>
  <c r="I80" i="5"/>
  <c r="G80" i="5"/>
  <c r="H80" i="5"/>
  <c r="I79" i="5"/>
  <c r="G79" i="5"/>
  <c r="H79" i="5"/>
  <c r="I78" i="5"/>
  <c r="G78" i="5"/>
  <c r="H78" i="5"/>
  <c r="I77" i="5"/>
  <c r="G77" i="5"/>
  <c r="H77" i="5"/>
  <c r="I76" i="5"/>
  <c r="G76" i="5"/>
  <c r="H76" i="5"/>
  <c r="I75" i="5"/>
  <c r="G75" i="5"/>
  <c r="H75" i="5"/>
  <c r="I74" i="5"/>
  <c r="G74" i="5"/>
  <c r="H74" i="5"/>
  <c r="I73" i="5"/>
  <c r="G73" i="5"/>
  <c r="H73" i="5"/>
  <c r="I72" i="5"/>
  <c r="G72" i="5"/>
  <c r="H72" i="5"/>
  <c r="I71" i="5"/>
  <c r="G71" i="5"/>
  <c r="H71" i="5"/>
  <c r="I70" i="5"/>
  <c r="G70" i="5"/>
  <c r="H70" i="5"/>
  <c r="G62" i="5"/>
  <c r="H62" i="5"/>
  <c r="I62" i="5"/>
  <c r="G63" i="5"/>
  <c r="H63" i="5"/>
  <c r="I63" i="5"/>
  <c r="G64" i="5"/>
  <c r="H64" i="5"/>
  <c r="I64" i="5"/>
  <c r="G65" i="5"/>
  <c r="H65" i="5"/>
  <c r="I65" i="5"/>
  <c r="G66" i="5"/>
  <c r="H66" i="5"/>
  <c r="I66" i="5"/>
  <c r="G67" i="5"/>
  <c r="H67" i="5"/>
  <c r="I67" i="5"/>
  <c r="G68" i="5"/>
  <c r="H68" i="5"/>
  <c r="I68" i="5"/>
  <c r="G69" i="5"/>
  <c r="H69" i="5"/>
  <c r="I69" i="5"/>
  <c r="G51" i="5"/>
  <c r="H51" i="5"/>
  <c r="I51" i="5"/>
  <c r="G52" i="5"/>
  <c r="H52" i="5"/>
  <c r="I52" i="5"/>
  <c r="G53" i="5"/>
  <c r="H53" i="5"/>
  <c r="I53" i="5"/>
  <c r="G54" i="5"/>
  <c r="H54" i="5"/>
  <c r="I54" i="5"/>
  <c r="G55" i="5"/>
  <c r="H55" i="5"/>
  <c r="I55" i="5"/>
  <c r="G56" i="5"/>
  <c r="H56" i="5"/>
  <c r="I56" i="5"/>
  <c r="G57" i="5"/>
  <c r="H57" i="5"/>
  <c r="I57" i="5"/>
  <c r="G58" i="5"/>
  <c r="H58" i="5"/>
  <c r="I58" i="5"/>
  <c r="G59" i="5"/>
  <c r="H59" i="5"/>
  <c r="I59" i="5"/>
  <c r="G60" i="5"/>
  <c r="H60" i="5"/>
  <c r="I60" i="5"/>
  <c r="G61" i="5"/>
  <c r="H61" i="5"/>
  <c r="I61" i="5"/>
  <c r="G49" i="5"/>
  <c r="H49" i="5"/>
  <c r="I49" i="5"/>
  <c r="G50" i="5"/>
  <c r="H50" i="5"/>
  <c r="I50" i="5"/>
  <c r="J70" i="5"/>
  <c r="J72" i="5"/>
  <c r="J74" i="5"/>
  <c r="J76" i="5"/>
  <c r="J78" i="5"/>
  <c r="J80" i="5"/>
  <c r="J82" i="5"/>
  <c r="J84" i="5"/>
  <c r="J86" i="5"/>
  <c r="J88" i="5"/>
  <c r="J90" i="5"/>
  <c r="J92" i="5"/>
  <c r="J94" i="5"/>
  <c r="J96" i="5"/>
  <c r="J98" i="5"/>
  <c r="J100" i="5"/>
  <c r="J102" i="5"/>
  <c r="J104" i="5"/>
  <c r="J106" i="5"/>
  <c r="J108" i="5"/>
  <c r="J110" i="5"/>
  <c r="J112" i="5"/>
  <c r="J114" i="5"/>
  <c r="J116" i="5"/>
  <c r="J60" i="5"/>
  <c r="J67" i="5"/>
  <c r="J63" i="5"/>
  <c r="J50" i="5"/>
  <c r="J56" i="5"/>
  <c r="J93" i="5"/>
  <c r="J95" i="5"/>
  <c r="J97" i="5"/>
  <c r="J99" i="5"/>
  <c r="J101" i="5"/>
  <c r="J103" i="5"/>
  <c r="J105" i="5"/>
  <c r="J107" i="5"/>
  <c r="J109" i="5"/>
  <c r="J111" i="5"/>
  <c r="J113" i="5"/>
  <c r="J115" i="5"/>
  <c r="J55" i="5"/>
  <c r="J52" i="5"/>
  <c r="J66" i="5"/>
  <c r="J59" i="5"/>
  <c r="J62" i="5"/>
  <c r="J51" i="5"/>
  <c r="J61" i="5"/>
  <c r="J57" i="5"/>
  <c r="J49" i="5"/>
  <c r="J71" i="5"/>
  <c r="J73" i="5"/>
  <c r="J75" i="5"/>
  <c r="J77" i="5"/>
  <c r="J79" i="5"/>
  <c r="J81" i="5"/>
  <c r="J83" i="5"/>
  <c r="J85" i="5"/>
  <c r="J87" i="5"/>
  <c r="J89" i="5"/>
  <c r="J91" i="5"/>
  <c r="J53" i="5"/>
  <c r="J68" i="5"/>
  <c r="J64" i="5"/>
  <c r="J58" i="5"/>
  <c r="J54" i="5"/>
  <c r="J69" i="5"/>
  <c r="J65" i="5"/>
  <c r="J18" i="7"/>
  <c r="H7" i="7"/>
  <c r="Q7" i="1"/>
  <c r="H136" i="5"/>
  <c r="J136" i="5"/>
  <c r="H135" i="5"/>
  <c r="J135" i="5"/>
  <c r="H134" i="5"/>
  <c r="J134" i="5"/>
  <c r="H133" i="5"/>
  <c r="J133" i="5"/>
  <c r="H132" i="5"/>
  <c r="J132" i="5"/>
  <c r="H131" i="5"/>
  <c r="J131" i="5"/>
  <c r="Q126" i="5"/>
  <c r="P126" i="5"/>
  <c r="H126" i="5"/>
  <c r="J126" i="5"/>
  <c r="Q125" i="5"/>
  <c r="P125" i="5"/>
  <c r="H125" i="5"/>
  <c r="J125" i="5"/>
  <c r="Q124" i="5"/>
  <c r="P124" i="5"/>
  <c r="H124" i="5"/>
  <c r="J124" i="5"/>
  <c r="Q123" i="5"/>
  <c r="P123" i="5"/>
  <c r="H123" i="5"/>
  <c r="J123" i="5"/>
  <c r="I48" i="5"/>
  <c r="G48" i="5"/>
  <c r="H48" i="5"/>
  <c r="I47" i="5"/>
  <c r="G47" i="5"/>
  <c r="H47" i="5"/>
  <c r="I46" i="5"/>
  <c r="G46" i="5"/>
  <c r="H46" i="5"/>
  <c r="I45" i="5"/>
  <c r="G45" i="5"/>
  <c r="H45" i="5"/>
  <c r="Q41" i="5"/>
  <c r="P41" i="5"/>
  <c r="G41" i="5"/>
  <c r="H41" i="5"/>
  <c r="I41" i="5"/>
  <c r="Q40" i="5"/>
  <c r="P40" i="5"/>
  <c r="G40" i="5"/>
  <c r="H40" i="5"/>
  <c r="I40" i="5"/>
  <c r="Q39" i="5"/>
  <c r="P39" i="5"/>
  <c r="G39" i="5"/>
  <c r="H39" i="5"/>
  <c r="I39" i="5"/>
  <c r="Q38" i="5"/>
  <c r="P38" i="5"/>
  <c r="G38" i="5"/>
  <c r="H38" i="5"/>
  <c r="I38" i="5"/>
  <c r="Q37" i="5"/>
  <c r="P37" i="5"/>
  <c r="G37" i="5"/>
  <c r="H37" i="5"/>
  <c r="I37" i="5"/>
  <c r="Q36" i="5"/>
  <c r="P36" i="5"/>
  <c r="G36" i="5"/>
  <c r="H36" i="5"/>
  <c r="I36" i="5"/>
  <c r="Q35" i="5"/>
  <c r="P35" i="5"/>
  <c r="G35" i="5"/>
  <c r="H35" i="5"/>
  <c r="I35" i="5"/>
  <c r="Q34" i="5"/>
  <c r="P34" i="5"/>
  <c r="G34" i="5"/>
  <c r="H34" i="5"/>
  <c r="I34" i="5"/>
  <c r="Q33" i="5"/>
  <c r="P33" i="5"/>
  <c r="G33" i="5"/>
  <c r="H33" i="5"/>
  <c r="I33" i="5"/>
  <c r="Q32" i="5"/>
  <c r="P32" i="5"/>
  <c r="G32" i="5"/>
  <c r="H32" i="5"/>
  <c r="I32" i="5"/>
  <c r="Q31" i="5"/>
  <c r="P31" i="5"/>
  <c r="G31" i="5"/>
  <c r="H31" i="5"/>
  <c r="I31" i="5"/>
  <c r="Q30" i="5"/>
  <c r="P30" i="5"/>
  <c r="G30" i="5"/>
  <c r="H30" i="5"/>
  <c r="I30" i="5"/>
  <c r="Q29" i="5"/>
  <c r="P29" i="5"/>
  <c r="G29" i="5"/>
  <c r="H29" i="5"/>
  <c r="I29" i="5"/>
  <c r="Q28" i="5"/>
  <c r="P28" i="5"/>
  <c r="G28" i="5"/>
  <c r="H28" i="5"/>
  <c r="I28" i="5"/>
  <c r="Q27" i="5"/>
  <c r="P27" i="5"/>
  <c r="G27" i="5"/>
  <c r="H27" i="5"/>
  <c r="I27" i="5"/>
  <c r="Q26" i="5"/>
  <c r="P26" i="5"/>
  <c r="G26" i="5"/>
  <c r="H26" i="5"/>
  <c r="I26" i="5"/>
  <c r="Q25" i="5"/>
  <c r="P25" i="5"/>
  <c r="G25" i="5"/>
  <c r="H25" i="5"/>
  <c r="I25" i="5"/>
  <c r="Q24" i="5"/>
  <c r="P24" i="5"/>
  <c r="G24" i="5"/>
  <c r="H24" i="5"/>
  <c r="I24" i="5"/>
  <c r="Q23" i="5"/>
  <c r="P23" i="5"/>
  <c r="G23" i="5"/>
  <c r="H23" i="5"/>
  <c r="I23" i="5"/>
  <c r="Q22" i="5"/>
  <c r="P22" i="5"/>
  <c r="G22" i="5"/>
  <c r="H22" i="5"/>
  <c r="I22" i="5"/>
  <c r="Q21" i="5"/>
  <c r="P21" i="5"/>
  <c r="G21" i="5"/>
  <c r="H21" i="5"/>
  <c r="I21" i="5"/>
  <c r="Q20" i="5"/>
  <c r="P20" i="5"/>
  <c r="G20" i="5"/>
  <c r="H20" i="5"/>
  <c r="I20" i="5"/>
  <c r="Q19" i="5"/>
  <c r="P19" i="5"/>
  <c r="G19" i="5"/>
  <c r="H19" i="5"/>
  <c r="I19" i="5"/>
  <c r="Q18" i="5"/>
  <c r="P18" i="5"/>
  <c r="G18" i="5"/>
  <c r="H18" i="5"/>
  <c r="I18" i="5"/>
  <c r="Q17" i="5"/>
  <c r="P17" i="5"/>
  <c r="G17" i="5"/>
  <c r="H17" i="5"/>
  <c r="I17" i="5"/>
  <c r="Q16" i="5"/>
  <c r="P16" i="5"/>
  <c r="G16" i="5"/>
  <c r="H16" i="5"/>
  <c r="I16" i="5"/>
  <c r="Q15" i="5"/>
  <c r="P15" i="5"/>
  <c r="G15" i="5"/>
  <c r="H15" i="5"/>
  <c r="I15" i="5"/>
  <c r="Q14" i="5"/>
  <c r="P14" i="5"/>
  <c r="G14" i="5"/>
  <c r="H14" i="5"/>
  <c r="I14" i="5"/>
  <c r="Q13" i="5"/>
  <c r="P13" i="5"/>
  <c r="G13" i="5"/>
  <c r="H13" i="5"/>
  <c r="I13" i="5"/>
  <c r="Q12" i="5"/>
  <c r="P12" i="5"/>
  <c r="G12" i="5"/>
  <c r="H12" i="5"/>
  <c r="I12" i="5"/>
  <c r="Q11" i="5"/>
  <c r="P11" i="5"/>
  <c r="G11" i="5"/>
  <c r="H11" i="5"/>
  <c r="I11" i="5"/>
  <c r="Q10" i="5"/>
  <c r="P10" i="5"/>
  <c r="G10" i="5"/>
  <c r="H10" i="5"/>
  <c r="I10" i="5"/>
  <c r="Q9" i="5"/>
  <c r="P9" i="5"/>
  <c r="G9" i="5"/>
  <c r="H9" i="5"/>
  <c r="I9" i="5"/>
  <c r="Q8" i="5"/>
  <c r="P8" i="5"/>
  <c r="G8" i="5"/>
  <c r="H8" i="5"/>
  <c r="I8" i="5"/>
  <c r="Q7" i="5"/>
  <c r="P7" i="5"/>
  <c r="G7" i="5"/>
  <c r="H7" i="5"/>
  <c r="I7" i="5"/>
  <c r="P4" i="5"/>
  <c r="H3" i="5"/>
  <c r="J15" i="5"/>
  <c r="J19" i="5"/>
  <c r="J23" i="5"/>
  <c r="J27" i="5"/>
  <c r="J31" i="5"/>
  <c r="J35" i="5"/>
  <c r="J39" i="5"/>
  <c r="J14" i="5"/>
  <c r="J18" i="5"/>
  <c r="J22" i="5"/>
  <c r="J26" i="5"/>
  <c r="J30" i="5"/>
  <c r="J34" i="5"/>
  <c r="J38" i="5"/>
  <c r="J13" i="5"/>
  <c r="J17" i="5"/>
  <c r="J21" i="5"/>
  <c r="J25" i="5"/>
  <c r="J29" i="5"/>
  <c r="J33" i="5"/>
  <c r="J37" i="5"/>
  <c r="J41" i="5"/>
  <c r="J16" i="5"/>
  <c r="J20" i="5"/>
  <c r="J24" i="5"/>
  <c r="J28" i="5"/>
  <c r="J32" i="5"/>
  <c r="J36" i="5"/>
  <c r="J40" i="5"/>
  <c r="J7" i="5"/>
  <c r="J45" i="5"/>
  <c r="J46" i="5"/>
  <c r="J47" i="5"/>
  <c r="J48" i="5"/>
  <c r="J11" i="5"/>
  <c r="J10" i="5"/>
  <c r="J9" i="5"/>
  <c r="J8" i="5"/>
  <c r="J12" i="5"/>
  <c r="N3" i="7"/>
  <c r="N28" i="7"/>
  <c r="M216" i="12"/>
  <c r="L216" i="12"/>
  <c r="M219" i="12"/>
  <c r="L219" i="12"/>
  <c r="M218" i="12"/>
  <c r="L218" i="12"/>
  <c r="M217" i="12"/>
  <c r="L217" i="12"/>
  <c r="S175" i="12"/>
  <c r="S172" i="12"/>
  <c r="M179" i="12"/>
  <c r="L179" i="12"/>
  <c r="M182" i="12"/>
  <c r="L182" i="12"/>
  <c r="M178" i="12"/>
  <c r="L178" i="12"/>
  <c r="M102" i="12"/>
  <c r="L102" i="12"/>
  <c r="M105" i="12"/>
  <c r="L105" i="12"/>
  <c r="M103" i="12"/>
  <c r="L103" i="12"/>
  <c r="S61" i="12"/>
  <c r="S58" i="12"/>
  <c r="F64" i="12"/>
  <c r="Q300" i="12"/>
  <c r="Q302" i="12"/>
  <c r="Q262" i="12"/>
  <c r="Q264" i="12"/>
  <c r="Q224" i="12"/>
  <c r="Q226" i="12"/>
  <c r="I95" i="12"/>
  <c r="Q186" i="12"/>
  <c r="Q188" i="12"/>
  <c r="I78" i="12"/>
  <c r="F30" i="12"/>
  <c r="G30" i="12"/>
  <c r="R59" i="12"/>
  <c r="E30" i="12"/>
  <c r="S11" i="1"/>
  <c r="B34" i="8"/>
  <c r="R60" i="12"/>
  <c r="R61" i="12"/>
  <c r="R58" i="12"/>
  <c r="Q72" i="12"/>
  <c r="Q74" i="12"/>
  <c r="I27" i="12"/>
  <c r="S12" i="1"/>
  <c r="S13" i="1"/>
  <c r="S14" i="1"/>
  <c r="S15" i="1"/>
  <c r="S16" i="1"/>
  <c r="S17" i="1"/>
  <c r="S18" i="1"/>
  <c r="S19" i="1"/>
  <c r="S20" i="1"/>
  <c r="S21" i="1"/>
  <c r="S22" i="1"/>
  <c r="S23" i="1"/>
  <c r="S24" i="1"/>
  <c r="S33" i="1"/>
  <c r="S34" i="1"/>
  <c r="S35" i="1"/>
  <c r="S36" i="1"/>
  <c r="S37" i="1"/>
  <c r="S25" i="1"/>
  <c r="S26" i="1"/>
  <c r="S27" i="1"/>
  <c r="S28" i="1"/>
  <c r="S29" i="1"/>
  <c r="S30" i="1"/>
  <c r="S31" i="1"/>
  <c r="S32" i="1"/>
  <c r="S22" i="12" l="1"/>
  <c r="S23" i="12" s="1"/>
  <c r="S20" i="12" s="1"/>
  <c r="R21" i="12"/>
  <c r="Q27" i="12"/>
  <c r="L247" i="12"/>
  <c r="G64" i="12"/>
  <c r="Q135" i="12"/>
  <c r="S135" i="12"/>
  <c r="S137" i="12" s="1"/>
  <c r="S134" i="12" s="1"/>
  <c r="R135" i="12"/>
  <c r="R137" i="12" s="1"/>
  <c r="R134" i="12" s="1"/>
  <c r="Q136" i="12"/>
  <c r="Q137" i="12" s="1"/>
  <c r="Q134" i="12" s="1"/>
  <c r="Q147" i="12"/>
  <c r="Q144" i="12"/>
  <c r="M139" i="12"/>
  <c r="Q143" i="12"/>
  <c r="Q140" i="12"/>
  <c r="Q65" i="12"/>
  <c r="Q71" i="12" s="1"/>
  <c r="Q66" i="12"/>
  <c r="Q67" i="12"/>
  <c r="Q68" i="12"/>
  <c r="R98" i="12"/>
  <c r="Q97" i="12"/>
  <c r="S98" i="12"/>
  <c r="R97" i="12"/>
  <c r="R99" i="12" s="1"/>
  <c r="R96" i="12" s="1"/>
  <c r="S97" i="12"/>
  <c r="E47" i="12"/>
  <c r="S99" i="12"/>
  <c r="S96" i="12" s="1"/>
  <c r="Q99" i="12"/>
  <c r="Q96" i="12" s="1"/>
  <c r="W29" i="1"/>
  <c r="Q9" i="1"/>
  <c r="H9" i="7"/>
  <c r="Q8" i="1"/>
  <c r="H8" i="7"/>
  <c r="I30" i="8"/>
  <c r="I58" i="1"/>
  <c r="I59" i="1"/>
  <c r="E30" i="8" s="1"/>
  <c r="Y51" i="8"/>
  <c r="B51" i="8" s="1"/>
  <c r="R8" i="1"/>
  <c r="G7" i="1"/>
  <c r="B33" i="8"/>
  <c r="L18" i="12"/>
  <c r="L19" i="12" s="1"/>
  <c r="L284" i="12"/>
  <c r="L285" i="12" s="1"/>
  <c r="Q22" i="12"/>
  <c r="S21" i="12"/>
  <c r="Q21" i="12"/>
  <c r="R22" i="12"/>
  <c r="Q23" i="12"/>
  <c r="Q20" i="12" s="1"/>
  <c r="G13" i="12"/>
  <c r="Q28" i="12"/>
  <c r="Q33" i="12" s="1"/>
  <c r="Q29" i="12"/>
  <c r="Q30" i="12"/>
  <c r="M25" i="12"/>
  <c r="S123" i="12"/>
  <c r="S161" i="12"/>
  <c r="J22" i="7"/>
  <c r="C15" i="8"/>
  <c r="J13" i="7"/>
  <c r="I8" i="1"/>
  <c r="J12" i="7"/>
  <c r="I16" i="1"/>
  <c r="I7" i="1"/>
  <c r="I37" i="1"/>
  <c r="I20" i="1"/>
  <c r="I23" i="1"/>
  <c r="I14" i="1"/>
  <c r="I35" i="1"/>
  <c r="I21" i="1"/>
  <c r="I10" i="1"/>
  <c r="I36" i="1"/>
  <c r="I24" i="1"/>
  <c r="I15" i="1"/>
  <c r="I34" i="1"/>
  <c r="I17" i="1"/>
  <c r="D10" i="14"/>
  <c r="L15" i="8" s="1"/>
  <c r="S47" i="12"/>
  <c r="L14" i="8"/>
  <c r="S9" i="12"/>
  <c r="S85" i="12"/>
  <c r="S275" i="12"/>
  <c r="S237" i="12"/>
  <c r="R23" i="12" l="1"/>
  <c r="R20" i="12" s="1"/>
  <c r="Q34" i="12" s="1"/>
  <c r="Q36" i="12" s="1"/>
  <c r="I10" i="12" s="1"/>
  <c r="Q148" i="12"/>
  <c r="Q150" i="12" s="1"/>
  <c r="I61" i="12" s="1"/>
  <c r="M142" i="12"/>
  <c r="L142" i="12" s="1"/>
  <c r="M143" i="12"/>
  <c r="L143" i="12" s="1"/>
  <c r="M144" i="12"/>
  <c r="L144" i="12" s="1"/>
  <c r="M141" i="12"/>
  <c r="L141" i="12" s="1"/>
  <c r="M140" i="12"/>
  <c r="L140" i="12" s="1"/>
  <c r="M67" i="12"/>
  <c r="L67" i="12" s="1"/>
  <c r="M65" i="12"/>
  <c r="L65" i="12" s="1"/>
  <c r="M64" i="12"/>
  <c r="L64" i="12" s="1"/>
  <c r="M66" i="12"/>
  <c r="L66" i="12" s="1"/>
  <c r="M68" i="12"/>
  <c r="L68" i="12" s="1"/>
  <c r="Q110" i="12"/>
  <c r="Q112" i="12" s="1"/>
  <c r="I44" i="12" s="1"/>
  <c r="Q10" i="1"/>
  <c r="H10" i="7"/>
  <c r="U7" i="1"/>
  <c r="G7" i="7"/>
  <c r="V7" i="1"/>
  <c r="I3" i="1"/>
  <c r="P8" i="1"/>
  <c r="G8" i="1" s="1"/>
  <c r="R9" i="1"/>
  <c r="M30" i="12"/>
  <c r="L30" i="12" s="1"/>
  <c r="M26" i="12"/>
  <c r="L26" i="12" s="1"/>
  <c r="M27" i="12"/>
  <c r="L27" i="12" s="1"/>
  <c r="M28" i="12"/>
  <c r="L28" i="12" s="1"/>
  <c r="M29" i="12"/>
  <c r="L29" i="12" s="1"/>
  <c r="J17" i="7"/>
  <c r="J7" i="7"/>
  <c r="J15" i="7"/>
  <c r="J24" i="7"/>
  <c r="J8" i="7"/>
  <c r="J10" i="7"/>
  <c r="J21" i="7"/>
  <c r="J14" i="7"/>
  <c r="J20" i="7"/>
  <c r="J16" i="7"/>
  <c r="J23" i="7"/>
  <c r="O12" i="1" l="1"/>
  <c r="Q11" i="1"/>
  <c r="H11" i="7"/>
  <c r="G8" i="7"/>
  <c r="V8" i="1"/>
  <c r="U8" i="1"/>
  <c r="H7" i="1"/>
  <c r="W7" i="1"/>
  <c r="P9" i="1"/>
  <c r="G9" i="1"/>
  <c r="R10" i="1"/>
  <c r="O13" i="1" l="1"/>
  <c r="H12" i="7"/>
  <c r="Q12" i="1"/>
  <c r="R11" i="1"/>
  <c r="P10" i="1"/>
  <c r="G10" i="1"/>
  <c r="U9" i="1"/>
  <c r="G9" i="7"/>
  <c r="V9" i="1"/>
  <c r="I7" i="7"/>
  <c r="N7" i="7" s="1"/>
  <c r="K7" i="1"/>
  <c r="K7" i="7" s="1"/>
  <c r="H8" i="1"/>
  <c r="W8" i="1"/>
  <c r="H13" i="7" l="1"/>
  <c r="Q13" i="1"/>
  <c r="O14" i="1"/>
  <c r="W9" i="1"/>
  <c r="H9" i="1"/>
  <c r="U10" i="1"/>
  <c r="V10" i="1"/>
  <c r="G10" i="7"/>
  <c r="R12" i="1"/>
  <c r="P11" i="1"/>
  <c r="G11" i="1" s="1"/>
  <c r="I8" i="7"/>
  <c r="N8" i="7" s="1"/>
  <c r="K8" i="1"/>
  <c r="K8" i="7" s="1"/>
  <c r="H14" i="7" l="1"/>
  <c r="O15" i="1"/>
  <c r="Q14" i="1"/>
  <c r="G11" i="7"/>
  <c r="U11" i="1"/>
  <c r="V11" i="1"/>
  <c r="R13" i="1"/>
  <c r="P12" i="1"/>
  <c r="G12" i="1"/>
  <c r="H10" i="1"/>
  <c r="W10" i="1"/>
  <c r="I9" i="7"/>
  <c r="N9" i="7" s="1"/>
  <c r="K9" i="1"/>
  <c r="K9" i="7" s="1"/>
  <c r="Q15" i="1" l="1"/>
  <c r="O16" i="1"/>
  <c r="H15" i="7"/>
  <c r="I10" i="7"/>
  <c r="N10" i="7" s="1"/>
  <c r="K10" i="1"/>
  <c r="K10" i="7" s="1"/>
  <c r="U12" i="1"/>
  <c r="V12" i="1"/>
  <c r="G12" i="7"/>
  <c r="R14" i="1"/>
  <c r="P13" i="1"/>
  <c r="G13" i="1" s="1"/>
  <c r="W11" i="1"/>
  <c r="H11" i="1"/>
  <c r="Q16" i="1" l="1"/>
  <c r="O17" i="1"/>
  <c r="H16" i="7"/>
  <c r="U13" i="1"/>
  <c r="G13" i="7"/>
  <c r="V13" i="1"/>
  <c r="R15" i="1"/>
  <c r="P14" i="1"/>
  <c r="G14" i="1" s="1"/>
  <c r="W12" i="1"/>
  <c r="H12" i="1"/>
  <c r="I11" i="7"/>
  <c r="N11" i="7" s="1"/>
  <c r="K11" i="1"/>
  <c r="K11" i="7" s="1"/>
  <c r="O18" i="1" l="1"/>
  <c r="Q17" i="1"/>
  <c r="H17" i="7"/>
  <c r="I12" i="7"/>
  <c r="N12" i="7" s="1"/>
  <c r="K12" i="1"/>
  <c r="K12" i="7" s="1"/>
  <c r="V14" i="1"/>
  <c r="U14" i="1"/>
  <c r="G14" i="7"/>
  <c r="P15" i="1"/>
  <c r="G15" i="1" s="1"/>
  <c r="R16" i="1"/>
  <c r="W13" i="1"/>
  <c r="H13" i="1"/>
  <c r="O19" i="1" l="1"/>
  <c r="Q18" i="1"/>
  <c r="H18" i="7"/>
  <c r="I13" i="7"/>
  <c r="N13" i="7" s="1"/>
  <c r="K13" i="1"/>
  <c r="K13" i="7" s="1"/>
  <c r="P16" i="1"/>
  <c r="R17" i="1"/>
  <c r="G16" i="1"/>
  <c r="G15" i="7"/>
  <c r="U15" i="1"/>
  <c r="V15" i="1"/>
  <c r="H14" i="1"/>
  <c r="W14" i="1"/>
  <c r="Q19" i="1" l="1"/>
  <c r="O20" i="1"/>
  <c r="H19" i="7"/>
  <c r="I14" i="7"/>
  <c r="N14" i="7" s="1"/>
  <c r="K14" i="1"/>
  <c r="K14" i="7" s="1"/>
  <c r="H15" i="1"/>
  <c r="W15" i="1"/>
  <c r="U16" i="1"/>
  <c r="G16" i="7"/>
  <c r="V16" i="1"/>
  <c r="R18" i="1"/>
  <c r="P17" i="1"/>
  <c r="G17" i="1" s="1"/>
  <c r="O21" i="1" l="1"/>
  <c r="Q20" i="1"/>
  <c r="H20" i="7"/>
  <c r="U17" i="1"/>
  <c r="V17" i="1"/>
  <c r="G17" i="7"/>
  <c r="R19" i="1"/>
  <c r="P18" i="1"/>
  <c r="G18" i="1" s="1"/>
  <c r="H16" i="1"/>
  <c r="W16" i="1"/>
  <c r="I15" i="7"/>
  <c r="N15" i="7" s="1"/>
  <c r="K15" i="1"/>
  <c r="K15" i="7" s="1"/>
  <c r="H21" i="7" l="1"/>
  <c r="O22" i="1"/>
  <c r="Q21" i="1"/>
  <c r="I16" i="7"/>
  <c r="N16" i="7" s="1"/>
  <c r="K16" i="1"/>
  <c r="K16" i="7" s="1"/>
  <c r="G18" i="7"/>
  <c r="V18" i="1"/>
  <c r="V4" i="1" s="1"/>
  <c r="V5" i="1" s="1"/>
  <c r="U18" i="1"/>
  <c r="R20" i="1"/>
  <c r="P19" i="1"/>
  <c r="G19" i="1" s="1"/>
  <c r="W17" i="1"/>
  <c r="H17" i="1"/>
  <c r="Q22" i="1" l="1"/>
  <c r="H22" i="7"/>
  <c r="O23" i="1"/>
  <c r="I17" i="7"/>
  <c r="N17" i="7" s="1"/>
  <c r="K17" i="1"/>
  <c r="K17" i="7" s="1"/>
  <c r="V19" i="1"/>
  <c r="U19" i="1"/>
  <c r="G19" i="7"/>
  <c r="R21" i="1"/>
  <c r="P20" i="1"/>
  <c r="G20" i="1" s="1"/>
  <c r="W18" i="1"/>
  <c r="H18" i="1"/>
  <c r="U4" i="1"/>
  <c r="H23" i="7" l="1"/>
  <c r="Q23" i="1"/>
  <c r="O24" i="1"/>
  <c r="G20" i="7"/>
  <c r="V20" i="1"/>
  <c r="U20" i="1"/>
  <c r="I18" i="7"/>
  <c r="N18" i="7" s="1"/>
  <c r="K18" i="1"/>
  <c r="K18" i="7" s="1"/>
  <c r="R22" i="1"/>
  <c r="P21" i="1"/>
  <c r="G21" i="1" s="1"/>
  <c r="W19" i="1"/>
  <c r="H19" i="1"/>
  <c r="U3" i="1"/>
  <c r="U5" i="1"/>
  <c r="H24" i="7" l="1"/>
  <c r="D12" i="14" s="1"/>
  <c r="L16" i="8" s="1"/>
  <c r="Q24" i="1"/>
  <c r="O4" i="1"/>
  <c r="I19" i="7"/>
  <c r="N19" i="7" s="1"/>
  <c r="K19" i="1"/>
  <c r="K19" i="7" s="1"/>
  <c r="V21" i="1"/>
  <c r="U21" i="1"/>
  <c r="G21" i="7"/>
  <c r="R23" i="1"/>
  <c r="P22" i="1"/>
  <c r="G22" i="1" s="1"/>
  <c r="W20" i="1"/>
  <c r="H20" i="1"/>
  <c r="V3" i="1"/>
  <c r="X4" i="1" s="1"/>
  <c r="E29" i="8" s="1"/>
  <c r="I20" i="7" l="1"/>
  <c r="N20" i="7" s="1"/>
  <c r="K20" i="1"/>
  <c r="K20" i="7" s="1"/>
  <c r="G22" i="7"/>
  <c r="U22" i="1"/>
  <c r="V22" i="1"/>
  <c r="R24" i="1"/>
  <c r="P23" i="1"/>
  <c r="G23" i="1"/>
  <c r="W21" i="1"/>
  <c r="H21" i="1"/>
  <c r="I21" i="7" l="1"/>
  <c r="N21" i="7" s="1"/>
  <c r="K21" i="1"/>
  <c r="K21" i="7" s="1"/>
  <c r="G23" i="7"/>
  <c r="U23" i="1"/>
  <c r="V23" i="1"/>
  <c r="R25" i="1"/>
  <c r="R26" i="1" s="1"/>
  <c r="R27" i="1" s="1"/>
  <c r="R28" i="1" s="1"/>
  <c r="R29" i="1" s="1"/>
  <c r="R30" i="1" s="1"/>
  <c r="R31" i="1" s="1"/>
  <c r="R32" i="1" s="1"/>
  <c r="P24" i="1"/>
  <c r="G24" i="1" s="1"/>
  <c r="R33" i="1"/>
  <c r="R34" i="1" s="1"/>
  <c r="W22" i="1"/>
  <c r="H22" i="1"/>
  <c r="G24" i="7" l="1"/>
  <c r="V24" i="1"/>
  <c r="U24" i="1"/>
  <c r="G4" i="1"/>
  <c r="R35" i="1"/>
  <c r="G34" i="1"/>
  <c r="H23" i="1"/>
  <c r="W23" i="1"/>
  <c r="I22" i="7"/>
  <c r="N22" i="7" s="1"/>
  <c r="K22" i="1"/>
  <c r="K22" i="7" s="1"/>
  <c r="I23" i="7" l="1"/>
  <c r="N23" i="7" s="1"/>
  <c r="K23" i="1"/>
  <c r="K23" i="7" s="1"/>
  <c r="V34" i="1"/>
  <c r="U34" i="1"/>
  <c r="R36" i="1"/>
  <c r="G35" i="1"/>
  <c r="W24" i="1"/>
  <c r="W4" i="1" s="1"/>
  <c r="I29" i="8" s="1"/>
  <c r="H24" i="1"/>
  <c r="I24" i="7" l="1"/>
  <c r="E31" i="8"/>
  <c r="I31" i="8" s="1"/>
  <c r="K24" i="1"/>
  <c r="K24" i="7" s="1"/>
  <c r="H4" i="1"/>
  <c r="I4" i="1" s="1"/>
  <c r="V35" i="1"/>
  <c r="U35" i="1"/>
  <c r="G36" i="1"/>
  <c r="R37" i="1"/>
  <c r="G37" i="1" s="1"/>
  <c r="H34" i="1"/>
  <c r="K34" i="1" s="1"/>
  <c r="W34" i="1"/>
  <c r="V37" i="1" l="1"/>
  <c r="U37" i="1"/>
  <c r="V36" i="1"/>
  <c r="U36" i="1"/>
  <c r="H35" i="1"/>
  <c r="K35" i="1" s="1"/>
  <c r="W35" i="1"/>
  <c r="W36" i="1" l="1"/>
  <c r="H36" i="1"/>
  <c r="K36" i="1" s="1"/>
  <c r="Y35" i="1"/>
  <c r="W37" i="1"/>
  <c r="H37" i="1"/>
  <c r="K37" i="1" s="1"/>
  <c r="Y36" i="1" l="1"/>
  <c r="Z35" i="1"/>
  <c r="Z36" i="1" s="1"/>
  <c r="Y34" i="1" l="1"/>
  <c r="Z34" i="1" s="1"/>
</calcChain>
</file>

<file path=xl/sharedStrings.xml><?xml version="1.0" encoding="utf-8"?>
<sst xmlns="http://schemas.openxmlformats.org/spreadsheetml/2006/main" count="1413" uniqueCount="407">
  <si>
    <t>Test Position</t>
  </si>
  <si>
    <t>(Approximate)</t>
  </si>
  <si>
    <t>Orientation</t>
  </si>
  <si>
    <t>Any (0° default)</t>
  </si>
  <si>
    <t>inches</t>
  </si>
  <si>
    <t>0.23m / 9in</t>
  </si>
  <si>
    <t>0°</t>
  </si>
  <si>
    <t>Rotational Position</t>
  </si>
  <si>
    <t>of tracker head</t>
  </si>
  <si>
    <t>90°</t>
  </si>
  <si>
    <t>180°</t>
  </si>
  <si>
    <t>270°</t>
  </si>
  <si>
    <t>Artifact</t>
  </si>
  <si>
    <t>Artifact Distance</t>
  </si>
  <si>
    <t>Right Diagonal 45° (Table 4)</t>
  </si>
  <si>
    <t>Left Diagonal 45°(Table 5)</t>
  </si>
  <si>
    <t>Horizontal (Table 2)</t>
  </si>
  <si>
    <t>Vertical (Table 3)</t>
  </si>
  <si>
    <t>*</t>
  </si>
  <si>
    <t>*As Close as possible to the tracker to maximize vertical encoder use between the end nests</t>
  </si>
  <si>
    <t>3m / 10ft</t>
  </si>
  <si>
    <t>6m / 20ft</t>
  </si>
  <si>
    <t>2.8m / 9ft</t>
  </si>
  <si>
    <t>6.2m / 20ft</t>
  </si>
  <si>
    <t>Result 1</t>
  </si>
  <si>
    <t>Result2</t>
  </si>
  <si>
    <t>Result3</t>
  </si>
  <si>
    <t>Max Dev.</t>
  </si>
  <si>
    <t>Reference Length Value:</t>
  </si>
  <si>
    <t>Ref. Length</t>
  </si>
  <si>
    <t>MPE (tolerance)</t>
  </si>
  <si>
    <t>Tolerance</t>
  </si>
  <si>
    <t>Result (P/F)</t>
  </si>
  <si>
    <t>Ref. Length CTE</t>
  </si>
  <si>
    <t>µin/in/°F</t>
  </si>
  <si>
    <t>CTE Correction applied</t>
  </si>
  <si>
    <t>Temperature</t>
  </si>
  <si>
    <t>User Selected( Pos. 1)</t>
  </si>
  <si>
    <t>User Selected( Pos. 2)</t>
  </si>
  <si>
    <t>Vertical, lower nest at tracker height</t>
  </si>
  <si>
    <t>Compound 45 °</t>
  </si>
  <si>
    <t>Close</t>
  </si>
  <si>
    <t>5m / 16ft</t>
  </si>
  <si>
    <t>Length Measurement System Tests</t>
  </si>
  <si>
    <t>TWO FACE SYSTEMTESTS</t>
  </si>
  <si>
    <t>IFM RANGING TEST</t>
  </si>
  <si>
    <t>Pure Radial</t>
  </si>
  <si>
    <t>0.575m / 22in</t>
  </si>
  <si>
    <t>1.15m / 44 in</t>
  </si>
  <si>
    <t>1.725m / 67 in</t>
  </si>
  <si>
    <t>2.3m / 90 in</t>
  </si>
  <si>
    <t>Reference length CTE</t>
  </si>
  <si>
    <t>ADM RANGING TEST</t>
  </si>
  <si>
    <t>18%R</t>
  </si>
  <si>
    <t>36%R</t>
  </si>
  <si>
    <t>54%R</t>
  </si>
  <si>
    <t>72%R</t>
  </si>
  <si>
    <t>10%R</t>
  </si>
  <si>
    <t>25%R</t>
  </si>
  <si>
    <t>mm</t>
  </si>
  <si>
    <t>Item</t>
  </si>
  <si>
    <t>meters</t>
  </si>
  <si>
    <t>Result</t>
  </si>
  <si>
    <t>JV Result</t>
  </si>
  <si>
    <t xml:space="preserve">Chris </t>
  </si>
  <si>
    <t>Horizontal</t>
  </si>
  <si>
    <t>Vertical</t>
  </si>
  <si>
    <t>Backsight Testing</t>
  </si>
  <si>
    <t>Point to Point Volumetric Testing</t>
  </si>
  <si>
    <t>Left Diagonal 45°</t>
  </si>
  <si>
    <t>Right Diagonal 45°</t>
  </si>
  <si>
    <t>Artifact Orientation/ Distance Function</t>
  </si>
  <si>
    <t>R.L. Value</t>
  </si>
  <si>
    <t>R.L. CTE</t>
  </si>
  <si>
    <t>Avg IFM</t>
  </si>
  <si>
    <t>ADM Result</t>
  </si>
  <si>
    <t>Deviation</t>
  </si>
  <si>
    <t>IFM 1</t>
  </si>
  <si>
    <t>IFM 2</t>
  </si>
  <si>
    <t>IFM 3</t>
  </si>
  <si>
    <t>Ref. L. CTE</t>
  </si>
  <si>
    <t>Result 2</t>
  </si>
  <si>
    <t>Result 3</t>
  </si>
  <si>
    <t>ADM Results</t>
  </si>
  <si>
    <t>Tracker Serial Number:</t>
  </si>
  <si>
    <t>Position</t>
  </si>
  <si>
    <t>Reference length</t>
  </si>
  <si>
    <t>Test</t>
  </si>
  <si>
    <t>Artifact Orientation/</t>
  </si>
  <si>
    <t>Test Mode</t>
  </si>
  <si>
    <t>Serial Number:</t>
  </si>
  <si>
    <t>IFM Nom.</t>
  </si>
  <si>
    <t>IFM Dev.</t>
  </si>
  <si>
    <t>The deviation at each position is calculated as the maximum of three readings</t>
  </si>
  <si>
    <t>Nest Position / Mode</t>
  </si>
  <si>
    <t>Low / Frontsight</t>
  </si>
  <si>
    <t>Low / Backsight</t>
  </si>
  <si>
    <t>Mid / Frontsight</t>
  </si>
  <si>
    <t>Mid / Backsight</t>
  </si>
  <si>
    <t>High / Frontsight</t>
  </si>
  <si>
    <t>High / Backsight</t>
  </si>
  <si>
    <t>X</t>
  </si>
  <si>
    <t>Y</t>
  </si>
  <si>
    <t>Z</t>
  </si>
  <si>
    <t>Repetition 1</t>
  </si>
  <si>
    <t>Repetition 2</t>
  </si>
  <si>
    <t>Repitition 3</t>
  </si>
  <si>
    <t>Max O.A.</t>
  </si>
  <si>
    <t>Avg X</t>
  </si>
  <si>
    <t>Avg Y</t>
  </si>
  <si>
    <t>Avg Z</t>
  </si>
  <si>
    <t>30°</t>
  </si>
  <si>
    <t>60°</t>
  </si>
  <si>
    <t>1m / 3ft</t>
  </si>
  <si>
    <t>Johnson Gage and Inspection, Inc.</t>
  </si>
  <si>
    <t>5920 West 21st Street North, Wichita, KS 67205</t>
  </si>
  <si>
    <t>Phone:  316-943-7532;  FAX:  316-944-6256</t>
  </si>
  <si>
    <t>Customer Name:</t>
  </si>
  <si>
    <t>Form 2554-4</t>
  </si>
  <si>
    <t>Customer Address:</t>
  </si>
  <si>
    <t>Original Rev. 4-21-15</t>
  </si>
  <si>
    <t>Item:</t>
  </si>
  <si>
    <t>Laser Tracker</t>
  </si>
  <si>
    <t>Inspector:</t>
  </si>
  <si>
    <t>Date Calibrated:</t>
  </si>
  <si>
    <t>Model Number:</t>
  </si>
  <si>
    <t>Recalibration Date:</t>
  </si>
  <si>
    <t>Ambient Temperature:</t>
  </si>
  <si>
    <t>Location:</t>
  </si>
  <si>
    <t>Relative Humidity:</t>
  </si>
  <si>
    <t>...</t>
  </si>
  <si>
    <t xml:space="preserve">Controlling Specification(s):  </t>
  </si>
  <si>
    <t xml:space="preserve">Calibration Procedure(s):  </t>
  </si>
  <si>
    <t>Test Type</t>
  </si>
  <si>
    <t>Average Observed Error</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</si>
  <si>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</si>
  <si>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Tests Marked with an Asterisk are unaccredited. This document shall not be reproduced except in full, without the written permission of Johnson Gage and Inspection. Tolerance source key: C = Customer; S = Specification; M = Manufacturer; R = JGI Recommended.</t>
  </si>
  <si>
    <t>**********************************************************************************************************************************</t>
  </si>
  <si>
    <t>Accepted</t>
  </si>
  <si>
    <t>Accredited Statement</t>
  </si>
  <si>
    <t>Unacc. Statement:</t>
  </si>
  <si>
    <t>All testing performed using standards traceable to NIST or to intrinsic standards. This document shall not be reproduced except in full, without the written permission of Johnson Gage and Inspection.</t>
  </si>
  <si>
    <t>CALIBRATION STANDARDS</t>
  </si>
  <si>
    <t xml:space="preserve">Quality Approval:                      </t>
  </si>
  <si>
    <t>WP251420</t>
  </si>
  <si>
    <t>Detailed measurement results are included on page 2</t>
  </si>
  <si>
    <t>Customer ID Number</t>
  </si>
  <si>
    <t>Radial</t>
  </si>
  <si>
    <t>In-Line Distance</t>
  </si>
  <si>
    <t>Cal Date</t>
  </si>
  <si>
    <t>Due:</t>
  </si>
  <si>
    <t>Concat</t>
  </si>
  <si>
    <t>Serial</t>
  </si>
  <si>
    <t>Reference Length Bar</t>
  </si>
  <si>
    <t>TN</t>
  </si>
  <si>
    <t>LTRB1</t>
  </si>
  <si>
    <t>LTRB2</t>
  </si>
  <si>
    <t>This item was tested using traceable reference lengths throughout its working volume. These tests were designed to check the vertical and horizontal angle encoders at varying amounts of travel, as well as the distance encoder(s). Backsight testing was performed throughout the measuring envelope. A summary of the results has been provided below.</t>
  </si>
  <si>
    <t>Date</t>
  </si>
  <si>
    <t>Action</t>
  </si>
  <si>
    <t>initial validation performed</t>
  </si>
  <si>
    <t>Max</t>
  </si>
  <si>
    <t>Min</t>
  </si>
  <si>
    <t>Abs Max</t>
  </si>
  <si>
    <t>Greatest Dev.</t>
  </si>
  <si>
    <t>Pass</t>
  </si>
  <si>
    <t>Faro Ion</t>
  </si>
  <si>
    <t>Volumetric</t>
  </si>
  <si>
    <t>Model</t>
  </si>
  <si>
    <t>Faro Xi</t>
  </si>
  <si>
    <t>API Radian</t>
  </si>
  <si>
    <t>API Omnitrac 2</t>
  </si>
  <si>
    <t>API T3</t>
  </si>
  <si>
    <t>Leica AT960 MR</t>
  </si>
  <si>
    <t>Leica AT901 MR</t>
  </si>
  <si>
    <t>Leica AT901B</t>
  </si>
  <si>
    <t>Tolerance as a formula</t>
  </si>
  <si>
    <t>3.5µm / m + 5 ppm + 15µm</t>
  </si>
  <si>
    <t>Metric Tolerances</t>
  </si>
  <si>
    <t>Imperial tolerances</t>
  </si>
  <si>
    <t>Notes</t>
  </si>
  <si>
    <t>cobbled together component tolerances</t>
  </si>
  <si>
    <t>For "Horizontal Scale bar measurement" only per B89 4.19</t>
  </si>
  <si>
    <t>Scale bar measurement per B89.4.19</t>
  </si>
  <si>
    <t>Industry Tolerance</t>
  </si>
  <si>
    <t>distance (ft)</t>
  </si>
  <si>
    <t>Make distances variable on Testing worksheet</t>
  </si>
  <si>
    <t>Add 5th column to table</t>
  </si>
  <si>
    <t>Make it so whatever distance you pick falls into the actual spec table for each instrument</t>
  </si>
  <si>
    <t>SN:</t>
  </si>
  <si>
    <t>Backsight Testing:</t>
  </si>
  <si>
    <t>Radial Distance Testing:</t>
  </si>
  <si>
    <t>Faro Vantage</t>
  </si>
  <si>
    <t>Horizontal Scale Bar Measurements Per B89</t>
  </si>
  <si>
    <t>Leica AT930</t>
  </si>
  <si>
    <t>Vertical Deviation</t>
  </si>
  <si>
    <t>Distance</t>
  </si>
  <si>
    <t>9 ft, 0°</t>
  </si>
  <si>
    <t>5 ft, 0°</t>
  </si>
  <si>
    <t>9 ft, 90°</t>
  </si>
  <si>
    <t>9 ft, 180°</t>
  </si>
  <si>
    <t>9 ft, 270°</t>
  </si>
  <si>
    <t>20 ft, 0°</t>
  </si>
  <si>
    <t>40 ft, 0°</t>
  </si>
  <si>
    <t>Max-Min/2</t>
  </si>
  <si>
    <t xml:space="preserve">Tolerance: </t>
  </si>
  <si>
    <t xml:space="preserve">ANSI/NCSLI Z540-1, ISO/IEC 17025 </t>
  </si>
  <si>
    <t>For "Horizontal Scale bar measurement" only per B89 4.20</t>
  </si>
  <si>
    <t>For "Horizontal Scale bar measurement" only per B89 4.21</t>
  </si>
  <si>
    <t>For "Horizontal Scale bar measurement" only per B89 4.22</t>
  </si>
  <si>
    <t>80% of the largest manufacturer's tolerance for each distance</t>
  </si>
  <si>
    <t>Volumetric Testing:</t>
  </si>
  <si>
    <t>Phone 316.943.7532          FAX 316.944.6256</t>
  </si>
  <si>
    <t xml:space="preserve">Date Tested:  </t>
  </si>
  <si>
    <t xml:space="preserve">Tested By:  </t>
  </si>
  <si>
    <t>Minimum:</t>
  </si>
  <si>
    <t>Maximum:</t>
  </si>
  <si>
    <t>(Max-Min)/2:</t>
  </si>
  <si>
    <t>Laser Trackers- Reflector Certification Record</t>
  </si>
  <si>
    <t>Centered, Radial</t>
  </si>
  <si>
    <t>Mirror rotated upward</t>
  </si>
  <si>
    <t>Mirror rotated downard</t>
  </si>
  <si>
    <t>Rotated CW Horizontally</t>
  </si>
  <si>
    <t>Rotated CCW Horizontally</t>
  </si>
  <si>
    <t>Rotated 90° on beam axis</t>
  </si>
  <si>
    <t>Rotated 180° on beam axis</t>
  </si>
  <si>
    <t>Rotated 270° on beam axis</t>
  </si>
  <si>
    <t>Overall Error (Max-Min)/2:</t>
  </si>
  <si>
    <t>Results displayed are in inches</t>
  </si>
  <si>
    <t>Report No.</t>
  </si>
  <si>
    <t>Serial Number</t>
  </si>
  <si>
    <t>Date Tested</t>
  </si>
  <si>
    <t>Date Due</t>
  </si>
  <si>
    <t>Inspector</t>
  </si>
  <si>
    <t>Ambient Temperature</t>
  </si>
  <si>
    <t>Ambient Humidity</t>
  </si>
  <si>
    <t>Test Location</t>
  </si>
  <si>
    <t xml:space="preserve">On-Site? </t>
  </si>
  <si>
    <t>Condition</t>
  </si>
  <si>
    <t>Comments</t>
  </si>
  <si>
    <t>Standard Cal Date</t>
  </si>
  <si>
    <t>Standard Due Date</t>
  </si>
  <si>
    <t>Traceabiliy No.</t>
  </si>
  <si>
    <t>Tolerance:</t>
  </si>
  <si>
    <t>Reflector Position</t>
  </si>
  <si>
    <t>Customer Name</t>
  </si>
  <si>
    <t>Customer Address</t>
  </si>
  <si>
    <t>Result:</t>
  </si>
  <si>
    <t>avg error</t>
  </si>
  <si>
    <t>max error</t>
  </si>
  <si>
    <t>Average Backsight Error</t>
  </si>
  <si>
    <t>Max Backsight error</t>
  </si>
  <si>
    <t>Report Number:</t>
  </si>
  <si>
    <t>Number of SMRs Cal'd:</t>
  </si>
  <si>
    <t>Yes</t>
  </si>
  <si>
    <t>°F</t>
  </si>
  <si>
    <t>Comments:</t>
  </si>
  <si>
    <t>Condition:</t>
  </si>
  <si>
    <t>(You can leave this field blank if you want to use the model from the tolerance Drop Down list)</t>
  </si>
  <si>
    <t>%</t>
  </si>
  <si>
    <t>Reference bar Length @ 68 degrees</t>
  </si>
  <si>
    <t>Full certificate brought into Excel. Tolerance worksheet established and validated</t>
  </si>
  <si>
    <t>Uncertainty @ k=2:</t>
  </si>
  <si>
    <t>µin</t>
  </si>
  <si>
    <t>PRELIMINARY READINGS (Prior to any adjustment, if the item is found out of tolerance)</t>
  </si>
  <si>
    <t>(select rotation)</t>
  </si>
  <si>
    <t>As Left</t>
  </si>
  <si>
    <t>As Found</t>
  </si>
  <si>
    <t>As Found Avg</t>
  </si>
  <si>
    <t>As Found Max</t>
  </si>
  <si>
    <t>Pg3</t>
  </si>
  <si>
    <t>Pg4</t>
  </si>
  <si>
    <t>Pg5</t>
  </si>
  <si>
    <t>Pg6</t>
  </si>
  <si>
    <t xml:space="preserve"> </t>
  </si>
  <si>
    <t>Maximum Observed Error (at 9ft)</t>
  </si>
  <si>
    <t>Rotated Back</t>
  </si>
  <si>
    <t>Rotated Forward</t>
  </si>
  <si>
    <t>Rotated Left</t>
  </si>
  <si>
    <t>Rotated Right</t>
  </si>
  <si>
    <t>No</t>
  </si>
  <si>
    <t>Stylus Probe?</t>
  </si>
  <si>
    <t>smr</t>
  </si>
  <si>
    <t>tprobe</t>
  </si>
  <si>
    <t>no</t>
  </si>
  <si>
    <t>Total pgs</t>
  </si>
  <si>
    <t>Metric Length of standard, mm</t>
  </si>
  <si>
    <t>SN</t>
  </si>
  <si>
    <t>FOOT?</t>
  </si>
  <si>
    <t>Pass?</t>
  </si>
  <si>
    <t>Company</t>
  </si>
  <si>
    <t>Leica AT901MR</t>
  </si>
  <si>
    <t>API LTS-3000</t>
  </si>
  <si>
    <t>Leica AT960MR</t>
  </si>
  <si>
    <t>API Radian R50</t>
  </si>
  <si>
    <t>Fail</t>
  </si>
  <si>
    <t>Galaxy Tool</t>
  </si>
  <si>
    <t>D-J</t>
  </si>
  <si>
    <t>Dynamic NC</t>
  </si>
  <si>
    <t>Accurus</t>
  </si>
  <si>
    <t>GKN</t>
  </si>
  <si>
    <t>Orizon</t>
  </si>
  <si>
    <t>AIT Technologies</t>
  </si>
  <si>
    <t>AAT Aero</t>
  </si>
  <si>
    <t>Triumph Shelbyville</t>
  </si>
  <si>
    <t>Raptor</t>
  </si>
  <si>
    <t>NO</t>
  </si>
  <si>
    <t>LTS34970207</t>
  </si>
  <si>
    <t>LTS36761008</t>
  </si>
  <si>
    <t>yes</t>
  </si>
  <si>
    <t>X02000702066</t>
  </si>
  <si>
    <t>Y02001606114</t>
  </si>
  <si>
    <t>Y01009003029</t>
  </si>
  <si>
    <t>V01001304482</t>
  </si>
  <si>
    <t>FMI</t>
  </si>
  <si>
    <t>?</t>
  </si>
  <si>
    <t>Vector Tooling Technologies</t>
  </si>
  <si>
    <t>Aero-Tech Engineering</t>
  </si>
  <si>
    <t>Count</t>
  </si>
  <si>
    <t>Ambient temp</t>
  </si>
  <si>
    <t>Row Labels</t>
  </si>
  <si>
    <t>Grand Total</t>
  </si>
  <si>
    <t>Total</t>
  </si>
  <si>
    <t>FOOT</t>
  </si>
  <si>
    <t>Failed</t>
  </si>
  <si>
    <t>Rate:</t>
  </si>
  <si>
    <t>PC Dmis</t>
  </si>
  <si>
    <t>To set up point to point measurement measurements</t>
  </si>
  <si>
    <t>Edit Menu- Preferences- Setup - and select Point only measurements (or something like that)</t>
  </si>
  <si>
    <t>(you can press F5 to get that menu)</t>
  </si>
  <si>
    <t>Make sure the 1.5 SMR is selected as the probe. Should be selectable from a top of the screen drop down above the other menus.</t>
  </si>
  <si>
    <t>Ctrl + H</t>
  </si>
  <si>
    <t>takes a point</t>
  </si>
  <si>
    <t>after two points select red button with  &lt;---&gt; symbol (distance measurement). Select the two points from the resulting menu and select 3D distance</t>
  </si>
  <si>
    <t xml:space="preserve">Corrected errant references in SMR sheet, applied units on cert page. </t>
  </si>
  <si>
    <t>This item was found in tolerance. No adjustments were performed.</t>
  </si>
  <si>
    <t>Low</t>
  </si>
  <si>
    <t>Mid</t>
  </si>
  <si>
    <t>High</t>
  </si>
  <si>
    <t>Point Separation Error</t>
  </si>
  <si>
    <t>Added Radial reading to datasheet, also added detailed backsight results</t>
  </si>
  <si>
    <t>D-J -- Called on 11-14-18. I think they will still use us. She said they used Hexagon because a tracker had a problem.</t>
  </si>
  <si>
    <t>Following up on Failed Trackers</t>
  </si>
  <si>
    <t>AIT- Called and emailed. No traction yet.</t>
  </si>
  <si>
    <t>Accurus--</t>
  </si>
  <si>
    <t>Raptor--</t>
  </si>
  <si>
    <t>Has Faro Warranty, declined cal in 2018, follow up 2019</t>
  </si>
  <si>
    <t>Followed up. Scheduled.</t>
  </si>
  <si>
    <t>11-14-18Followed up. On a 2 year interval. Follow up 2019</t>
  </si>
  <si>
    <t>Followed up and scheduled</t>
  </si>
  <si>
    <t>2 yr interval. Not needed</t>
  </si>
  <si>
    <t>Capps Manufacturing</t>
  </si>
  <si>
    <t>Used</t>
  </si>
  <si>
    <t>Discovered and corrected CTE Issue</t>
  </si>
  <si>
    <t>Bombardier Learjet</t>
  </si>
  <si>
    <t>Leica LTD 840</t>
  </si>
  <si>
    <t>Tect Power</t>
  </si>
  <si>
    <t>Leica AT901LR</t>
  </si>
  <si>
    <t>Y01001203972</t>
  </si>
  <si>
    <t>V01001304533</t>
  </si>
  <si>
    <t>Leica LTD 709</t>
  </si>
  <si>
    <t>Radius Hot Springs</t>
  </si>
  <si>
    <t>Radius Shelbyville</t>
  </si>
  <si>
    <t>Repaired - Due 3-27-21</t>
  </si>
  <si>
    <t>Replaced with Faro Tracker - Due March 3 2021</t>
  </si>
  <si>
    <t>Recall SN 751078 in July 2020</t>
  </si>
  <si>
    <t>Inspection</t>
  </si>
  <si>
    <t>INVAR bar</t>
  </si>
  <si>
    <t>1 to 5</t>
  </si>
  <si>
    <t>1 to 4</t>
  </si>
  <si>
    <t>1 to 3</t>
  </si>
  <si>
    <t>1 to 2</t>
  </si>
  <si>
    <t>Clamped</t>
  </si>
  <si>
    <t>CTE</t>
  </si>
  <si>
    <t>Flat</t>
  </si>
  <si>
    <t>Leica AT403</t>
  </si>
  <si>
    <t>FIX 16 ft distance</t>
  </si>
  <si>
    <t>Incorporate backsight tests into volumetric process</t>
  </si>
  <si>
    <t>Low/Backsighting</t>
  </si>
  <si>
    <t>Mid/Backsighting</t>
  </si>
  <si>
    <t>High/Backsighting</t>
  </si>
  <si>
    <t>15µm + 5µm/m</t>
  </si>
  <si>
    <t>JGI METHOD</t>
  </si>
  <si>
    <t>N/A</t>
  </si>
  <si>
    <t>Interval</t>
  </si>
  <si>
    <t>year</t>
  </si>
  <si>
    <t>56561-035633</t>
  </si>
  <si>
    <t>Standard</t>
  </si>
  <si>
    <t>Unistraint</t>
  </si>
  <si>
    <t>Bar of Invar</t>
  </si>
  <si>
    <t>1.5 inch SMR</t>
  </si>
  <si>
    <t>Diameter</t>
  </si>
  <si>
    <t>D1</t>
  </si>
  <si>
    <t>D2</t>
  </si>
  <si>
    <t>D3</t>
  </si>
  <si>
    <t>D4</t>
  </si>
  <si>
    <t>D5</t>
  </si>
  <si>
    <t>Variation in Diameter:</t>
  </si>
  <si>
    <t>Pg7</t>
  </si>
  <si>
    <t>Pg8</t>
  </si>
  <si>
    <t>0.5 inch SMR</t>
  </si>
  <si>
    <t>Leica T-Probe II</t>
  </si>
  <si>
    <t>Orizon Aerostructures Assembly</t>
  </si>
  <si>
    <t>2522 W 21st Street</t>
  </si>
  <si>
    <t>PE, ML</t>
  </si>
  <si>
    <t>56561-045570</t>
  </si>
  <si>
    <t>56561-059582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</si>
</sst>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000000"/>
    <numFmt numFmtId="165" formatCode="0.0000"/>
    <numFmt numFmtId="166" formatCode="0.0\ \°\F"/>
    <numFmt numFmtId="167" formatCode="0.00000\ &quot;in&quot;"/>
    <numFmt numFmtId="168" formatCode="&quot;± &quot;0.0000\ &quot;in&quot;"/>
    <numFmt numFmtId="169" formatCode="0.000000\ &quot;in&quot;"/>
    <numFmt numFmtId="170" formatCode="0.000000000000000000"/>
    <numFmt numFmtId="171" formatCode="0.00000"/>
    <numFmt numFmtId="172" formatCode="0.0"/>
    <numFmt numFmtId="173" formatCode="0.000"/>
    <numFmt numFmtId="174" formatCode="0.0&quot; meters&quot;"/>
    <numFmt numFmtId="175" formatCode="0.0&quot; feet&quot;"/>
    <numFmt numFmtId="176" formatCode="#,##0.0000"/>
    <numFmt numFmtId="177" formatCode="m/d/yy;@"/>
    <numFmt numFmtId="178" formatCode="0.######"/>
    <numFmt numFmtId="179" formatCode="&quot;± &quot;0.#######"/>
    <numFmt numFmtId="180" formatCode="0.0\°\F"/>
    <numFmt numFmtId="181" formatCode="0&quot; %&quot;"/>
  </numFmts>
  <fonts count="50"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b/>
      <sz val="26"/>
      <color theme="3" tint="-0.249977111117893"/>
      <name val="Calibri"/>
      <family val="2"/>
      <scheme val="minor"/>
    </font>
    <font>
      <sz val="11"/>
      <color theme="0" tint="-0.34998626667073579"/>
      <name val="Calibri"/>
      <family val="2"/>
      <scheme val="minor"/>
    </font>
    <font>
      <sz val="18"/>
      <color theme="1"/>
      <name val="Calibri"/>
      <family val="2"/>
      <scheme val="minor"/>
    </font>
    <font>
      <b/>
      <sz val="36"/>
      <color theme="1"/>
      <name val="David"/>
      <family val="2"/>
      <charset val="177"/>
    </font>
    <font>
      <b/>
      <u/>
      <sz val="18"/>
      <color rgb="FFFF0000"/>
      <name val="Calibri"/>
      <family val="2"/>
      <scheme val="minor"/>
    </font>
    <font>
      <sz val="14"/>
      <color theme="1"/>
      <name val="Calibri"/>
      <family val="2"/>
      <scheme val="minor"/>
    </font>
    <font>
      <sz val="11"/>
      <color theme="1"/>
      <name val="Calibri"/>
      <family val="2"/>
    </font>
    <font>
      <sz val="14"/>
      <color theme="0" tint="-0.34998626667073579"/>
      <name val="Calibri"/>
      <family val="2"/>
      <scheme val="minor"/>
    </font>
    <font>
      <b/>
      <sz val="11"/>
      <color rgb="FFC00000"/>
      <name val="Calibri"/>
      <family val="2"/>
      <scheme val="minor"/>
    </font>
    <font>
      <b/>
      <sz val="11"/>
      <color theme="0" tint="-0.34998626667073579"/>
      <name val="Calibri"/>
      <family val="2"/>
      <scheme val="minor"/>
    </font>
    <font>
      <b/>
      <sz val="11"/>
      <color theme="3" tint="0.39997558519241921"/>
      <name val="Calibri"/>
      <family val="2"/>
      <scheme val="minor"/>
    </font>
    <font>
      <sz val="11"/>
      <color theme="3" tint="0.39997558519241921"/>
      <name val="Calibri"/>
      <family val="2"/>
      <scheme val="minor"/>
    </font>
    <font>
      <sz val="10"/>
      <color theme="1"/>
      <name val="Calibri"/>
      <family val="2"/>
      <scheme val="minor"/>
    </font>
    <font>
      <sz val="9"/>
      <color theme="1"/>
      <name val="Calibri"/>
      <family val="2"/>
      <scheme val="minor"/>
    </font>
    <font>
      <sz val="8.5"/>
      <color theme="1"/>
      <name val="Calibri"/>
      <family val="2"/>
      <scheme val="minor"/>
    </font>
    <font>
      <sz val="11"/>
      <color theme="1" tint="0.499984740745262"/>
      <name val="Calibri"/>
      <family val="2"/>
      <scheme val="minor"/>
    </font>
    <font>
      <b/>
      <sz val="16"/>
      <color theme="1"/>
      <name val="Calibri"/>
      <family val="2"/>
      <scheme val="minor"/>
    </font>
    <font>
      <sz val="18"/>
      <color rgb="FFFF0000"/>
      <name val="Calibri"/>
      <family val="2"/>
      <scheme val="minor"/>
    </font>
    <font>
      <sz val="10.5"/>
      <color theme="1"/>
      <name val="Calibri"/>
      <family val="2"/>
      <scheme val="minor"/>
    </font>
    <font>
      <sz val="11"/>
      <name val="Calibri"/>
      <family val="2"/>
      <scheme val="minor"/>
    </font>
    <font>
      <sz val="14"/>
      <name val="Calibri"/>
      <family val="2"/>
      <scheme val="minor"/>
    </font>
    <font>
      <sz val="11"/>
      <name val="Calibri"/>
      <family val="2"/>
    </font>
    <font>
      <i/>
      <sz val="11"/>
      <color theme="1"/>
      <name val="Calibri"/>
      <family val="2"/>
      <scheme val="minor"/>
    </font>
    <font>
      <sz val="11"/>
      <color theme="0" tint="-0.499984740745262"/>
      <name val="Calibri"/>
      <family val="2"/>
      <scheme val="minor"/>
    </font>
    <font>
      <b/>
      <sz val="12"/>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sz val="12"/>
      <name val="Calibri"/>
      <family val="2"/>
      <scheme val="minor"/>
    </font>
    <font>
      <sz val="11"/>
      <color rgb="FFFF0000"/>
      <name val="Calibri"/>
      <family val="2"/>
    </font>
    <font>
      <sz val="10"/>
      <name val="Arial"/>
      <family val="2"/>
    </font>
    <font>
      <sz val="22"/>
      <name val="Arial"/>
      <family val="2"/>
    </font>
    <font>
      <sz val="14"/>
      <color indexed="63"/>
      <name val="Arial"/>
      <family val="2"/>
    </font>
    <font>
      <sz val="20"/>
      <name val="Bookman Old Style"/>
      <family val="1"/>
    </font>
    <font>
      <sz val="14"/>
      <name val="Arial"/>
      <family val="2"/>
    </font>
    <font>
      <sz val="12"/>
      <name val="Arial"/>
      <family val="2"/>
    </font>
    <font>
      <b/>
      <sz val="12"/>
      <name val="Arial"/>
      <family val="2"/>
    </font>
    <font>
      <sz val="12"/>
      <color theme="0"/>
      <name val="Arial"/>
      <family val="2"/>
    </font>
    <font>
      <sz val="11"/>
      <color theme="0" tint="-0.249977111117893"/>
      <name val="Calibri"/>
      <family val="2"/>
      <scheme val="minor"/>
    </font>
    <font>
      <sz val="11"/>
      <color theme="0" tint="-4.9989318521683403E-2"/>
      <name val="Calibri"/>
      <family val="2"/>
      <scheme val="minor"/>
    </font>
    <font>
      <sz val="11"/>
      <color theme="2" tint="-0.249977111117893"/>
      <name val="Calibri"/>
      <family val="2"/>
      <scheme val="minor"/>
    </font>
    <font>
      <sz val="11"/>
      <color theme="1"/>
      <name val="Calibri"/>
      <family val="2"/>
      <scheme val="minor"/>
    </font>
    <font>
      <sz val="12"/>
      <color theme="0" tint="-4.9989318521683403E-2"/>
      <name val="Calibri"/>
      <family val="2"/>
      <scheme val="minor"/>
    </font>
    <font>
      <sz val="11"/>
      <name val="Arial"/>
      <family val="2"/>
    </font>
    <font>
      <sz val="8"/>
      <color rgb="FF000000"/>
      <name val="Tahoma"/>
      <family val="2"/>
    </font>
  </fonts>
  <fills count="20">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2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3">
    <xf numFmtId="0" fontId="0" fillId="0" borderId="0"/>
    <xf numFmtId="0" fontId="27" fillId="0" borderId="0"/>
    <xf numFmtId="9" fontId="46" fillId="0" borderId="0" applyFont="0" applyFill="0" applyBorder="0" applyAlignment="0" applyProtection="0"/>
  </cellStyleXfs>
  <cellXfs count="342">
    <xf numFmtId="0" fontId="0" fillId="0" borderId="0" xfId="0"/>
    <xf numFmtId="0" fontId="0" fillId="0" borderId="0" xfId="0" applyAlignment="1">
      <alignment horizontal="center"/>
    </xf>
    <xf numFmtId="0" fontId="0" fillId="0" borderId="0" xfId="0" applyAlignment="1">
      <alignment horizontal="right"/>
    </xf>
    <xf numFmtId="0" fontId="0" fillId="0" borderId="1" xfId="0" applyBorder="1" applyAlignment="1">
      <alignment horizontal="center"/>
    </xf>
    <xf numFmtId="0" fontId="0" fillId="0" borderId="0" xfId="0" applyAlignment="1">
      <alignment horizontal="left"/>
    </xf>
    <xf numFmtId="0" fontId="0" fillId="2" borderId="0" xfId="0" applyFill="1"/>
    <xf numFmtId="164" fontId="0" fillId="2" borderId="0" xfId="0" applyNumberFormat="1" applyFill="1"/>
    <xf numFmtId="0" fontId="0" fillId="2" borderId="2" xfId="0" applyFill="1" applyBorder="1"/>
    <xf numFmtId="0" fontId="0" fillId="0" borderId="2" xfId="0" applyBorder="1"/>
    <xf numFmtId="164" fontId="0" fillId="3" borderId="2" xfId="0" applyNumberFormat="1" applyFill="1" applyBorder="1" applyAlignment="1">
      <alignment horizontal="center"/>
    </xf>
    <xf numFmtId="0" fontId="0" fillId="2" borderId="3" xfId="0" applyFill="1" applyBorder="1"/>
    <xf numFmtId="0" fontId="0" fillId="0" borderId="3" xfId="0" applyBorder="1"/>
    <xf numFmtId="164" fontId="0" fillId="3" borderId="3" xfId="0" applyNumberForma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3" borderId="2" xfId="0" applyFont="1" applyFill="1" applyBorder="1" applyAlignment="1">
      <alignment horizontal="center"/>
    </xf>
    <xf numFmtId="0" fontId="2" fillId="0" borderId="3" xfId="0" applyFont="1" applyBorder="1" applyAlignment="1">
      <alignment horizontal="center"/>
    </xf>
    <xf numFmtId="0" fontId="2" fillId="3" borderId="3" xfId="0" applyFont="1" applyFill="1" applyBorder="1" applyAlignment="1">
      <alignment horizontal="center"/>
    </xf>
    <xf numFmtId="0" fontId="0" fillId="2" borderId="2" xfId="0" applyFill="1" applyBorder="1" applyAlignment="1">
      <alignment horizontal="center"/>
    </xf>
    <xf numFmtId="164" fontId="2" fillId="0" borderId="3" xfId="0" applyNumberFormat="1" applyFont="1" applyBorder="1" applyAlignment="1">
      <alignment horizontal="center"/>
    </xf>
    <xf numFmtId="0" fontId="0" fillId="2" borderId="0" xfId="0" applyFill="1" applyAlignment="1">
      <alignment horizontal="center"/>
    </xf>
    <xf numFmtId="0" fontId="0" fillId="0" borderId="2" xfId="0" applyBorder="1" applyAlignment="1">
      <alignment horizontal="center"/>
    </xf>
    <xf numFmtId="0" fontId="0" fillId="2" borderId="3" xfId="0" applyFill="1" applyBorder="1" applyAlignment="1">
      <alignment horizontal="center"/>
    </xf>
    <xf numFmtId="164" fontId="0" fillId="0" borderId="0" xfId="0" applyNumberFormat="1"/>
    <xf numFmtId="165" fontId="0" fillId="0" borderId="0" xfId="0" applyNumberFormat="1"/>
    <xf numFmtId="0" fontId="0" fillId="0" borderId="0" xfId="0" applyAlignment="1">
      <alignment vertical="center"/>
    </xf>
    <xf numFmtId="0" fontId="0" fillId="0" borderId="0" xfId="0" applyAlignment="1">
      <alignment horizontal="center" vertical="center"/>
    </xf>
    <xf numFmtId="164" fontId="0" fillId="4" borderId="0" xfId="0" applyNumberFormat="1" applyFill="1"/>
    <xf numFmtId="0" fontId="0" fillId="4" borderId="0" xfId="0" applyFill="1"/>
    <xf numFmtId="164" fontId="0" fillId="4" borderId="0" xfId="0" applyNumberFormat="1" applyFill="1" applyAlignment="1">
      <alignment horizontal="center"/>
    </xf>
    <xf numFmtId="0" fontId="0" fillId="4" borderId="0" xfId="0" applyFill="1" applyAlignment="1">
      <alignment horizontal="center"/>
    </xf>
    <xf numFmtId="0" fontId="0" fillId="5" borderId="0" xfId="0" applyFill="1"/>
    <xf numFmtId="0" fontId="0" fillId="4" borderId="0" xfId="0" applyFill="1" applyAlignment="1">
      <alignment horizontal="right"/>
    </xf>
    <xf numFmtId="0" fontId="1" fillId="4" borderId="0" xfId="0" applyFont="1" applyFill="1" applyAlignment="1">
      <alignment vertical="center"/>
    </xf>
    <xf numFmtId="0" fontId="1" fillId="4" borderId="0" xfId="0" applyFont="1" applyFill="1" applyAlignment="1">
      <alignment horizontal="center" vertical="center"/>
    </xf>
    <xf numFmtId="0" fontId="0" fillId="4" borderId="1" xfId="0" applyFill="1" applyBorder="1" applyAlignment="1">
      <alignment horizontal="center"/>
    </xf>
    <xf numFmtId="0" fontId="3" fillId="4" borderId="2" xfId="0" applyFont="1" applyFill="1" applyBorder="1" applyAlignment="1">
      <alignment horizontal="center"/>
    </xf>
    <xf numFmtId="0" fontId="2" fillId="4" borderId="2" xfId="0" applyFont="1" applyFill="1" applyBorder="1" applyAlignment="1">
      <alignment horizontal="center"/>
    </xf>
    <xf numFmtId="0" fontId="0" fillId="4" borderId="2" xfId="0" applyFill="1" applyBorder="1" applyAlignment="1">
      <alignment horizontal="center"/>
    </xf>
    <xf numFmtId="0" fontId="2" fillId="4" borderId="3" xfId="0" applyFont="1" applyFill="1" applyBorder="1" applyAlignment="1">
      <alignment horizontal="center"/>
    </xf>
    <xf numFmtId="0" fontId="2" fillId="4" borderId="0" xfId="0" applyFont="1" applyFill="1" applyAlignment="1">
      <alignment horizontal="center"/>
    </xf>
    <xf numFmtId="0" fontId="3" fillId="4" borderId="0" xfId="0" applyFont="1" applyFill="1" applyAlignment="1">
      <alignment horizontal="center"/>
    </xf>
    <xf numFmtId="165" fontId="0" fillId="4" borderId="0" xfId="0" applyNumberFormat="1" applyFill="1"/>
    <xf numFmtId="0" fontId="2" fillId="4" borderId="1" xfId="0" applyFont="1" applyFill="1" applyBorder="1" applyAlignment="1">
      <alignment horizontal="center"/>
    </xf>
    <xf numFmtId="0" fontId="2" fillId="6" borderId="2" xfId="0" applyFont="1" applyFill="1" applyBorder="1" applyAlignment="1">
      <alignment horizontal="center"/>
    </xf>
    <xf numFmtId="0" fontId="4" fillId="4" borderId="0" xfId="0" applyFont="1" applyFill="1"/>
    <xf numFmtId="0" fontId="4" fillId="4" borderId="0" xfId="0" applyFont="1" applyFill="1" applyAlignment="1">
      <alignment horizontal="center"/>
    </xf>
    <xf numFmtId="166" fontId="4" fillId="7" borderId="2" xfId="0" applyNumberFormat="1" applyFont="1" applyFill="1" applyBorder="1" applyAlignment="1">
      <alignment horizontal="center"/>
    </xf>
    <xf numFmtId="168" fontId="2" fillId="7" borderId="2" xfId="0" applyNumberFormat="1" applyFont="1" applyFill="1" applyBorder="1" applyAlignment="1">
      <alignment horizontal="center"/>
    </xf>
    <xf numFmtId="167" fontId="2" fillId="6" borderId="2" xfId="0" applyNumberFormat="1" applyFont="1" applyFill="1" applyBorder="1" applyAlignment="1">
      <alignment horizontal="center"/>
    </xf>
    <xf numFmtId="169" fontId="4" fillId="7" borderId="2" xfId="0" applyNumberFormat="1" applyFont="1" applyFill="1" applyBorder="1" applyAlignment="1">
      <alignment horizontal="center"/>
    </xf>
    <xf numFmtId="0" fontId="2" fillId="4" borderId="0" xfId="0" applyFont="1" applyFill="1"/>
    <xf numFmtId="170" fontId="4" fillId="4" borderId="0" xfId="0" applyNumberFormat="1" applyFont="1" applyFill="1"/>
    <xf numFmtId="164" fontId="0" fillId="4" borderId="0" xfId="0" applyNumberFormat="1" applyFill="1" applyAlignment="1">
      <alignment horizontal="left"/>
    </xf>
    <xf numFmtId="0" fontId="0" fillId="4" borderId="0" xfId="0" applyFill="1" applyAlignment="1">
      <alignment horizontal="left"/>
    </xf>
    <xf numFmtId="164" fontId="2" fillId="0" borderId="2" xfId="0" applyNumberFormat="1" applyFont="1" applyBorder="1" applyAlignment="1">
      <alignment horizontal="center"/>
    </xf>
    <xf numFmtId="164" fontId="2" fillId="4" borderId="2" xfId="0" applyNumberFormat="1" applyFont="1" applyFill="1" applyBorder="1" applyAlignment="1">
      <alignment horizontal="center"/>
    </xf>
    <xf numFmtId="164" fontId="2" fillId="4" borderId="0" xfId="0" applyNumberFormat="1" applyFont="1" applyFill="1" applyAlignment="1">
      <alignment horizontal="center"/>
    </xf>
    <xf numFmtId="0" fontId="4" fillId="4" borderId="0" xfId="0" applyFont="1" applyFill="1" applyAlignment="1">
      <alignment horizontal="left"/>
    </xf>
    <xf numFmtId="0" fontId="1" fillId="0" borderId="0" xfId="0" applyFont="1" applyAlignment="1">
      <alignment horizontal="center" vertical="center"/>
    </xf>
    <xf numFmtId="164" fontId="0" fillId="4" borderId="3" xfId="0" applyNumberFormat="1" applyFill="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8" borderId="0" xfId="0" applyFill="1"/>
    <xf numFmtId="0" fontId="7" fillId="8" borderId="0" xfId="0" applyFont="1" applyFill="1"/>
    <xf numFmtId="14" fontId="0" fillId="8" borderId="0" xfId="0" applyNumberFormat="1" applyFill="1"/>
    <xf numFmtId="0" fontId="8" fillId="0" borderId="0" xfId="0" applyFont="1" applyAlignment="1">
      <alignment horizontal="center"/>
    </xf>
    <xf numFmtId="0" fontId="10" fillId="0" borderId="0" xfId="0" applyFont="1" applyAlignment="1">
      <alignment horizontal="center"/>
    </xf>
    <xf numFmtId="0" fontId="1" fillId="0" borderId="0" xfId="0" applyFont="1" applyAlignment="1">
      <alignment horizontal="right"/>
    </xf>
    <xf numFmtId="0" fontId="11" fillId="0" borderId="0" xfId="0" applyFont="1"/>
    <xf numFmtId="0" fontId="11" fillId="0" borderId="0" xfId="0" applyFont="1" applyAlignment="1">
      <alignment horizontal="right"/>
    </xf>
    <xf numFmtId="165" fontId="12" fillId="8" borderId="0" xfId="0" applyNumberFormat="1" applyFont="1" applyFill="1" applyAlignment="1">
      <alignment horizontal="center"/>
    </xf>
    <xf numFmtId="0" fontId="0" fillId="8" borderId="0" xfId="0" applyFill="1" applyAlignment="1">
      <alignment horizontal="center"/>
    </xf>
    <xf numFmtId="0" fontId="7" fillId="8" borderId="0" xfId="0" applyFont="1" applyFill="1" applyAlignment="1">
      <alignment horizontal="center"/>
    </xf>
    <xf numFmtId="0" fontId="11" fillId="0" borderId="0" xfId="0" applyFont="1" applyProtection="1">
      <protection locked="0"/>
    </xf>
    <xf numFmtId="0" fontId="11" fillId="0" borderId="0" xfId="0" applyFont="1" applyAlignment="1" applyProtection="1">
      <alignment horizontal="left"/>
      <protection locked="0"/>
    </xf>
    <xf numFmtId="2" fontId="0" fillId="8" borderId="0" xfId="0" applyNumberFormat="1" applyFill="1" applyAlignment="1">
      <alignment horizontal="center"/>
    </xf>
    <xf numFmtId="2" fontId="7" fillId="8" borderId="0" xfId="0" applyNumberFormat="1" applyFont="1" applyFill="1" applyAlignment="1">
      <alignment horizontal="center"/>
    </xf>
    <xf numFmtId="10" fontId="7" fillId="8" borderId="0" xfId="0" applyNumberFormat="1" applyFont="1" applyFill="1" applyAlignment="1">
      <alignment horizontal="center"/>
    </xf>
    <xf numFmtId="0" fontId="11" fillId="0" borderId="0" xfId="0" applyFont="1" applyAlignment="1">
      <alignment horizontal="left"/>
    </xf>
    <xf numFmtId="0" fontId="7" fillId="8" borderId="0" xfId="0" applyFont="1" applyFill="1" applyProtection="1">
      <protection locked="0"/>
    </xf>
    <xf numFmtId="0" fontId="11" fillId="0" borderId="0" xfId="0" quotePrefix="1" applyFont="1" applyAlignment="1">
      <alignment horizontal="left"/>
    </xf>
    <xf numFmtId="0" fontId="7" fillId="8" borderId="0" xfId="0" applyFont="1" applyFill="1" applyAlignment="1">
      <alignment horizontal="right"/>
    </xf>
    <xf numFmtId="2" fontId="7" fillId="8" borderId="0" xfId="0" applyNumberFormat="1" applyFont="1" applyFill="1" applyAlignment="1">
      <alignment horizontal="right"/>
    </xf>
    <xf numFmtId="173" fontId="0" fillId="8" borderId="0" xfId="0" applyNumberFormat="1" applyFill="1" applyAlignment="1">
      <alignment horizontal="center"/>
    </xf>
    <xf numFmtId="172" fontId="0" fillId="8" borderId="0" xfId="0" applyNumberFormat="1" applyFill="1"/>
    <xf numFmtId="0" fontId="11" fillId="8" borderId="0" xfId="0" applyFont="1" applyFill="1"/>
    <xf numFmtId="173" fontId="7" fillId="8" borderId="0" xfId="0" applyNumberFormat="1" applyFont="1" applyFill="1" applyAlignment="1">
      <alignment horizontal="right"/>
    </xf>
    <xf numFmtId="171" fontId="7" fillId="8" borderId="0" xfId="0" applyNumberFormat="1" applyFont="1" applyFill="1" applyAlignment="1">
      <alignment horizontal="center"/>
    </xf>
    <xf numFmtId="2" fontId="11" fillId="8" borderId="0" xfId="0" applyNumberFormat="1" applyFont="1" applyFill="1"/>
    <xf numFmtId="0" fontId="13" fillId="8" borderId="0" xfId="0" applyFont="1" applyFill="1"/>
    <xf numFmtId="2" fontId="13" fillId="8" borderId="0" xfId="0" applyNumberFormat="1" applyFont="1" applyFill="1"/>
    <xf numFmtId="2" fontId="11" fillId="8" borderId="0" xfId="0" applyNumberFormat="1" applyFont="1" applyFill="1" applyAlignment="1">
      <alignment horizontal="center"/>
    </xf>
    <xf numFmtId="0" fontId="0" fillId="0" borderId="0" xfId="0" applyAlignment="1" applyProtection="1">
      <alignment vertical="center" wrapText="1"/>
      <protection locked="0"/>
    </xf>
    <xf numFmtId="0" fontId="14" fillId="8" borderId="0" xfId="0" applyFont="1" applyFill="1"/>
    <xf numFmtId="172" fontId="7" fillId="8" borderId="0" xfId="0" applyNumberFormat="1" applyFont="1" applyFill="1"/>
    <xf numFmtId="172" fontId="7" fillId="8" borderId="0" xfId="0" applyNumberFormat="1" applyFont="1" applyFill="1" applyAlignment="1">
      <alignment horizontal="center"/>
    </xf>
    <xf numFmtId="2" fontId="7" fillId="8" borderId="0" xfId="0" applyNumberFormat="1" applyFont="1" applyFill="1"/>
    <xf numFmtId="0" fontId="0" fillId="9" borderId="0" xfId="0" applyFill="1"/>
    <xf numFmtId="172" fontId="7" fillId="8" borderId="0" xfId="0" applyNumberFormat="1" applyFont="1" applyFill="1" applyProtection="1">
      <protection locked="0"/>
    </xf>
    <xf numFmtId="2" fontId="7" fillId="8" borderId="0" xfId="0" applyNumberFormat="1" applyFont="1" applyFill="1" applyAlignment="1" applyProtection="1">
      <alignment horizontal="center"/>
      <protection locked="0"/>
    </xf>
    <xf numFmtId="172" fontId="7" fillId="8" borderId="0" xfId="0" applyNumberFormat="1" applyFont="1" applyFill="1" applyAlignment="1">
      <alignment horizontal="left"/>
    </xf>
    <xf numFmtId="0" fontId="21" fillId="8" borderId="0" xfId="0" applyFont="1" applyFill="1"/>
    <xf numFmtId="0" fontId="23" fillId="8" borderId="0" xfId="0" applyFont="1" applyFill="1" applyAlignment="1">
      <alignment horizontal="left"/>
    </xf>
    <xf numFmtId="0" fontId="0" fillId="0" borderId="0" xfId="0" applyAlignment="1">
      <alignment vertical="top" wrapText="1"/>
    </xf>
    <xf numFmtId="0" fontId="1" fillId="0" borderId="0" xfId="0" applyFont="1"/>
    <xf numFmtId="0" fontId="11" fillId="9" borderId="0" xfId="0" applyFont="1" applyFill="1"/>
    <xf numFmtId="0" fontId="0" fillId="8" borderId="0" xfId="0" applyFill="1" applyAlignment="1">
      <alignment horizontal="right"/>
    </xf>
    <xf numFmtId="0" fontId="25" fillId="4" borderId="0" xfId="0" applyFont="1" applyFill="1"/>
    <xf numFmtId="2" fontId="14" fillId="8" borderId="0" xfId="0" applyNumberFormat="1" applyFont="1" applyFill="1" applyAlignment="1">
      <alignment horizontal="center"/>
    </xf>
    <xf numFmtId="172" fontId="15" fillId="8" borderId="0" xfId="0" applyNumberFormat="1" applyFont="1" applyFill="1"/>
    <xf numFmtId="2" fontId="14" fillId="8" borderId="0" xfId="0" applyNumberFormat="1" applyFont="1" applyFill="1"/>
    <xf numFmtId="0" fontId="16" fillId="8" borderId="0" xfId="0" applyFont="1" applyFill="1"/>
    <xf numFmtId="0" fontId="17" fillId="8" borderId="0" xfId="0" applyFont="1" applyFill="1"/>
    <xf numFmtId="0" fontId="18" fillId="8" borderId="0" xfId="0" applyFont="1" applyFill="1" applyAlignment="1">
      <alignment horizontal="left"/>
    </xf>
    <xf numFmtId="0" fontId="19" fillId="8" borderId="0" xfId="0" applyFont="1" applyFill="1" applyAlignment="1">
      <alignment horizontal="left"/>
    </xf>
    <xf numFmtId="0" fontId="5" fillId="8" borderId="0" xfId="0" applyFont="1" applyFill="1"/>
    <xf numFmtId="14" fontId="0" fillId="9" borderId="0" xfId="0" applyNumberFormat="1" applyFill="1"/>
    <xf numFmtId="0" fontId="25" fillId="8" borderId="0" xfId="0" applyFont="1" applyFill="1"/>
    <xf numFmtId="0" fontId="25" fillId="8" borderId="0" xfId="0" applyFont="1" applyFill="1" applyAlignment="1">
      <alignment horizontal="center"/>
    </xf>
    <xf numFmtId="0" fontId="26" fillId="8" borderId="0" xfId="0" applyFont="1" applyFill="1"/>
    <xf numFmtId="0" fontId="0" fillId="9" borderId="4" xfId="0" applyFill="1" applyBorder="1"/>
    <xf numFmtId="0" fontId="0" fillId="9" borderId="5" xfId="0" applyFill="1" applyBorder="1"/>
    <xf numFmtId="0" fontId="26" fillId="8" borderId="0" xfId="0" applyFont="1" applyFill="1" applyAlignment="1">
      <alignment horizontal="center"/>
    </xf>
    <xf numFmtId="14" fontId="0" fillId="0" borderId="0" xfId="0" applyNumberFormat="1"/>
    <xf numFmtId="0" fontId="0" fillId="0" borderId="0" xfId="0" applyProtection="1">
      <protection locked="0"/>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75" fontId="0" fillId="0" borderId="9" xfId="0" applyNumberFormat="1" applyBorder="1" applyAlignment="1">
      <alignment horizontal="center"/>
    </xf>
    <xf numFmtId="175" fontId="0" fillId="0" borderId="0" xfId="0" applyNumberFormat="1" applyAlignment="1">
      <alignment horizontal="center"/>
    </xf>
    <xf numFmtId="175" fontId="0" fillId="0" borderId="10"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74" fontId="0" fillId="0" borderId="9" xfId="0" applyNumberFormat="1" applyBorder="1" applyAlignment="1">
      <alignment horizontal="center"/>
    </xf>
    <xf numFmtId="164" fontId="0" fillId="0" borderId="9" xfId="0" applyNumberFormat="1"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0" fontId="0" fillId="0" borderId="11" xfId="0" applyBorder="1"/>
    <xf numFmtId="0" fontId="0" fillId="0" borderId="12" xfId="0" applyBorder="1"/>
    <xf numFmtId="0" fontId="0" fillId="0" borderId="4" xfId="0" applyBorder="1"/>
    <xf numFmtId="0" fontId="0" fillId="0" borderId="13" xfId="0" applyBorder="1"/>
    <xf numFmtId="0" fontId="0" fillId="0" borderId="14" xfId="0" applyBorder="1"/>
    <xf numFmtId="0" fontId="0" fillId="0" borderId="15" xfId="0" applyBorder="1"/>
    <xf numFmtId="167" fontId="28" fillId="0" borderId="0" xfId="0" applyNumberFormat="1" applyFont="1" applyProtection="1">
      <protection locked="0"/>
    </xf>
    <xf numFmtId="0" fontId="0" fillId="0" borderId="0" xfId="0" applyAlignment="1" applyProtection="1">
      <alignment vertical="center"/>
      <protection locked="0"/>
    </xf>
    <xf numFmtId="0" fontId="28" fillId="0" borderId="0" xfId="0" quotePrefix="1" applyFont="1" applyAlignment="1" applyProtection="1">
      <alignment vertical="center"/>
      <protection locked="0"/>
    </xf>
    <xf numFmtId="0" fontId="3" fillId="0" borderId="0" xfId="0" applyFont="1" applyAlignment="1" applyProtection="1">
      <alignment vertical="center" wrapText="1"/>
      <protection locked="0"/>
    </xf>
    <xf numFmtId="0" fontId="3" fillId="0" borderId="0" xfId="0" applyFont="1" applyAlignment="1" applyProtection="1">
      <alignment horizontal="right" vertical="center"/>
      <protection locked="0"/>
    </xf>
    <xf numFmtId="0" fontId="3" fillId="0" borderId="0" xfId="0" applyFont="1" applyAlignment="1">
      <alignment horizontal="right"/>
    </xf>
    <xf numFmtId="0" fontId="28" fillId="0" borderId="0" xfId="0" quotePrefix="1" applyFont="1"/>
    <xf numFmtId="0" fontId="0" fillId="4" borderId="3" xfId="0" applyFill="1" applyBorder="1" applyAlignment="1">
      <alignment horizontal="center"/>
    </xf>
    <xf numFmtId="0" fontId="29" fillId="4" borderId="0" xfId="0" applyFont="1" applyFill="1"/>
    <xf numFmtId="0" fontId="29" fillId="4" borderId="0" xfId="0" applyFont="1" applyFill="1" applyAlignment="1">
      <alignment horizontal="center"/>
    </xf>
    <xf numFmtId="164" fontId="29" fillId="4" borderId="0" xfId="0" applyNumberFormat="1" applyFont="1" applyFill="1"/>
    <xf numFmtId="164" fontId="29" fillId="4" borderId="0" xfId="0" applyNumberFormat="1" applyFont="1" applyFill="1" applyAlignment="1">
      <alignment horizontal="center"/>
    </xf>
    <xf numFmtId="0" fontId="29" fillId="5" borderId="0" xfId="0" applyFont="1" applyFill="1"/>
    <xf numFmtId="0" fontId="29" fillId="0" borderId="0" xfId="0" applyFont="1"/>
    <xf numFmtId="0" fontId="29" fillId="4" borderId="1" xfId="0" applyFont="1" applyFill="1" applyBorder="1" applyAlignment="1">
      <alignment horizontal="center"/>
    </xf>
    <xf numFmtId="0" fontId="31" fillId="4" borderId="0" xfId="0" applyFont="1" applyFill="1" applyAlignment="1">
      <alignment horizontal="center"/>
    </xf>
    <xf numFmtId="164" fontId="30" fillId="4" borderId="0" xfId="0" applyNumberFormat="1" applyFont="1" applyFill="1" applyAlignment="1">
      <alignment horizontal="center"/>
    </xf>
    <xf numFmtId="0" fontId="30" fillId="4" borderId="0" xfId="0" applyFont="1" applyFill="1" applyAlignment="1">
      <alignment horizontal="center"/>
    </xf>
    <xf numFmtId="0" fontId="29" fillId="4" borderId="2" xfId="0" applyFont="1" applyFill="1" applyBorder="1" applyAlignment="1">
      <alignment horizontal="center"/>
    </xf>
    <xf numFmtId="164" fontId="29" fillId="4" borderId="0" xfId="0" applyNumberFormat="1" applyFont="1" applyFill="1" applyAlignment="1">
      <alignment horizontal="left"/>
    </xf>
    <xf numFmtId="164" fontId="29" fillId="3" borderId="2" xfId="0" applyNumberFormat="1" applyFont="1" applyFill="1" applyBorder="1" applyAlignment="1">
      <alignment horizontal="center"/>
    </xf>
    <xf numFmtId="164" fontId="30" fillId="0" borderId="3" xfId="0" applyNumberFormat="1" applyFont="1" applyBorder="1" applyAlignment="1">
      <alignment horizontal="center"/>
    </xf>
    <xf numFmtId="164" fontId="30" fillId="3" borderId="3" xfId="0" applyNumberFormat="1" applyFont="1" applyFill="1" applyBorder="1" applyAlignment="1">
      <alignment horizontal="center"/>
    </xf>
    <xf numFmtId="164" fontId="32" fillId="4" borderId="3" xfId="0" applyNumberFormat="1" applyFont="1" applyFill="1" applyBorder="1" applyAlignment="1">
      <alignment horizontal="center"/>
    </xf>
    <xf numFmtId="164" fontId="29" fillId="4" borderId="3" xfId="0" applyNumberFormat="1" applyFont="1" applyFill="1" applyBorder="1"/>
    <xf numFmtId="0" fontId="29" fillId="2" borderId="2" xfId="0" applyFont="1" applyFill="1" applyBorder="1" applyAlignment="1">
      <alignment horizontal="center"/>
    </xf>
    <xf numFmtId="0" fontId="29" fillId="2" borderId="0" xfId="0" applyFont="1" applyFill="1"/>
    <xf numFmtId="0" fontId="29" fillId="2" borderId="3" xfId="0" applyFont="1" applyFill="1" applyBorder="1" applyAlignment="1">
      <alignment horizontal="center"/>
    </xf>
    <xf numFmtId="0" fontId="30" fillId="4" borderId="3" xfId="0" applyFont="1" applyFill="1" applyBorder="1" applyAlignment="1">
      <alignment horizontal="center"/>
    </xf>
    <xf numFmtId="0" fontId="29" fillId="4" borderId="3" xfId="0" applyFont="1" applyFill="1" applyBorder="1"/>
    <xf numFmtId="0" fontId="0" fillId="4" borderId="1" xfId="0" applyFill="1" applyBorder="1"/>
    <xf numFmtId="164" fontId="0" fillId="3" borderId="16" xfId="0" applyNumberFormat="1" applyFill="1" applyBorder="1" applyAlignment="1">
      <alignment horizontal="center"/>
    </xf>
    <xf numFmtId="164" fontId="0" fillId="4" borderId="16" xfId="0" applyNumberFormat="1" applyFill="1" applyBorder="1" applyAlignment="1">
      <alignment horizontal="center"/>
    </xf>
    <xf numFmtId="0" fontId="0" fillId="0" borderId="16" xfId="0" applyBorder="1" applyAlignment="1">
      <alignment horizontal="center"/>
    </xf>
    <xf numFmtId="0" fontId="0" fillId="2" borderId="16" xfId="0" applyFill="1" applyBorder="1"/>
    <xf numFmtId="0" fontId="0" fillId="0" borderId="1" xfId="0" applyBorder="1"/>
    <xf numFmtId="0" fontId="33" fillId="4" borderId="0" xfId="0" applyFont="1" applyFill="1" applyAlignment="1">
      <alignment horizontal="center"/>
    </xf>
    <xf numFmtId="0" fontId="25" fillId="0" borderId="0" xfId="0" applyFont="1"/>
    <xf numFmtId="176" fontId="0" fillId="2" borderId="3" xfId="0" applyNumberFormat="1" applyFill="1" applyBorder="1" applyAlignment="1">
      <alignment horizontal="center"/>
    </xf>
    <xf numFmtId="0" fontId="0" fillId="10" borderId="0" xfId="0" applyFill="1" applyAlignment="1">
      <alignment horizontal="center"/>
    </xf>
    <xf numFmtId="172" fontId="0" fillId="10" borderId="0" xfId="0" applyNumberFormat="1" applyFill="1" applyAlignment="1">
      <alignment horizontal="center"/>
    </xf>
    <xf numFmtId="10" fontId="0" fillId="10" borderId="0" xfId="0" applyNumberFormat="1" applyFill="1" applyAlignment="1">
      <alignment horizontal="center"/>
    </xf>
    <xf numFmtId="0" fontId="12" fillId="10" borderId="0" xfId="0" applyFont="1" applyFill="1" applyAlignment="1">
      <alignment horizontal="center"/>
    </xf>
    <xf numFmtId="0" fontId="5" fillId="0" borderId="0" xfId="0" applyFont="1" applyAlignment="1">
      <alignment horizontal="center"/>
    </xf>
    <xf numFmtId="10" fontId="5" fillId="0" borderId="0" xfId="0" applyNumberFormat="1" applyFont="1" applyAlignment="1">
      <alignment horizontal="center"/>
    </xf>
    <xf numFmtId="0" fontId="34" fillId="0" borderId="0" xfId="0" applyFont="1" applyAlignment="1">
      <alignment horizontal="center"/>
    </xf>
    <xf numFmtId="0" fontId="35" fillId="0" borderId="0" xfId="0" applyFont="1" applyAlignment="1">
      <alignment horizontal="right"/>
    </xf>
    <xf numFmtId="0" fontId="36" fillId="0" borderId="0" xfId="0" applyFont="1" applyAlignment="1">
      <alignment horizontal="center"/>
    </xf>
    <xf numFmtId="0" fontId="37" fillId="0" borderId="0" xfId="0" applyFont="1" applyAlignment="1">
      <alignment horizontal="center"/>
    </xf>
    <xf numFmtId="0" fontId="38" fillId="0" borderId="0" xfId="0" applyFont="1" applyAlignment="1">
      <alignment horizontal="center"/>
    </xf>
    <xf numFmtId="0" fontId="39" fillId="0" borderId="0" xfId="0" applyFont="1"/>
    <xf numFmtId="0" fontId="39" fillId="0" borderId="0" xfId="0" applyFont="1" applyAlignment="1">
      <alignment horizontal="right"/>
    </xf>
    <xf numFmtId="177" fontId="39" fillId="0" borderId="0" xfId="0" applyNumberFormat="1" applyFont="1" applyAlignment="1">
      <alignment horizontal="left"/>
    </xf>
    <xf numFmtId="0" fontId="40" fillId="0" borderId="0" xfId="0" applyFont="1"/>
    <xf numFmtId="0" fontId="39" fillId="0" borderId="0" xfId="0" applyFont="1" applyAlignment="1">
      <alignment horizontal="center"/>
    </xf>
    <xf numFmtId="171" fontId="39" fillId="0" borderId="0" xfId="0" applyNumberFormat="1" applyFont="1" applyAlignment="1">
      <alignment horizontal="right"/>
    </xf>
    <xf numFmtId="171" fontId="39" fillId="0" borderId="0" xfId="0" applyNumberFormat="1" applyFont="1" applyAlignment="1">
      <alignment horizontal="left"/>
    </xf>
    <xf numFmtId="171" fontId="39" fillId="0" borderId="0" xfId="0" applyNumberFormat="1" applyFont="1" applyAlignment="1">
      <alignment horizontal="center"/>
    </xf>
    <xf numFmtId="171" fontId="40" fillId="0" borderId="0" xfId="0" applyNumberFormat="1" applyFont="1" applyAlignment="1">
      <alignment horizontal="center"/>
    </xf>
    <xf numFmtId="0" fontId="4" fillId="0" borderId="0" xfId="0" applyFont="1" applyAlignment="1">
      <alignment horizontal="center"/>
    </xf>
    <xf numFmtId="178" fontId="41" fillId="0" borderId="0" xfId="0" applyNumberFormat="1" applyFont="1" applyAlignment="1">
      <alignment horizontal="center"/>
    </xf>
    <xf numFmtId="171" fontId="42" fillId="0" borderId="0" xfId="0" applyNumberFormat="1" applyFont="1" applyAlignment="1">
      <alignment horizontal="center"/>
    </xf>
    <xf numFmtId="164" fontId="0" fillId="4" borderId="0" xfId="0" applyNumberFormat="1" applyFill="1" applyAlignment="1">
      <alignment horizontal="right"/>
    </xf>
    <xf numFmtId="164" fontId="3" fillId="4" borderId="0" xfId="0" applyNumberFormat="1" applyFont="1" applyFill="1" applyAlignment="1">
      <alignment horizontal="right"/>
    </xf>
    <xf numFmtId="171" fontId="0" fillId="4" borderId="0" xfId="0" applyNumberFormat="1" applyFill="1" applyAlignment="1">
      <alignment horizontal="center"/>
    </xf>
    <xf numFmtId="0" fontId="0" fillId="8" borderId="0" xfId="0" applyFill="1" applyAlignment="1" applyProtection="1">
      <alignment horizontal="left"/>
      <protection locked="0"/>
    </xf>
    <xf numFmtId="0" fontId="4" fillId="0" borderId="0" xfId="0" applyFont="1" applyAlignment="1">
      <alignment horizontal="right"/>
    </xf>
    <xf numFmtId="0" fontId="4" fillId="0" borderId="0" xfId="0" applyFont="1" applyAlignment="1" applyProtection="1">
      <alignment vertical="top" wrapText="1"/>
      <protection locked="0"/>
    </xf>
    <xf numFmtId="0" fontId="18" fillId="0" borderId="0" xfId="0" applyFont="1" applyAlignment="1">
      <alignment horizontal="right"/>
    </xf>
    <xf numFmtId="0" fontId="4" fillId="0" borderId="0" xfId="0" applyFont="1" applyAlignment="1" applyProtection="1">
      <alignment vertical="top"/>
      <protection locked="0"/>
    </xf>
    <xf numFmtId="0" fontId="0" fillId="10" borderId="0" xfId="0" applyFill="1"/>
    <xf numFmtId="0" fontId="19" fillId="4" borderId="0" xfId="0" applyFont="1" applyFill="1" applyAlignment="1">
      <alignment horizontal="right"/>
    </xf>
    <xf numFmtId="171" fontId="19" fillId="4" borderId="0" xfId="0" applyNumberFormat="1" applyFont="1" applyFill="1" applyAlignment="1">
      <alignment horizontal="center"/>
    </xf>
    <xf numFmtId="164" fontId="0" fillId="12" borderId="0" xfId="0" applyNumberFormat="1" applyFill="1"/>
    <xf numFmtId="0" fontId="0" fillId="12" borderId="0" xfId="0" applyFill="1"/>
    <xf numFmtId="0" fontId="2" fillId="0" borderId="0" xfId="0" applyFont="1" applyAlignment="1" applyProtection="1">
      <alignment horizontal="right" vertical="top" wrapText="1"/>
      <protection locked="0"/>
    </xf>
    <xf numFmtId="0" fontId="0" fillId="14" borderId="0" xfId="0" applyFill="1" applyAlignment="1">
      <alignment horizontal="center"/>
    </xf>
    <xf numFmtId="164" fontId="2" fillId="14" borderId="2" xfId="0" applyNumberFormat="1" applyFont="1" applyFill="1" applyBorder="1" applyAlignment="1">
      <alignment horizontal="center"/>
    </xf>
    <xf numFmtId="0" fontId="2" fillId="14" borderId="3" xfId="0" applyFont="1" applyFill="1" applyBorder="1" applyAlignment="1">
      <alignment horizontal="center"/>
    </xf>
    <xf numFmtId="0" fontId="0" fillId="14" borderId="3" xfId="0" applyFill="1" applyBorder="1" applyAlignment="1">
      <alignment horizontal="center"/>
    </xf>
    <xf numFmtId="164" fontId="0" fillId="4" borderId="2" xfId="0" applyNumberFormat="1" applyFill="1" applyBorder="1" applyAlignment="1">
      <alignment horizontal="center"/>
    </xf>
    <xf numFmtId="0" fontId="0" fillId="11" borderId="0" xfId="0" applyFill="1" applyAlignment="1">
      <alignment horizontal="left"/>
    </xf>
    <xf numFmtId="0" fontId="0" fillId="15" borderId="0" xfId="0" applyFill="1"/>
    <xf numFmtId="0" fontId="11" fillId="15" borderId="0" xfId="0" applyFont="1" applyFill="1" applyAlignment="1">
      <alignment horizontal="right"/>
    </xf>
    <xf numFmtId="0" fontId="11" fillId="15" borderId="0" xfId="0" applyFont="1" applyFill="1" applyAlignment="1">
      <alignment horizontal="left"/>
    </xf>
    <xf numFmtId="0" fontId="11" fillId="15" borderId="0" xfId="0" applyFont="1" applyFill="1"/>
    <xf numFmtId="0" fontId="0" fillId="15" borderId="0" xfId="0" applyFill="1" applyAlignment="1">
      <alignment horizontal="right"/>
    </xf>
    <xf numFmtId="0" fontId="0" fillId="15" borderId="0" xfId="0" applyFill="1" applyAlignment="1">
      <alignment horizontal="left"/>
    </xf>
    <xf numFmtId="0" fontId="11" fillId="13" borderId="0" xfId="0" applyFont="1" applyFill="1" applyAlignment="1">
      <alignment horizontal="left"/>
    </xf>
    <xf numFmtId="0" fontId="11" fillId="13" borderId="3" xfId="0" applyFont="1" applyFill="1" applyBorder="1"/>
    <xf numFmtId="0" fontId="11" fillId="13" borderId="20" xfId="0" applyFont="1" applyFill="1" applyBorder="1"/>
    <xf numFmtId="0" fontId="11" fillId="13" borderId="18" xfId="0" applyFont="1" applyFill="1" applyBorder="1" applyAlignment="1" applyProtection="1">
      <alignment horizontal="left"/>
      <protection locked="0"/>
    </xf>
    <xf numFmtId="0" fontId="11" fillId="13" borderId="19" xfId="0" applyFont="1" applyFill="1" applyBorder="1" applyAlignment="1" applyProtection="1">
      <alignment horizontal="left"/>
      <protection locked="0"/>
    </xf>
    <xf numFmtId="0" fontId="11" fillId="13" borderId="17" xfId="0" applyFont="1" applyFill="1" applyBorder="1" applyAlignment="1" applyProtection="1">
      <alignment horizontal="left"/>
      <protection locked="0"/>
    </xf>
    <xf numFmtId="14" fontId="11" fillId="13" borderId="17" xfId="0" applyNumberFormat="1" applyFont="1" applyFill="1" applyBorder="1" applyAlignment="1" applyProtection="1">
      <alignment horizontal="left"/>
      <protection locked="0"/>
    </xf>
    <xf numFmtId="0" fontId="11" fillId="12" borderId="0" xfId="0" applyFont="1" applyFill="1" applyAlignment="1">
      <alignment horizontal="right"/>
    </xf>
    <xf numFmtId="0" fontId="0" fillId="4" borderId="0" xfId="0" applyFill="1" applyProtection="1">
      <protection locked="0"/>
    </xf>
    <xf numFmtId="0" fontId="44" fillId="4" borderId="0" xfId="0" applyFont="1" applyFill="1"/>
    <xf numFmtId="0" fontId="44" fillId="4" borderId="0" xfId="0" applyFont="1" applyFill="1" applyAlignment="1">
      <alignment horizontal="center"/>
    </xf>
    <xf numFmtId="164" fontId="44" fillId="4" borderId="0" xfId="0" applyNumberFormat="1" applyFont="1" applyFill="1" applyAlignment="1">
      <alignment horizontal="center"/>
    </xf>
    <xf numFmtId="164" fontId="44" fillId="4" borderId="0" xfId="0" applyNumberFormat="1" applyFont="1" applyFill="1"/>
    <xf numFmtId="0" fontId="44" fillId="4" borderId="0" xfId="0" applyFont="1" applyFill="1" applyAlignment="1">
      <alignment horizontal="right"/>
    </xf>
    <xf numFmtId="0" fontId="43" fillId="12" borderId="0" xfId="0" applyFont="1" applyFill="1" applyProtection="1">
      <protection locked="0"/>
    </xf>
    <xf numFmtId="0" fontId="5" fillId="4" borderId="0" xfId="0" applyFont="1" applyFill="1"/>
    <xf numFmtId="0" fontId="0" fillId="4" borderId="1" xfId="0" applyFill="1" applyBorder="1" applyAlignment="1">
      <alignment horizontal="left"/>
    </xf>
    <xf numFmtId="0" fontId="39" fillId="0" borderId="0" xfId="0" applyFont="1" applyAlignment="1">
      <alignment horizontal="left"/>
    </xf>
    <xf numFmtId="171" fontId="0" fillId="2" borderId="0" xfId="0" applyNumberFormat="1" applyFill="1" applyAlignment="1">
      <alignment horizontal="center"/>
    </xf>
    <xf numFmtId="171" fontId="0" fillId="4" borderId="0" xfId="0" applyNumberFormat="1" applyFill="1" applyAlignment="1" applyProtection="1">
      <alignment horizontal="center"/>
      <protection locked="0"/>
    </xf>
    <xf numFmtId="171" fontId="0" fillId="10" borderId="0" xfId="0" applyNumberFormat="1" applyFill="1" applyAlignment="1">
      <alignment horizontal="center"/>
    </xf>
    <xf numFmtId="14" fontId="39" fillId="0" borderId="0" xfId="0" applyNumberFormat="1" applyFont="1" applyAlignment="1">
      <alignment horizontal="left"/>
    </xf>
    <xf numFmtId="171" fontId="39" fillId="0" borderId="0" xfId="0" quotePrefix="1" applyNumberFormat="1" applyFont="1" applyAlignment="1">
      <alignment horizontal="left"/>
    </xf>
    <xf numFmtId="179" fontId="39" fillId="0" borderId="0" xfId="0" applyNumberFormat="1" applyFont="1" applyAlignment="1">
      <alignment horizontal="left"/>
    </xf>
    <xf numFmtId="0" fontId="0" fillId="2" borderId="0" xfId="0" applyFill="1" applyAlignment="1">
      <alignment horizontal="right"/>
    </xf>
    <xf numFmtId="0" fontId="0" fillId="2" borderId="0" xfId="0" applyFill="1" applyAlignment="1">
      <alignment horizontal="left"/>
    </xf>
    <xf numFmtId="0" fontId="0" fillId="4" borderId="0" xfId="0" applyFill="1" applyAlignment="1" applyProtection="1">
      <alignment horizontal="left"/>
      <protection locked="0"/>
    </xf>
    <xf numFmtId="0" fontId="0" fillId="10" borderId="0" xfId="0" applyFill="1" applyAlignment="1">
      <alignment horizontal="left"/>
    </xf>
    <xf numFmtId="49" fontId="0" fillId="4" borderId="0" xfId="0" applyNumberFormat="1" applyFill="1" applyAlignment="1" applyProtection="1">
      <alignment horizontal="left"/>
      <protection locked="0"/>
    </xf>
    <xf numFmtId="0" fontId="45" fillId="15" borderId="0" xfId="0" applyFont="1" applyFill="1" applyProtection="1">
      <protection locked="0"/>
    </xf>
    <xf numFmtId="0" fontId="45" fillId="15" borderId="0" xfId="0" applyFont="1" applyFill="1"/>
    <xf numFmtId="0" fontId="11" fillId="13" borderId="21" xfId="0" applyFont="1" applyFill="1" applyBorder="1" applyAlignment="1" applyProtection="1">
      <alignment horizontal="left"/>
      <protection locked="0"/>
    </xf>
    <xf numFmtId="171" fontId="0" fillId="2" borderId="0" xfId="0" applyNumberFormat="1" applyFill="1"/>
    <xf numFmtId="0" fontId="0" fillId="0" borderId="0" xfId="0" pivotButton="1"/>
    <xf numFmtId="0" fontId="0" fillId="0" borderId="0" xfId="0" applyAlignment="1">
      <alignment horizontal="left" indent="1"/>
    </xf>
    <xf numFmtId="0" fontId="0" fillId="0" borderId="0" xfId="0" applyAlignment="1">
      <alignment horizontal="left" indent="2"/>
    </xf>
    <xf numFmtId="9" fontId="0" fillId="0" borderId="0" xfId="2" applyFont="1"/>
    <xf numFmtId="180" fontId="11" fillId="0" borderId="0" xfId="0" applyNumberFormat="1" applyFont="1" applyAlignment="1" applyProtection="1">
      <alignment horizontal="left"/>
      <protection locked="0"/>
    </xf>
    <xf numFmtId="181" fontId="11" fillId="0" borderId="0" xfId="0" applyNumberFormat="1" applyFont="1" applyAlignment="1" applyProtection="1">
      <alignment horizontal="left"/>
      <protection locked="0"/>
    </xf>
    <xf numFmtId="0" fontId="0" fillId="0" borderId="0" xfId="2" applyNumberFormat="1" applyFont="1"/>
    <xf numFmtId="0" fontId="2" fillId="4" borderId="0" xfId="0" applyFont="1" applyFill="1" applyAlignment="1">
      <alignment horizontal="left"/>
    </xf>
    <xf numFmtId="0" fontId="33" fillId="4" borderId="1" xfId="0" applyFont="1" applyFill="1" applyBorder="1" applyAlignment="1">
      <alignment horizontal="center"/>
    </xf>
    <xf numFmtId="14" fontId="5" fillId="0" borderId="0" xfId="0" applyNumberFormat="1" applyFont="1"/>
    <xf numFmtId="0" fontId="5" fillId="0" borderId="0" xfId="0" applyFont="1"/>
    <xf numFmtId="0" fontId="2" fillId="0" borderId="7" xfId="0" applyFont="1" applyBorder="1" applyAlignment="1">
      <alignment horizontal="center"/>
    </xf>
    <xf numFmtId="171" fontId="2" fillId="0" borderId="22" xfId="0" applyNumberFormat="1" applyFont="1" applyBorder="1" applyAlignment="1">
      <alignment horizontal="center"/>
    </xf>
    <xf numFmtId="171" fontId="2" fillId="0" borderId="0" xfId="0" applyNumberFormat="1" applyFont="1" applyAlignment="1">
      <alignment horizontal="center"/>
    </xf>
    <xf numFmtId="0" fontId="0" fillId="4" borderId="14" xfId="0" applyFill="1" applyBorder="1" applyAlignment="1">
      <alignment horizontal="center"/>
    </xf>
    <xf numFmtId="164" fontId="0" fillId="3" borderId="23" xfId="0" applyNumberFormat="1" applyFill="1" applyBorder="1" applyAlignment="1">
      <alignment horizontal="center"/>
    </xf>
    <xf numFmtId="164" fontId="0" fillId="4" borderId="23" xfId="0" applyNumberFormat="1" applyFill="1" applyBorder="1" applyAlignment="1">
      <alignment horizontal="center"/>
    </xf>
    <xf numFmtId="171" fontId="2" fillId="0" borderId="14" xfId="0" applyNumberFormat="1" applyFont="1" applyBorder="1" applyAlignment="1">
      <alignment horizontal="center"/>
    </xf>
    <xf numFmtId="0" fontId="44" fillId="4" borderId="0" xfId="0" applyFont="1" applyFill="1" applyAlignment="1">
      <alignment horizontal="center" vertical="center"/>
    </xf>
    <xf numFmtId="172" fontId="0" fillId="4" borderId="0" xfId="0" applyNumberFormat="1" applyFill="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6" borderId="0" xfId="0" applyFill="1" applyAlignment="1">
      <alignment horizontal="center"/>
    </xf>
    <xf numFmtId="0" fontId="0" fillId="18" borderId="0" xfId="0" applyFill="1" applyAlignment="1">
      <alignment horizontal="center"/>
    </xf>
    <xf numFmtId="164" fontId="44" fillId="4" borderId="0" xfId="0" applyNumberFormat="1" applyFont="1" applyFill="1" applyAlignment="1">
      <alignment horizontal="right"/>
    </xf>
    <xf numFmtId="0" fontId="44" fillId="0" borderId="0" xfId="0" applyFont="1" applyAlignment="1">
      <alignment horizontal="center"/>
    </xf>
    <xf numFmtId="0" fontId="44" fillId="4" borderId="0" xfId="0" applyFont="1" applyFill="1" applyAlignment="1">
      <alignment horizontal="center" vertical="top"/>
    </xf>
    <xf numFmtId="0" fontId="44" fillId="4" borderId="0" xfId="0" applyFont="1" applyFill="1" applyAlignment="1">
      <alignment horizontal="left"/>
    </xf>
    <xf numFmtId="170" fontId="44" fillId="4" borderId="0" xfId="0" applyNumberFormat="1" applyFont="1" applyFill="1"/>
    <xf numFmtId="170" fontId="47" fillId="4" borderId="0" xfId="0" applyNumberFormat="1" applyFont="1" applyFill="1"/>
    <xf numFmtId="0" fontId="47" fillId="4" borderId="0" xfId="0" applyFont="1" applyFill="1"/>
    <xf numFmtId="0" fontId="11" fillId="2" borderId="0" xfId="0" applyFont="1" applyFill="1" applyAlignment="1">
      <alignment horizontal="right"/>
    </xf>
    <xf numFmtId="14" fontId="11" fillId="15" borderId="0" xfId="0" applyNumberFormat="1" applyFont="1" applyFill="1"/>
    <xf numFmtId="0" fontId="39" fillId="0" borderId="2" xfId="0" applyFont="1" applyBorder="1" applyAlignment="1">
      <alignment horizontal="right"/>
    </xf>
    <xf numFmtId="0" fontId="39" fillId="0" borderId="2" xfId="0" applyFont="1" applyBorder="1" applyAlignment="1">
      <alignment horizontal="left"/>
    </xf>
    <xf numFmtId="0" fontId="39" fillId="0" borderId="2" xfId="0" applyFont="1" applyBorder="1"/>
    <xf numFmtId="49" fontId="39" fillId="0" borderId="2" xfId="0" applyNumberFormat="1" applyFont="1" applyBorder="1" applyAlignment="1">
      <alignment horizontal="left"/>
    </xf>
    <xf numFmtId="0" fontId="0" fillId="19" borderId="3" xfId="0" applyFill="1" applyBorder="1" applyAlignment="1">
      <alignment horizontal="center"/>
    </xf>
    <xf numFmtId="0" fontId="11" fillId="13" borderId="6" xfId="0" applyFont="1" applyFill="1" applyBorder="1" applyAlignment="1" applyProtection="1">
      <alignment horizontal="left" vertical="top" wrapText="1"/>
      <protection locked="0"/>
    </xf>
    <xf numFmtId="0" fontId="11" fillId="13" borderId="7" xfId="0" applyFont="1" applyFill="1" applyBorder="1" applyAlignment="1" applyProtection="1">
      <alignment horizontal="left" vertical="top" wrapText="1"/>
      <protection locked="0"/>
    </xf>
    <xf numFmtId="0" fontId="11" fillId="13" borderId="8" xfId="0" applyFont="1" applyFill="1" applyBorder="1" applyAlignment="1" applyProtection="1">
      <alignment horizontal="left" vertical="top" wrapText="1"/>
      <protection locked="0"/>
    </xf>
    <xf numFmtId="0" fontId="11" fillId="13" borderId="9" xfId="0" applyFont="1" applyFill="1" applyBorder="1" applyAlignment="1" applyProtection="1">
      <alignment horizontal="left" vertical="top" wrapText="1"/>
      <protection locked="0"/>
    </xf>
    <xf numFmtId="0" fontId="11" fillId="13" borderId="0" xfId="0" applyFont="1" applyFill="1" applyAlignment="1" applyProtection="1">
      <alignment horizontal="left" vertical="top" wrapText="1"/>
      <protection locked="0"/>
    </xf>
    <xf numFmtId="0" fontId="11" fillId="13" borderId="10" xfId="0" applyFont="1" applyFill="1" applyBorder="1" applyAlignment="1" applyProtection="1">
      <alignment horizontal="left" vertical="top" wrapText="1"/>
      <protection locked="0"/>
    </xf>
    <xf numFmtId="0" fontId="11" fillId="13" borderId="11" xfId="0" applyFont="1" applyFill="1" applyBorder="1" applyAlignment="1" applyProtection="1">
      <alignment horizontal="left" vertical="top" wrapText="1"/>
      <protection locked="0"/>
    </xf>
    <xf numFmtId="0" fontId="11" fillId="13" borderId="2" xfId="0" applyFont="1" applyFill="1" applyBorder="1" applyAlignment="1" applyProtection="1">
      <alignment horizontal="left" vertical="top" wrapText="1"/>
      <protection locked="0"/>
    </xf>
    <xf numFmtId="0" fontId="11" fillId="13" borderId="12" xfId="0" applyFont="1" applyFill="1" applyBorder="1" applyAlignment="1" applyProtection="1">
      <alignment horizontal="left" vertical="top" wrapText="1"/>
      <protection locked="0"/>
    </xf>
    <xf numFmtId="0" fontId="29" fillId="4" borderId="0" xfId="0" applyFont="1" applyFill="1" applyAlignment="1">
      <alignment horizontal="center"/>
    </xf>
    <xf numFmtId="0" fontId="2" fillId="4" borderId="0" xfId="0" applyFont="1" applyFill="1" applyAlignment="1">
      <alignment horizontal="left" vertical="center"/>
    </xf>
    <xf numFmtId="0" fontId="30" fillId="4" borderId="0" xfId="0" applyFont="1" applyFill="1" applyAlignment="1">
      <alignment horizontal="left" vertical="center"/>
    </xf>
    <xf numFmtId="0" fontId="0" fillId="14" borderId="0" xfId="0" applyFill="1" applyAlignment="1">
      <alignment horizontal="center"/>
    </xf>
    <xf numFmtId="0" fontId="48" fillId="0" borderId="0" xfId="0" applyFont="1" applyAlignment="1">
      <alignment horizontal="center"/>
    </xf>
    <xf numFmtId="0" fontId="24" fillId="0" borderId="0" xfId="0" applyFont="1" applyAlignment="1">
      <alignment horizontal="left" vertical="top" wrapText="1"/>
    </xf>
    <xf numFmtId="0" fontId="0" fillId="0" borderId="0" xfId="0" applyAlignment="1" applyProtection="1">
      <alignment horizontal="center"/>
      <protection locked="0"/>
    </xf>
    <xf numFmtId="0" fontId="0" fillId="8" borderId="0" xfId="0" applyFill="1" applyAlignment="1" applyProtection="1">
      <alignment horizontal="left"/>
      <protection locked="0"/>
    </xf>
    <xf numFmtId="0" fontId="0" fillId="0" borderId="0" xfId="0" applyAlignment="1">
      <alignment horizontal="center"/>
    </xf>
    <xf numFmtId="0" fontId="0" fillId="10" borderId="0" xfId="0" applyFill="1" applyAlignment="1">
      <alignment horizontal="center"/>
    </xf>
    <xf numFmtId="0" fontId="22" fillId="0" borderId="0" xfId="0" applyFont="1" applyAlignment="1">
      <alignment horizontal="center"/>
    </xf>
    <xf numFmtId="0" fontId="3" fillId="0" borderId="0" xfId="0" applyFont="1" applyAlignment="1" applyProtection="1">
      <alignment horizontal="right"/>
      <protection locked="0"/>
    </xf>
    <xf numFmtId="0" fontId="20" fillId="0" borderId="0" xfId="0" applyFont="1" applyAlignment="1">
      <alignment horizontal="center" vertical="center" wrapText="1"/>
    </xf>
    <xf numFmtId="0" fontId="0" fillId="0" borderId="0" xfId="0" applyAlignment="1">
      <alignment horizontal="left" vertical="top" wrapText="1"/>
    </xf>
    <xf numFmtId="167" fontId="28" fillId="0" borderId="0" xfId="0" quotePrefix="1" applyNumberFormat="1" applyFont="1" applyAlignment="1" applyProtection="1">
      <alignment horizontal="center"/>
      <protection locked="0"/>
    </xf>
    <xf numFmtId="0" fontId="3" fillId="0" borderId="0" xfId="0" applyFont="1" applyAlignment="1">
      <alignment horizontal="center"/>
    </xf>
    <xf numFmtId="167" fontId="28" fillId="0" borderId="0" xfId="0" applyNumberFormat="1" applyFont="1" applyAlignment="1" applyProtection="1">
      <alignment horizontal="center"/>
      <protection locked="0"/>
    </xf>
    <xf numFmtId="14" fontId="11" fillId="0" borderId="0" xfId="0" applyNumberFormat="1" applyFont="1" applyAlignment="1" applyProtection="1">
      <alignment horizontal="left"/>
      <protection locked="0"/>
    </xf>
    <xf numFmtId="0" fontId="11" fillId="0" borderId="0" xfId="0" applyFont="1" applyProtection="1">
      <protection locked="0"/>
    </xf>
    <xf numFmtId="0" fontId="11" fillId="0" borderId="0" xfId="0" applyFont="1" applyAlignment="1" applyProtection="1">
      <alignment horizontal="left"/>
      <protection locked="0"/>
    </xf>
    <xf numFmtId="0" fontId="0" fillId="0" borderId="0" xfId="0" applyAlignment="1" applyProtection="1">
      <alignment horizontal="center" vertical="top" wrapText="1"/>
      <protection locked="0"/>
    </xf>
    <xf numFmtId="0" fontId="2" fillId="0" borderId="1" xfId="0" applyFont="1" applyBorder="1" applyAlignment="1" applyProtection="1">
      <alignment horizontal="center"/>
      <protection locked="0"/>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 fillId="4" borderId="0" xfId="0" applyFont="1" applyFill="1" applyAlignment="1">
      <alignment horizontal="left"/>
    </xf>
    <xf numFmtId="0" fontId="2" fillId="0" borderId="0" xfId="0" applyFont="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Percent" xfId="2" builtinId="5"/>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tint="-0.24994659260841701"/>
        </patternFill>
      </fill>
    </dxf>
    <dxf>
      <fill>
        <patternFill>
          <bgColor theme="0" tint="-0.24994659260841701"/>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Vertical Deviations</c:v>
          </c:tx>
          <c:cat>
            <c:strRef>
              <c:f>Sheet2!$A$6:$A$12</c:f>
              <c:strCache>
                <c:ptCount val="7"/>
                <c:pt idx="0">
                  <c:v>5 ft, 0°</c:v>
                </c:pt>
                <c:pt idx="1">
                  <c:v>9 ft, 0°</c:v>
                </c:pt>
                <c:pt idx="2">
                  <c:v>9 ft, 90°</c:v>
                </c:pt>
                <c:pt idx="3">
                  <c:v>9 ft, 180°</c:v>
                </c:pt>
                <c:pt idx="4">
                  <c:v>9 ft, 270°</c:v>
                </c:pt>
                <c:pt idx="5">
                  <c:v>20 ft, 0°</c:v>
                </c:pt>
                <c:pt idx="6">
                  <c:v>40 ft, 0°</c:v>
                </c:pt>
              </c:strCache>
            </c:strRef>
          </c:cat>
          <c:val>
            <c:numRef>
              <c:f>Sheet2!$B$6:$B$12</c:f>
              <c:numCache>
                <c:formatCode>General</c:formatCode>
                <c:ptCount val="7"/>
                <c:pt idx="0">
                  <c:v>-5.0000000000000001E-3</c:v>
                </c:pt>
                <c:pt idx="1">
                  <c:v>-5.3E-3</c:v>
                </c:pt>
                <c:pt idx="2">
                  <c:v>-4.7000000000000002E-3</c:v>
                </c:pt>
                <c:pt idx="3">
                  <c:v>-6.6E-3</c:v>
                </c:pt>
                <c:pt idx="4">
                  <c:v>-5.4000000000000003E-3</c:v>
                </c:pt>
                <c:pt idx="5">
                  <c:v>-4.4999999999999997E-3</c:v>
                </c:pt>
                <c:pt idx="6">
                  <c:v>-5.7000000000000002E-3</c:v>
                </c:pt>
              </c:numCache>
            </c:numRef>
          </c:val>
          <c:smooth val="0"/>
          <c:extLst>
            <c:ext xmlns:c16="http://schemas.microsoft.com/office/drawing/2014/chart" uri="{C3380CC4-5D6E-409C-BE32-E72D297353CC}">
              <c16:uniqueId val="{00000000-690F-4666-8E23-C05052D212BB}"/>
            </c:ext>
          </c:extLst>
        </c:ser>
        <c:ser>
          <c:idx val="1"/>
          <c:order val="1"/>
          <c:tx>
            <c:v>Horizontal Deviations</c:v>
          </c:tx>
          <c:marker>
            <c:spPr>
              <a:ln>
                <a:solidFill>
                  <a:schemeClr val="accent1"/>
                </a:solidFill>
              </a:ln>
            </c:spPr>
          </c:marker>
          <c:val>
            <c:numRef>
              <c:f>Sheet2!$D$6:$D$12</c:f>
              <c:numCache>
                <c:formatCode>General</c:formatCode>
                <c:ptCount val="7"/>
                <c:pt idx="0">
                  <c:v>2E-3</c:v>
                </c:pt>
                <c:pt idx="1">
                  <c:v>5.0000000000000001E-4</c:v>
                </c:pt>
                <c:pt idx="2">
                  <c:v>2.9999999999999997E-4</c:v>
                </c:pt>
                <c:pt idx="3">
                  <c:v>2E-3</c:v>
                </c:pt>
                <c:pt idx="4">
                  <c:v>1.5E-3</c:v>
                </c:pt>
                <c:pt idx="5">
                  <c:v>1.8E-3</c:v>
                </c:pt>
                <c:pt idx="6">
                  <c:v>1.1000000000000001E-3</c:v>
                </c:pt>
              </c:numCache>
            </c:numRef>
          </c:val>
          <c:smooth val="0"/>
          <c:extLst>
            <c:ext xmlns:c16="http://schemas.microsoft.com/office/drawing/2014/chart" uri="{C3380CC4-5D6E-409C-BE32-E72D297353CC}">
              <c16:uniqueId val="{00000001-690F-4666-8E23-C05052D212BB}"/>
            </c:ext>
          </c:extLst>
        </c:ser>
        <c:dLbls>
          <c:showLegendKey val="0"/>
          <c:showVal val="0"/>
          <c:showCatName val="0"/>
          <c:showSerName val="0"/>
          <c:showPercent val="0"/>
          <c:showBubbleSize val="0"/>
        </c:dLbls>
        <c:marker val="1"/>
        <c:smooth val="0"/>
        <c:axId val="90419968"/>
        <c:axId val="90421504"/>
      </c:lineChart>
      <c:catAx>
        <c:axId val="90419968"/>
        <c:scaling>
          <c:orientation val="minMax"/>
        </c:scaling>
        <c:delete val="0"/>
        <c:axPos val="b"/>
        <c:numFmt formatCode="General" sourceLinked="0"/>
        <c:majorTickMark val="out"/>
        <c:minorTickMark val="none"/>
        <c:tickLblPos val="nextTo"/>
        <c:crossAx val="90421504"/>
        <c:crosses val="autoZero"/>
        <c:auto val="1"/>
        <c:lblAlgn val="ctr"/>
        <c:lblOffset val="100"/>
        <c:noMultiLvlLbl val="0"/>
      </c:catAx>
      <c:valAx>
        <c:axId val="90421504"/>
        <c:scaling>
          <c:orientation val="minMax"/>
        </c:scaling>
        <c:delete val="0"/>
        <c:axPos val="l"/>
        <c:majorGridlines/>
        <c:numFmt formatCode="General" sourceLinked="1"/>
        <c:majorTickMark val="out"/>
        <c:minorTickMark val="none"/>
        <c:tickLblPos val="nextTo"/>
        <c:crossAx val="90419968"/>
        <c:crosses val="autoZero"/>
        <c:crossBetween val="between"/>
      </c:valAx>
      <c:spPr>
        <a:solidFill>
          <a:schemeClr val="accent5">
            <a:lumMod val="20000"/>
            <a:lumOff val="80000"/>
          </a:schemeClr>
        </a:solidFill>
      </c:spPr>
    </c:plotArea>
    <c:legend>
      <c:legendPos val="r"/>
      <c:overlay val="0"/>
    </c:legend>
    <c:plotVisOnly val="1"/>
    <c:dispBlanksAs val="zero"/>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2" fmlaLink="$B$6" fmlaRange="'tracker specs'!$C$7:$C$25" noThreeD="1" sel="10" val="2"/>
</file>

<file path=xl/ctrlProps/ctrlProp10.xml><?xml version="1.0" encoding="utf-8"?>
<formControlPr xmlns="http://schemas.microsoft.com/office/spreadsheetml/2009/9/main" objectType="CheckBox" fmlaLink="W57" lockText="1" noThreeD="1"/>
</file>

<file path=xl/ctrlProps/ctrlProp11.xml><?xml version="1.0" encoding="utf-8"?>
<formControlPr xmlns="http://schemas.microsoft.com/office/spreadsheetml/2009/9/main" objectType="CheckBox" fmlaLink="W58" lockText="1" noThreeD="1"/>
</file>

<file path=xl/ctrlProps/ctrlProp12.xml><?xml version="1.0" encoding="utf-8"?>
<formControlPr xmlns="http://schemas.microsoft.com/office/spreadsheetml/2009/9/main" objectType="CheckBox" fmlaLink="W59" lockText="1" noThreeD="1"/>
</file>

<file path=xl/ctrlProps/ctrlProp13.xml><?xml version="1.0" encoding="utf-8"?>
<formControlPr xmlns="http://schemas.microsoft.com/office/spreadsheetml/2009/9/main" objectType="CheckBox" fmlaLink="W60" lockText="1" noThreeD="1"/>
</file>

<file path=xl/ctrlProps/ctrlProp14.xml><?xml version="1.0" encoding="utf-8"?>
<formControlPr xmlns="http://schemas.microsoft.com/office/spreadsheetml/2009/9/main" objectType="CheckBox" fmlaLink="W61" lockText="1" noThreeD="1"/>
</file>

<file path=xl/ctrlProps/ctrlProp15.xml><?xml version="1.0" encoding="utf-8"?>
<formControlPr xmlns="http://schemas.microsoft.com/office/spreadsheetml/2009/9/main" objectType="CheckBox" fmlaLink="W62" lockText="1" noThreeD="1"/>
</file>

<file path=xl/ctrlProps/ctrlProp2.xml><?xml version="1.0" encoding="utf-8"?>
<formControlPr xmlns="http://schemas.microsoft.com/office/spreadsheetml/2009/9/main" objectType="CheckBox" checked="Checked" fmlaLink="$R$15" lockText="1" noThreeD="1"/>
</file>

<file path=xl/ctrlProps/ctrlProp3.xml><?xml version="1.0" encoding="utf-8"?>
<formControlPr xmlns="http://schemas.microsoft.com/office/spreadsheetml/2009/9/main" objectType="CheckBox" fmlaLink="R16" lockText="1" noThreeD="1"/>
</file>

<file path=xl/ctrlProps/ctrlProp4.xml><?xml version="1.0" encoding="utf-8"?>
<formControlPr xmlns="http://schemas.microsoft.com/office/spreadsheetml/2009/9/main" objectType="CheckBox" checked="Checked" fmlaLink="W51" lockText="1" noThreeD="1"/>
</file>

<file path=xl/ctrlProps/ctrlProp5.xml><?xml version="1.0" encoding="utf-8"?>
<formControlPr xmlns="http://schemas.microsoft.com/office/spreadsheetml/2009/9/main" objectType="CheckBox" fmlaLink="W52" lockText="1" noThreeD="1"/>
</file>

<file path=xl/ctrlProps/ctrlProp6.xml><?xml version="1.0" encoding="utf-8"?>
<formControlPr xmlns="http://schemas.microsoft.com/office/spreadsheetml/2009/9/main" objectType="CheckBox" fmlaLink="W53" lockText="1" noThreeD="1"/>
</file>

<file path=xl/ctrlProps/ctrlProp7.xml><?xml version="1.0" encoding="utf-8"?>
<formControlPr xmlns="http://schemas.microsoft.com/office/spreadsheetml/2009/9/main" objectType="CheckBox" fmlaLink="W54" lockText="1" noThreeD="1"/>
</file>

<file path=xl/ctrlProps/ctrlProp8.xml><?xml version="1.0" encoding="utf-8"?>
<formControlPr xmlns="http://schemas.microsoft.com/office/spreadsheetml/2009/9/main" objectType="CheckBox" fmlaLink="W55" lockText="1" noThreeD="1"/>
</file>

<file path=xl/ctrlProps/ctrlProp9.xml><?xml version="1.0" encoding="utf-8"?>
<formControlPr xmlns="http://schemas.microsoft.com/office/spreadsheetml/2009/9/main" objectType="CheckBox" fmlaLink="W56"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5</xdr:row>
          <xdr:rowOff>7620</xdr:rowOff>
        </xdr:from>
        <xdr:to>
          <xdr:col>3</xdr:col>
          <xdr:colOff>1089660</xdr:colOff>
          <xdr:row>5</xdr:row>
          <xdr:rowOff>228600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5</xdr:row>
          <xdr:rowOff>68580</xdr:rowOff>
        </xdr:from>
        <xdr:to>
          <xdr:col>6</xdr:col>
          <xdr:colOff>449580</xdr:colOff>
          <xdr:row>6</xdr:row>
          <xdr:rowOff>121920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A2LA ACCREDITED CERT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6</xdr:row>
          <xdr:rowOff>175260</xdr:rowOff>
        </xdr:from>
        <xdr:to>
          <xdr:col>7</xdr:col>
          <xdr:colOff>137160</xdr:colOff>
          <xdr:row>8</xdr:row>
          <xdr:rowOff>121920</xdr:rowOff>
        </xdr:to>
        <xdr:sp macro="" textlink="">
          <xdr:nvSpPr>
            <xdr:cNvPr id="12291" name="Check Box 3" descr="CERTIFICATE OF INSPECTION (NO &quot;ACCEPTED&quot; OR &quot;REJECTED&quot; STATEMENT MADE)"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CERTIFICATE OF INSPECTION (NO "ACCEPTED" OR "REJECTED")</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166752</xdr:colOff>
          <xdr:row>1</xdr:row>
          <xdr:rowOff>152400</xdr:rowOff>
        </xdr:from>
        <xdr:to>
          <xdr:col>12</xdr:col>
          <xdr:colOff>589492</xdr:colOff>
          <xdr:row>6</xdr:row>
          <xdr:rowOff>209550</xdr:rowOff>
        </xdr:to>
        <xdr:pic>
          <xdr:nvPicPr>
            <xdr:cNvPr id="22" name="Picture 21">
              <a:extLst>
                <a:ext uri="{FF2B5EF4-FFF2-40B4-BE49-F238E27FC236}">
                  <a16:creationId xmlns:a16="http://schemas.microsoft.com/office/drawing/2014/main" id="{00000000-0008-0000-0300-000016000000}"/>
                </a:ext>
              </a:extLst>
            </xdr:cNvPr>
            <xdr:cNvPicPr>
              <a:picLocks noChangeAspect="1"/>
              <a:extLst>
                <a:ext uri="{84589F7E-364E-4C9E-8A38-B11213B215E9}">
                  <a14:cameraTool cellRange="Imagy" spid="_x0000_s5961"/>
                </a:ext>
              </a:extLst>
            </xdr:cNvPicPr>
          </xdr:nvPicPr>
          <xdr:blipFill>
            <a:blip xmlns:r="http://schemas.openxmlformats.org/officeDocument/2006/relationships" r:embed="rId1"/>
            <a:stretch>
              <a:fillRect/>
            </a:stretch>
          </xdr:blipFill>
          <xdr:spPr>
            <a:xfrm>
              <a:off x="6853302" y="342900"/>
              <a:ext cx="1641940" cy="1457325"/>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49</xdr:row>
          <xdr:rowOff>198120</xdr:rowOff>
        </xdr:from>
        <xdr:to>
          <xdr:col>14</xdr:col>
          <xdr:colOff>1973580</xdr:colOff>
          <xdr:row>51</xdr:row>
          <xdr:rowOff>22860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3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50</xdr:row>
          <xdr:rowOff>152400</xdr:rowOff>
        </xdr:from>
        <xdr:to>
          <xdr:col>14</xdr:col>
          <xdr:colOff>1973580</xdr:colOff>
          <xdr:row>52</xdr:row>
          <xdr:rowOff>30480</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3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51</xdr:row>
          <xdr:rowOff>152400</xdr:rowOff>
        </xdr:from>
        <xdr:to>
          <xdr:col>14</xdr:col>
          <xdr:colOff>1973580</xdr:colOff>
          <xdr:row>53</xdr:row>
          <xdr:rowOff>30480</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3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52</xdr:row>
          <xdr:rowOff>152400</xdr:rowOff>
        </xdr:from>
        <xdr:to>
          <xdr:col>14</xdr:col>
          <xdr:colOff>1973580</xdr:colOff>
          <xdr:row>54</xdr:row>
          <xdr:rowOff>30480</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3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53</xdr:row>
          <xdr:rowOff>152400</xdr:rowOff>
        </xdr:from>
        <xdr:to>
          <xdr:col>14</xdr:col>
          <xdr:colOff>1973580</xdr:colOff>
          <xdr:row>55</xdr:row>
          <xdr:rowOff>30480</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3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54</xdr:row>
          <xdr:rowOff>152400</xdr:rowOff>
        </xdr:from>
        <xdr:to>
          <xdr:col>14</xdr:col>
          <xdr:colOff>1973580</xdr:colOff>
          <xdr:row>56</xdr:row>
          <xdr:rowOff>30480</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00000000-0008-0000-0300-00003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55</xdr:row>
          <xdr:rowOff>160020</xdr:rowOff>
        </xdr:from>
        <xdr:to>
          <xdr:col>14</xdr:col>
          <xdr:colOff>1973580</xdr:colOff>
          <xdr:row>57</xdr:row>
          <xdr:rowOff>38100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3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56</xdr:row>
          <xdr:rowOff>152400</xdr:rowOff>
        </xdr:from>
        <xdr:to>
          <xdr:col>14</xdr:col>
          <xdr:colOff>1981200</xdr:colOff>
          <xdr:row>58</xdr:row>
          <xdr:rowOff>30480</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3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57</xdr:row>
          <xdr:rowOff>152400</xdr:rowOff>
        </xdr:from>
        <xdr:to>
          <xdr:col>14</xdr:col>
          <xdr:colOff>1981200</xdr:colOff>
          <xdr:row>59</xdr:row>
          <xdr:rowOff>30480</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3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58</xdr:row>
          <xdr:rowOff>152400</xdr:rowOff>
        </xdr:from>
        <xdr:to>
          <xdr:col>14</xdr:col>
          <xdr:colOff>1981200</xdr:colOff>
          <xdr:row>60</xdr:row>
          <xdr:rowOff>30480</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3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59</xdr:row>
          <xdr:rowOff>152400</xdr:rowOff>
        </xdr:from>
        <xdr:to>
          <xdr:col>14</xdr:col>
          <xdr:colOff>1981200</xdr:colOff>
          <xdr:row>61</xdr:row>
          <xdr:rowOff>22860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3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60</xdr:row>
          <xdr:rowOff>182880</xdr:rowOff>
        </xdr:from>
        <xdr:to>
          <xdr:col>14</xdr:col>
          <xdr:colOff>1981200</xdr:colOff>
          <xdr:row>61</xdr:row>
          <xdr:rowOff>236220</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3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0</xdr:col>
      <xdr:colOff>9525</xdr:colOff>
      <xdr:row>1</xdr:row>
      <xdr:rowOff>276225</xdr:rowOff>
    </xdr:from>
    <xdr:to>
      <xdr:col>2</xdr:col>
      <xdr:colOff>95251</xdr:colOff>
      <xdr:row>4</xdr:row>
      <xdr:rowOff>163321</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466725"/>
          <a:ext cx="1847851" cy="9062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180974</xdr:colOff>
      <xdr:row>1</xdr:row>
      <xdr:rowOff>19049</xdr:rowOff>
    </xdr:from>
    <xdr:to>
      <xdr:col>16</xdr:col>
      <xdr:colOff>514349</xdr:colOff>
      <xdr:row>19</xdr:row>
      <xdr:rowOff>142874</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171449</xdr:colOff>
      <xdr:row>2</xdr:row>
      <xdr:rowOff>66675</xdr:rowOff>
    </xdr:from>
    <xdr:to>
      <xdr:col>2</xdr:col>
      <xdr:colOff>1666874</xdr:colOff>
      <xdr:row>4</xdr:row>
      <xdr:rowOff>247650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lum bright="100000" contrast="100000"/>
        </a:blip>
        <a:stretch>
          <a:fillRect/>
        </a:stretch>
      </xdr:blipFill>
      <xdr:spPr>
        <a:xfrm>
          <a:off x="1962149" y="581025"/>
          <a:ext cx="1495425" cy="1552575"/>
        </a:xfrm>
        <a:prstGeom prst="rect">
          <a:avLst/>
        </a:prstGeom>
      </xdr:spPr>
    </xdr:pic>
    <xdr:clientData/>
  </xdr:twoCellAnchor>
  <xdr:twoCellAnchor editAs="oneCell">
    <xdr:from>
      <xdr:col>0</xdr:col>
      <xdr:colOff>301303</xdr:colOff>
      <xdr:row>3</xdr:row>
      <xdr:rowOff>27017</xdr:rowOff>
    </xdr:from>
    <xdr:to>
      <xdr:col>2</xdr:col>
      <xdr:colOff>342900</xdr:colOff>
      <xdr:row>4</xdr:row>
      <xdr:rowOff>19050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303" y="798542"/>
          <a:ext cx="1832297" cy="11064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Vogt" refreshedDate="43374.517641087965" createdVersion="6" refreshedVersion="6" minRefreshableVersion="3" recordCount="22" xr:uid="{E416C884-1F35-4E76-83DA-5BD969F507AF}">
  <cacheSource type="worksheet">
    <worksheetSource name="Table1"/>
  </cacheSource>
  <cacheFields count="10">
    <cacheField name="Count" numFmtId="0">
      <sharedItems containsSemiMixedTypes="0" containsString="0" containsNumber="1" containsInteger="1" minValue="1" maxValue="22"/>
    </cacheField>
    <cacheField name="Date" numFmtId="14">
      <sharedItems containsSemiMixedTypes="0" containsNonDate="0" containsDate="1" containsString="0" minDate="2017-03-02T00:00:00" maxDate="2018-09-06T00:00:00" count="21">
        <d v="2017-03-02T00:00:00"/>
        <d v="2017-04-04T00:00:00"/>
        <d v="2017-04-24T00:00:00"/>
        <d v="2017-05-02T00:00:00"/>
        <d v="2017-06-19T00:00:00"/>
        <d v="2017-08-01T00:00:00"/>
        <d v="2017-08-08T00:00:00"/>
        <d v="2017-10-12T00:00:00"/>
        <d v="2017-10-24T00:00:00"/>
        <d v="2017-10-30T00:00:00"/>
        <d v="2017-11-01T00:00:00"/>
        <d v="2017-11-08T00:00:00"/>
        <d v="2017-11-25T00:00:00"/>
        <d v="2017-12-07T00:00:00"/>
        <d v="2018-03-05T00:00:00"/>
        <d v="2018-04-03T00:00:00"/>
        <d v="2018-05-03T00:00:00"/>
        <d v="2018-05-17T00:00:00"/>
        <d v="2018-08-10T00:00:00"/>
        <d v="2018-08-21T00:00:00"/>
        <d v="2018-09-05T00:00:00"/>
      </sharedItems>
      <fieldGroup par="9" base="1">
        <rangePr groupBy="months" startDate="2017-03-02T00:00:00" endDate="2018-09-06T00:00:00"/>
        <groupItems count="14">
          <s v="&lt;3/2/2017"/>
          <s v="Jan"/>
          <s v="Feb"/>
          <s v="Mar"/>
          <s v="Apr"/>
          <s v="May"/>
          <s v="Jun"/>
          <s v="Jul"/>
          <s v="Aug"/>
          <s v="Sep"/>
          <s v="Oct"/>
          <s v="Nov"/>
          <s v="Dec"/>
          <s v="&gt;9/6/2018"/>
        </groupItems>
      </fieldGroup>
    </cacheField>
    <cacheField name="Model" numFmtId="0">
      <sharedItems count="12">
        <s v="Leica AT901MR"/>
        <s v="Leica AT901B"/>
        <s v="API LTS-3000"/>
        <s v="Leica AT960MR"/>
        <s v="API Radian R50"/>
        <s v="Faro Xi"/>
        <s v="Faro Ion"/>
        <s v="API Omnitrac 2"/>
        <s v="Faro Vantage"/>
        <s v="Leica AT930"/>
        <s v="Leica AT901 MR"/>
        <s v="Leica AT960 MR"/>
      </sharedItems>
    </cacheField>
    <cacheField name="Company" numFmtId="0">
      <sharedItems count="13">
        <s v="Galaxy Tool"/>
        <s v="D-J"/>
        <s v="Dynamic NC"/>
        <s v="Accurus"/>
        <s v="GKN"/>
        <s v="Orizon"/>
        <s v="AIT Technologies"/>
        <s v="AAT Aero"/>
        <s v="Triumph Shelbyville"/>
        <s v="Raptor"/>
        <s v="FMI"/>
        <s v="Vector Tooling Technologies"/>
        <s v="Aero-Tech Engineering"/>
      </sharedItems>
    </cacheField>
    <cacheField name="SN" numFmtId="0">
      <sharedItems containsMixedTypes="1" containsNumber="1" containsInteger="1" minValue="3654" maxValue="751189" count="19">
        <n v="3654"/>
        <n v="4403"/>
        <s v="LTS34970207"/>
        <s v="LTS36761008"/>
        <n v="750064"/>
        <n v="60066"/>
        <s v="X02000702066"/>
        <n v="750787"/>
        <s v="Y02001606114"/>
        <n v="70215"/>
        <s v="Y01009003029"/>
        <n v="4176"/>
        <s v="V01001304482"/>
        <n v="750419"/>
        <n v="751078"/>
        <n v="751074"/>
        <s v="?"/>
        <n v="750245"/>
        <n v="751189"/>
      </sharedItems>
    </cacheField>
    <cacheField name="FOOT?" numFmtId="0">
      <sharedItems/>
    </cacheField>
    <cacheField name="Pass?" numFmtId="0">
      <sharedItems count="2">
        <s v="Pass"/>
        <s v="Fail"/>
      </sharedItems>
    </cacheField>
    <cacheField name="Ambient temp" numFmtId="0">
      <sharedItems containsSemiMixedTypes="0" containsString="0" containsNumber="1" minValue="65" maxValue="77"/>
    </cacheField>
    <cacheField name="Quarters" numFmtId="0" databaseField="0">
      <fieldGroup base="1">
        <rangePr groupBy="quarters" startDate="2017-03-02T00:00:00" endDate="2018-09-06T00:00:00"/>
        <groupItems count="6">
          <s v="&lt;3/2/2017"/>
          <s v="Qtr1"/>
          <s v="Qtr2"/>
          <s v="Qtr3"/>
          <s v="Qtr4"/>
          <s v="&gt;9/6/2018"/>
        </groupItems>
      </fieldGroup>
    </cacheField>
    <cacheField name="Years" numFmtId="0" databaseField="0">
      <fieldGroup base="1">
        <rangePr groupBy="years" startDate="2017-03-02T00:00:00" endDate="2018-09-06T00:00:00"/>
        <groupItems count="4">
          <s v="&lt;3/2/2017"/>
          <s v="2017"/>
          <s v="2018"/>
          <s v="&gt;9/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x v="0"/>
    <x v="0"/>
    <x v="0"/>
    <s v="NO"/>
    <x v="0"/>
    <n v="70.599999999999994"/>
  </r>
  <r>
    <n v="2"/>
    <x v="1"/>
    <x v="1"/>
    <x v="0"/>
    <x v="1"/>
    <s v="NO"/>
    <x v="0"/>
    <n v="71.3"/>
  </r>
  <r>
    <n v="3"/>
    <x v="2"/>
    <x v="2"/>
    <x v="1"/>
    <x v="2"/>
    <s v="Yes"/>
    <x v="1"/>
    <n v="76.3"/>
  </r>
  <r>
    <n v="4"/>
    <x v="3"/>
    <x v="2"/>
    <x v="1"/>
    <x v="3"/>
    <s v="NO"/>
    <x v="0"/>
    <n v="76.3"/>
  </r>
  <r>
    <n v="5"/>
    <x v="4"/>
    <x v="3"/>
    <x v="2"/>
    <x v="4"/>
    <s v="Yes"/>
    <x v="0"/>
    <n v="71"/>
  </r>
  <r>
    <n v="6"/>
    <x v="5"/>
    <x v="4"/>
    <x v="3"/>
    <x v="5"/>
    <s v="Yes"/>
    <x v="1"/>
    <n v="71.599999999999994"/>
  </r>
  <r>
    <n v="7"/>
    <x v="6"/>
    <x v="5"/>
    <x v="4"/>
    <x v="6"/>
    <s v="NO"/>
    <x v="0"/>
    <n v="68.400000000000006"/>
  </r>
  <r>
    <n v="8"/>
    <x v="7"/>
    <x v="3"/>
    <x v="5"/>
    <x v="7"/>
    <s v="NO"/>
    <x v="0"/>
    <n v="68"/>
  </r>
  <r>
    <n v="9"/>
    <x v="8"/>
    <x v="6"/>
    <x v="0"/>
    <x v="8"/>
    <s v="NO"/>
    <x v="0"/>
    <n v="68"/>
  </r>
  <r>
    <n v="10"/>
    <x v="9"/>
    <x v="7"/>
    <x v="6"/>
    <x v="9"/>
    <s v="Yes"/>
    <x v="1"/>
    <n v="77"/>
  </r>
  <r>
    <n v="11"/>
    <x v="10"/>
    <x v="6"/>
    <x v="7"/>
    <x v="10"/>
    <s v="Yes"/>
    <x v="0"/>
    <n v="65"/>
  </r>
  <r>
    <n v="12"/>
    <x v="11"/>
    <x v="1"/>
    <x v="0"/>
    <x v="11"/>
    <s v="NO"/>
    <x v="0"/>
    <n v="70"/>
  </r>
  <r>
    <n v="13"/>
    <x v="12"/>
    <x v="8"/>
    <x v="8"/>
    <x v="12"/>
    <s v="Yes"/>
    <x v="0"/>
    <n v="68.5"/>
  </r>
  <r>
    <n v="14"/>
    <x v="13"/>
    <x v="9"/>
    <x v="9"/>
    <x v="13"/>
    <s v="Yes"/>
    <x v="1"/>
    <n v="69"/>
  </r>
  <r>
    <n v="15"/>
    <x v="14"/>
    <x v="10"/>
    <x v="0"/>
    <x v="0"/>
    <s v="NO"/>
    <x v="0"/>
    <n v="66"/>
  </r>
  <r>
    <n v="16"/>
    <x v="15"/>
    <x v="1"/>
    <x v="0"/>
    <x v="1"/>
    <s v="NO"/>
    <x v="0"/>
    <n v="66.7"/>
  </r>
  <r>
    <n v="17"/>
    <x v="16"/>
    <x v="11"/>
    <x v="0"/>
    <x v="14"/>
    <s v="NO"/>
    <x v="0"/>
    <n v="68.7"/>
  </r>
  <r>
    <n v="18"/>
    <x v="16"/>
    <x v="11"/>
    <x v="0"/>
    <x v="15"/>
    <s v="Yes"/>
    <x v="0"/>
    <n v="72.5"/>
  </r>
  <r>
    <n v="19"/>
    <x v="17"/>
    <x v="6"/>
    <x v="10"/>
    <x v="16"/>
    <s v="Yes"/>
    <x v="1"/>
    <n v="69.8"/>
  </r>
  <r>
    <n v="20"/>
    <x v="18"/>
    <x v="5"/>
    <x v="4"/>
    <x v="6"/>
    <s v="NO"/>
    <x v="0"/>
    <n v="70.400000000000006"/>
  </r>
  <r>
    <n v="21"/>
    <x v="19"/>
    <x v="9"/>
    <x v="11"/>
    <x v="17"/>
    <s v="Yes"/>
    <x v="0"/>
    <n v="70.3"/>
  </r>
  <r>
    <n v="22"/>
    <x v="20"/>
    <x v="11"/>
    <x v="12"/>
    <x v="18"/>
    <s v="NO"/>
    <x v="0"/>
    <n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806F-6E78-4F15-A9C6-6121FC4A380B}"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8:M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13">
        <item x="2"/>
        <item x="7"/>
        <item x="4"/>
        <item x="6"/>
        <item x="8"/>
        <item x="5"/>
        <item x="10"/>
        <item x="1"/>
        <item x="0"/>
        <item x="9"/>
        <item x="11"/>
        <item x="3"/>
        <item t="default"/>
      </items>
    </pivotField>
    <pivotField axis="axisRow" showAll="0">
      <items count="14">
        <item x="7"/>
        <item x="3"/>
        <item x="12"/>
        <item x="6"/>
        <item x="1"/>
        <item x="2"/>
        <item x="10"/>
        <item x="0"/>
        <item x="4"/>
        <item x="5"/>
        <item x="9"/>
        <item x="8"/>
        <item x="11"/>
        <item t="default"/>
      </items>
    </pivotField>
    <pivotField axis="axisRow" showAll="0">
      <items count="20">
        <item x="0"/>
        <item x="11"/>
        <item x="1"/>
        <item x="5"/>
        <item x="9"/>
        <item x="4"/>
        <item x="17"/>
        <item x="13"/>
        <item x="7"/>
        <item x="15"/>
        <item x="14"/>
        <item x="18"/>
        <item x="16"/>
        <item x="2"/>
        <item x="3"/>
        <item x="12"/>
        <item x="6"/>
        <item x="10"/>
        <item x="8"/>
        <item t="default"/>
      </items>
    </pivotField>
    <pivotField showAll="0"/>
    <pivotField axis="axisRow" showAll="0">
      <items count="3">
        <item x="1"/>
        <item x="0"/>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6"/>
    <field x="4"/>
    <field x="3"/>
  </rowFields>
  <rowItems count="41">
    <i>
      <x/>
    </i>
    <i r="1">
      <x v="3"/>
    </i>
    <i r="2">
      <x v="1"/>
    </i>
    <i r="1">
      <x v="4"/>
    </i>
    <i r="2">
      <x v="3"/>
    </i>
    <i r="1">
      <x v="7"/>
    </i>
    <i r="2">
      <x v="10"/>
    </i>
    <i r="1">
      <x v="12"/>
    </i>
    <i r="2">
      <x v="6"/>
    </i>
    <i r="1">
      <x v="13"/>
    </i>
    <i r="2">
      <x v="4"/>
    </i>
    <i>
      <x v="1"/>
    </i>
    <i r="1">
      <x/>
    </i>
    <i r="2">
      <x v="7"/>
    </i>
    <i r="1">
      <x v="1"/>
    </i>
    <i r="2">
      <x v="7"/>
    </i>
    <i r="1">
      <x v="2"/>
    </i>
    <i r="2">
      <x v="7"/>
    </i>
    <i r="1">
      <x v="5"/>
    </i>
    <i r="2">
      <x v="5"/>
    </i>
    <i r="1">
      <x v="6"/>
    </i>
    <i r="2">
      <x v="12"/>
    </i>
    <i r="1">
      <x v="8"/>
    </i>
    <i r="2">
      <x v="9"/>
    </i>
    <i r="1">
      <x v="9"/>
    </i>
    <i r="2">
      <x v="7"/>
    </i>
    <i r="1">
      <x v="10"/>
    </i>
    <i r="2">
      <x v="7"/>
    </i>
    <i r="1">
      <x v="11"/>
    </i>
    <i r="2">
      <x v="2"/>
    </i>
    <i r="1">
      <x v="14"/>
    </i>
    <i r="2">
      <x v="4"/>
    </i>
    <i r="1">
      <x v="15"/>
    </i>
    <i r="2">
      <x v="11"/>
    </i>
    <i r="1">
      <x v="16"/>
    </i>
    <i r="2">
      <x v="8"/>
    </i>
    <i r="1">
      <x v="17"/>
    </i>
    <i r="2">
      <x/>
    </i>
    <i r="1">
      <x v="18"/>
    </i>
    <i r="2">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E1E2E-1A21-4D61-ADD1-13523B04E0D1}" name="Table1" displayName="Table1" ref="A8:I76" totalsRowShown="0">
  <autoFilter ref="A8:I76" xr:uid="{782B79D1-1893-4987-BB53-A4E4CFA8280D}"/>
  <sortState xmlns:xlrd2="http://schemas.microsoft.com/office/spreadsheetml/2017/richdata2" ref="A9:I38">
    <sortCondition ref="B8:B38"/>
  </sortState>
  <tableColumns count="9">
    <tableColumn id="1" xr3:uid="{8702AE8B-6D7B-457F-A31A-975087E0F396}" name="Count"/>
    <tableColumn id="2" xr3:uid="{181F896C-42B0-4DF7-9A8E-ACC72050AAEA}" name="Date" dataDxfId="10"/>
    <tableColumn id="3" xr3:uid="{B4272AB3-FA6F-46F8-92D5-34AE9BE9D85F}" name="Model"/>
    <tableColumn id="4" xr3:uid="{9AF17509-9183-461E-AF62-1477182CBE8C}" name="Company" dataDxfId="9"/>
    <tableColumn id="5" xr3:uid="{CA1EDB81-493E-48A4-AF81-D151E7B56EE0}" name="SN" dataDxfId="8"/>
    <tableColumn id="6" xr3:uid="{841C1CA5-F260-46E5-AC14-D368627999B1}" name="FOOT?"/>
    <tableColumn id="7" xr3:uid="{A5771F02-0F41-41ED-9AA3-FB44A2795D86}" name="Pass?"/>
    <tableColumn id="8" xr3:uid="{6C0CB28E-6869-4CEC-BAA5-4504D2578AE7}" name="Ambient temp"/>
    <tableColumn id="9" xr3:uid="{B887928B-DB99-4B6B-90D3-E1B758502798}" name="Notes"/>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7.xml"/><Relationship Id="rId12"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xml"/><Relationship Id="rId11" Type="http://schemas.openxmlformats.org/officeDocument/2006/relationships/ctrlProp" Target="../ctrlProps/ctrlProp11.xml"/><Relationship Id="rId5" Type="http://schemas.openxmlformats.org/officeDocument/2006/relationships/ctrlProp" Target="../ctrlProps/ctrlProp5.xml"/><Relationship Id="rId15" Type="http://schemas.openxmlformats.org/officeDocument/2006/relationships/ctrlProp" Target="../ctrlProps/ctrlProp15.xml"/><Relationship Id="rId10" Type="http://schemas.openxmlformats.org/officeDocument/2006/relationships/ctrlProp" Target="../ctrlProps/ctrlProp10.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D86A-31B9-4E78-A320-BC2D0F7A2926}">
  <dimension ref="A2:R32"/>
  <sheetViews>
    <sheetView tabSelected="1" topLeftCell="B1" workbookViewId="0">
      <selection activeCell="D3" sqref="D3"/>
    </sheetView>
  </sheetViews>
  <sheetFormatPr defaultColWidth="9.109375" defaultRowHeight="14.4" x14ac:dyDescent="0.3"/>
  <cols>
    <col min="1" max="2" width="9.109375" style="228"/>
    <col min="3" max="3" width="23.21875" style="232" customWidth="1"/>
    <col min="4" max="4" width="16.77734375" style="233" customWidth="1"/>
    <col min="5" max="5" width="9.109375" style="228"/>
    <col min="6" max="6" width="13.44140625" style="228" bestFit="1" customWidth="1"/>
    <col min="7" max="16384" width="9.109375" style="228"/>
  </cols>
  <sheetData>
    <row r="2" spans="2:18" ht="18" x14ac:dyDescent="0.35">
      <c r="B2" s="220"/>
      <c r="C2" s="241" t="s">
        <v>229</v>
      </c>
      <c r="D2" s="237" t="s">
        <v>405</v>
      </c>
      <c r="E2" s="231"/>
      <c r="F2" s="231"/>
      <c r="G2" s="231"/>
      <c r="H2" s="231"/>
      <c r="I2" s="231"/>
      <c r="J2" s="231"/>
      <c r="K2" s="231"/>
      <c r="L2" s="231"/>
    </row>
    <row r="3" spans="2:18" ht="18" x14ac:dyDescent="0.35">
      <c r="B3" s="220"/>
      <c r="C3" s="241" t="s">
        <v>245</v>
      </c>
      <c r="D3" s="238" t="s">
        <v>402</v>
      </c>
      <c r="E3" s="235"/>
      <c r="F3" s="235"/>
      <c r="G3" s="235"/>
      <c r="H3" s="235"/>
      <c r="I3" s="235"/>
      <c r="J3" s="235"/>
      <c r="K3" s="236"/>
      <c r="L3" s="231"/>
    </row>
    <row r="4" spans="2:18" ht="18" x14ac:dyDescent="0.35">
      <c r="B4" s="220"/>
      <c r="C4" s="241" t="s">
        <v>246</v>
      </c>
      <c r="D4" s="238" t="s">
        <v>403</v>
      </c>
      <c r="E4" s="235"/>
      <c r="F4" s="235"/>
      <c r="G4" s="235"/>
      <c r="H4" s="235"/>
      <c r="I4" s="235"/>
      <c r="J4" s="235"/>
      <c r="K4" s="236"/>
      <c r="L4" s="231"/>
    </row>
    <row r="5" spans="2:18" ht="18" x14ac:dyDescent="0.35">
      <c r="B5" s="220"/>
      <c r="C5" s="241" t="s">
        <v>168</v>
      </c>
      <c r="D5" s="265"/>
      <c r="E5" s="231" t="s">
        <v>258</v>
      </c>
      <c r="F5" s="231"/>
      <c r="G5" s="231"/>
      <c r="H5" s="231"/>
      <c r="I5" s="231"/>
      <c r="J5" s="231"/>
      <c r="K5" s="231"/>
      <c r="L5" s="231"/>
    </row>
    <row r="6" spans="2:18" ht="18" x14ac:dyDescent="0.35">
      <c r="B6" s="248">
        <v>10</v>
      </c>
      <c r="C6" s="241" t="s">
        <v>31</v>
      </c>
      <c r="D6" s="234"/>
      <c r="E6" s="231"/>
      <c r="F6" s="231"/>
      <c r="G6" s="231"/>
      <c r="H6" s="231"/>
      <c r="I6" s="231"/>
      <c r="J6" s="231"/>
      <c r="K6" s="231"/>
      <c r="L6" s="231"/>
    </row>
    <row r="7" spans="2:18" ht="18" x14ac:dyDescent="0.35">
      <c r="B7" s="220"/>
      <c r="C7" s="241" t="s">
        <v>146</v>
      </c>
      <c r="D7" s="239"/>
      <c r="E7" s="231"/>
      <c r="F7" s="231"/>
      <c r="G7" s="231"/>
      <c r="H7" s="231"/>
      <c r="I7" s="231"/>
      <c r="J7" s="231"/>
      <c r="K7" s="231"/>
      <c r="L7" s="231"/>
    </row>
    <row r="8" spans="2:18" ht="18" x14ac:dyDescent="0.35">
      <c r="B8" s="220"/>
      <c r="C8" s="241" t="s">
        <v>230</v>
      </c>
      <c r="D8" s="239"/>
      <c r="E8" s="231"/>
      <c r="F8" s="231"/>
      <c r="G8" s="231"/>
      <c r="H8" s="231"/>
      <c r="I8" s="231"/>
      <c r="J8" s="231"/>
      <c r="K8" s="231"/>
      <c r="L8" s="231"/>
    </row>
    <row r="9" spans="2:18" ht="18" x14ac:dyDescent="0.35">
      <c r="B9" s="220"/>
      <c r="C9" s="241" t="s">
        <v>231</v>
      </c>
      <c r="D9" s="240">
        <f ca="1">TODAY()</f>
        <v>45517</v>
      </c>
      <c r="E9" s="231"/>
      <c r="F9" s="231"/>
      <c r="G9" s="231"/>
      <c r="H9" s="231"/>
      <c r="I9" s="231"/>
      <c r="J9" s="231"/>
      <c r="K9" s="231"/>
      <c r="L9" s="231"/>
    </row>
    <row r="10" spans="2:18" ht="18" x14ac:dyDescent="0.35">
      <c r="B10" s="220"/>
      <c r="C10" s="241" t="s">
        <v>232</v>
      </c>
      <c r="D10" s="240">
        <f ca="1">DATE(YEAR(D9)+F10,MONTH(D9),DAY(D9))</f>
        <v>45882</v>
      </c>
      <c r="E10" s="231" t="s">
        <v>384</v>
      </c>
      <c r="F10" s="298">
        <v>1</v>
      </c>
      <c r="G10" s="231" t="s">
        <v>385</v>
      </c>
      <c r="H10" s="231"/>
      <c r="I10" s="231"/>
      <c r="J10" s="231"/>
      <c r="K10" s="231"/>
      <c r="L10" s="231"/>
    </row>
    <row r="11" spans="2:18" ht="18" x14ac:dyDescent="0.35">
      <c r="B11" s="220"/>
      <c r="C11" s="241" t="s">
        <v>233</v>
      </c>
      <c r="D11" s="239" t="s">
        <v>404</v>
      </c>
      <c r="E11" s="231"/>
      <c r="F11" s="231"/>
      <c r="G11" s="231"/>
      <c r="H11" s="231"/>
      <c r="I11" s="231"/>
      <c r="J11" s="231"/>
      <c r="K11" s="231"/>
      <c r="L11" s="231"/>
    </row>
    <row r="12" spans="2:18" ht="18" x14ac:dyDescent="0.35">
      <c r="B12" s="220"/>
      <c r="C12" s="241" t="s">
        <v>234</v>
      </c>
      <c r="D12" s="239">
        <f>AVERAGE('Datasheet, JGI Method'!H7:H24)</f>
        <v>74.666666666666671</v>
      </c>
      <c r="E12" s="231" t="s">
        <v>255</v>
      </c>
      <c r="F12" s="231"/>
      <c r="G12" s="231"/>
      <c r="H12" s="231"/>
      <c r="I12" s="231"/>
      <c r="J12" s="231"/>
      <c r="K12" s="231"/>
      <c r="L12" s="231"/>
    </row>
    <row r="13" spans="2:18" ht="18" x14ac:dyDescent="0.35">
      <c r="B13" s="220"/>
      <c r="C13" s="241" t="s">
        <v>235</v>
      </c>
      <c r="D13" s="239"/>
      <c r="E13" s="231" t="s">
        <v>259</v>
      </c>
      <c r="F13" s="231"/>
      <c r="G13" s="231"/>
      <c r="H13" s="231"/>
      <c r="I13" s="231"/>
      <c r="J13" s="231"/>
      <c r="K13" s="231"/>
      <c r="L13" s="231"/>
    </row>
    <row r="14" spans="2:18" ht="18" x14ac:dyDescent="0.35">
      <c r="B14" s="220"/>
      <c r="C14" s="241" t="s">
        <v>236</v>
      </c>
      <c r="D14" s="239" t="s">
        <v>366</v>
      </c>
      <c r="E14" s="231"/>
      <c r="F14" s="231"/>
      <c r="G14" s="231"/>
      <c r="H14" s="231"/>
      <c r="I14" s="231"/>
      <c r="J14" s="231"/>
      <c r="K14" s="231"/>
      <c r="L14" s="231"/>
    </row>
    <row r="15" spans="2:18" ht="18" x14ac:dyDescent="0.35">
      <c r="B15" s="220"/>
      <c r="C15" s="241" t="s">
        <v>237</v>
      </c>
      <c r="D15" s="239" t="s">
        <v>254</v>
      </c>
      <c r="E15" s="231"/>
      <c r="F15" s="231"/>
      <c r="G15" s="231"/>
      <c r="H15" s="231"/>
      <c r="I15" s="231"/>
      <c r="J15" s="231"/>
      <c r="K15" s="231"/>
      <c r="L15" s="231"/>
      <c r="R15" s="263" t="b">
        <v>1</v>
      </c>
    </row>
    <row r="16" spans="2:18" ht="18" x14ac:dyDescent="0.35">
      <c r="B16" s="220"/>
      <c r="C16" s="241" t="s">
        <v>253</v>
      </c>
      <c r="D16" s="239">
        <v>0</v>
      </c>
      <c r="E16" s="231"/>
      <c r="F16" s="229" t="s">
        <v>285</v>
      </c>
      <c r="G16" s="233">
        <f>IF(OR(D16&lt;&gt;"",D16&lt;&gt;0),D16+2,2)</f>
        <v>2</v>
      </c>
      <c r="H16" s="231"/>
      <c r="I16" s="231"/>
      <c r="J16" s="231"/>
      <c r="K16" s="231"/>
      <c r="L16" s="231"/>
      <c r="R16" s="263" t="b">
        <v>0</v>
      </c>
    </row>
    <row r="17" spans="1:18" ht="18" x14ac:dyDescent="0.35">
      <c r="B17" s="220"/>
      <c r="C17" s="241" t="s">
        <v>238</v>
      </c>
      <c r="D17" s="239" t="s">
        <v>352</v>
      </c>
      <c r="E17" s="231"/>
      <c r="F17" s="231"/>
      <c r="G17" s="231"/>
      <c r="H17" s="231"/>
      <c r="I17" s="231"/>
      <c r="J17" s="231"/>
      <c r="K17" s="231"/>
      <c r="L17" s="231"/>
      <c r="R17" s="264"/>
    </row>
    <row r="18" spans="1:18" ht="18" x14ac:dyDescent="0.35">
      <c r="B18" s="220"/>
      <c r="C18" s="241" t="s">
        <v>239</v>
      </c>
      <c r="D18" s="305" t="s">
        <v>335</v>
      </c>
      <c r="E18" s="306"/>
      <c r="F18" s="306"/>
      <c r="G18" s="306"/>
      <c r="H18" s="306"/>
      <c r="I18" s="306"/>
      <c r="J18" s="306"/>
      <c r="K18" s="306"/>
      <c r="L18" s="307"/>
    </row>
    <row r="19" spans="1:18" ht="18" x14ac:dyDescent="0.35">
      <c r="C19" s="229"/>
      <c r="D19" s="308"/>
      <c r="E19" s="309"/>
      <c r="F19" s="309"/>
      <c r="G19" s="309"/>
      <c r="H19" s="309"/>
      <c r="I19" s="309"/>
      <c r="J19" s="309"/>
      <c r="K19" s="309"/>
      <c r="L19" s="310"/>
    </row>
    <row r="20" spans="1:18" ht="18" x14ac:dyDescent="0.35">
      <c r="C20" s="229"/>
      <c r="D20" s="308"/>
      <c r="E20" s="309"/>
      <c r="F20" s="309"/>
      <c r="G20" s="309"/>
      <c r="H20" s="309"/>
      <c r="I20" s="309"/>
      <c r="J20" s="309"/>
      <c r="K20" s="309"/>
      <c r="L20" s="310"/>
    </row>
    <row r="21" spans="1:18" ht="18" x14ac:dyDescent="0.35">
      <c r="C21" s="229"/>
      <c r="D21" s="311"/>
      <c r="E21" s="312"/>
      <c r="F21" s="312"/>
      <c r="G21" s="312"/>
      <c r="H21" s="312"/>
      <c r="I21" s="312"/>
      <c r="J21" s="312"/>
      <c r="K21" s="312"/>
      <c r="L21" s="313"/>
    </row>
    <row r="22" spans="1:18" ht="18" x14ac:dyDescent="0.35">
      <c r="C22" s="241" t="s">
        <v>62</v>
      </c>
      <c r="D22" s="239" t="s">
        <v>138</v>
      </c>
      <c r="E22" s="231"/>
      <c r="F22" s="231"/>
      <c r="G22" s="231"/>
      <c r="H22" s="231"/>
      <c r="I22" s="231"/>
      <c r="J22" s="231"/>
      <c r="K22" s="231"/>
      <c r="L22" s="231"/>
    </row>
    <row r="23" spans="1:18" ht="18" x14ac:dyDescent="0.35">
      <c r="C23" s="229"/>
      <c r="D23" s="230" t="s">
        <v>387</v>
      </c>
      <c r="E23" s="231"/>
      <c r="F23" s="231" t="s">
        <v>388</v>
      </c>
      <c r="G23" s="231"/>
      <c r="H23" s="231" t="s">
        <v>389</v>
      </c>
      <c r="I23" s="231"/>
      <c r="J23" s="231"/>
      <c r="K23" s="231"/>
      <c r="L23" s="231"/>
    </row>
    <row r="24" spans="1:18" ht="18" x14ac:dyDescent="0.35">
      <c r="C24" s="241" t="s">
        <v>262</v>
      </c>
      <c r="D24" s="239">
        <v>600</v>
      </c>
      <c r="E24" s="231" t="s">
        <v>263</v>
      </c>
      <c r="F24" s="231">
        <v>600</v>
      </c>
      <c r="G24" s="231"/>
      <c r="H24" s="231"/>
      <c r="I24" s="231"/>
      <c r="J24" s="231"/>
      <c r="K24" s="231"/>
      <c r="L24" s="231"/>
    </row>
    <row r="25" spans="1:18" ht="18" x14ac:dyDescent="0.35">
      <c r="C25" s="241" t="s">
        <v>240</v>
      </c>
      <c r="D25" s="240">
        <v>45448</v>
      </c>
      <c r="E25" s="231"/>
      <c r="F25" s="299">
        <v>44868</v>
      </c>
      <c r="G25" s="231"/>
      <c r="H25" s="231"/>
      <c r="I25" s="231"/>
      <c r="J25" s="231"/>
      <c r="K25" s="231"/>
      <c r="L25" s="231"/>
    </row>
    <row r="26" spans="1:18" ht="18" x14ac:dyDescent="0.35">
      <c r="C26" s="241" t="s">
        <v>241</v>
      </c>
      <c r="D26" s="240">
        <v>45448</v>
      </c>
      <c r="E26" s="231"/>
      <c r="F26" s="299">
        <v>45233</v>
      </c>
      <c r="G26" s="231"/>
      <c r="H26" s="231"/>
      <c r="I26" s="231"/>
      <c r="J26" s="231"/>
      <c r="K26" s="231"/>
      <c r="L26" s="231"/>
    </row>
    <row r="27" spans="1:18" ht="18" x14ac:dyDescent="0.35">
      <c r="C27" s="241" t="s">
        <v>242</v>
      </c>
      <c r="D27" s="239" t="s">
        <v>406</v>
      </c>
      <c r="E27" s="231"/>
      <c r="F27" s="231" t="s">
        <v>386</v>
      </c>
      <c r="G27" s="231"/>
      <c r="H27" s="231"/>
      <c r="I27" s="231"/>
      <c r="J27" s="231"/>
      <c r="K27" s="231"/>
      <c r="L27" s="231"/>
    </row>
    <row r="28" spans="1:18" x14ac:dyDescent="0.3">
      <c r="C28" s="232" t="s">
        <v>373</v>
      </c>
      <c r="D28" s="233">
        <v>0.7</v>
      </c>
      <c r="F28" s="228">
        <v>8.0399999999999991</v>
      </c>
      <c r="H28" s="228">
        <v>0.67</v>
      </c>
    </row>
    <row r="29" spans="1:18" ht="18" x14ac:dyDescent="0.35">
      <c r="A29" s="241"/>
      <c r="B29" s="241"/>
      <c r="C29" s="241" t="s">
        <v>260</v>
      </c>
      <c r="D29" s="227">
        <v>90.540165000000002</v>
      </c>
      <c r="E29" s="228" t="s">
        <v>4</v>
      </c>
      <c r="F29" s="228">
        <v>90.54128</v>
      </c>
      <c r="H29" s="227">
        <v>90.540165000000002</v>
      </c>
    </row>
    <row r="30" spans="1:18" x14ac:dyDescent="0.3">
      <c r="D30" s="233">
        <f>D29*25.4</f>
        <v>2299.7201909999999</v>
      </c>
      <c r="E30" s="228" t="s">
        <v>59</v>
      </c>
      <c r="F30" s="228">
        <f>F29*25.4</f>
        <v>2299.7485119999997</v>
      </c>
      <c r="H30" s="228">
        <f>H29*25.4</f>
        <v>2299.7201909999999</v>
      </c>
    </row>
    <row r="32" spans="1:18" x14ac:dyDescent="0.3">
      <c r="C32" s="228"/>
      <c r="D32" s="228"/>
    </row>
  </sheetData>
  <sheetProtection selectLockedCells="1"/>
  <mergeCells count="1">
    <mergeCell ref="D18:L2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rop Down 1">
              <controlPr defaultSize="0" autoLine="0" autoPict="0">
                <anchor moveWithCells="1">
                  <from>
                    <xdr:col>3</xdr:col>
                    <xdr:colOff>7620</xdr:colOff>
                    <xdr:row>5</xdr:row>
                    <xdr:rowOff>7620</xdr:rowOff>
                  </from>
                  <to>
                    <xdr:col>3</xdr:col>
                    <xdr:colOff>1089660</xdr:colOff>
                    <xdr:row>5</xdr:row>
                    <xdr:rowOff>228600</xdr:rowOff>
                  </to>
                </anchor>
              </controlPr>
            </control>
          </mc:Choice>
        </mc:AlternateContent>
        <mc:AlternateContent xmlns:mc="http://schemas.openxmlformats.org/markup-compatibility/2006">
          <mc:Choice Requires="x14">
            <control shapeId="12290" r:id="rId5" name="Check Box 2">
              <controlPr locked="0" defaultSize="0" print="0" autoFill="0" autoLine="0" autoPict="0">
                <anchor moveWithCells="1">
                  <from>
                    <xdr:col>4</xdr:col>
                    <xdr:colOff>266700</xdr:colOff>
                    <xdr:row>5</xdr:row>
                    <xdr:rowOff>68580</xdr:rowOff>
                  </from>
                  <to>
                    <xdr:col>6</xdr:col>
                    <xdr:colOff>449580</xdr:colOff>
                    <xdr:row>6</xdr:row>
                    <xdr:rowOff>121920</xdr:rowOff>
                  </to>
                </anchor>
              </controlPr>
            </control>
          </mc:Choice>
        </mc:AlternateContent>
        <mc:AlternateContent xmlns:mc="http://schemas.openxmlformats.org/markup-compatibility/2006">
          <mc:Choice Requires="x14">
            <control shapeId="12291" r:id="rId6" name="Check Box 3">
              <controlPr locked="0" defaultSize="0" print="0" autoFill="0" autoLine="0" autoPict="0" altText="CERTIFICATE OF INSPECTION (NO &quot;ACCEPTED&quot; OR &quot;REJECTED&quot; STATEMENT MADE)">
                <anchor moveWithCells="1">
                  <from>
                    <xdr:col>4</xdr:col>
                    <xdr:colOff>266700</xdr:colOff>
                    <xdr:row>6</xdr:row>
                    <xdr:rowOff>175260</xdr:rowOff>
                  </from>
                  <to>
                    <xdr:col>7</xdr:col>
                    <xdr:colOff>137160</xdr:colOff>
                    <xdr:row>8</xdr:row>
                    <xdr:rowOff>121920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12"/>
  <sheetViews>
    <sheetView workbookViewId="0">
      <selection activeCell="C27" sqref="C27"/>
    </sheetView>
  </sheetViews>
  <sheetFormatPr defaultRowHeight="14.4" x14ac:dyDescent="0.3"/>
  <sheetData>
    <row r="4" spans="1:4" x14ac:dyDescent="0.3">
      <c r="B4" t="s">
        <v>195</v>
      </c>
      <c r="D4" t="s">
        <v>65</v>
      </c>
    </row>
    <row r="5" spans="1:4" x14ac:dyDescent="0.3">
      <c r="A5" t="s">
        <v>196</v>
      </c>
    </row>
    <row r="6" spans="1:4" x14ac:dyDescent="0.3">
      <c r="A6" t="s">
        <v>198</v>
      </c>
      <c r="B6">
        <v>-5.0000000000000001E-3</v>
      </c>
      <c r="D6">
        <v>2E-3</v>
      </c>
    </row>
    <row r="7" spans="1:4" x14ac:dyDescent="0.3">
      <c r="A7" t="s">
        <v>197</v>
      </c>
      <c r="B7">
        <v>-5.3E-3</v>
      </c>
      <c r="D7">
        <v>5.0000000000000001E-4</v>
      </c>
    </row>
    <row r="8" spans="1:4" x14ac:dyDescent="0.3">
      <c r="A8" t="s">
        <v>199</v>
      </c>
      <c r="B8">
        <v>-4.7000000000000002E-3</v>
      </c>
      <c r="D8">
        <v>2.9999999999999997E-4</v>
      </c>
    </row>
    <row r="9" spans="1:4" x14ac:dyDescent="0.3">
      <c r="A9" t="s">
        <v>200</v>
      </c>
      <c r="B9">
        <v>-6.6E-3</v>
      </c>
      <c r="D9">
        <v>2E-3</v>
      </c>
    </row>
    <row r="10" spans="1:4" x14ac:dyDescent="0.3">
      <c r="A10" t="s">
        <v>201</v>
      </c>
      <c r="B10">
        <v>-5.4000000000000003E-3</v>
      </c>
      <c r="D10">
        <v>1.5E-3</v>
      </c>
    </row>
    <row r="11" spans="1:4" x14ac:dyDescent="0.3">
      <c r="A11" t="s">
        <v>202</v>
      </c>
      <c r="B11">
        <v>-4.4999999999999997E-3</v>
      </c>
      <c r="D11">
        <v>1.8E-3</v>
      </c>
    </row>
    <row r="12" spans="1:4" x14ac:dyDescent="0.3">
      <c r="A12" t="s">
        <v>203</v>
      </c>
      <c r="B12">
        <v>-5.7000000000000002E-3</v>
      </c>
      <c r="D12">
        <v>1.1000000000000001E-3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heetViews>
  <sheetFormatPr defaultColWidth="9.109375" defaultRowHeight="20.25" customHeight="1" x14ac:dyDescent="0.3"/>
  <cols>
    <col min="1" max="1" width="9.109375" style="28"/>
    <col min="2" max="2" width="17.77734375" style="28" customWidth="1"/>
    <col min="3" max="3" width="26.88671875" style="28" customWidth="1"/>
    <col min="4" max="5" width="9.109375" style="28"/>
    <col min="6" max="6" width="6.44140625" style="28" customWidth="1"/>
    <col min="7" max="7" width="9.109375" style="28" hidden="1" customWidth="1"/>
    <col min="8" max="8" width="28.5546875" style="28" customWidth="1"/>
    <col min="9" max="16384" width="9.109375" style="28"/>
  </cols>
  <sheetData>
    <row r="1" spans="1:3" ht="20.25" customHeight="1" x14ac:dyDescent="0.3">
      <c r="A1" s="28" t="str">
        <f>IF(C5=1,"A2LA","Blank")</f>
        <v>A2LA</v>
      </c>
    </row>
    <row r="4" spans="1:3" ht="87.75" customHeight="1" x14ac:dyDescent="0.3"/>
    <row r="5" spans="1:3" ht="99.75" customHeight="1" x14ac:dyDescent="0.3">
      <c r="C5" s="28">
        <f>'Cert Page'!S48</f>
        <v>1</v>
      </c>
    </row>
    <row r="9" spans="1:3" ht="20.25" customHeight="1" x14ac:dyDescent="0.3">
      <c r="C9" s="108"/>
    </row>
  </sheetData>
  <pageMargins left="0.7" right="0.7" top="0.75" bottom="0.75" header="0.3" footer="0.3"/>
  <pageSetup orientation="portrait" horizontalDpi="4294967292"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election activeCell="A6" sqref="A6"/>
    </sheetView>
  </sheetViews>
  <sheetFormatPr defaultRowHeight="14.4" x14ac:dyDescent="0.3"/>
  <cols>
    <col min="1" max="1" width="24" customWidth="1"/>
    <col min="2" max="2" width="154.44140625" customWidth="1"/>
  </cols>
  <sheetData>
    <row r="1" spans="1:2" x14ac:dyDescent="0.3">
      <c r="A1" t="s">
        <v>158</v>
      </c>
      <c r="B1" t="s">
        <v>159</v>
      </c>
    </row>
    <row r="2" spans="1:2" x14ac:dyDescent="0.3">
      <c r="A2" s="124">
        <v>42909</v>
      </c>
      <c r="B2" t="s">
        <v>160</v>
      </c>
    </row>
    <row r="3" spans="1:2" x14ac:dyDescent="0.3">
      <c r="A3" s="124">
        <v>43344</v>
      </c>
      <c r="B3" t="s">
        <v>261</v>
      </c>
    </row>
    <row r="4" spans="1:2" x14ac:dyDescent="0.3">
      <c r="A4" s="124">
        <v>43385</v>
      </c>
      <c r="B4" t="s">
        <v>334</v>
      </c>
    </row>
    <row r="5" spans="1:2" x14ac:dyDescent="0.3">
      <c r="A5" s="124">
        <v>43405</v>
      </c>
      <c r="B5" t="s">
        <v>340</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82"/>
  <sheetViews>
    <sheetView zoomScaleNormal="100" zoomScaleSheetLayoutView="110" workbookViewId="0">
      <selection activeCell="I19" sqref="I19"/>
    </sheetView>
  </sheetViews>
  <sheetFormatPr defaultRowHeight="14.4" x14ac:dyDescent="0.3"/>
  <cols>
    <col min="1" max="1" width="2.109375" style="28" customWidth="1"/>
    <col min="2" max="2" width="15.44140625" style="30" customWidth="1"/>
    <col min="3" max="3" width="25.5546875" style="30" customWidth="1"/>
    <col min="4" max="4" width="17.109375" style="30" customWidth="1"/>
    <col min="5" max="5" width="18.109375" style="30" customWidth="1"/>
    <col min="6" max="6" width="1.6640625" style="30" customWidth="1"/>
    <col min="7" max="7" width="12" customWidth="1"/>
    <col min="8" max="8" width="14.44140625" style="23" customWidth="1"/>
    <col min="9" max="9" width="11.6640625" customWidth="1"/>
    <col min="10" max="10" width="11.33203125" style="28" customWidth="1"/>
    <col min="11" max="11" width="12.21875" style="28" customWidth="1"/>
    <col min="12" max="14" width="10.88671875" style="1" customWidth="1"/>
    <col min="15" max="15" width="11.6640625" style="1" customWidth="1"/>
    <col min="16" max="16" width="11.33203125" style="27" customWidth="1"/>
    <col min="17" max="17" width="11.33203125" style="28" customWidth="1"/>
    <col min="18" max="18" width="11.33203125" customWidth="1"/>
    <col min="20" max="20" width="10.6640625" style="28" bestFit="1" customWidth="1"/>
    <col min="21" max="21" width="11.109375" style="1" customWidth="1"/>
    <col min="22" max="23" width="12" style="1" customWidth="1"/>
    <col min="24" max="24" width="12.88671875" style="1" customWidth="1"/>
    <col min="25" max="25" width="16.109375" style="28" customWidth="1"/>
    <col min="26" max="27" width="10.21875" style="28" bestFit="1" customWidth="1"/>
    <col min="28" max="28" width="9.109375" style="28"/>
    <col min="29" max="33" width="9.109375" style="31"/>
  </cols>
  <sheetData>
    <row r="1" spans="2:28" x14ac:dyDescent="0.3">
      <c r="G1" s="243"/>
      <c r="H1" s="246"/>
      <c r="I1" s="243"/>
      <c r="J1" s="243"/>
      <c r="K1" s="243"/>
      <c r="L1" s="244"/>
      <c r="M1" s="244"/>
      <c r="N1" s="244"/>
      <c r="O1" s="244"/>
      <c r="P1" s="246"/>
      <c r="Q1" s="285" t="s">
        <v>367</v>
      </c>
      <c r="R1" s="285" t="s">
        <v>374</v>
      </c>
      <c r="S1" s="285" t="s">
        <v>372</v>
      </c>
      <c r="T1" s="243"/>
      <c r="U1" s="244" t="s">
        <v>373</v>
      </c>
      <c r="V1" s="244"/>
      <c r="W1" s="244"/>
      <c r="X1" s="244"/>
      <c r="Y1" s="249"/>
      <c r="Z1" s="249"/>
      <c r="AA1" s="243"/>
    </row>
    <row r="2" spans="2:28" ht="18" x14ac:dyDescent="0.3">
      <c r="C2" s="34" t="s">
        <v>382</v>
      </c>
      <c r="D2" s="33"/>
      <c r="E2" s="33"/>
      <c r="F2" s="34"/>
      <c r="G2" s="247"/>
      <c r="H2" s="247">
        <f>'The details'!B6</f>
        <v>10</v>
      </c>
      <c r="I2" s="247"/>
      <c r="J2" s="244"/>
      <c r="K2" s="244"/>
      <c r="L2" s="244"/>
      <c r="M2" s="244"/>
      <c r="N2" s="244"/>
      <c r="O2" s="292"/>
      <c r="P2" s="246"/>
      <c r="Q2" s="285" t="s">
        <v>368</v>
      </c>
      <c r="R2" s="285">
        <v>90.548159999999996</v>
      </c>
      <c r="S2" s="285">
        <v>90.553939999999997</v>
      </c>
      <c r="T2" s="243"/>
      <c r="U2" s="293">
        <v>0.72699999999999998</v>
      </c>
      <c r="V2" s="244"/>
      <c r="W2" s="244"/>
      <c r="X2" s="244"/>
      <c r="Y2" s="249"/>
      <c r="Z2" s="249"/>
      <c r="AA2" s="243"/>
    </row>
    <row r="3" spans="2:28" ht="18" x14ac:dyDescent="0.3">
      <c r="D3" s="33"/>
      <c r="E3" s="33"/>
      <c r="F3" s="34"/>
      <c r="G3" s="247"/>
      <c r="H3" s="247"/>
      <c r="I3" s="244">
        <f>G7*25.4</f>
        <v>2299.7314596289361</v>
      </c>
      <c r="J3" s="294" t="s">
        <v>286</v>
      </c>
      <c r="K3" s="244"/>
      <c r="L3" s="244"/>
      <c r="M3" s="244"/>
      <c r="N3" s="244"/>
      <c r="O3" s="247"/>
      <c r="P3" s="246"/>
      <c r="Q3" s="285" t="s">
        <v>369</v>
      </c>
      <c r="R3" s="285">
        <v>67.914940000000001</v>
      </c>
      <c r="S3" s="285">
        <v>67.919070000000005</v>
      </c>
      <c r="T3" s="243"/>
      <c r="U3" s="244">
        <f>IF(ABS(U4)&gt;ABS(V4),1,"")</f>
        <v>1</v>
      </c>
      <c r="V3" s="244" t="str">
        <f>IF(U3=1,"",1)</f>
        <v/>
      </c>
      <c r="W3" s="244" t="s">
        <v>248</v>
      </c>
      <c r="X3" s="244" t="s">
        <v>249</v>
      </c>
      <c r="Y3" s="249"/>
      <c r="Z3" s="249"/>
      <c r="AA3" s="243"/>
    </row>
    <row r="4" spans="2:28" ht="15.6" x14ac:dyDescent="0.3">
      <c r="B4" s="315" t="s">
        <v>68</v>
      </c>
      <c r="C4" s="315"/>
      <c r="G4" s="291">
        <f>AVERAGE(G7:G24)</f>
        <v>90.540587520770032</v>
      </c>
      <c r="H4" s="291">
        <f>AVERAGE(H7:H24)</f>
        <v>2.0569236744363037E-3</v>
      </c>
      <c r="I4" s="291">
        <f>H4+G4</f>
        <v>90.542644444444463</v>
      </c>
      <c r="J4" s="247"/>
      <c r="K4" s="243"/>
      <c r="L4" s="244"/>
      <c r="M4" s="244"/>
      <c r="N4" s="244"/>
      <c r="O4" s="291">
        <f>AVERAGE(O7:O24)</f>
        <v>74.666666666666671</v>
      </c>
      <c r="P4" s="246"/>
      <c r="Q4" s="285" t="s">
        <v>370</v>
      </c>
      <c r="R4" s="285">
        <v>45.273850000000003</v>
      </c>
      <c r="S4" s="285">
        <v>45.275700000000001</v>
      </c>
      <c r="T4" s="243"/>
      <c r="U4" s="245">
        <f>MAX(U9:U18)</f>
        <v>2.491353191487633E-3</v>
      </c>
      <c r="V4" s="245">
        <f>MIN(V9:V18)</f>
        <v>7.9135319148804228E-4</v>
      </c>
      <c r="W4" s="245">
        <f>AVERAGE(W7:W24)</f>
        <v>2.0569236744363037E-3</v>
      </c>
      <c r="X4" s="244">
        <f>HLOOKUP(1,U3:V4,2,FALSE)</f>
        <v>2.491353191487633E-3</v>
      </c>
      <c r="Y4" s="249"/>
      <c r="Z4" s="249"/>
      <c r="AA4" s="243"/>
    </row>
    <row r="5" spans="2:28" x14ac:dyDescent="0.3">
      <c r="C5" s="30" t="s">
        <v>12</v>
      </c>
      <c r="D5" s="30" t="s">
        <v>13</v>
      </c>
      <c r="E5" s="30" t="s">
        <v>7</v>
      </c>
      <c r="G5" s="243"/>
      <c r="H5" s="246"/>
      <c r="I5" s="243"/>
      <c r="J5" s="243"/>
      <c r="K5" s="243"/>
      <c r="L5" s="244"/>
      <c r="M5" s="244"/>
      <c r="N5" s="244"/>
      <c r="O5" s="244"/>
      <c r="P5" s="246"/>
      <c r="Q5" s="285" t="s">
        <v>371</v>
      </c>
      <c r="R5" s="285">
        <v>22.63721</v>
      </c>
      <c r="S5" s="285">
        <v>22.638860000000001</v>
      </c>
      <c r="T5" s="243"/>
      <c r="U5" s="244">
        <f>ABS(U4)</f>
        <v>2.491353191487633E-3</v>
      </c>
      <c r="V5" s="244">
        <f>ABS(V4)</f>
        <v>7.9135319148804228E-4</v>
      </c>
      <c r="W5" s="244"/>
      <c r="X5" s="244"/>
      <c r="Y5" s="249"/>
      <c r="Z5" s="249"/>
      <c r="AA5" s="243"/>
    </row>
    <row r="6" spans="2:28" ht="16.2" thickBot="1" x14ac:dyDescent="0.35">
      <c r="B6" s="250" t="s">
        <v>0</v>
      </c>
      <c r="C6" s="35" t="s">
        <v>2</v>
      </c>
      <c r="D6" s="35" t="s">
        <v>1</v>
      </c>
      <c r="E6" s="35" t="s">
        <v>8</v>
      </c>
      <c r="G6" s="36" t="s">
        <v>29</v>
      </c>
      <c r="H6" s="56" t="s">
        <v>164</v>
      </c>
      <c r="I6" s="37" t="s">
        <v>31</v>
      </c>
      <c r="J6" s="38" t="s">
        <v>185</v>
      </c>
      <c r="K6" s="37" t="s">
        <v>32</v>
      </c>
      <c r="L6" s="38" t="s">
        <v>24</v>
      </c>
      <c r="M6" s="38" t="s">
        <v>25</v>
      </c>
      <c r="N6" s="38" t="s">
        <v>26</v>
      </c>
      <c r="O6" s="38" t="s">
        <v>36</v>
      </c>
      <c r="P6" s="53" t="s">
        <v>35</v>
      </c>
      <c r="R6" s="30" t="s">
        <v>72</v>
      </c>
      <c r="S6" s="30" t="s">
        <v>73</v>
      </c>
      <c r="U6" s="30" t="s">
        <v>161</v>
      </c>
      <c r="V6" s="30" t="s">
        <v>162</v>
      </c>
      <c r="W6" s="30" t="s">
        <v>163</v>
      </c>
      <c r="X6" s="30"/>
    </row>
    <row r="7" spans="2:28" ht="15.6" x14ac:dyDescent="0.3">
      <c r="B7" s="289">
        <v>1</v>
      </c>
      <c r="C7" s="289" t="s">
        <v>65</v>
      </c>
      <c r="D7" s="289" t="str">
        <f>CONCATENATE(X7,"m / ",J7,"ft")</f>
        <v>2.7m / 9ft</v>
      </c>
      <c r="E7" s="289" t="s">
        <v>6</v>
      </c>
      <c r="G7" s="9">
        <f>R7+P7</f>
        <v>90.540608646808508</v>
      </c>
      <c r="H7" s="55">
        <f>IF(MAX(ABS(U7))&gt;MAX(ABS(V7)),U7,V7)</f>
        <v>2.1913531914918849E-3</v>
      </c>
      <c r="I7" s="17">
        <f>VLOOKUP($H$2,'tracker specs'!$A$7:$L$25,10,FALSE)</f>
        <v>2.5000000000000001E-3</v>
      </c>
      <c r="J7" s="38">
        <v>9</v>
      </c>
      <c r="K7" s="37" t="str">
        <f>(IF(ABS(H7)&gt;I7,"Fail","Pass"))</f>
        <v>Pass</v>
      </c>
      <c r="L7" s="18">
        <v>90.542000000000002</v>
      </c>
      <c r="M7" s="18">
        <v>90.542500000000004</v>
      </c>
      <c r="N7" s="18">
        <v>90.5428</v>
      </c>
      <c r="O7" s="18">
        <v>75</v>
      </c>
      <c r="P7" s="27">
        <f>IF(O7&lt;&gt;"",Q7*R7*(0.000001*S7),0)</f>
        <v>4.4364680849999998E-4</v>
      </c>
      <c r="Q7" s="28">
        <f>IF(O7&lt;&gt;"",O7-68,"")</f>
        <v>7</v>
      </c>
      <c r="R7" s="219">
        <f>'The details'!D29</f>
        <v>90.540165000000002</v>
      </c>
      <c r="S7" s="220">
        <f>'The details'!D28</f>
        <v>0.7</v>
      </c>
      <c r="U7" s="29">
        <f>IF(N7="",L7-G7,MAX(N7-G7,M7-G7,L7-G7))</f>
        <v>2.1913531914918849E-3</v>
      </c>
      <c r="V7" s="29">
        <f>IF(N7="",L7-G7,MIN(N7-G7,M7-G7,L7-G7))</f>
        <v>1.3913531914937494E-3</v>
      </c>
      <c r="W7" s="29">
        <f>IF(MAX(ABS(U7))&gt;MAX(ABS(V7)),U7,V7)</f>
        <v>2.1913531914918849E-3</v>
      </c>
      <c r="X7" s="286">
        <f>ROUND(J7/3.281,1)</f>
        <v>2.7</v>
      </c>
    </row>
    <row r="8" spans="2:28" ht="15.6" x14ac:dyDescent="0.3">
      <c r="B8" s="287">
        <v>2</v>
      </c>
      <c r="C8" s="287" t="s">
        <v>65</v>
      </c>
      <c r="D8" s="287" t="str">
        <f>CONCATENATE(X8,"m / ",J8,"ft")</f>
        <v>2.7m / 9ft</v>
      </c>
      <c r="E8" s="287" t="s">
        <v>9</v>
      </c>
      <c r="G8" s="9">
        <f>R8+P8</f>
        <v>90.540608646808508</v>
      </c>
      <c r="H8" s="55">
        <f>IF(MAX(ABS(U8))&gt;MAX(ABS(V8)),U8,V8)</f>
        <v>2.2913531914952046E-3</v>
      </c>
      <c r="I8" s="17">
        <f>VLOOKUP($H$2,'tracker specs'!$A$7:$L$25,10,FALSE)</f>
        <v>2.5000000000000001E-3</v>
      </c>
      <c r="J8" s="38">
        <v>9</v>
      </c>
      <c r="K8" s="37" t="str">
        <f>(IF(ABS(H8)&gt;I8,"Fail","Pass"))</f>
        <v>Pass</v>
      </c>
      <c r="L8" s="18">
        <v>90.542400000000001</v>
      </c>
      <c r="M8" s="18">
        <v>90.542900000000003</v>
      </c>
      <c r="N8" s="18">
        <v>90.542699999999996</v>
      </c>
      <c r="O8" s="18">
        <f t="shared" ref="O8:O24" si="0">O7</f>
        <v>75</v>
      </c>
      <c r="P8" s="27">
        <f>IF(O8&lt;&gt;"",Q8*R8*(0.000001*S8),0)</f>
        <v>4.4364680849999998E-4</v>
      </c>
      <c r="Q8" s="28">
        <f>IF(O8&lt;&gt;"",O8-68,"")</f>
        <v>7</v>
      </c>
      <c r="R8" s="219">
        <f t="shared" ref="R8:S11" si="1">R7</f>
        <v>90.540165000000002</v>
      </c>
      <c r="S8" s="220">
        <f t="shared" si="1"/>
        <v>0.7</v>
      </c>
      <c r="U8" s="29">
        <f>IF(N8="",L8-G8,MAX(N8-G8,M8-G8,L8-G8))</f>
        <v>2.2913531914952046E-3</v>
      </c>
      <c r="V8" s="29">
        <f>IF(N8="",L8-G8,MIN(N8-G8,M8-G8,L8-G8))</f>
        <v>1.7913531914928171E-3</v>
      </c>
      <c r="W8" s="29">
        <f>IF(MAX(ABS(U8))&gt;MAX(ABS(V8)),U8,V8)</f>
        <v>2.2913531914952046E-3</v>
      </c>
      <c r="X8" s="286">
        <f>ROUND(J8/3.281,1)</f>
        <v>2.7</v>
      </c>
    </row>
    <row r="9" spans="2:28" ht="15.6" x14ac:dyDescent="0.3">
      <c r="B9" s="30">
        <v>3</v>
      </c>
      <c r="C9" s="30" t="s">
        <v>65</v>
      </c>
      <c r="D9" s="30" t="str">
        <f>CONCATENATE(X9,"m / ",J9,"ft")</f>
        <v>2.7m / 9ft</v>
      </c>
      <c r="E9" s="30" t="s">
        <v>10</v>
      </c>
      <c r="G9" s="9">
        <f>R9+P9</f>
        <v>90.540418512461997</v>
      </c>
      <c r="H9" s="55">
        <f>IF(MAX(ABS(U9))&gt;MAX(ABS(V9)),U9,V9)</f>
        <v>1.0814875380020794E-3</v>
      </c>
      <c r="I9" s="17">
        <f>VLOOKUP($H$2,'tracker specs'!$A$7:$L$25,10,FALSE)</f>
        <v>2.5000000000000001E-3</v>
      </c>
      <c r="J9" s="38">
        <v>9</v>
      </c>
      <c r="K9" s="39" t="str">
        <f>(IF(ABS(H9)&gt;I9,"Fail","Pass"))</f>
        <v>Pass</v>
      </c>
      <c r="L9" s="304">
        <v>90.541499999999999</v>
      </c>
      <c r="M9" s="304">
        <v>90.541300000000007</v>
      </c>
      <c r="N9" s="304">
        <v>90.541399999999996</v>
      </c>
      <c r="O9" s="18">
        <v>72</v>
      </c>
      <c r="P9" s="27">
        <f>IF(O9&lt;&gt;"",Q9*R9*(0.000001*S9),0)</f>
        <v>2.5351246200000001E-4</v>
      </c>
      <c r="Q9" s="28">
        <f>IF(O9&lt;&gt;"",O9-68,"")</f>
        <v>4</v>
      </c>
      <c r="R9" s="219">
        <f t="shared" si="1"/>
        <v>90.540165000000002</v>
      </c>
      <c r="S9" s="220">
        <f t="shared" si="1"/>
        <v>0.7</v>
      </c>
      <c r="U9" s="29">
        <f>IF(N9="",L9-G9,MAX(N9-G9,M9-G9,L9-G9))</f>
        <v>1.0814875380020794E-3</v>
      </c>
      <c r="V9" s="29">
        <f>IF(N9="",L9-G9,MIN(N9-G9,M9-G9,L9-G9))</f>
        <v>8.8148753800965096E-4</v>
      </c>
      <c r="W9" s="29">
        <f>IF(MAX(ABS(U9))&gt;MAX(ABS(V9)),U9,V9)</f>
        <v>1.0814875380020794E-3</v>
      </c>
      <c r="X9" s="286">
        <f>ROUND(J9/3.281,1)</f>
        <v>2.7</v>
      </c>
    </row>
    <row r="10" spans="2:28" ht="15.6" x14ac:dyDescent="0.3">
      <c r="B10" s="30">
        <v>4</v>
      </c>
      <c r="C10" s="30" t="s">
        <v>65</v>
      </c>
      <c r="D10" s="30" t="str">
        <f>CONCATENATE(X10,"m / ",J10,"ft")</f>
        <v>2.7m / 9ft</v>
      </c>
      <c r="E10" s="30" t="s">
        <v>11</v>
      </c>
      <c r="G10" s="9">
        <f>R10+P10</f>
        <v>90.540418512461997</v>
      </c>
      <c r="H10" s="55">
        <f>IF(MAX(ABS(U10))&gt;MAX(ABS(V10)),U10,V10)</f>
        <v>9.8148753799875976E-4</v>
      </c>
      <c r="I10" s="17">
        <f>VLOOKUP($H$2,'tracker specs'!$A$7:$L$25,10,FALSE)</f>
        <v>2.5000000000000001E-3</v>
      </c>
      <c r="J10" s="38">
        <v>9</v>
      </c>
      <c r="K10" s="39" t="str">
        <f>(IF(ABS(H10)&gt;I10,"Fail","Pass"))</f>
        <v>Pass</v>
      </c>
      <c r="L10" s="304">
        <v>90.541300000000007</v>
      </c>
      <c r="M10" s="304">
        <v>90.541399999999996</v>
      </c>
      <c r="N10" s="304">
        <v>90.541300000000007</v>
      </c>
      <c r="O10" s="18">
        <v>72</v>
      </c>
      <c r="P10" s="27">
        <f>IF(O10&lt;&gt;"",Q10*R10*(0.000001*S10),0)</f>
        <v>2.5351246200000001E-4</v>
      </c>
      <c r="Q10" s="28">
        <f>IF(O10&lt;&gt;"",O10-68,"")</f>
        <v>4</v>
      </c>
      <c r="R10" s="219">
        <f t="shared" si="1"/>
        <v>90.540165000000002</v>
      </c>
      <c r="S10" s="220">
        <f t="shared" si="1"/>
        <v>0.7</v>
      </c>
      <c r="U10" s="29">
        <f>IF(N10="",L10-G10,MAX(N10-G10,M10-G10,L10-G10))</f>
        <v>9.8148753799875976E-4</v>
      </c>
      <c r="V10" s="29">
        <f>IF(N10="",L10-G10,MIN(N10-G10,M10-G10,L10-G10))</f>
        <v>8.8148753800965096E-4</v>
      </c>
      <c r="W10" s="29">
        <f>IF(MAX(ABS(U10))&gt;MAX(ABS(V10)),U10,V10)</f>
        <v>9.8148753799875976E-4</v>
      </c>
      <c r="X10" s="286">
        <f>ROUND(J10/3.281,1)</f>
        <v>2.7</v>
      </c>
      <c r="Y10" s="243"/>
      <c r="Z10" s="243"/>
      <c r="AA10" s="243"/>
      <c r="AB10" s="243"/>
    </row>
    <row r="11" spans="2:28" ht="15.6" x14ac:dyDescent="0.3">
      <c r="B11" s="288">
        <v>5</v>
      </c>
      <c r="C11" s="288" t="s">
        <v>66</v>
      </c>
      <c r="D11" s="288" t="str">
        <f>CONCATENATE(X11,"m / ",J11,"ft")</f>
        <v>2.7m / 9ft</v>
      </c>
      <c r="E11" s="288" t="s">
        <v>6</v>
      </c>
      <c r="G11" s="9">
        <f>R11+P11</f>
        <v>90.540608646808508</v>
      </c>
      <c r="H11" s="55">
        <f>IF(MAX(ABS(U11))&gt;MAX(ABS(V11)),U11,V11)</f>
        <v>2.2913531914952046E-3</v>
      </c>
      <c r="I11" s="17">
        <f>VLOOKUP($H$2,'tracker specs'!$A$7:$L$25,10,FALSE)</f>
        <v>2.5000000000000001E-3</v>
      </c>
      <c r="J11" s="38">
        <v>9</v>
      </c>
      <c r="K11" s="39" t="str">
        <f>(IF(ABS(H11)&gt;I11,"Fail","Pass"))</f>
        <v>Pass</v>
      </c>
      <c r="L11" s="22">
        <v>90.542900000000003</v>
      </c>
      <c r="M11" s="22">
        <v>90.542699999999996</v>
      </c>
      <c r="N11" s="22">
        <v>90.541399999999996</v>
      </c>
      <c r="O11" s="18">
        <v>75</v>
      </c>
      <c r="P11" s="27">
        <f>IF(O11&lt;&gt;"",Q11*R11*(0.000001*S11),0)</f>
        <v>4.4364680849999998E-4</v>
      </c>
      <c r="Q11" s="28">
        <f>IF(O11&lt;&gt;"",O11-68,"")</f>
        <v>7</v>
      </c>
      <c r="R11" s="219">
        <f t="shared" si="1"/>
        <v>90.540165000000002</v>
      </c>
      <c r="S11" s="220">
        <f t="shared" si="1"/>
        <v>0.7</v>
      </c>
      <c r="U11" s="29">
        <f>IF(N11="",L11-G11,MAX(N11-G11,M11-G11,L11-G11))</f>
        <v>2.2913531914952046E-3</v>
      </c>
      <c r="V11" s="29">
        <f>IF(N11="",L11-G11,MIN(N11-G11,M11-G11,L11-G11))</f>
        <v>7.9135319148804228E-4</v>
      </c>
      <c r="W11" s="29">
        <f>IF(MAX(ABS(U11))&gt;MAX(ABS(V11)),U11,V11)</f>
        <v>2.2913531914952046E-3</v>
      </c>
      <c r="X11" s="286">
        <f>ROUND(J11/3.281,1)</f>
        <v>2.7</v>
      </c>
      <c r="Y11" s="243"/>
      <c r="Z11" s="243"/>
      <c r="AA11" s="243"/>
      <c r="AB11" s="243"/>
    </row>
    <row r="12" spans="2:28" ht="15.6" x14ac:dyDescent="0.3">
      <c r="B12" s="30">
        <v>6</v>
      </c>
      <c r="C12" s="30" t="s">
        <v>66</v>
      </c>
      <c r="D12" s="30" t="str">
        <f t="shared" ref="D12:D32" si="2">CONCATENATE(X12,"m / ",J12,"ft")</f>
        <v>2.7m / 9ft</v>
      </c>
      <c r="E12" s="30" t="s">
        <v>9</v>
      </c>
      <c r="G12" s="9">
        <f t="shared" ref="G12:G24" si="3">R12+P12</f>
        <v>90.540608646808508</v>
      </c>
      <c r="H12" s="55">
        <f t="shared" ref="H12:H24" si="4">IF(MAX(ABS(U12))&gt;MAX(ABS(V12)),U12,V12)</f>
        <v>2.491353191487633E-3</v>
      </c>
      <c r="I12" s="17">
        <f>VLOOKUP($H$2,'tracker specs'!$A$7:$L$25,10,FALSE)</f>
        <v>2.5000000000000001E-3</v>
      </c>
      <c r="J12" s="38">
        <v>9</v>
      </c>
      <c r="K12" s="39" t="str">
        <f t="shared" ref="K12:K24" si="5">(IF(ABS(H12)&gt;I12,"Fail","Pass"))</f>
        <v>Pass</v>
      </c>
      <c r="L12" s="22">
        <v>90.543000000000006</v>
      </c>
      <c r="M12" s="22">
        <v>90.542699999999996</v>
      </c>
      <c r="N12" s="22">
        <v>90.543099999999995</v>
      </c>
      <c r="O12" s="18">
        <f t="shared" si="0"/>
        <v>75</v>
      </c>
      <c r="P12" s="27">
        <f t="shared" ref="P12:P37" si="6">IF(O12&lt;&gt;"",Q12*R12*(0.000001*S12),0)</f>
        <v>4.4364680849999998E-4</v>
      </c>
      <c r="Q12" s="28">
        <f t="shared" ref="Q12:Q37" si="7">IF(O12&lt;&gt;"",O12-68,"")</f>
        <v>7</v>
      </c>
      <c r="R12" s="219">
        <f t="shared" ref="R12:R32" si="8">R11</f>
        <v>90.540165000000002</v>
      </c>
      <c r="S12" s="220">
        <f t="shared" ref="S12:S32" si="9">S11</f>
        <v>0.7</v>
      </c>
      <c r="U12" s="29">
        <f t="shared" ref="U12:U37" si="10">IF(N12="",L12-G12,MAX(N12-G12,M12-G12,L12-G12))</f>
        <v>2.491353191487633E-3</v>
      </c>
      <c r="V12" s="29">
        <f t="shared" ref="V12:V37" si="11">IF(N12="",L12-G12,MIN(N12-G12,M12-G12,L12-G12))</f>
        <v>2.0913531914885652E-3</v>
      </c>
      <c r="W12" s="29">
        <f t="shared" ref="W12:W37" si="12">IF(MAX(ABS(U12))&gt;MAX(ABS(V12)),U12,V12)</f>
        <v>2.491353191487633E-3</v>
      </c>
      <c r="X12" s="286">
        <f t="shared" ref="X12:X32" si="13">ROUND(J12/3.281,1)</f>
        <v>2.7</v>
      </c>
      <c r="Y12" s="243"/>
      <c r="Z12" s="243"/>
      <c r="AA12" s="243"/>
      <c r="AB12" s="243"/>
    </row>
    <row r="13" spans="2:28" ht="15.6" x14ac:dyDescent="0.3">
      <c r="B13" s="30">
        <v>7</v>
      </c>
      <c r="C13" s="30" t="s">
        <v>66</v>
      </c>
      <c r="D13" s="30" t="str">
        <f t="shared" si="2"/>
        <v>2.7m / 9ft</v>
      </c>
      <c r="E13" s="30" t="s">
        <v>10</v>
      </c>
      <c r="G13" s="9">
        <f t="shared" si="3"/>
        <v>90.540608646808508</v>
      </c>
      <c r="H13" s="55">
        <f t="shared" si="4"/>
        <v>1.5913531914861778E-3</v>
      </c>
      <c r="I13" s="17">
        <f>VLOOKUP($H$2,'tracker specs'!$A$7:$L$25,10,FALSE)</f>
        <v>2.5000000000000001E-3</v>
      </c>
      <c r="J13" s="38">
        <v>9</v>
      </c>
      <c r="K13" s="39" t="str">
        <f t="shared" si="5"/>
        <v>Pass</v>
      </c>
      <c r="L13" s="22">
        <v>90.542199999999994</v>
      </c>
      <c r="M13" s="22">
        <v>90.541499999999999</v>
      </c>
      <c r="N13" s="22">
        <v>90.541600000000003</v>
      </c>
      <c r="O13" s="18">
        <f t="shared" si="0"/>
        <v>75</v>
      </c>
      <c r="P13" s="27">
        <f t="shared" si="6"/>
        <v>4.4364680849999998E-4</v>
      </c>
      <c r="Q13" s="28">
        <f t="shared" si="7"/>
        <v>7</v>
      </c>
      <c r="R13" s="219">
        <f t="shared" si="8"/>
        <v>90.540165000000002</v>
      </c>
      <c r="S13" s="220">
        <f t="shared" si="9"/>
        <v>0.7</v>
      </c>
      <c r="U13" s="29">
        <f t="shared" si="10"/>
        <v>1.5913531914861778E-3</v>
      </c>
      <c r="V13" s="29">
        <f t="shared" si="11"/>
        <v>8.9135319149136194E-4</v>
      </c>
      <c r="W13" s="29">
        <f t="shared" si="12"/>
        <v>1.5913531914861778E-3</v>
      </c>
      <c r="X13" s="286">
        <f t="shared" si="13"/>
        <v>2.7</v>
      </c>
      <c r="Y13" s="243"/>
      <c r="Z13" s="243"/>
      <c r="AA13" s="243"/>
      <c r="AB13" s="243"/>
    </row>
    <row r="14" spans="2:28" ht="15.6" x14ac:dyDescent="0.3">
      <c r="B14" s="30">
        <v>8</v>
      </c>
      <c r="C14" s="30" t="s">
        <v>66</v>
      </c>
      <c r="D14" s="30" t="str">
        <f t="shared" si="2"/>
        <v>2.7m / 9ft</v>
      </c>
      <c r="E14" s="30" t="s">
        <v>11</v>
      </c>
      <c r="G14" s="9">
        <f t="shared" si="3"/>
        <v>90.540608646808508</v>
      </c>
      <c r="H14" s="55">
        <f t="shared" si="4"/>
        <v>1.9913531914852456E-3</v>
      </c>
      <c r="I14" s="17">
        <f>VLOOKUP($H$2,'tracker specs'!$A$7:$L$25,10,FALSE)</f>
        <v>2.5000000000000001E-3</v>
      </c>
      <c r="J14" s="38">
        <v>9</v>
      </c>
      <c r="K14" s="39" t="str">
        <f t="shared" si="5"/>
        <v>Pass</v>
      </c>
      <c r="L14" s="22">
        <v>90.542599999999993</v>
      </c>
      <c r="M14" s="22">
        <v>90.542400000000001</v>
      </c>
      <c r="N14" s="22">
        <v>90.542100000000005</v>
      </c>
      <c r="O14" s="18">
        <f t="shared" si="0"/>
        <v>75</v>
      </c>
      <c r="P14" s="27">
        <f t="shared" si="6"/>
        <v>4.4364680849999998E-4</v>
      </c>
      <c r="Q14" s="28">
        <f t="shared" si="7"/>
        <v>7</v>
      </c>
      <c r="R14" s="219">
        <f t="shared" si="8"/>
        <v>90.540165000000002</v>
      </c>
      <c r="S14" s="220">
        <f t="shared" si="9"/>
        <v>0.7</v>
      </c>
      <c r="U14" s="29">
        <f t="shared" si="10"/>
        <v>1.9913531914852456E-3</v>
      </c>
      <c r="V14" s="29">
        <f t="shared" si="11"/>
        <v>1.491353191497069E-3</v>
      </c>
      <c r="W14" s="29">
        <f t="shared" si="12"/>
        <v>1.9913531914852456E-3</v>
      </c>
      <c r="X14" s="286">
        <f t="shared" si="13"/>
        <v>2.7</v>
      </c>
      <c r="Y14" s="243"/>
      <c r="Z14" s="243"/>
      <c r="AA14" s="243"/>
      <c r="AB14" s="243"/>
    </row>
    <row r="15" spans="2:28" ht="15.6" x14ac:dyDescent="0.3">
      <c r="B15" s="30">
        <v>9</v>
      </c>
      <c r="C15" s="30" t="s">
        <v>70</v>
      </c>
      <c r="D15" s="30" t="str">
        <f t="shared" si="2"/>
        <v>2.7m / 9ft</v>
      </c>
      <c r="E15" s="30" t="s">
        <v>6</v>
      </c>
      <c r="G15" s="9">
        <f t="shared" si="3"/>
        <v>90.540608646808508</v>
      </c>
      <c r="H15" s="55">
        <f t="shared" si="4"/>
        <v>2.2913531914952046E-3</v>
      </c>
      <c r="I15" s="17">
        <f>VLOOKUP($H$2,'tracker specs'!$A$7:$L$25,10,FALSE)</f>
        <v>2.5000000000000001E-3</v>
      </c>
      <c r="J15" s="38">
        <v>9</v>
      </c>
      <c r="K15" s="39" t="str">
        <f t="shared" si="5"/>
        <v>Pass</v>
      </c>
      <c r="L15" s="22">
        <v>90.542900000000003</v>
      </c>
      <c r="M15" s="22">
        <v>90.542299999999997</v>
      </c>
      <c r="N15" s="22">
        <v>90.541499999999999</v>
      </c>
      <c r="O15" s="18">
        <f t="shared" si="0"/>
        <v>75</v>
      </c>
      <c r="P15" s="27">
        <f t="shared" si="6"/>
        <v>4.4364680849999998E-4</v>
      </c>
      <c r="Q15" s="28">
        <f t="shared" si="7"/>
        <v>7</v>
      </c>
      <c r="R15" s="219">
        <f t="shared" si="8"/>
        <v>90.540165000000002</v>
      </c>
      <c r="S15" s="220">
        <f t="shared" si="9"/>
        <v>0.7</v>
      </c>
      <c r="U15" s="29">
        <f t="shared" si="10"/>
        <v>2.2913531914952046E-3</v>
      </c>
      <c r="V15" s="29">
        <f t="shared" si="11"/>
        <v>8.9135319149136194E-4</v>
      </c>
      <c r="W15" s="29">
        <f t="shared" si="12"/>
        <v>2.2913531914952046E-3</v>
      </c>
      <c r="X15" s="286">
        <f t="shared" si="13"/>
        <v>2.7</v>
      </c>
      <c r="Y15" s="243"/>
      <c r="Z15" s="243"/>
      <c r="AA15" s="243"/>
      <c r="AB15" s="243"/>
    </row>
    <row r="16" spans="2:28" ht="15.6" x14ac:dyDescent="0.3">
      <c r="B16" s="30">
        <v>10</v>
      </c>
      <c r="C16" s="30" t="s">
        <v>69</v>
      </c>
      <c r="D16" s="30" t="str">
        <f t="shared" si="2"/>
        <v>2.7m / 9ft</v>
      </c>
      <c r="E16" s="30" t="s">
        <v>6</v>
      </c>
      <c r="G16" s="9">
        <f t="shared" si="3"/>
        <v>90.540608646808508</v>
      </c>
      <c r="H16" s="55">
        <f t="shared" si="4"/>
        <v>2.1913531914918849E-3</v>
      </c>
      <c r="I16" s="17">
        <f>VLOOKUP($H$2,'tracker specs'!$A$7:$L$25,10,FALSE)</f>
        <v>2.5000000000000001E-3</v>
      </c>
      <c r="J16" s="38">
        <v>9</v>
      </c>
      <c r="K16" s="39" t="str">
        <f t="shared" si="5"/>
        <v>Pass</v>
      </c>
      <c r="L16" s="22">
        <v>90.5428</v>
      </c>
      <c r="M16" s="22">
        <v>90.542299999999997</v>
      </c>
      <c r="N16" s="22">
        <v>90.5428</v>
      </c>
      <c r="O16" s="18">
        <f t="shared" si="0"/>
        <v>75</v>
      </c>
      <c r="P16" s="27">
        <f t="shared" si="6"/>
        <v>4.4364680849999998E-4</v>
      </c>
      <c r="Q16" s="28">
        <f t="shared" si="7"/>
        <v>7</v>
      </c>
      <c r="R16" s="219">
        <f t="shared" si="8"/>
        <v>90.540165000000002</v>
      </c>
      <c r="S16" s="220">
        <f t="shared" si="9"/>
        <v>0.7</v>
      </c>
      <c r="U16" s="29">
        <f t="shared" si="10"/>
        <v>2.1913531914918849E-3</v>
      </c>
      <c r="V16" s="29">
        <f t="shared" si="11"/>
        <v>1.6913531914894975E-3</v>
      </c>
      <c r="W16" s="29">
        <f t="shared" si="12"/>
        <v>2.1913531914918849E-3</v>
      </c>
      <c r="X16" s="286">
        <f t="shared" si="13"/>
        <v>2.7</v>
      </c>
      <c r="Y16" s="243"/>
      <c r="Z16" s="243"/>
      <c r="AA16" s="243"/>
      <c r="AB16" s="243"/>
    </row>
    <row r="17" spans="2:28" ht="15.6" x14ac:dyDescent="0.3">
      <c r="B17" s="30">
        <v>11</v>
      </c>
      <c r="C17" s="30" t="s">
        <v>70</v>
      </c>
      <c r="D17" s="30" t="str">
        <f t="shared" si="2"/>
        <v>2.7m / 9ft</v>
      </c>
      <c r="E17" s="30" t="s">
        <v>9</v>
      </c>
      <c r="G17" s="9">
        <f t="shared" si="3"/>
        <v>90.540608646808508</v>
      </c>
      <c r="H17" s="55">
        <f t="shared" si="4"/>
        <v>2.491353191487633E-3</v>
      </c>
      <c r="I17" s="17">
        <f>VLOOKUP($H$2,'tracker specs'!$A$7:$L$25,10,FALSE)</f>
        <v>2.5000000000000001E-3</v>
      </c>
      <c r="J17" s="38">
        <v>9</v>
      </c>
      <c r="K17" s="39" t="str">
        <f t="shared" si="5"/>
        <v>Pass</v>
      </c>
      <c r="L17" s="22">
        <v>90.542900000000003</v>
      </c>
      <c r="M17" s="22">
        <v>90.543099999999995</v>
      </c>
      <c r="N17" s="184">
        <v>90.543099999999995</v>
      </c>
      <c r="O17" s="18">
        <f t="shared" si="0"/>
        <v>75</v>
      </c>
      <c r="P17" s="27">
        <f t="shared" si="6"/>
        <v>4.4364680849999998E-4</v>
      </c>
      <c r="Q17" s="28">
        <f t="shared" si="7"/>
        <v>7</v>
      </c>
      <c r="R17" s="219">
        <f t="shared" si="8"/>
        <v>90.540165000000002</v>
      </c>
      <c r="S17" s="220">
        <f t="shared" si="9"/>
        <v>0.7</v>
      </c>
      <c r="U17" s="29">
        <f t="shared" si="10"/>
        <v>2.491353191487633E-3</v>
      </c>
      <c r="V17" s="29">
        <f t="shared" si="11"/>
        <v>2.2913531914952046E-3</v>
      </c>
      <c r="W17" s="29">
        <f t="shared" si="12"/>
        <v>2.491353191487633E-3</v>
      </c>
      <c r="X17" s="286">
        <f t="shared" si="13"/>
        <v>2.7</v>
      </c>
      <c r="Y17" s="243"/>
      <c r="Z17" s="243"/>
      <c r="AA17" s="243"/>
      <c r="AB17" s="243"/>
    </row>
    <row r="18" spans="2:28" ht="15.6" x14ac:dyDescent="0.3">
      <c r="B18" s="30">
        <v>12</v>
      </c>
      <c r="C18" s="30" t="s">
        <v>69</v>
      </c>
      <c r="D18" s="30" t="str">
        <f t="shared" si="2"/>
        <v>2.7m / 9ft</v>
      </c>
      <c r="E18" s="30" t="s">
        <v>9</v>
      </c>
      <c r="G18" s="9">
        <f t="shared" si="3"/>
        <v>90.540608646808508</v>
      </c>
      <c r="H18" s="55">
        <f t="shared" si="4"/>
        <v>2.1913531914918849E-3</v>
      </c>
      <c r="I18" s="17">
        <f>VLOOKUP($H$2,'tracker specs'!$A$7:$L$25,10,FALSE)</f>
        <v>2.5000000000000001E-3</v>
      </c>
      <c r="J18" s="38">
        <v>9</v>
      </c>
      <c r="K18" s="39" t="str">
        <f t="shared" si="5"/>
        <v>Pass</v>
      </c>
      <c r="L18" s="22">
        <v>90.542500000000004</v>
      </c>
      <c r="M18" s="22">
        <v>90.542299999999997</v>
      </c>
      <c r="N18" s="22">
        <v>90.5428</v>
      </c>
      <c r="O18" s="18">
        <f t="shared" si="0"/>
        <v>75</v>
      </c>
      <c r="P18" s="27">
        <f t="shared" si="6"/>
        <v>4.4364680849999998E-4</v>
      </c>
      <c r="Q18" s="28">
        <f t="shared" si="7"/>
        <v>7</v>
      </c>
      <c r="R18" s="219">
        <f t="shared" si="8"/>
        <v>90.540165000000002</v>
      </c>
      <c r="S18" s="220">
        <f t="shared" si="9"/>
        <v>0.7</v>
      </c>
      <c r="U18" s="29">
        <f t="shared" si="10"/>
        <v>2.1913531914918849E-3</v>
      </c>
      <c r="V18" s="29">
        <f t="shared" si="11"/>
        <v>1.6913531914894975E-3</v>
      </c>
      <c r="W18" s="29">
        <f t="shared" si="12"/>
        <v>2.1913531914918849E-3</v>
      </c>
      <c r="X18" s="286">
        <f t="shared" si="13"/>
        <v>2.7</v>
      </c>
      <c r="Y18" s="243"/>
      <c r="Z18" s="243"/>
      <c r="AA18" s="243"/>
      <c r="AB18" s="243"/>
    </row>
    <row r="19" spans="2:28" ht="15.6" x14ac:dyDescent="0.3">
      <c r="B19" s="30">
        <v>13</v>
      </c>
      <c r="C19" s="30" t="s">
        <v>40</v>
      </c>
      <c r="D19" s="30" t="str">
        <f t="shared" si="2"/>
        <v>4.9m / 16ft</v>
      </c>
      <c r="E19" s="30" t="s">
        <v>6</v>
      </c>
      <c r="G19" s="9">
        <f t="shared" si="3"/>
        <v>90.540608646808508</v>
      </c>
      <c r="H19" s="55">
        <f t="shared" si="4"/>
        <v>2.0913531914885652E-3</v>
      </c>
      <c r="I19" s="17">
        <f>VLOOKUP($H$2,'tracker specs'!$A$7:$M$25,13,FALSE)</f>
        <v>2.5000000000000001E-3</v>
      </c>
      <c r="J19" s="38">
        <v>16</v>
      </c>
      <c r="K19" s="39" t="str">
        <f t="shared" si="5"/>
        <v>Pass</v>
      </c>
      <c r="L19" s="22">
        <v>90.542699999999996</v>
      </c>
      <c r="M19" s="22">
        <v>90.542699999999996</v>
      </c>
      <c r="N19" s="22">
        <v>90.542599999999993</v>
      </c>
      <c r="O19" s="18">
        <f t="shared" si="0"/>
        <v>75</v>
      </c>
      <c r="P19" s="27">
        <f t="shared" si="6"/>
        <v>4.4364680849999998E-4</v>
      </c>
      <c r="Q19" s="28">
        <f t="shared" si="7"/>
        <v>7</v>
      </c>
      <c r="R19" s="219">
        <f t="shared" si="8"/>
        <v>90.540165000000002</v>
      </c>
      <c r="S19" s="220">
        <f t="shared" si="9"/>
        <v>0.7</v>
      </c>
      <c r="U19" s="29">
        <f t="shared" si="10"/>
        <v>2.0913531914885652E-3</v>
      </c>
      <c r="V19" s="29">
        <f t="shared" si="11"/>
        <v>1.9913531914852456E-3</v>
      </c>
      <c r="W19" s="29">
        <f t="shared" si="12"/>
        <v>2.0913531914885652E-3</v>
      </c>
      <c r="X19" s="286">
        <f t="shared" si="13"/>
        <v>4.9000000000000004</v>
      </c>
      <c r="Y19" s="243"/>
      <c r="Z19" s="243"/>
      <c r="AA19" s="243"/>
      <c r="AB19" s="243"/>
    </row>
    <row r="20" spans="2:28" ht="15.6" x14ac:dyDescent="0.3">
      <c r="B20" s="30">
        <v>14</v>
      </c>
      <c r="C20" s="30" t="s">
        <v>147</v>
      </c>
      <c r="D20" s="30" t="str">
        <f t="shared" si="2"/>
        <v>2.7m / 9ft</v>
      </c>
      <c r="E20" s="30" t="s">
        <v>6</v>
      </c>
      <c r="G20" s="9">
        <f t="shared" si="3"/>
        <v>90.540608646808508</v>
      </c>
      <c r="H20" s="55">
        <f t="shared" si="4"/>
        <v>2.1913531914918849E-3</v>
      </c>
      <c r="I20" s="17">
        <f>VLOOKUP($H$2,'tracker specs'!$A$7:$L$25,10,FALSE)</f>
        <v>2.5000000000000001E-3</v>
      </c>
      <c r="J20" s="38">
        <v>9</v>
      </c>
      <c r="K20" s="39" t="str">
        <f t="shared" si="5"/>
        <v>Pass</v>
      </c>
      <c r="L20" s="22">
        <v>90.542699999999996</v>
      </c>
      <c r="M20" s="22">
        <v>90.542699999999996</v>
      </c>
      <c r="N20" s="22">
        <v>90.5428</v>
      </c>
      <c r="O20" s="18">
        <f t="shared" si="0"/>
        <v>75</v>
      </c>
      <c r="P20" s="27">
        <f t="shared" si="6"/>
        <v>4.4364680849999998E-4</v>
      </c>
      <c r="Q20" s="28">
        <f t="shared" si="7"/>
        <v>7</v>
      </c>
      <c r="R20" s="219">
        <f t="shared" si="8"/>
        <v>90.540165000000002</v>
      </c>
      <c r="S20" s="220">
        <f t="shared" si="9"/>
        <v>0.7</v>
      </c>
      <c r="U20" s="29">
        <f t="shared" si="10"/>
        <v>2.1913531914918849E-3</v>
      </c>
      <c r="V20" s="29">
        <f t="shared" si="11"/>
        <v>2.0913531914885652E-3</v>
      </c>
      <c r="W20" s="29">
        <f t="shared" si="12"/>
        <v>2.1913531914918849E-3</v>
      </c>
      <c r="X20" s="286">
        <f t="shared" si="13"/>
        <v>2.7</v>
      </c>
      <c r="Y20" s="243"/>
      <c r="Z20" s="243"/>
      <c r="AA20" s="243"/>
      <c r="AB20" s="243"/>
    </row>
    <row r="21" spans="2:28" ht="15.6" x14ac:dyDescent="0.3">
      <c r="B21" s="290">
        <v>15</v>
      </c>
      <c r="C21" s="290" t="s">
        <v>65</v>
      </c>
      <c r="D21" s="290" t="str">
        <f t="shared" si="2"/>
        <v>6.1m / 20ft</v>
      </c>
      <c r="E21" s="290" t="s">
        <v>6</v>
      </c>
      <c r="G21" s="9">
        <f t="shared" si="3"/>
        <v>90.540608646808508</v>
      </c>
      <c r="H21" s="55">
        <f t="shared" si="4"/>
        <v>1.6913531914894975E-3</v>
      </c>
      <c r="I21" s="17">
        <f>VLOOKUP($H$2,'tracker specs'!$A$7:$L$25,11,FALSE)</f>
        <v>4.1999999999999997E-3</v>
      </c>
      <c r="J21" s="38">
        <v>20</v>
      </c>
      <c r="K21" s="39" t="str">
        <f t="shared" si="5"/>
        <v>Pass</v>
      </c>
      <c r="L21" s="22">
        <v>90.542299999999997</v>
      </c>
      <c r="M21" s="22">
        <v>90.542199999999994</v>
      </c>
      <c r="N21" s="22">
        <v>90.5411</v>
      </c>
      <c r="O21" s="18">
        <f t="shared" si="0"/>
        <v>75</v>
      </c>
      <c r="P21" s="27">
        <f t="shared" si="6"/>
        <v>4.4364680849999998E-4</v>
      </c>
      <c r="Q21" s="28">
        <f t="shared" si="7"/>
        <v>7</v>
      </c>
      <c r="R21" s="219">
        <f t="shared" si="8"/>
        <v>90.540165000000002</v>
      </c>
      <c r="S21" s="220">
        <f t="shared" si="9"/>
        <v>0.7</v>
      </c>
      <c r="U21" s="29">
        <f t="shared" si="10"/>
        <v>1.6913531914894975E-3</v>
      </c>
      <c r="V21" s="29">
        <f t="shared" si="11"/>
        <v>4.9135319149229417E-4</v>
      </c>
      <c r="W21" s="29">
        <f t="shared" si="12"/>
        <v>1.6913531914894975E-3</v>
      </c>
      <c r="X21" s="286">
        <f t="shared" si="13"/>
        <v>6.1</v>
      </c>
      <c r="Y21" s="243"/>
      <c r="Z21" s="243"/>
      <c r="AA21" s="243"/>
      <c r="AB21" s="243"/>
    </row>
    <row r="22" spans="2:28" ht="15.6" x14ac:dyDescent="0.3">
      <c r="B22" s="30">
        <v>16</v>
      </c>
      <c r="C22" s="30" t="s">
        <v>66</v>
      </c>
      <c r="D22" s="30" t="str">
        <f t="shared" si="2"/>
        <v>6.1m / 20ft</v>
      </c>
      <c r="E22" s="30" t="s">
        <v>6</v>
      </c>
      <c r="G22" s="9">
        <f t="shared" si="3"/>
        <v>90.540608646808508</v>
      </c>
      <c r="H22" s="55">
        <f t="shared" si="4"/>
        <v>2.3913531914985242E-3</v>
      </c>
      <c r="I22" s="17">
        <f>VLOOKUP($H$2,'tracker specs'!$A$7:$L$25,11,FALSE)</f>
        <v>4.1999999999999997E-3</v>
      </c>
      <c r="J22" s="38">
        <v>20</v>
      </c>
      <c r="K22" s="39" t="str">
        <f t="shared" si="5"/>
        <v>Pass</v>
      </c>
      <c r="L22" s="22">
        <v>90.543000000000006</v>
      </c>
      <c r="M22" s="22">
        <v>90.542900000000003</v>
      </c>
      <c r="N22" s="22">
        <v>90.541499999999999</v>
      </c>
      <c r="O22" s="18">
        <f t="shared" si="0"/>
        <v>75</v>
      </c>
      <c r="P22" s="27">
        <f t="shared" si="6"/>
        <v>4.4364680849999998E-4</v>
      </c>
      <c r="Q22" s="28">
        <f t="shared" si="7"/>
        <v>7</v>
      </c>
      <c r="R22" s="219">
        <f t="shared" si="8"/>
        <v>90.540165000000002</v>
      </c>
      <c r="S22" s="220">
        <f t="shared" si="9"/>
        <v>0.7</v>
      </c>
      <c r="U22" s="29">
        <f t="shared" si="10"/>
        <v>2.3913531914985242E-3</v>
      </c>
      <c r="V22" s="29">
        <f t="shared" si="11"/>
        <v>8.9135319149136194E-4</v>
      </c>
      <c r="W22" s="29">
        <f t="shared" si="12"/>
        <v>2.3913531914985242E-3</v>
      </c>
      <c r="X22" s="286">
        <f t="shared" si="13"/>
        <v>6.1</v>
      </c>
      <c r="Y22" s="243"/>
      <c r="Z22" s="243"/>
      <c r="AA22" s="243"/>
      <c r="AB22" s="243"/>
    </row>
    <row r="23" spans="2:28" ht="15.6" x14ac:dyDescent="0.3">
      <c r="B23" s="30">
        <v>17</v>
      </c>
      <c r="C23" s="30" t="s">
        <v>65</v>
      </c>
      <c r="D23" s="30" t="str">
        <f t="shared" si="2"/>
        <v>12.2m / 40ft</v>
      </c>
      <c r="E23" s="30" t="s">
        <v>6</v>
      </c>
      <c r="G23" s="9">
        <f t="shared" si="3"/>
        <v>90.540608646808508</v>
      </c>
      <c r="H23" s="55">
        <f t="shared" si="4"/>
        <v>2.491353191487633E-3</v>
      </c>
      <c r="I23" s="17">
        <f>VLOOKUP($H$2,'tracker specs'!$A$7:$L$25,12,FALSE)</f>
        <v>7.4999999999999997E-3</v>
      </c>
      <c r="J23" s="38">
        <v>40</v>
      </c>
      <c r="K23" s="39" t="str">
        <f t="shared" si="5"/>
        <v>Pass</v>
      </c>
      <c r="L23" s="22">
        <v>90.543099999999995</v>
      </c>
      <c r="M23" s="22">
        <v>90.542699999999996</v>
      </c>
      <c r="N23" s="22">
        <v>90.542199999999994</v>
      </c>
      <c r="O23" s="18">
        <f t="shared" si="0"/>
        <v>75</v>
      </c>
      <c r="P23" s="27">
        <f t="shared" si="6"/>
        <v>4.4364680849999998E-4</v>
      </c>
      <c r="Q23" s="28">
        <f t="shared" si="7"/>
        <v>7</v>
      </c>
      <c r="R23" s="219">
        <f t="shared" si="8"/>
        <v>90.540165000000002</v>
      </c>
      <c r="S23" s="220">
        <f t="shared" si="9"/>
        <v>0.7</v>
      </c>
      <c r="U23" s="29">
        <f t="shared" si="10"/>
        <v>2.491353191487633E-3</v>
      </c>
      <c r="V23" s="29">
        <f t="shared" si="11"/>
        <v>1.5913531914861778E-3</v>
      </c>
      <c r="W23" s="29">
        <f t="shared" si="12"/>
        <v>2.491353191487633E-3</v>
      </c>
      <c r="X23" s="286">
        <f t="shared" si="13"/>
        <v>12.2</v>
      </c>
      <c r="Y23" s="243"/>
      <c r="Z23" s="243"/>
      <c r="AA23" s="243"/>
      <c r="AB23" s="243"/>
    </row>
    <row r="24" spans="2:28" ht="15.6" x14ac:dyDescent="0.3">
      <c r="B24" s="30">
        <v>18</v>
      </c>
      <c r="C24" s="30" t="s">
        <v>66</v>
      </c>
      <c r="D24" s="30" t="str">
        <f t="shared" si="2"/>
        <v>12.2m / 40ft</v>
      </c>
      <c r="E24" s="30" t="s">
        <v>6</v>
      </c>
      <c r="G24" s="9">
        <f t="shared" si="3"/>
        <v>90.540608646808508</v>
      </c>
      <c r="H24" s="55">
        <f t="shared" si="4"/>
        <v>2.0913531914885652E-3</v>
      </c>
      <c r="I24" s="17">
        <f>VLOOKUP($H$2,'tracker specs'!$A$7:$L$25,12,FALSE)</f>
        <v>7.4999999999999997E-3</v>
      </c>
      <c r="J24" s="153">
        <v>40</v>
      </c>
      <c r="K24" s="39" t="str">
        <f t="shared" si="5"/>
        <v>Pass</v>
      </c>
      <c r="L24" s="22">
        <v>90.540300000000002</v>
      </c>
      <c r="M24" s="22">
        <v>90.540599999999998</v>
      </c>
      <c r="N24" s="22">
        <v>90.542699999999996</v>
      </c>
      <c r="O24" s="18">
        <f t="shared" si="0"/>
        <v>75</v>
      </c>
      <c r="P24" s="27">
        <f t="shared" si="6"/>
        <v>4.4364680849999998E-4</v>
      </c>
      <c r="Q24" s="28">
        <f t="shared" si="7"/>
        <v>7</v>
      </c>
      <c r="R24" s="219">
        <f t="shared" si="8"/>
        <v>90.540165000000002</v>
      </c>
      <c r="S24" s="220">
        <f t="shared" si="9"/>
        <v>0.7</v>
      </c>
      <c r="U24" s="29">
        <f t="shared" si="10"/>
        <v>2.0913531914885652E-3</v>
      </c>
      <c r="V24" s="29">
        <f t="shared" si="11"/>
        <v>-3.0864680850584136E-4</v>
      </c>
      <c r="W24" s="29">
        <f t="shared" si="12"/>
        <v>2.0913531914885652E-3</v>
      </c>
      <c r="X24" s="286">
        <f t="shared" si="13"/>
        <v>12.2</v>
      </c>
      <c r="Y24" s="243"/>
      <c r="Z24" s="243"/>
      <c r="AA24" s="243"/>
      <c r="AB24" s="243"/>
    </row>
    <row r="25" spans="2:28" ht="15.6" x14ac:dyDescent="0.3">
      <c r="B25" s="288">
        <v>19</v>
      </c>
      <c r="C25" s="288" t="s">
        <v>378</v>
      </c>
      <c r="D25" s="288" t="str">
        <f t="shared" si="2"/>
        <v>2.7m / 9ft</v>
      </c>
      <c r="E25" s="288" t="s">
        <v>6</v>
      </c>
      <c r="G25" s="9" t="s">
        <v>383</v>
      </c>
      <c r="H25" s="55">
        <f>MAX(L25,M25,N25)</f>
        <v>8.9999999999999998E-4</v>
      </c>
      <c r="I25" s="17"/>
      <c r="J25" s="38">
        <v>9</v>
      </c>
      <c r="K25" s="39" t="str">
        <f>IF(L25&lt;&gt;"","Completed","")</f>
        <v>Completed</v>
      </c>
      <c r="L25" s="22">
        <v>8.9999999999999998E-4</v>
      </c>
      <c r="M25" s="22"/>
      <c r="N25" s="22"/>
      <c r="O25" s="18"/>
      <c r="P25" s="27">
        <f t="shared" si="6"/>
        <v>0</v>
      </c>
      <c r="Q25" s="28" t="str">
        <f t="shared" si="7"/>
        <v/>
      </c>
      <c r="R25" s="219">
        <f t="shared" si="8"/>
        <v>90.540165000000002</v>
      </c>
      <c r="S25" s="220">
        <f t="shared" si="9"/>
        <v>0.7</v>
      </c>
      <c r="U25" s="29" t="e">
        <f t="shared" si="10"/>
        <v>#VALUE!</v>
      </c>
      <c r="V25" s="29" t="e">
        <f t="shared" si="11"/>
        <v>#VALUE!</v>
      </c>
      <c r="W25" s="29" t="e">
        <f t="shared" si="12"/>
        <v>#VALUE!</v>
      </c>
      <c r="X25" s="286">
        <f t="shared" si="13"/>
        <v>2.7</v>
      </c>
      <c r="Y25" s="243"/>
      <c r="Z25" s="243"/>
      <c r="AA25" s="243"/>
      <c r="AB25" s="243"/>
    </row>
    <row r="26" spans="2:28" ht="15.6" x14ac:dyDescent="0.3">
      <c r="B26" s="289">
        <v>20</v>
      </c>
      <c r="C26" s="289" t="s">
        <v>379</v>
      </c>
      <c r="D26" s="289" t="str">
        <f t="shared" si="2"/>
        <v>2.7m / 9ft</v>
      </c>
      <c r="E26" s="289" t="s">
        <v>6</v>
      </c>
      <c r="G26" s="9" t="s">
        <v>383</v>
      </c>
      <c r="H26" s="55">
        <f t="shared" ref="H26:H32" si="14">MAX(L26,M26,N26)</f>
        <v>5.0000000000000001E-4</v>
      </c>
      <c r="I26" s="17"/>
      <c r="J26" s="153">
        <v>9</v>
      </c>
      <c r="K26" s="39" t="str">
        <f t="shared" ref="K26:K32" si="15">IF(L26&lt;&gt;"","Completed","")</f>
        <v>Completed</v>
      </c>
      <c r="L26" s="22">
        <v>5.0000000000000001E-4</v>
      </c>
      <c r="M26" s="22"/>
      <c r="N26" s="22"/>
      <c r="O26" s="18"/>
      <c r="P26" s="27">
        <f t="shared" si="6"/>
        <v>0</v>
      </c>
      <c r="Q26" s="28" t="str">
        <f t="shared" si="7"/>
        <v/>
      </c>
      <c r="R26" s="219">
        <f t="shared" si="8"/>
        <v>90.540165000000002</v>
      </c>
      <c r="S26" s="220">
        <f t="shared" si="9"/>
        <v>0.7</v>
      </c>
      <c r="U26" s="29" t="e">
        <f t="shared" si="10"/>
        <v>#VALUE!</v>
      </c>
      <c r="V26" s="29" t="e">
        <f t="shared" si="11"/>
        <v>#VALUE!</v>
      </c>
      <c r="W26" s="29" t="e">
        <f t="shared" si="12"/>
        <v>#VALUE!</v>
      </c>
      <c r="X26" s="286">
        <f t="shared" si="13"/>
        <v>2.7</v>
      </c>
      <c r="Y26" s="243"/>
      <c r="Z26" s="243"/>
      <c r="AA26" s="243"/>
      <c r="AB26" s="243"/>
    </row>
    <row r="27" spans="2:28" ht="15.6" x14ac:dyDescent="0.3">
      <c r="B27" s="288">
        <v>21</v>
      </c>
      <c r="C27" s="288" t="s">
        <v>380</v>
      </c>
      <c r="D27" s="288" t="str">
        <f t="shared" si="2"/>
        <v>2.7m / 9ft</v>
      </c>
      <c r="E27" s="288" t="s">
        <v>6</v>
      </c>
      <c r="G27" s="9" t="s">
        <v>383</v>
      </c>
      <c r="H27" s="55">
        <f t="shared" si="14"/>
        <v>4.0000000000000002E-4</v>
      </c>
      <c r="I27" s="17"/>
      <c r="J27" s="38">
        <v>9</v>
      </c>
      <c r="K27" s="39" t="str">
        <f t="shared" si="15"/>
        <v>Completed</v>
      </c>
      <c r="L27" s="22">
        <v>4.0000000000000002E-4</v>
      </c>
      <c r="M27" s="22"/>
      <c r="N27" s="22"/>
      <c r="O27" s="18"/>
      <c r="P27" s="27">
        <f t="shared" si="6"/>
        <v>0</v>
      </c>
      <c r="Q27" s="28" t="str">
        <f t="shared" si="7"/>
        <v/>
      </c>
      <c r="R27" s="219">
        <f t="shared" si="8"/>
        <v>90.540165000000002</v>
      </c>
      <c r="S27" s="220">
        <f t="shared" si="9"/>
        <v>0.7</v>
      </c>
      <c r="U27" s="29" t="e">
        <f t="shared" si="10"/>
        <v>#VALUE!</v>
      </c>
      <c r="V27" s="29" t="e">
        <f t="shared" si="11"/>
        <v>#VALUE!</v>
      </c>
      <c r="W27" s="29" t="e">
        <f t="shared" si="12"/>
        <v>#VALUE!</v>
      </c>
      <c r="X27" s="286">
        <f t="shared" si="13"/>
        <v>2.7</v>
      </c>
      <c r="Y27" s="243"/>
      <c r="Z27" s="243"/>
      <c r="AA27" s="243"/>
      <c r="AB27" s="243"/>
    </row>
    <row r="28" spans="2:28" ht="15.6" x14ac:dyDescent="0.3">
      <c r="B28" s="30">
        <v>22</v>
      </c>
      <c r="C28" s="30" t="s">
        <v>379</v>
      </c>
      <c r="D28" s="30" t="str">
        <f t="shared" si="2"/>
        <v>1.8m / 6ft</v>
      </c>
      <c r="E28" s="30" t="s">
        <v>111</v>
      </c>
      <c r="G28" s="9" t="s">
        <v>383</v>
      </c>
      <c r="H28" s="55">
        <f t="shared" si="14"/>
        <v>6.9999999999999999E-4</v>
      </c>
      <c r="I28" s="17"/>
      <c r="J28" s="153">
        <v>6</v>
      </c>
      <c r="K28" s="39" t="str">
        <f t="shared" si="15"/>
        <v>Completed</v>
      </c>
      <c r="L28" s="22">
        <v>6.9999999999999999E-4</v>
      </c>
      <c r="M28" s="22"/>
      <c r="N28" s="22"/>
      <c r="O28" s="18"/>
      <c r="P28" s="27">
        <f t="shared" si="6"/>
        <v>0</v>
      </c>
      <c r="Q28" s="28" t="str">
        <f t="shared" si="7"/>
        <v/>
      </c>
      <c r="R28" s="219">
        <f t="shared" si="8"/>
        <v>90.540165000000002</v>
      </c>
      <c r="S28" s="220">
        <f t="shared" si="9"/>
        <v>0.7</v>
      </c>
      <c r="U28" s="29" t="e">
        <f t="shared" si="10"/>
        <v>#VALUE!</v>
      </c>
      <c r="V28" s="29" t="e">
        <f t="shared" si="11"/>
        <v>#VALUE!</v>
      </c>
      <c r="W28" s="29" t="e">
        <f t="shared" si="12"/>
        <v>#VALUE!</v>
      </c>
      <c r="X28" s="286">
        <f t="shared" si="13"/>
        <v>1.8</v>
      </c>
      <c r="Y28" s="243"/>
      <c r="Z28" s="243"/>
      <c r="AA28" s="243"/>
      <c r="AB28" s="243"/>
    </row>
    <row r="29" spans="2:28" ht="15.6" x14ac:dyDescent="0.3">
      <c r="B29" s="30">
        <v>23</v>
      </c>
      <c r="C29" s="30" t="s">
        <v>379</v>
      </c>
      <c r="D29" s="30" t="str">
        <f t="shared" si="2"/>
        <v>1.8m / 6ft</v>
      </c>
      <c r="E29" s="30" t="s">
        <v>112</v>
      </c>
      <c r="G29" s="9" t="s">
        <v>383</v>
      </c>
      <c r="H29" s="55">
        <f t="shared" si="14"/>
        <v>6.9999999999999999E-4</v>
      </c>
      <c r="I29" s="17"/>
      <c r="J29" s="38">
        <v>6</v>
      </c>
      <c r="K29" s="39" t="str">
        <f t="shared" si="15"/>
        <v>Completed</v>
      </c>
      <c r="L29" s="22">
        <v>6.9999999999999999E-4</v>
      </c>
      <c r="M29" s="22">
        <v>5.9999999999999995E-4</v>
      </c>
      <c r="N29" s="22"/>
      <c r="O29" s="18"/>
      <c r="P29" s="27">
        <f t="shared" si="6"/>
        <v>0</v>
      </c>
      <c r="Q29" s="28" t="str">
        <f t="shared" si="7"/>
        <v/>
      </c>
      <c r="R29" s="219">
        <f t="shared" si="8"/>
        <v>90.540165000000002</v>
      </c>
      <c r="S29" s="220">
        <f t="shared" si="9"/>
        <v>0.7</v>
      </c>
      <c r="U29" s="29" t="e">
        <f t="shared" si="10"/>
        <v>#VALUE!</v>
      </c>
      <c r="V29" s="29" t="e">
        <f t="shared" si="11"/>
        <v>#VALUE!</v>
      </c>
      <c r="W29" s="29" t="e">
        <f t="shared" si="12"/>
        <v>#VALUE!</v>
      </c>
      <c r="X29" s="286">
        <f t="shared" si="13"/>
        <v>1.8</v>
      </c>
      <c r="Y29" s="243"/>
      <c r="Z29" s="243"/>
      <c r="AA29" s="243"/>
      <c r="AB29" s="243"/>
    </row>
    <row r="30" spans="2:28" ht="15.6" x14ac:dyDescent="0.3">
      <c r="B30" s="30">
        <v>24</v>
      </c>
      <c r="C30" s="30" t="s">
        <v>379</v>
      </c>
      <c r="D30" s="30" t="str">
        <f t="shared" si="2"/>
        <v>1.8m / 6ft</v>
      </c>
      <c r="E30" s="30" t="s">
        <v>9</v>
      </c>
      <c r="G30" s="9" t="s">
        <v>383</v>
      </c>
      <c r="H30" s="55">
        <f t="shared" si="14"/>
        <v>8.0000000000000004E-4</v>
      </c>
      <c r="I30" s="17"/>
      <c r="J30" s="153">
        <v>6</v>
      </c>
      <c r="K30" s="39" t="str">
        <f t="shared" si="15"/>
        <v>Completed</v>
      </c>
      <c r="L30" s="22">
        <v>8.0000000000000004E-4</v>
      </c>
      <c r="M30" s="22"/>
      <c r="N30" s="22"/>
      <c r="O30" s="18"/>
      <c r="P30" s="27">
        <f t="shared" si="6"/>
        <v>0</v>
      </c>
      <c r="Q30" s="28" t="str">
        <f t="shared" si="7"/>
        <v/>
      </c>
      <c r="R30" s="219">
        <f t="shared" si="8"/>
        <v>90.540165000000002</v>
      </c>
      <c r="S30" s="220">
        <f t="shared" si="9"/>
        <v>0.7</v>
      </c>
      <c r="U30" s="29" t="e">
        <f t="shared" si="10"/>
        <v>#VALUE!</v>
      </c>
      <c r="V30" s="29" t="e">
        <f t="shared" si="11"/>
        <v>#VALUE!</v>
      </c>
      <c r="W30" s="29" t="e">
        <f t="shared" si="12"/>
        <v>#VALUE!</v>
      </c>
      <c r="X30" s="286">
        <f t="shared" si="13"/>
        <v>1.8</v>
      </c>
      <c r="Y30" s="243"/>
      <c r="Z30" s="243"/>
      <c r="AA30" s="243"/>
      <c r="AB30" s="243"/>
    </row>
    <row r="31" spans="2:28" ht="15.6" x14ac:dyDescent="0.3">
      <c r="B31" s="287">
        <v>25</v>
      </c>
      <c r="C31" s="287" t="s">
        <v>379</v>
      </c>
      <c r="D31" s="287" t="str">
        <f t="shared" si="2"/>
        <v>2.7m / 9ft</v>
      </c>
      <c r="E31" s="287" t="s">
        <v>9</v>
      </c>
      <c r="G31" s="9" t="s">
        <v>383</v>
      </c>
      <c r="H31" s="55">
        <f t="shared" si="14"/>
        <v>6.9999999999999999E-4</v>
      </c>
      <c r="I31" s="17"/>
      <c r="J31" s="38">
        <v>9</v>
      </c>
      <c r="K31" s="39" t="str">
        <f t="shared" si="15"/>
        <v>Completed</v>
      </c>
      <c r="L31" s="22">
        <v>6.9999999999999999E-4</v>
      </c>
      <c r="M31" s="22"/>
      <c r="N31" s="22"/>
      <c r="O31" s="18"/>
      <c r="P31" s="27">
        <f t="shared" si="6"/>
        <v>0</v>
      </c>
      <c r="Q31" s="28" t="str">
        <f t="shared" si="7"/>
        <v/>
      </c>
      <c r="R31" s="219">
        <f t="shared" si="8"/>
        <v>90.540165000000002</v>
      </c>
      <c r="S31" s="220">
        <f t="shared" si="9"/>
        <v>0.7</v>
      </c>
      <c r="U31" s="29" t="e">
        <f t="shared" si="10"/>
        <v>#VALUE!</v>
      </c>
      <c r="V31" s="29" t="e">
        <f t="shared" si="11"/>
        <v>#VALUE!</v>
      </c>
      <c r="W31" s="29" t="e">
        <f t="shared" si="12"/>
        <v>#VALUE!</v>
      </c>
      <c r="X31" s="286">
        <f t="shared" si="13"/>
        <v>2.7</v>
      </c>
      <c r="Y31" s="243"/>
      <c r="Z31" s="243"/>
      <c r="AA31" s="243"/>
      <c r="AB31" s="243"/>
    </row>
    <row r="32" spans="2:28" ht="15.6" x14ac:dyDescent="0.3">
      <c r="B32" s="290">
        <v>26</v>
      </c>
      <c r="C32" s="290" t="s">
        <v>379</v>
      </c>
      <c r="D32" s="290" t="str">
        <f t="shared" si="2"/>
        <v>6.1m / 20ft</v>
      </c>
      <c r="E32" s="290" t="s">
        <v>6</v>
      </c>
      <c r="G32" s="9" t="s">
        <v>383</v>
      </c>
      <c r="H32" s="55">
        <f t="shared" si="14"/>
        <v>1.5E-3</v>
      </c>
      <c r="I32" s="17"/>
      <c r="J32" s="153">
        <v>20</v>
      </c>
      <c r="K32" s="39" t="str">
        <f t="shared" si="15"/>
        <v>Completed</v>
      </c>
      <c r="L32" s="22">
        <v>1.5E-3</v>
      </c>
      <c r="M32" s="22"/>
      <c r="N32" s="22"/>
      <c r="O32" s="18"/>
      <c r="P32" s="27">
        <f t="shared" si="6"/>
        <v>0</v>
      </c>
      <c r="Q32" s="28" t="str">
        <f t="shared" si="7"/>
        <v/>
      </c>
      <c r="R32" s="219">
        <f t="shared" si="8"/>
        <v>90.540165000000002</v>
      </c>
      <c r="S32" s="220">
        <f t="shared" si="9"/>
        <v>0.7</v>
      </c>
      <c r="U32" s="29" t="e">
        <f t="shared" si="10"/>
        <v>#VALUE!</v>
      </c>
      <c r="V32" s="29" t="e">
        <f t="shared" si="11"/>
        <v>#VALUE!</v>
      </c>
      <c r="W32" s="29" t="e">
        <f t="shared" si="12"/>
        <v>#VALUE!</v>
      </c>
      <c r="X32" s="286">
        <f t="shared" si="13"/>
        <v>6.1</v>
      </c>
      <c r="Y32" s="243"/>
      <c r="Z32" s="243"/>
      <c r="AA32" s="243"/>
      <c r="AB32" s="243"/>
    </row>
    <row r="33" spans="2:28" ht="15.6" x14ac:dyDescent="0.3">
      <c r="B33" s="317" t="s">
        <v>264</v>
      </c>
      <c r="C33" s="317"/>
      <c r="D33" s="317"/>
      <c r="E33" s="317"/>
      <c r="G33" s="226"/>
      <c r="H33" s="56"/>
      <c r="I33" s="39"/>
      <c r="J33" s="153"/>
      <c r="K33" s="39"/>
      <c r="L33" s="153"/>
      <c r="M33" s="153"/>
      <c r="N33" s="153"/>
      <c r="O33" s="38"/>
      <c r="P33" s="27">
        <f t="shared" si="6"/>
        <v>0</v>
      </c>
      <c r="Q33" s="28" t="str">
        <f t="shared" si="7"/>
        <v/>
      </c>
      <c r="R33" s="219">
        <f>R24</f>
        <v>90.540165000000002</v>
      </c>
      <c r="S33" s="220">
        <f>S24</f>
        <v>0.7</v>
      </c>
      <c r="U33" s="29">
        <f t="shared" si="10"/>
        <v>0</v>
      </c>
      <c r="V33" s="29">
        <f t="shared" si="11"/>
        <v>0</v>
      </c>
      <c r="W33" s="29">
        <f t="shared" si="12"/>
        <v>0</v>
      </c>
      <c r="X33" s="286"/>
      <c r="Y33" s="243"/>
      <c r="Z33" s="243"/>
      <c r="AA33" s="243"/>
      <c r="AB33" s="243"/>
    </row>
    <row r="34" spans="2:28" ht="15.6" x14ac:dyDescent="0.3">
      <c r="B34" s="222"/>
      <c r="C34" s="222" t="s">
        <v>65</v>
      </c>
      <c r="D34" s="222" t="str">
        <f>CONCATENATE(X34,"m / ",J34,"ft")</f>
        <v>2.7m / 9ft</v>
      </c>
      <c r="E34" s="222" t="s">
        <v>6</v>
      </c>
      <c r="G34" s="9">
        <f>R34+P34</f>
        <v>90.540165000000002</v>
      </c>
      <c r="H34" s="223">
        <f>IF(MAX(ABS(U34))&gt;MAX(ABS(V34)),U34,V34)</f>
        <v>-90.540165000000002</v>
      </c>
      <c r="I34" s="17">
        <f>VLOOKUP($H$2,'tracker specs'!$A$7:$L$25,10,FALSE)</f>
        <v>2.5000000000000001E-3</v>
      </c>
      <c r="J34" s="225">
        <v>9</v>
      </c>
      <c r="K34" s="224" t="str">
        <f>(IF(ABS(H34)&gt;I34,"Fail","Pass"))</f>
        <v>Fail</v>
      </c>
      <c r="L34" s="22"/>
      <c r="M34" s="22"/>
      <c r="N34" s="22"/>
      <c r="O34" s="18"/>
      <c r="P34" s="27">
        <f t="shared" si="6"/>
        <v>0</v>
      </c>
      <c r="Q34" s="28" t="str">
        <f t="shared" si="7"/>
        <v/>
      </c>
      <c r="R34" s="219">
        <f t="shared" ref="R34:S37" si="16">R33</f>
        <v>90.540165000000002</v>
      </c>
      <c r="S34" s="220">
        <f t="shared" si="16"/>
        <v>0.7</v>
      </c>
      <c r="U34" s="29">
        <f t="shared" si="10"/>
        <v>-90.540165000000002</v>
      </c>
      <c r="V34" s="29">
        <f t="shared" si="11"/>
        <v>-90.540165000000002</v>
      </c>
      <c r="W34" s="29">
        <f t="shared" si="12"/>
        <v>-90.540165000000002</v>
      </c>
      <c r="X34" s="286">
        <f>ROUND(J34/3.281,1)</f>
        <v>2.7</v>
      </c>
      <c r="Y34" s="244" t="str">
        <f>IF(ABS(Y35)&gt;ABS(Z35),1,"")</f>
        <v/>
      </c>
      <c r="Z34" s="244">
        <f>IF(Y34=1,"",1)</f>
        <v>1</v>
      </c>
      <c r="AA34" s="244" t="s">
        <v>248</v>
      </c>
      <c r="AB34" s="244" t="s">
        <v>249</v>
      </c>
    </row>
    <row r="35" spans="2:28" ht="15.6" x14ac:dyDescent="0.3">
      <c r="B35" s="222"/>
      <c r="C35" s="222" t="s">
        <v>66</v>
      </c>
      <c r="D35" s="222" t="str">
        <f>CONCATENATE(X35,"m / ",J35,"ft")</f>
        <v>2.7m / 9ft</v>
      </c>
      <c r="E35" s="222" t="s">
        <v>6</v>
      </c>
      <c r="G35" s="9">
        <f>R35+P35</f>
        <v>90.540165000000002</v>
      </c>
      <c r="H35" s="223">
        <f>IF(MAX(ABS(U35))&gt;MAX(ABS(V35)),U35,V35)</f>
        <v>-90.540165000000002</v>
      </c>
      <c r="I35" s="17">
        <f>VLOOKUP($H$2,'tracker specs'!$A$7:$L$25,10,FALSE)</f>
        <v>2.5000000000000001E-3</v>
      </c>
      <c r="J35" s="225">
        <v>9</v>
      </c>
      <c r="K35" s="224" t="str">
        <f>(IF(ABS(H35)&gt;I35,"Fail","Pass"))</f>
        <v>Fail</v>
      </c>
      <c r="L35" s="22"/>
      <c r="M35" s="22"/>
      <c r="N35" s="22"/>
      <c r="O35" s="18"/>
      <c r="P35" s="27">
        <f t="shared" si="6"/>
        <v>0</v>
      </c>
      <c r="Q35" s="28" t="str">
        <f t="shared" si="7"/>
        <v/>
      </c>
      <c r="R35" s="219">
        <f t="shared" si="16"/>
        <v>90.540165000000002</v>
      </c>
      <c r="S35" s="220">
        <f t="shared" si="16"/>
        <v>0.7</v>
      </c>
      <c r="U35" s="29">
        <f t="shared" si="10"/>
        <v>-90.540165000000002</v>
      </c>
      <c r="V35" s="29">
        <f t="shared" si="11"/>
        <v>-90.540165000000002</v>
      </c>
      <c r="W35" s="29">
        <f t="shared" si="12"/>
        <v>-90.540165000000002</v>
      </c>
      <c r="X35" s="286">
        <f>ROUND(J35/3.281,1)</f>
        <v>2.7</v>
      </c>
      <c r="Y35" s="245">
        <f>MAX(U34:U37)</f>
        <v>-90.540165000000002</v>
      </c>
      <c r="Z35" s="245">
        <f>MIN(W34:W37)</f>
        <v>-90.540165000000002</v>
      </c>
      <c r="AA35" s="245" t="str">
        <f>IF(L34&lt;&gt;"",AVERAGE(W34:W37),"")</f>
        <v/>
      </c>
      <c r="AB35" s="244" t="str">
        <f>IF(L34&lt;&gt;"",HLOOKUP(1,Y34:Z35,2,FALSE),"")</f>
        <v/>
      </c>
    </row>
    <row r="36" spans="2:28" ht="15.6" x14ac:dyDescent="0.3">
      <c r="B36" s="222"/>
      <c r="C36" s="222" t="s">
        <v>70</v>
      </c>
      <c r="D36" s="222" t="str">
        <f>CONCATENATE(X36,"m / ",J36,"ft")</f>
        <v>2.7m / 9ft</v>
      </c>
      <c r="E36" s="222" t="s">
        <v>6</v>
      </c>
      <c r="G36" s="9">
        <f>R36+P36</f>
        <v>90.540165000000002</v>
      </c>
      <c r="H36" s="223">
        <f>IF(MAX(ABS(U36))&gt;MAX(ABS(V36)),U36,V36)</f>
        <v>-90.540165000000002</v>
      </c>
      <c r="I36" s="17">
        <f>VLOOKUP($H$2,'tracker specs'!$A$7:$L$25,10,FALSE)</f>
        <v>2.5000000000000001E-3</v>
      </c>
      <c r="J36" s="225">
        <v>9</v>
      </c>
      <c r="K36" s="224" t="str">
        <f>(IF(ABS(H36)&gt;I36,"Fail","Pass"))</f>
        <v>Fail</v>
      </c>
      <c r="L36" s="22"/>
      <c r="M36" s="22"/>
      <c r="N36" s="184"/>
      <c r="O36" s="18"/>
      <c r="P36" s="27">
        <f t="shared" si="6"/>
        <v>0</v>
      </c>
      <c r="Q36" s="28" t="str">
        <f t="shared" si="7"/>
        <v/>
      </c>
      <c r="R36" s="219">
        <f t="shared" si="16"/>
        <v>90.540165000000002</v>
      </c>
      <c r="S36" s="220">
        <f t="shared" si="16"/>
        <v>0.7</v>
      </c>
      <c r="U36" s="29">
        <f t="shared" si="10"/>
        <v>-90.540165000000002</v>
      </c>
      <c r="V36" s="29">
        <f t="shared" si="11"/>
        <v>-90.540165000000002</v>
      </c>
      <c r="W36" s="29">
        <f t="shared" si="12"/>
        <v>-90.540165000000002</v>
      </c>
      <c r="X36" s="286">
        <f>ROUND(J36/3.281,1)</f>
        <v>2.7</v>
      </c>
      <c r="Y36" s="244">
        <f>ABS(Y35)</f>
        <v>90.540165000000002</v>
      </c>
      <c r="Z36" s="244">
        <f>ABS(Z35)</f>
        <v>90.540165000000002</v>
      </c>
      <c r="AA36" s="244"/>
      <c r="AB36" s="244"/>
    </row>
    <row r="37" spans="2:28" ht="15.6" x14ac:dyDescent="0.3">
      <c r="B37" s="222"/>
      <c r="C37" s="222" t="s">
        <v>65</v>
      </c>
      <c r="D37" s="222" t="str">
        <f>CONCATENATE(X37,"m / ",J37,"ft")</f>
        <v>2.7m / 9ft</v>
      </c>
      <c r="E37" s="222" t="s">
        <v>265</v>
      </c>
      <c r="G37" s="9">
        <f>R37+P37</f>
        <v>90.540165000000002</v>
      </c>
      <c r="H37" s="223">
        <f>IF(MAX(ABS(U37))&gt;MAX(ABS(V37)),U37,V37)</f>
        <v>-90.540165000000002</v>
      </c>
      <c r="I37" s="17">
        <f>VLOOKUP($H$2,'tracker specs'!$A$7:$L$25,10,FALSE)</f>
        <v>2.5000000000000001E-3</v>
      </c>
      <c r="J37" s="225">
        <v>9</v>
      </c>
      <c r="K37" s="224" t="str">
        <f>(IF(ABS(H37)&gt;I37,"Fail","Pass"))</f>
        <v>Fail</v>
      </c>
      <c r="L37" s="22"/>
      <c r="M37" s="22"/>
      <c r="N37" s="22"/>
      <c r="O37" s="18"/>
      <c r="P37" s="27">
        <f t="shared" si="6"/>
        <v>0</v>
      </c>
      <c r="Q37" s="28" t="str">
        <f t="shared" si="7"/>
        <v/>
      </c>
      <c r="R37" s="219">
        <f t="shared" si="16"/>
        <v>90.540165000000002</v>
      </c>
      <c r="S37" s="220">
        <f t="shared" si="16"/>
        <v>0.7</v>
      </c>
      <c r="U37" s="29">
        <f t="shared" si="10"/>
        <v>-90.540165000000002</v>
      </c>
      <c r="V37" s="29">
        <f t="shared" si="11"/>
        <v>-90.540165000000002</v>
      </c>
      <c r="W37" s="29">
        <f t="shared" si="12"/>
        <v>-90.540165000000002</v>
      </c>
      <c r="X37" s="286">
        <f>ROUND(J37/3.281,1)</f>
        <v>2.7</v>
      </c>
      <c r="Y37" s="243"/>
      <c r="Z37" s="243"/>
      <c r="AA37" s="243"/>
      <c r="AB37" s="243"/>
    </row>
    <row r="55" spans="2:33" ht="15.6" x14ac:dyDescent="0.3">
      <c r="G55" s="9"/>
      <c r="H55" s="55"/>
      <c r="I55" s="17"/>
      <c r="J55" s="153"/>
      <c r="K55" s="39"/>
      <c r="L55" s="22"/>
      <c r="M55" s="22"/>
      <c r="N55" s="22"/>
      <c r="O55" s="18"/>
      <c r="R55" s="219"/>
      <c r="S55" s="220"/>
      <c r="U55" s="29"/>
      <c r="V55" s="29"/>
      <c r="W55" s="29"/>
      <c r="X55" s="286"/>
      <c r="Y55" s="243"/>
      <c r="Z55" s="243"/>
      <c r="AA55" s="243"/>
      <c r="AB55" s="243"/>
    </row>
    <row r="56" spans="2:33" ht="15.6" x14ac:dyDescent="0.3">
      <c r="G56" s="9"/>
      <c r="H56" s="55"/>
      <c r="I56" s="17"/>
      <c r="J56" s="38"/>
      <c r="K56" s="39"/>
      <c r="L56" s="22"/>
      <c r="M56" s="22"/>
      <c r="N56" s="22"/>
      <c r="O56" s="18"/>
      <c r="R56" s="219"/>
      <c r="S56" s="220"/>
      <c r="U56" s="29"/>
      <c r="V56" s="29"/>
      <c r="W56" s="29"/>
      <c r="X56" s="286"/>
      <c r="Y56" s="243"/>
      <c r="Z56" s="243"/>
      <c r="AA56" s="243"/>
      <c r="AB56" s="243"/>
    </row>
    <row r="57" spans="2:33" ht="15.6" x14ac:dyDescent="0.3">
      <c r="G57" s="9"/>
      <c r="H57" s="55"/>
      <c r="I57" s="17"/>
      <c r="J57" s="153"/>
      <c r="K57" s="39"/>
      <c r="L57" s="22"/>
      <c r="M57" s="22"/>
      <c r="N57" s="22"/>
      <c r="O57" s="18"/>
      <c r="R57" s="219"/>
      <c r="S57" s="220"/>
      <c r="U57" s="29"/>
      <c r="V57" s="29"/>
      <c r="W57" s="29"/>
      <c r="X57" s="286"/>
      <c r="Y57" s="243"/>
      <c r="Z57" s="243"/>
      <c r="AA57" s="243"/>
      <c r="AB57" s="243"/>
    </row>
    <row r="58" spans="2:33" ht="15.6" x14ac:dyDescent="0.3">
      <c r="B58" s="315" t="s">
        <v>67</v>
      </c>
      <c r="C58" s="315"/>
      <c r="G58" s="30"/>
      <c r="H58" s="208" t="s">
        <v>250</v>
      </c>
      <c r="I58" s="210">
        <f>AVERAGE(J62,J64,J66,J68,J70,J72,J74,J76,)</f>
        <v>5.6666666666666671E-4</v>
      </c>
      <c r="J58" s="217" t="s">
        <v>268</v>
      </c>
      <c r="K58" s="218" t="str">
        <f>IF(K62&lt;&gt;"",AVERAGE(K62,K64,K66,K68,K70,K72,K74,K76,),"")</f>
        <v/>
      </c>
      <c r="L58" s="30"/>
      <c r="M58" s="30"/>
      <c r="N58" s="30"/>
      <c r="O58" s="30"/>
      <c r="P58" s="29"/>
      <c r="Q58" s="30"/>
      <c r="R58" s="30"/>
      <c r="S58" s="30"/>
      <c r="U58" s="30"/>
      <c r="V58" s="30"/>
      <c r="W58" s="30"/>
      <c r="X58" s="244"/>
      <c r="Y58" s="243"/>
      <c r="Z58" s="243"/>
      <c r="AA58" s="243"/>
      <c r="AB58" s="243"/>
    </row>
    <row r="59" spans="2:33" x14ac:dyDescent="0.3">
      <c r="B59" s="1"/>
      <c r="D59" s="30" t="s">
        <v>13</v>
      </c>
      <c r="E59" s="30" t="s">
        <v>7</v>
      </c>
      <c r="G59" s="41"/>
      <c r="H59" s="209" t="s">
        <v>251</v>
      </c>
      <c r="I59" s="210">
        <f>MAX(J62,J64,J66,J68,J70,J72,J74,J76)</f>
        <v>1.5E-3</v>
      </c>
      <c r="J59" s="217" t="s">
        <v>269</v>
      </c>
      <c r="K59" s="218" t="str">
        <f>IF(K62&lt;&gt;"",MAX(K62,K64,K66,K68,K70,K72,K74,K76),"")</f>
        <v/>
      </c>
      <c r="L59" s="30"/>
      <c r="M59" s="30" t="s">
        <v>104</v>
      </c>
      <c r="N59" s="30"/>
      <c r="O59" s="30"/>
      <c r="P59" s="30"/>
      <c r="Q59" s="30" t="s">
        <v>105</v>
      </c>
      <c r="R59" s="30"/>
      <c r="S59" s="28"/>
      <c r="T59" s="30"/>
      <c r="U59" s="30" t="s">
        <v>106</v>
      </c>
      <c r="V59" s="30"/>
      <c r="W59" s="30"/>
      <c r="X59" s="30"/>
    </row>
    <row r="60" spans="2:33" ht="16.2" thickBot="1" x14ac:dyDescent="0.35">
      <c r="B60" s="35" t="s">
        <v>0</v>
      </c>
      <c r="C60" s="35" t="s">
        <v>94</v>
      </c>
      <c r="D60" s="35" t="s">
        <v>1</v>
      </c>
      <c r="E60" s="35" t="s">
        <v>8</v>
      </c>
      <c r="G60" s="41" t="s">
        <v>108</v>
      </c>
      <c r="H60" s="57" t="s">
        <v>109</v>
      </c>
      <c r="I60" s="40" t="s">
        <v>110</v>
      </c>
      <c r="J60" s="36" t="s">
        <v>107</v>
      </c>
      <c r="K60" s="40"/>
      <c r="L60" s="30" t="s">
        <v>101</v>
      </c>
      <c r="M60" s="30" t="s">
        <v>102</v>
      </c>
      <c r="N60" s="30" t="s">
        <v>103</v>
      </c>
      <c r="O60" s="30"/>
      <c r="P60" s="30" t="s">
        <v>101</v>
      </c>
      <c r="Q60" s="30" t="s">
        <v>102</v>
      </c>
      <c r="R60" s="30" t="s">
        <v>103</v>
      </c>
      <c r="S60" s="28"/>
      <c r="T60" s="30" t="s">
        <v>101</v>
      </c>
      <c r="U60" s="30" t="s">
        <v>102</v>
      </c>
      <c r="V60" s="30" t="s">
        <v>103</v>
      </c>
      <c r="W60" s="30"/>
      <c r="X60" s="30"/>
    </row>
    <row r="61" spans="2:33" ht="16.2" thickBot="1" x14ac:dyDescent="0.35">
      <c r="B61" s="30">
        <v>1</v>
      </c>
      <c r="C61" s="30" t="s">
        <v>95</v>
      </c>
      <c r="D61" s="30" t="s">
        <v>113</v>
      </c>
      <c r="E61" s="30" t="s">
        <v>6</v>
      </c>
      <c r="G61" s="12" t="e">
        <f t="shared" ref="G61:G76" si="17">AVERAGE(L61,P61,T61)</f>
        <v>#DIV/0!</v>
      </c>
      <c r="H61" s="60" t="e">
        <f t="shared" ref="H61:H76" si="18">AVERAGE(M61,Q61,U61)</f>
        <v>#DIV/0!</v>
      </c>
      <c r="I61" s="12" t="e">
        <f t="shared" ref="I61:I76" si="19">AVERAGE(N61,R61,V61)</f>
        <v>#DIV/0!</v>
      </c>
      <c r="J61" s="278" t="s">
        <v>266</v>
      </c>
      <c r="K61" s="16" t="s">
        <v>267</v>
      </c>
      <c r="L61" s="10"/>
      <c r="M61" s="10"/>
      <c r="N61" s="10"/>
      <c r="O61" s="30"/>
      <c r="P61" s="10"/>
      <c r="Q61" s="10"/>
      <c r="R61" s="10"/>
      <c r="S61" s="28"/>
      <c r="T61" s="10"/>
      <c r="U61" s="10"/>
      <c r="V61" s="10"/>
      <c r="W61" s="30"/>
      <c r="X61" s="30"/>
      <c r="AC61"/>
      <c r="AD61"/>
      <c r="AE61"/>
      <c r="AF61"/>
      <c r="AG61"/>
    </row>
    <row r="62" spans="2:33" ht="16.2" thickBot="1" x14ac:dyDescent="0.35">
      <c r="B62" s="35">
        <v>2</v>
      </c>
      <c r="C62" s="35" t="s">
        <v>96</v>
      </c>
      <c r="D62" s="35" t="s">
        <v>113</v>
      </c>
      <c r="E62" s="35" t="s">
        <v>6</v>
      </c>
      <c r="F62" s="35"/>
      <c r="G62" s="177" t="e">
        <f t="shared" si="17"/>
        <v>#DIV/0!</v>
      </c>
      <c r="H62" s="178" t="e">
        <f t="shared" si="18"/>
        <v>#DIV/0!</v>
      </c>
      <c r="I62" s="177" t="e">
        <f t="shared" si="19"/>
        <v>#DIV/0!</v>
      </c>
      <c r="J62" s="279">
        <f>H25</f>
        <v>8.9999999999999998E-4</v>
      </c>
      <c r="K62" s="61"/>
      <c r="L62" s="10"/>
      <c r="M62" s="10"/>
      <c r="N62" s="10"/>
      <c r="O62" s="30"/>
      <c r="P62" s="10"/>
      <c r="Q62" s="10"/>
      <c r="R62" s="10"/>
      <c r="S62" s="28"/>
      <c r="T62" s="10"/>
      <c r="U62" s="10"/>
      <c r="V62" s="10"/>
      <c r="W62" s="30"/>
      <c r="X62" s="30"/>
      <c r="AC62"/>
      <c r="AD62"/>
      <c r="AE62"/>
      <c r="AF62"/>
      <c r="AG62"/>
    </row>
    <row r="63" spans="2:33" ht="16.2" thickBot="1" x14ac:dyDescent="0.35">
      <c r="B63" s="30">
        <v>3</v>
      </c>
      <c r="C63" s="30" t="s">
        <v>97</v>
      </c>
      <c r="D63" s="30" t="s">
        <v>113</v>
      </c>
      <c r="E63" s="30" t="s">
        <v>6</v>
      </c>
      <c r="G63" s="9" t="e">
        <f t="shared" si="17"/>
        <v>#DIV/0!</v>
      </c>
      <c r="H63" s="226" t="e">
        <f t="shared" si="18"/>
        <v>#DIV/0!</v>
      </c>
      <c r="I63" s="9" t="e">
        <f t="shared" si="19"/>
        <v>#DIV/0!</v>
      </c>
      <c r="J63" s="280"/>
      <c r="K63" s="61"/>
      <c r="L63" s="10"/>
      <c r="M63" s="10"/>
      <c r="N63" s="10"/>
      <c r="O63" s="30"/>
      <c r="P63" s="10"/>
      <c r="Q63" s="10"/>
      <c r="R63" s="10"/>
      <c r="S63" s="28"/>
      <c r="T63" s="10"/>
      <c r="U63" s="10"/>
      <c r="V63" s="10"/>
      <c r="W63" s="30"/>
      <c r="X63" s="30"/>
      <c r="AC63"/>
      <c r="AD63"/>
      <c r="AE63"/>
      <c r="AF63"/>
      <c r="AG63"/>
    </row>
    <row r="64" spans="2:33" ht="16.2" thickBot="1" x14ac:dyDescent="0.35">
      <c r="B64" s="35">
        <v>4</v>
      </c>
      <c r="C64" s="35" t="s">
        <v>98</v>
      </c>
      <c r="D64" s="35" t="s">
        <v>113</v>
      </c>
      <c r="E64" s="35" t="s">
        <v>6</v>
      </c>
      <c r="F64" s="35"/>
      <c r="G64" s="177" t="e">
        <f t="shared" si="17"/>
        <v>#DIV/0!</v>
      </c>
      <c r="H64" s="178" t="e">
        <f t="shared" si="18"/>
        <v>#DIV/0!</v>
      </c>
      <c r="I64" s="177" t="e">
        <f t="shared" si="19"/>
        <v>#DIV/0!</v>
      </c>
      <c r="J64" s="279">
        <f>H26</f>
        <v>5.0000000000000001E-4</v>
      </c>
      <c r="K64" s="61"/>
      <c r="L64" s="10"/>
      <c r="M64" s="10"/>
      <c r="N64" s="10"/>
      <c r="O64" s="30"/>
      <c r="P64" s="10"/>
      <c r="Q64" s="10"/>
      <c r="R64" s="10"/>
      <c r="S64" s="28"/>
      <c r="T64" s="10"/>
      <c r="U64" s="10"/>
      <c r="V64" s="10"/>
      <c r="W64" s="30"/>
      <c r="X64" s="30"/>
      <c r="AC64"/>
      <c r="AD64"/>
      <c r="AE64"/>
      <c r="AF64"/>
      <c r="AG64"/>
    </row>
    <row r="65" spans="1:33" ht="16.2" thickBot="1" x14ac:dyDescent="0.35">
      <c r="B65" s="30">
        <v>5</v>
      </c>
      <c r="C65" s="30" t="s">
        <v>99</v>
      </c>
      <c r="D65" s="30" t="s">
        <v>113</v>
      </c>
      <c r="E65" s="30" t="s">
        <v>6</v>
      </c>
      <c r="G65" s="9" t="e">
        <f t="shared" si="17"/>
        <v>#DIV/0!</v>
      </c>
      <c r="H65" s="226" t="e">
        <f t="shared" si="18"/>
        <v>#DIV/0!</v>
      </c>
      <c r="I65" s="9" t="e">
        <f t="shared" si="19"/>
        <v>#DIV/0!</v>
      </c>
      <c r="J65" s="280"/>
      <c r="K65" s="61"/>
      <c r="L65" s="10"/>
      <c r="M65" s="10"/>
      <c r="N65" s="10"/>
      <c r="O65" s="30"/>
      <c r="P65" s="10"/>
      <c r="Q65" s="10"/>
      <c r="R65" s="10"/>
      <c r="S65" s="28"/>
      <c r="T65" s="10"/>
      <c r="U65" s="10"/>
      <c r="V65" s="10"/>
      <c r="W65" s="30"/>
      <c r="X65" s="30"/>
      <c r="AC65"/>
      <c r="AD65"/>
      <c r="AE65"/>
      <c r="AF65"/>
      <c r="AG65"/>
    </row>
    <row r="66" spans="1:33" ht="16.2" thickBot="1" x14ac:dyDescent="0.35">
      <c r="B66" s="35">
        <v>6</v>
      </c>
      <c r="C66" s="35" t="s">
        <v>100</v>
      </c>
      <c r="D66" s="35" t="s">
        <v>113</v>
      </c>
      <c r="E66" s="35" t="s">
        <v>6</v>
      </c>
      <c r="F66" s="35"/>
      <c r="G66" s="177" t="e">
        <f t="shared" si="17"/>
        <v>#DIV/0!</v>
      </c>
      <c r="H66" s="178" t="e">
        <f t="shared" si="18"/>
        <v>#DIV/0!</v>
      </c>
      <c r="I66" s="177" t="e">
        <f t="shared" si="19"/>
        <v>#DIV/0!</v>
      </c>
      <c r="J66" s="279">
        <f>I27</f>
        <v>0</v>
      </c>
      <c r="K66" s="61"/>
      <c r="L66" s="10"/>
      <c r="M66" s="10"/>
      <c r="N66" s="10"/>
      <c r="O66" s="30"/>
      <c r="P66" s="10"/>
      <c r="Q66" s="10"/>
      <c r="R66" s="10"/>
      <c r="S66" s="28"/>
      <c r="T66" s="10"/>
      <c r="U66" s="10"/>
      <c r="V66" s="10"/>
      <c r="W66" s="30"/>
      <c r="X66" s="30"/>
      <c r="AC66"/>
      <c r="AD66"/>
      <c r="AE66"/>
      <c r="AF66"/>
      <c r="AG66"/>
    </row>
    <row r="67" spans="1:33" ht="16.2" thickBot="1" x14ac:dyDescent="0.35">
      <c r="B67" s="30">
        <v>7</v>
      </c>
      <c r="C67" s="30" t="s">
        <v>97</v>
      </c>
      <c r="D67" s="30" t="s">
        <v>113</v>
      </c>
      <c r="E67" s="30" t="s">
        <v>111</v>
      </c>
      <c r="G67" s="9" t="e">
        <f t="shared" si="17"/>
        <v>#DIV/0!</v>
      </c>
      <c r="H67" s="226" t="e">
        <f t="shared" si="18"/>
        <v>#DIV/0!</v>
      </c>
      <c r="I67" s="9" t="e">
        <f t="shared" si="19"/>
        <v>#DIV/0!</v>
      </c>
      <c r="J67" s="280"/>
      <c r="K67" s="61"/>
      <c r="L67" s="10"/>
      <c r="M67" s="10"/>
      <c r="N67" s="10"/>
      <c r="O67" s="30"/>
      <c r="P67" s="10"/>
      <c r="Q67" s="10"/>
      <c r="R67" s="10"/>
      <c r="S67" s="28"/>
      <c r="T67" s="10"/>
      <c r="U67" s="10"/>
      <c r="V67" s="10"/>
      <c r="W67" s="30"/>
      <c r="X67" s="30"/>
      <c r="AC67"/>
      <c r="AD67"/>
      <c r="AE67"/>
      <c r="AF67"/>
      <c r="AG67"/>
    </row>
    <row r="68" spans="1:33" ht="16.2" thickBot="1" x14ac:dyDescent="0.35">
      <c r="B68" s="35">
        <v>8</v>
      </c>
      <c r="C68" s="35" t="s">
        <v>98</v>
      </c>
      <c r="D68" s="35" t="s">
        <v>113</v>
      </c>
      <c r="E68" s="35" t="s">
        <v>111</v>
      </c>
      <c r="F68" s="35"/>
      <c r="G68" s="177" t="e">
        <f t="shared" si="17"/>
        <v>#DIV/0!</v>
      </c>
      <c r="H68" s="178" t="e">
        <f t="shared" si="18"/>
        <v>#DIV/0!</v>
      </c>
      <c r="I68" s="177" t="e">
        <f t="shared" si="19"/>
        <v>#DIV/0!</v>
      </c>
      <c r="J68" s="279">
        <f>I28</f>
        <v>0</v>
      </c>
      <c r="L68" s="10"/>
      <c r="M68" s="10"/>
      <c r="N68" s="10"/>
      <c r="O68" s="30"/>
      <c r="P68" s="10"/>
      <c r="Q68" s="10"/>
      <c r="R68" s="10"/>
      <c r="S68" s="28"/>
      <c r="T68" s="10"/>
      <c r="U68" s="10"/>
      <c r="V68" s="10"/>
      <c r="W68" s="30"/>
      <c r="X68" s="30"/>
      <c r="AC68"/>
      <c r="AD68"/>
      <c r="AE68"/>
      <c r="AF68"/>
      <c r="AG68"/>
    </row>
    <row r="69" spans="1:33" ht="16.2" thickBot="1" x14ac:dyDescent="0.35">
      <c r="B69" s="281">
        <v>9</v>
      </c>
      <c r="C69" s="281" t="s">
        <v>97</v>
      </c>
      <c r="D69" s="281" t="s">
        <v>113</v>
      </c>
      <c r="E69" s="281" t="s">
        <v>112</v>
      </c>
      <c r="F69" s="281"/>
      <c r="G69" s="282" t="e">
        <f t="shared" si="17"/>
        <v>#DIV/0!</v>
      </c>
      <c r="H69" s="283" t="e">
        <f t="shared" si="18"/>
        <v>#DIV/0!</v>
      </c>
      <c r="I69" s="282" t="e">
        <f t="shared" si="19"/>
        <v>#DIV/0!</v>
      </c>
      <c r="J69" s="284"/>
      <c r="K69" s="62"/>
      <c r="L69" s="10"/>
      <c r="M69" s="10"/>
      <c r="N69" s="10"/>
      <c r="O69" s="30"/>
      <c r="P69" s="10"/>
      <c r="Q69" s="10"/>
      <c r="R69" s="10"/>
      <c r="S69" s="28"/>
      <c r="T69" s="10"/>
      <c r="U69" s="10"/>
      <c r="V69" s="10"/>
      <c r="W69" s="30"/>
      <c r="X69" s="30"/>
      <c r="AC69"/>
      <c r="AD69"/>
      <c r="AE69"/>
      <c r="AF69"/>
      <c r="AG69"/>
    </row>
    <row r="70" spans="1:33" ht="16.2" thickBot="1" x14ac:dyDescent="0.35">
      <c r="B70" s="35">
        <v>10</v>
      </c>
      <c r="C70" s="35" t="s">
        <v>98</v>
      </c>
      <c r="D70" s="35" t="s">
        <v>113</v>
      </c>
      <c r="E70" s="35" t="s">
        <v>112</v>
      </c>
      <c r="F70" s="35"/>
      <c r="G70" s="177" t="e">
        <f t="shared" si="17"/>
        <v>#DIV/0!</v>
      </c>
      <c r="H70" s="178" t="e">
        <f t="shared" si="18"/>
        <v>#DIV/0!</v>
      </c>
      <c r="I70" s="177" t="e">
        <f t="shared" si="19"/>
        <v>#DIV/0!</v>
      </c>
      <c r="J70" s="279">
        <f>H29</f>
        <v>6.9999999999999999E-4</v>
      </c>
      <c r="K70" s="62"/>
      <c r="L70" s="10"/>
      <c r="M70" s="10"/>
      <c r="N70" s="10"/>
      <c r="O70" s="30"/>
      <c r="P70" s="10"/>
      <c r="Q70" s="10"/>
      <c r="R70" s="10"/>
      <c r="S70" s="28"/>
      <c r="T70" s="10"/>
      <c r="U70" s="10"/>
      <c r="V70" s="10"/>
      <c r="W70" s="30"/>
      <c r="X70" s="30"/>
      <c r="AC70"/>
      <c r="AD70"/>
      <c r="AE70"/>
      <c r="AF70"/>
      <c r="AG70"/>
    </row>
    <row r="71" spans="1:33" ht="16.2" thickBot="1" x14ac:dyDescent="0.35">
      <c r="B71" s="281">
        <v>11</v>
      </c>
      <c r="C71" s="281" t="s">
        <v>97</v>
      </c>
      <c r="D71" s="281" t="s">
        <v>113</v>
      </c>
      <c r="E71" s="281" t="s">
        <v>9</v>
      </c>
      <c r="F71" s="281"/>
      <c r="G71" s="282" t="e">
        <f t="shared" si="17"/>
        <v>#DIV/0!</v>
      </c>
      <c r="H71" s="283" t="e">
        <f t="shared" si="18"/>
        <v>#DIV/0!</v>
      </c>
      <c r="I71" s="282" t="e">
        <f t="shared" si="19"/>
        <v>#DIV/0!</v>
      </c>
      <c r="J71" s="284"/>
      <c r="K71" s="61"/>
      <c r="L71" s="10"/>
      <c r="M71" s="10"/>
      <c r="N71" s="10"/>
      <c r="O71" s="30"/>
      <c r="P71" s="10"/>
      <c r="Q71" s="10"/>
      <c r="R71" s="10"/>
      <c r="S71" s="28"/>
      <c r="T71" s="10"/>
      <c r="U71" s="10"/>
      <c r="V71" s="10"/>
      <c r="W71" s="30"/>
      <c r="X71" s="30"/>
      <c r="AC71"/>
      <c r="AD71"/>
      <c r="AE71"/>
      <c r="AF71"/>
      <c r="AG71"/>
    </row>
    <row r="72" spans="1:33" ht="16.2" thickBot="1" x14ac:dyDescent="0.35">
      <c r="B72" s="35">
        <v>12</v>
      </c>
      <c r="C72" s="35" t="s">
        <v>98</v>
      </c>
      <c r="D72" s="35" t="s">
        <v>113</v>
      </c>
      <c r="E72" s="35" t="s">
        <v>9</v>
      </c>
      <c r="F72" s="35"/>
      <c r="G72" s="177" t="e">
        <f t="shared" si="17"/>
        <v>#DIV/0!</v>
      </c>
      <c r="H72" s="178" t="e">
        <f t="shared" si="18"/>
        <v>#DIV/0!</v>
      </c>
      <c r="I72" s="177" t="e">
        <f t="shared" si="19"/>
        <v>#DIV/0!</v>
      </c>
      <c r="J72" s="279">
        <f>H30</f>
        <v>8.0000000000000004E-4</v>
      </c>
      <c r="K72" s="61"/>
      <c r="L72" s="10"/>
      <c r="M72" s="10"/>
      <c r="N72" s="10"/>
      <c r="O72" s="30"/>
      <c r="P72" s="10"/>
      <c r="Q72" s="10"/>
      <c r="R72" s="10"/>
      <c r="S72" s="28"/>
      <c r="T72" s="10"/>
      <c r="U72" s="10"/>
      <c r="V72" s="10"/>
      <c r="W72" s="30"/>
      <c r="X72" s="30"/>
      <c r="AC72"/>
      <c r="AD72"/>
      <c r="AE72"/>
      <c r="AF72"/>
      <c r="AG72"/>
    </row>
    <row r="73" spans="1:33" ht="16.2" thickBot="1" x14ac:dyDescent="0.35">
      <c r="B73" s="281">
        <v>13</v>
      </c>
      <c r="C73" s="281" t="s">
        <v>97</v>
      </c>
      <c r="D73" s="281" t="s">
        <v>20</v>
      </c>
      <c r="E73" s="281" t="s">
        <v>9</v>
      </c>
      <c r="F73" s="281"/>
      <c r="G73" s="282" t="e">
        <f t="shared" si="17"/>
        <v>#DIV/0!</v>
      </c>
      <c r="H73" s="283" t="e">
        <f t="shared" si="18"/>
        <v>#DIV/0!</v>
      </c>
      <c r="I73" s="282" t="e">
        <f t="shared" si="19"/>
        <v>#DIV/0!</v>
      </c>
      <c r="J73" s="284"/>
      <c r="K73" s="61"/>
      <c r="L73" s="10"/>
      <c r="M73" s="10"/>
      <c r="N73" s="10"/>
      <c r="O73" s="30"/>
      <c r="P73" s="10"/>
      <c r="Q73" s="10"/>
      <c r="R73" s="10"/>
      <c r="S73" s="28"/>
      <c r="T73" s="10"/>
      <c r="U73" s="10"/>
      <c r="V73" s="10"/>
      <c r="W73" s="30"/>
      <c r="X73" s="30"/>
      <c r="AC73"/>
      <c r="AD73"/>
      <c r="AE73"/>
      <c r="AF73"/>
      <c r="AG73"/>
    </row>
    <row r="74" spans="1:33" ht="16.2" thickBot="1" x14ac:dyDescent="0.35">
      <c r="B74" s="35">
        <v>14</v>
      </c>
      <c r="C74" s="35" t="s">
        <v>98</v>
      </c>
      <c r="D74" s="35" t="s">
        <v>20</v>
      </c>
      <c r="E74" s="35" t="s">
        <v>9</v>
      </c>
      <c r="F74" s="35"/>
      <c r="G74" s="177" t="e">
        <f t="shared" si="17"/>
        <v>#DIV/0!</v>
      </c>
      <c r="H74" s="178" t="e">
        <f t="shared" si="18"/>
        <v>#DIV/0!</v>
      </c>
      <c r="I74" s="177" t="e">
        <f t="shared" si="19"/>
        <v>#DIV/0!</v>
      </c>
      <c r="J74" s="279">
        <f>H31</f>
        <v>6.9999999999999999E-4</v>
      </c>
      <c r="K74" s="61"/>
      <c r="L74" s="10"/>
      <c r="M74" s="10"/>
      <c r="N74" s="10"/>
      <c r="O74" s="30"/>
      <c r="P74" s="10"/>
      <c r="Q74" s="10"/>
      <c r="R74" s="10"/>
      <c r="S74" s="28"/>
      <c r="T74" s="10"/>
      <c r="U74" s="10"/>
      <c r="V74" s="10"/>
      <c r="W74" s="30"/>
      <c r="X74" s="30"/>
      <c r="AC74"/>
      <c r="AD74"/>
      <c r="AE74"/>
      <c r="AF74"/>
      <c r="AG74"/>
    </row>
    <row r="75" spans="1:33" ht="16.2" thickBot="1" x14ac:dyDescent="0.35">
      <c r="B75" s="30">
        <v>15</v>
      </c>
      <c r="C75" s="30" t="s">
        <v>97</v>
      </c>
      <c r="D75" s="30" t="s">
        <v>21</v>
      </c>
      <c r="E75" s="30" t="s">
        <v>6</v>
      </c>
      <c r="G75" s="9" t="e">
        <f t="shared" si="17"/>
        <v>#DIV/0!</v>
      </c>
      <c r="H75" s="226" t="e">
        <f t="shared" si="18"/>
        <v>#DIV/0!</v>
      </c>
      <c r="I75" s="9" t="e">
        <f t="shared" si="19"/>
        <v>#DIV/0!</v>
      </c>
      <c r="J75" s="280"/>
      <c r="K75" s="61"/>
      <c r="L75" s="10"/>
      <c r="M75" s="10"/>
      <c r="N75" s="10"/>
      <c r="O75" s="30"/>
      <c r="P75" s="10"/>
      <c r="Q75" s="10"/>
      <c r="R75" s="10"/>
      <c r="S75" s="28"/>
      <c r="T75" s="10"/>
      <c r="U75" s="10"/>
      <c r="V75" s="10"/>
      <c r="W75" s="30"/>
      <c r="X75" s="30"/>
      <c r="AC75"/>
      <c r="AD75"/>
      <c r="AE75"/>
      <c r="AF75"/>
      <c r="AG75"/>
    </row>
    <row r="76" spans="1:33" s="181" customFormat="1" ht="16.2" thickBot="1" x14ac:dyDescent="0.35">
      <c r="A76" s="176"/>
      <c r="B76" s="35">
        <v>16</v>
      </c>
      <c r="C76" s="35" t="s">
        <v>98</v>
      </c>
      <c r="D76" s="35" t="s">
        <v>21</v>
      </c>
      <c r="E76" s="35" t="s">
        <v>6</v>
      </c>
      <c r="F76" s="35"/>
      <c r="G76" s="177" t="e">
        <f t="shared" si="17"/>
        <v>#DIV/0!</v>
      </c>
      <c r="H76" s="178" t="e">
        <f t="shared" si="18"/>
        <v>#DIV/0!</v>
      </c>
      <c r="I76" s="177" t="e">
        <f t="shared" si="19"/>
        <v>#DIV/0!</v>
      </c>
      <c r="J76" s="279">
        <f>H32</f>
        <v>1.5E-3</v>
      </c>
      <c r="K76" s="179"/>
      <c r="L76" s="10"/>
      <c r="M76" s="10"/>
      <c r="N76" s="10"/>
      <c r="O76" s="35"/>
      <c r="P76" s="180"/>
      <c r="Q76" s="180"/>
      <c r="R76" s="180"/>
      <c r="S76" s="176"/>
      <c r="T76" s="180"/>
      <c r="U76" s="180"/>
      <c r="V76" s="180"/>
      <c r="W76" s="35"/>
      <c r="X76" s="35"/>
      <c r="Y76" s="176"/>
      <c r="Z76" s="176"/>
      <c r="AA76" s="176"/>
      <c r="AB76" s="176"/>
    </row>
    <row r="77" spans="1:33" s="154" customFormat="1" ht="15.6" x14ac:dyDescent="0.3">
      <c r="B77" s="316" t="s">
        <v>148</v>
      </c>
      <c r="C77" s="316"/>
      <c r="D77" s="155"/>
      <c r="E77" s="155"/>
      <c r="F77" s="155"/>
      <c r="H77" s="156"/>
      <c r="L77" s="155"/>
      <c r="M77" s="155"/>
      <c r="N77" s="155"/>
      <c r="O77" s="155"/>
      <c r="P77" s="156"/>
      <c r="U77" s="155"/>
      <c r="V77" s="155"/>
      <c r="W77" s="155"/>
      <c r="X77" s="155"/>
    </row>
    <row r="78" spans="1:33" s="159" customFormat="1" x14ac:dyDescent="0.3">
      <c r="A78" s="154"/>
      <c r="B78" s="155"/>
      <c r="C78" s="155"/>
      <c r="D78" s="155" t="s">
        <v>13</v>
      </c>
      <c r="E78" s="155" t="s">
        <v>7</v>
      </c>
      <c r="F78" s="155"/>
      <c r="G78" s="155"/>
      <c r="H78" s="157"/>
      <c r="I78" s="155"/>
      <c r="J78" s="155"/>
      <c r="K78" s="155"/>
      <c r="L78" s="314" t="s">
        <v>83</v>
      </c>
      <c r="M78" s="314"/>
      <c r="N78" s="314"/>
      <c r="O78" s="155" t="s">
        <v>29</v>
      </c>
      <c r="P78" s="157"/>
      <c r="Q78" s="155"/>
      <c r="R78" s="155"/>
      <c r="S78" s="155"/>
      <c r="T78" s="154"/>
      <c r="U78" s="155"/>
      <c r="V78" s="155"/>
      <c r="W78" s="155"/>
      <c r="X78" s="155" t="s">
        <v>29</v>
      </c>
      <c r="Y78" s="154"/>
      <c r="Z78" s="154"/>
      <c r="AA78" s="154"/>
      <c r="AB78" s="154"/>
      <c r="AC78" s="158"/>
      <c r="AD78" s="158"/>
      <c r="AE78" s="158"/>
      <c r="AF78" s="158"/>
      <c r="AG78" s="158"/>
    </row>
    <row r="79" spans="1:33" s="159" customFormat="1" ht="16.2" thickBot="1" x14ac:dyDescent="0.35">
      <c r="A79" s="154"/>
      <c r="B79" s="160" t="s">
        <v>0</v>
      </c>
      <c r="C79" s="160" t="s">
        <v>71</v>
      </c>
      <c r="D79" s="160" t="s">
        <v>1</v>
      </c>
      <c r="E79" s="160" t="s">
        <v>8</v>
      </c>
      <c r="F79" s="155"/>
      <c r="G79" s="161" t="s">
        <v>29</v>
      </c>
      <c r="H79" s="162" t="s">
        <v>75</v>
      </c>
      <c r="I79" s="163" t="s">
        <v>76</v>
      </c>
      <c r="J79" s="163" t="s">
        <v>91</v>
      </c>
      <c r="K79" s="163" t="s">
        <v>92</v>
      </c>
      <c r="L79" s="164" t="s">
        <v>24</v>
      </c>
      <c r="M79" s="164" t="s">
        <v>81</v>
      </c>
      <c r="N79" s="164" t="s">
        <v>82</v>
      </c>
      <c r="O79" s="164" t="s">
        <v>36</v>
      </c>
      <c r="P79" s="165" t="s">
        <v>35</v>
      </c>
      <c r="Q79" s="155"/>
      <c r="R79" s="154"/>
      <c r="S79" s="155" t="s">
        <v>80</v>
      </c>
      <c r="T79" s="154"/>
      <c r="U79" s="164" t="s">
        <v>77</v>
      </c>
      <c r="V79" s="164" t="s">
        <v>78</v>
      </c>
      <c r="W79" s="164" t="s">
        <v>79</v>
      </c>
      <c r="X79" s="164" t="s">
        <v>36</v>
      </c>
      <c r="Y79" s="155" t="s">
        <v>74</v>
      </c>
      <c r="Z79" s="165" t="s">
        <v>35</v>
      </c>
      <c r="AA79" s="154"/>
      <c r="AB79" s="154"/>
      <c r="AC79" s="158"/>
      <c r="AD79" s="158"/>
      <c r="AE79" s="158"/>
      <c r="AF79" s="158"/>
      <c r="AG79" s="158"/>
    </row>
    <row r="80" spans="1:33" s="159" customFormat="1" ht="15.6" x14ac:dyDescent="0.3">
      <c r="A80" s="154"/>
      <c r="B80" s="155">
        <v>1</v>
      </c>
      <c r="C80" s="155" t="s">
        <v>147</v>
      </c>
      <c r="D80" s="155" t="s">
        <v>47</v>
      </c>
      <c r="E80" s="155" t="s">
        <v>6</v>
      </c>
      <c r="F80" s="155"/>
      <c r="G80" s="166">
        <f>J80+P80</f>
        <v>22.636857090275001</v>
      </c>
      <c r="H80" s="167">
        <f>AVERAGE(L80,M80,N80)</f>
        <v>22.637753333333333</v>
      </c>
      <c r="I80" s="168">
        <f>H80-G80</f>
        <v>8.962430583316916E-4</v>
      </c>
      <c r="J80" s="169">
        <v>22.636718999999999</v>
      </c>
      <c r="K80" s="170">
        <f>Y80-J80</f>
        <v>1.9743333333330781E-3</v>
      </c>
      <c r="L80" s="171">
        <v>22.63775</v>
      </c>
      <c r="M80" s="171">
        <v>22.63776</v>
      </c>
      <c r="N80" s="171">
        <v>22.63775</v>
      </c>
      <c r="O80" s="171">
        <v>68.5</v>
      </c>
      <c r="P80" s="156">
        <f>IF(O80&lt;&gt;"",Q80*N80*(0.000001*S80),0)</f>
        <v>1.3809027499999999E-4</v>
      </c>
      <c r="Q80" s="154">
        <f>IF(O80&lt;&gt;"",O80-68,"")</f>
        <v>0.5</v>
      </c>
      <c r="R80" s="154"/>
      <c r="S80" s="172">
        <v>12.2</v>
      </c>
      <c r="T80" s="154"/>
      <c r="U80" s="171">
        <v>22.638480000000001</v>
      </c>
      <c r="V80" s="171">
        <v>22.63869</v>
      </c>
      <c r="W80" s="171">
        <v>22.638909999999999</v>
      </c>
      <c r="X80" s="171">
        <v>71.099999999999994</v>
      </c>
      <c r="Y80" s="156">
        <f>AVERAGE(U80:W80)</f>
        <v>22.638693333333332</v>
      </c>
      <c r="Z80" s="156">
        <f>IF(X80&lt;&gt;"",AA80*Y80*(0.000001*S80),0)</f>
        <v>8.5619538186666494E-4</v>
      </c>
      <c r="AA80" s="154">
        <f>IF(X80&lt;&gt;"",X80-68,"")</f>
        <v>3.0999999999999943</v>
      </c>
      <c r="AB80" s="154"/>
      <c r="AC80" s="158"/>
      <c r="AD80" s="158"/>
      <c r="AE80" s="158"/>
      <c r="AF80" s="158"/>
      <c r="AG80" s="158"/>
    </row>
    <row r="81" spans="1:33" s="159" customFormat="1" ht="15.6" x14ac:dyDescent="0.3">
      <c r="A81" s="154"/>
      <c r="B81" s="155">
        <v>2</v>
      </c>
      <c r="C81" s="155" t="s">
        <v>147</v>
      </c>
      <c r="D81" s="155" t="s">
        <v>50</v>
      </c>
      <c r="E81" s="155" t="s">
        <v>6</v>
      </c>
      <c r="F81" s="155"/>
      <c r="G81" s="166"/>
      <c r="H81" s="167"/>
      <c r="I81" s="168"/>
      <c r="J81" s="169"/>
      <c r="K81" s="170"/>
      <c r="L81" s="173"/>
      <c r="M81" s="173"/>
      <c r="N81" s="173"/>
      <c r="O81" s="171"/>
      <c r="P81" s="156">
        <f>IF(O81&lt;&gt;"",Q81*N81*(0.000001*S81),0)</f>
        <v>0</v>
      </c>
      <c r="Q81" s="154" t="str">
        <f>IF(O81&lt;&gt;"",O81-68,"")</f>
        <v/>
      </c>
      <c r="R81" s="154"/>
      <c r="S81" s="172">
        <v>12.2</v>
      </c>
      <c r="T81" s="154"/>
      <c r="U81" s="173">
        <v>45.276809999999998</v>
      </c>
      <c r="V81" s="173">
        <v>45.27702</v>
      </c>
      <c r="W81" s="173">
        <v>45.276969999999999</v>
      </c>
      <c r="X81" s="171">
        <v>70.3</v>
      </c>
      <c r="Y81" s="156">
        <f>AVERAGE(U81:W81)</f>
        <v>45.276933333333339</v>
      </c>
      <c r="Z81" s="156">
        <f>IF(X81&lt;&gt;"",AA81*Y81*(0.000001*S81),0)</f>
        <v>1.2704707493333316E-3</v>
      </c>
      <c r="AA81" s="154">
        <f>IF(X81&lt;&gt;"",X81-68,"")</f>
        <v>2.2999999999999972</v>
      </c>
      <c r="AB81" s="154"/>
      <c r="AC81" s="158"/>
      <c r="AD81" s="158"/>
      <c r="AE81" s="158"/>
      <c r="AF81" s="158"/>
      <c r="AG81" s="158"/>
    </row>
    <row r="82" spans="1:33" s="159" customFormat="1" ht="15.6" x14ac:dyDescent="0.3">
      <c r="A82" s="154"/>
      <c r="B82" s="155"/>
      <c r="C82" s="155"/>
      <c r="D82" s="155"/>
      <c r="E82" s="155"/>
      <c r="F82" s="155"/>
      <c r="G82" s="166"/>
      <c r="H82" s="167"/>
      <c r="I82" s="168"/>
      <c r="J82" s="169"/>
      <c r="K82" s="170"/>
      <c r="L82" s="173"/>
      <c r="M82" s="173"/>
      <c r="N82" s="173"/>
      <c r="O82" s="171"/>
      <c r="P82" s="156">
        <f>IF(O82&lt;&gt;"",Q82*N82*(0.000001*S82),0)</f>
        <v>0</v>
      </c>
      <c r="Q82" s="154" t="str">
        <f>IF(O82&lt;&gt;"",O82-68,"")</f>
        <v/>
      </c>
      <c r="R82" s="154"/>
      <c r="S82" s="172">
        <v>12.2</v>
      </c>
      <c r="T82" s="154"/>
      <c r="U82" s="173">
        <v>67.915999999999997</v>
      </c>
      <c r="V82" s="173">
        <v>67.916200000000003</v>
      </c>
      <c r="W82" s="173">
        <v>67.916060000000002</v>
      </c>
      <c r="X82" s="171">
        <v>70</v>
      </c>
      <c r="Y82" s="156">
        <f>AVERAGE(U82:W82)</f>
        <v>67.916086666666672</v>
      </c>
      <c r="Z82" s="156">
        <f>IF(X82&lt;&gt;"",AA82*Y82*(0.000001*S82),0)</f>
        <v>1.6571525146666666E-3</v>
      </c>
      <c r="AA82" s="154">
        <f>IF(X82&lt;&gt;"",X82-68,"")</f>
        <v>2</v>
      </c>
      <c r="AB82" s="154"/>
      <c r="AC82" s="158"/>
      <c r="AD82" s="158"/>
      <c r="AE82" s="158"/>
      <c r="AF82" s="158"/>
      <c r="AG82" s="158"/>
    </row>
    <row r="83" spans="1:33" s="159" customFormat="1" ht="15.6" x14ac:dyDescent="0.3">
      <c r="A83" s="154"/>
      <c r="B83" s="155"/>
      <c r="C83" s="155"/>
      <c r="D83" s="155"/>
      <c r="E83" s="155"/>
      <c r="F83" s="155"/>
      <c r="G83" s="166">
        <f>J83+P83</f>
        <v>90.554004243120588</v>
      </c>
      <c r="H83" s="167">
        <f>AVERAGE(L83,M83,N83)</f>
        <v>90.552329999999984</v>
      </c>
      <c r="I83" s="168">
        <f>H83-G83</f>
        <v>-1.6742431206040465E-3</v>
      </c>
      <c r="J83" s="169">
        <v>90.553451875249593</v>
      </c>
      <c r="K83" s="170">
        <f>Y83-J83</f>
        <v>1.0514580837366339E-3</v>
      </c>
      <c r="L83" s="173">
        <v>90.55256</v>
      </c>
      <c r="M83" s="173">
        <v>90.552319999999995</v>
      </c>
      <c r="N83" s="173">
        <v>90.552109999999999</v>
      </c>
      <c r="O83" s="171">
        <v>68.5</v>
      </c>
      <c r="P83" s="156">
        <f>IF(O83&lt;&gt;"",Q83*N83*(0.000001*S83),0)</f>
        <v>5.5236787099999989E-4</v>
      </c>
      <c r="Q83" s="154">
        <f>IF(O83&lt;&gt;"",O83-68,"")</f>
        <v>0.5</v>
      </c>
      <c r="R83" s="154"/>
      <c r="S83" s="172">
        <v>12.2</v>
      </c>
      <c r="T83" s="154"/>
      <c r="U83" s="173">
        <v>90.554450000000003</v>
      </c>
      <c r="V83" s="173">
        <v>90.554540000000003</v>
      </c>
      <c r="W83" s="173">
        <v>90.554519999999997</v>
      </c>
      <c r="X83" s="171">
        <v>70.599999999999994</v>
      </c>
      <c r="Y83" s="156">
        <f>AVERAGE(U83:W83)</f>
        <v>90.554503333333329</v>
      </c>
      <c r="Z83" s="156">
        <f>IF(X83&lt;&gt;"",AA83*Y83*(0.000001*S83),0)</f>
        <v>2.8723888457333263E-3</v>
      </c>
      <c r="AA83" s="154">
        <f>IF(X83&lt;&gt;"",X83-68,"")</f>
        <v>2.5999999999999943</v>
      </c>
      <c r="AB83" s="154"/>
      <c r="AC83" s="158"/>
      <c r="AD83" s="158"/>
      <c r="AE83" s="158"/>
      <c r="AF83" s="158"/>
      <c r="AG83" s="158"/>
    </row>
    <row r="84" spans="1:33" s="159" customFormat="1" ht="15.6" x14ac:dyDescent="0.3">
      <c r="A84" s="154"/>
      <c r="B84" s="155"/>
      <c r="C84" s="155"/>
      <c r="D84" s="155"/>
      <c r="E84" s="155"/>
      <c r="F84" s="155"/>
      <c r="G84" s="166"/>
      <c r="H84" s="167"/>
      <c r="I84" s="168"/>
      <c r="J84" s="174"/>
      <c r="K84" s="175"/>
      <c r="L84" s="173"/>
      <c r="M84" s="173"/>
      <c r="N84" s="173"/>
      <c r="O84" s="171"/>
      <c r="P84" s="156">
        <f>IF(O84&lt;&gt;"",Q84*N84*(0.000001*S84),0)</f>
        <v>0</v>
      </c>
      <c r="Q84" s="154" t="str">
        <f>IF(O84&lt;&gt;"",O84-68,"")</f>
        <v/>
      </c>
      <c r="R84" s="154"/>
      <c r="S84" s="172">
        <v>12.2</v>
      </c>
      <c r="T84" s="154"/>
      <c r="U84" s="173">
        <v>265.58033</v>
      </c>
      <c r="V84" s="173">
        <v>265.58037000000002</v>
      </c>
      <c r="W84" s="173">
        <v>265.58028999999999</v>
      </c>
      <c r="X84" s="171">
        <v>71.2</v>
      </c>
      <c r="Y84" s="156">
        <f>AVERAGE(U84:W84)</f>
        <v>265.58033</v>
      </c>
      <c r="Z84" s="156">
        <f>IF(X84&lt;&gt;"",AA84*Y84*(0.000001*S84),0)</f>
        <v>1.0368256083200007E-2</v>
      </c>
      <c r="AA84" s="154">
        <f>IF(X84&lt;&gt;"",X84-68,"")</f>
        <v>3.2000000000000028</v>
      </c>
      <c r="AB84" s="154"/>
      <c r="AC84" s="158"/>
      <c r="AD84" s="158"/>
      <c r="AE84" s="158"/>
      <c r="AF84" s="158"/>
      <c r="AG84" s="158"/>
    </row>
    <row r="85" spans="1:33" s="28" customFormat="1" x14ac:dyDescent="0.3">
      <c r="B85" s="30"/>
      <c r="C85" s="30"/>
      <c r="D85" s="30"/>
      <c r="E85" s="30"/>
      <c r="F85" s="30"/>
      <c r="H85" s="27"/>
      <c r="L85" s="30"/>
      <c r="M85" s="30"/>
      <c r="N85" s="30"/>
      <c r="O85" s="30"/>
      <c r="P85" s="27"/>
      <c r="U85" s="30"/>
      <c r="V85" s="30"/>
      <c r="W85" s="30"/>
      <c r="X85" s="30"/>
    </row>
    <row r="86" spans="1:33" s="28" customFormat="1" x14ac:dyDescent="0.3">
      <c r="B86" s="30"/>
      <c r="C86" s="30"/>
      <c r="D86" s="30"/>
      <c r="E86" s="30"/>
      <c r="F86" s="30"/>
      <c r="H86" s="27"/>
      <c r="L86" s="30"/>
      <c r="M86" s="30"/>
      <c r="N86" s="30"/>
      <c r="O86" s="30"/>
      <c r="P86" s="27"/>
      <c r="U86" s="30"/>
      <c r="V86" s="30"/>
      <c r="W86" s="30"/>
      <c r="X86" s="30"/>
    </row>
    <row r="87" spans="1:33" s="28" customFormat="1" x14ac:dyDescent="0.3">
      <c r="B87" s="30"/>
      <c r="C87" s="30"/>
      <c r="D87" s="30"/>
      <c r="E87" s="30"/>
      <c r="F87" s="30"/>
      <c r="H87" s="27"/>
      <c r="L87" s="30"/>
      <c r="M87" s="30"/>
      <c r="N87" s="30"/>
      <c r="O87" s="30"/>
      <c r="P87" s="27"/>
      <c r="U87" s="30"/>
      <c r="V87" s="30"/>
      <c r="W87" s="30"/>
      <c r="X87" s="30"/>
    </row>
    <row r="88" spans="1:33" s="28" customFormat="1" x14ac:dyDescent="0.3">
      <c r="B88" s="30"/>
      <c r="C88" s="30"/>
      <c r="D88" s="30"/>
      <c r="E88" s="30"/>
      <c r="F88" s="30"/>
      <c r="H88" s="27"/>
      <c r="L88" s="30"/>
      <c r="M88" s="30"/>
      <c r="N88" s="30"/>
      <c r="O88" s="30"/>
      <c r="P88" s="27"/>
      <c r="U88" s="30"/>
      <c r="V88" s="30"/>
      <c r="W88" s="30"/>
      <c r="X88" s="30"/>
    </row>
    <row r="89" spans="1:33" s="28" customFormat="1" x14ac:dyDescent="0.3">
      <c r="B89" s="30"/>
      <c r="C89" s="30"/>
      <c r="D89" s="30"/>
      <c r="E89" s="30"/>
      <c r="F89" s="30"/>
      <c r="H89" s="27"/>
      <c r="L89" s="30"/>
      <c r="M89" s="30"/>
      <c r="N89" s="30"/>
      <c r="O89" s="30"/>
      <c r="P89" s="27"/>
      <c r="U89" s="30"/>
      <c r="V89" s="30"/>
      <c r="W89" s="30"/>
      <c r="X89" s="30"/>
    </row>
    <row r="90" spans="1:33" s="28" customFormat="1" x14ac:dyDescent="0.3">
      <c r="B90" s="30"/>
      <c r="C90" s="30"/>
      <c r="D90" s="30"/>
      <c r="E90" s="30"/>
      <c r="F90" s="30"/>
      <c r="H90" s="27"/>
      <c r="L90" s="30"/>
      <c r="M90" s="30"/>
      <c r="N90" s="30"/>
      <c r="O90" s="30"/>
      <c r="P90" s="27"/>
      <c r="U90" s="30"/>
      <c r="V90" s="30"/>
      <c r="W90" s="30"/>
      <c r="X90" s="30"/>
    </row>
    <row r="91" spans="1:33" s="28" customFormat="1" x14ac:dyDescent="0.3">
      <c r="B91" s="30"/>
      <c r="C91" s="30"/>
      <c r="D91" s="30"/>
      <c r="E91" s="30"/>
      <c r="F91" s="30"/>
      <c r="H91" s="27"/>
      <c r="L91" s="30"/>
      <c r="M91" s="30"/>
      <c r="N91" s="30"/>
      <c r="O91" s="30"/>
      <c r="P91" s="27"/>
      <c r="U91" s="30"/>
      <c r="V91" s="30"/>
      <c r="W91" s="30"/>
      <c r="X91" s="30"/>
    </row>
    <row r="92" spans="1:33" s="28" customFormat="1" x14ac:dyDescent="0.3">
      <c r="B92" s="30"/>
      <c r="C92" s="30"/>
      <c r="D92" s="30"/>
      <c r="E92" s="30"/>
      <c r="F92" s="30"/>
      <c r="H92" s="27"/>
      <c r="L92" s="30"/>
      <c r="M92" s="30"/>
      <c r="N92" s="30"/>
      <c r="O92" s="30"/>
      <c r="P92" s="27"/>
      <c r="U92" s="30"/>
      <c r="V92" s="30"/>
      <c r="W92" s="30"/>
      <c r="X92" s="30"/>
    </row>
    <row r="93" spans="1:33" s="28" customFormat="1" x14ac:dyDescent="0.3">
      <c r="B93" s="30"/>
      <c r="C93" s="30"/>
      <c r="D93" s="30"/>
      <c r="E93" s="30"/>
      <c r="F93" s="30"/>
      <c r="H93" s="27"/>
      <c r="L93" s="30"/>
      <c r="M93" s="30"/>
      <c r="N93" s="30"/>
      <c r="O93" s="30"/>
      <c r="P93" s="27"/>
      <c r="U93" s="30"/>
      <c r="V93" s="30"/>
      <c r="W93" s="30"/>
      <c r="X93" s="30"/>
    </row>
    <row r="94" spans="1:33" s="28" customFormat="1" x14ac:dyDescent="0.3">
      <c r="B94" s="30"/>
      <c r="C94" s="30"/>
      <c r="D94" s="30"/>
      <c r="E94" s="30"/>
      <c r="F94" s="30"/>
      <c r="H94" s="27"/>
      <c r="L94" s="30"/>
      <c r="M94" s="30"/>
      <c r="N94" s="30"/>
      <c r="O94" s="30"/>
      <c r="P94" s="27"/>
      <c r="U94" s="30"/>
      <c r="V94" s="30"/>
      <c r="W94" s="30"/>
      <c r="X94" s="30"/>
    </row>
    <row r="95" spans="1:33" s="28" customFormat="1" x14ac:dyDescent="0.3">
      <c r="B95" s="30"/>
      <c r="C95" s="30"/>
      <c r="D95" s="30"/>
      <c r="E95" s="30"/>
      <c r="F95" s="30"/>
      <c r="H95" s="27"/>
      <c r="L95" s="30"/>
      <c r="M95" s="30"/>
      <c r="N95" s="30"/>
      <c r="O95" s="30"/>
      <c r="P95" s="27"/>
      <c r="U95" s="30"/>
      <c r="V95" s="30"/>
      <c r="W95" s="30"/>
      <c r="X95" s="30"/>
    </row>
    <row r="96" spans="1:33" s="28" customFormat="1" x14ac:dyDescent="0.3">
      <c r="B96" s="30"/>
      <c r="C96" s="30"/>
      <c r="D96" s="30"/>
      <c r="E96" s="30"/>
      <c r="F96" s="30"/>
      <c r="H96" s="27"/>
      <c r="L96" s="30"/>
      <c r="M96" s="30"/>
      <c r="N96" s="30"/>
      <c r="O96" s="30"/>
      <c r="P96" s="27"/>
      <c r="U96" s="30"/>
      <c r="V96" s="30"/>
      <c r="W96" s="30"/>
      <c r="X96" s="30"/>
    </row>
    <row r="97" spans="2:24" s="28" customFormat="1" x14ac:dyDescent="0.3">
      <c r="B97" s="30"/>
      <c r="C97" s="30"/>
      <c r="D97" s="30"/>
      <c r="E97" s="30"/>
      <c r="F97" s="30"/>
      <c r="H97" s="27"/>
      <c r="L97" s="30"/>
      <c r="M97" s="30"/>
      <c r="N97" s="30"/>
      <c r="O97" s="30"/>
      <c r="P97" s="27"/>
      <c r="U97" s="30"/>
      <c r="V97" s="30"/>
      <c r="W97" s="30"/>
      <c r="X97" s="30"/>
    </row>
    <row r="98" spans="2:24" s="28" customFormat="1" x14ac:dyDescent="0.3">
      <c r="B98" s="30"/>
      <c r="C98" s="30"/>
      <c r="D98" s="30"/>
      <c r="E98" s="30"/>
      <c r="F98" s="30"/>
      <c r="H98" s="27"/>
      <c r="L98" s="30"/>
      <c r="M98" s="30"/>
      <c r="N98" s="30"/>
      <c r="O98" s="30"/>
      <c r="P98" s="27"/>
      <c r="U98" s="30"/>
      <c r="V98" s="30"/>
      <c r="W98" s="30"/>
      <c r="X98" s="30"/>
    </row>
    <row r="99" spans="2:24" s="28" customFormat="1" x14ac:dyDescent="0.3">
      <c r="B99" s="30"/>
      <c r="C99" s="30"/>
      <c r="D99" s="30"/>
      <c r="E99" s="30"/>
      <c r="F99" s="30"/>
      <c r="H99" s="27"/>
      <c r="L99" s="30"/>
      <c r="M99" s="30"/>
      <c r="N99" s="30"/>
      <c r="O99" s="30"/>
      <c r="P99" s="27"/>
      <c r="U99" s="30"/>
      <c r="V99" s="30"/>
      <c r="W99" s="30"/>
      <c r="X99" s="30"/>
    </row>
    <row r="100" spans="2:24" s="28" customFormat="1" x14ac:dyDescent="0.3">
      <c r="B100" s="30"/>
      <c r="C100" s="30"/>
      <c r="D100" s="30"/>
      <c r="E100" s="30"/>
      <c r="F100" s="30"/>
      <c r="H100" s="27"/>
      <c r="L100" s="30"/>
      <c r="M100" s="30"/>
      <c r="N100" s="30"/>
      <c r="O100" s="30"/>
      <c r="P100" s="27"/>
      <c r="U100" s="30"/>
      <c r="V100" s="30"/>
      <c r="W100" s="30"/>
      <c r="X100" s="30"/>
    </row>
    <row r="101" spans="2:24" s="28" customFormat="1" x14ac:dyDescent="0.3">
      <c r="B101" s="30"/>
      <c r="C101" s="30"/>
      <c r="D101" s="30"/>
      <c r="E101" s="30"/>
      <c r="F101" s="30"/>
      <c r="H101" s="27"/>
      <c r="L101" s="30"/>
      <c r="M101" s="30"/>
      <c r="N101" s="30"/>
      <c r="O101" s="30"/>
      <c r="P101" s="27"/>
      <c r="U101" s="30"/>
      <c r="V101" s="30"/>
      <c r="W101" s="30"/>
      <c r="X101" s="30"/>
    </row>
    <row r="102" spans="2:24" s="28" customFormat="1" x14ac:dyDescent="0.3">
      <c r="B102" s="30"/>
      <c r="C102" s="30"/>
      <c r="D102" s="30"/>
      <c r="E102" s="30"/>
      <c r="F102" s="30"/>
      <c r="H102" s="27"/>
      <c r="L102" s="30"/>
      <c r="M102" s="30"/>
      <c r="N102" s="30"/>
      <c r="O102" s="30"/>
      <c r="P102" s="27"/>
      <c r="U102" s="30"/>
      <c r="V102" s="30"/>
      <c r="W102" s="30"/>
      <c r="X102" s="30"/>
    </row>
    <row r="103" spans="2:24" s="28" customFormat="1" x14ac:dyDescent="0.3">
      <c r="B103" s="30"/>
      <c r="C103" s="30"/>
      <c r="D103" s="30"/>
      <c r="E103" s="30"/>
      <c r="F103" s="30"/>
      <c r="H103" s="27"/>
      <c r="L103" s="30"/>
      <c r="M103" s="30"/>
      <c r="N103" s="30"/>
      <c r="O103" s="30"/>
      <c r="P103" s="27"/>
      <c r="U103" s="30"/>
      <c r="V103" s="30"/>
      <c r="W103" s="30"/>
      <c r="X103" s="30"/>
    </row>
    <row r="104" spans="2:24" s="28" customFormat="1" x14ac:dyDescent="0.3">
      <c r="B104" s="30"/>
      <c r="C104" s="30"/>
      <c r="D104" s="30"/>
      <c r="E104" s="30"/>
      <c r="F104" s="30"/>
      <c r="H104" s="27"/>
      <c r="L104" s="30"/>
      <c r="M104" s="30"/>
      <c r="N104" s="30"/>
      <c r="O104" s="30"/>
      <c r="P104" s="27"/>
      <c r="U104" s="30"/>
      <c r="V104" s="30"/>
      <c r="W104" s="30"/>
      <c r="X104" s="30"/>
    </row>
    <row r="105" spans="2:24" s="28" customFormat="1" x14ac:dyDescent="0.3">
      <c r="B105" s="30"/>
      <c r="C105" s="30"/>
      <c r="D105" s="30"/>
      <c r="E105" s="30"/>
      <c r="F105" s="30"/>
      <c r="H105" s="27"/>
      <c r="L105" s="30"/>
      <c r="M105" s="30"/>
      <c r="N105" s="30"/>
      <c r="O105" s="30"/>
      <c r="P105" s="27"/>
      <c r="U105" s="30"/>
      <c r="V105" s="30"/>
      <c r="W105" s="30"/>
      <c r="X105" s="30"/>
    </row>
    <row r="106" spans="2:24" s="28" customFormat="1" x14ac:dyDescent="0.3">
      <c r="B106" s="30"/>
      <c r="C106" s="30"/>
      <c r="D106" s="30"/>
      <c r="E106" s="30"/>
      <c r="F106" s="30"/>
      <c r="H106" s="27"/>
      <c r="L106" s="30"/>
      <c r="M106" s="30"/>
      <c r="N106" s="30"/>
      <c r="O106" s="30"/>
      <c r="P106" s="27"/>
      <c r="U106" s="30"/>
      <c r="V106" s="30"/>
      <c r="W106" s="30"/>
      <c r="X106" s="30"/>
    </row>
    <row r="107" spans="2:24" s="28" customFormat="1" x14ac:dyDescent="0.3">
      <c r="B107" s="30"/>
      <c r="C107" s="30"/>
      <c r="D107" s="30"/>
      <c r="E107" s="30"/>
      <c r="F107" s="30"/>
      <c r="H107" s="27"/>
      <c r="L107" s="30"/>
      <c r="M107" s="30"/>
      <c r="N107" s="30"/>
      <c r="O107" s="30"/>
      <c r="P107" s="27"/>
      <c r="U107" s="30"/>
      <c r="V107" s="30"/>
      <c r="W107" s="30"/>
      <c r="X107" s="30"/>
    </row>
    <row r="108" spans="2:24" s="28" customFormat="1" x14ac:dyDescent="0.3">
      <c r="B108" s="30"/>
      <c r="C108" s="30"/>
      <c r="D108" s="30"/>
      <c r="E108" s="30"/>
      <c r="F108" s="30"/>
      <c r="H108" s="27"/>
      <c r="L108" s="30"/>
      <c r="M108" s="30"/>
      <c r="N108" s="30"/>
      <c r="O108" s="30"/>
      <c r="P108" s="27"/>
      <c r="U108" s="30"/>
      <c r="V108" s="30"/>
      <c r="W108" s="30"/>
      <c r="X108" s="30"/>
    </row>
    <row r="109" spans="2:24" s="28" customFormat="1" x14ac:dyDescent="0.3">
      <c r="B109" s="30"/>
      <c r="C109" s="30"/>
      <c r="D109" s="30"/>
      <c r="E109" s="30"/>
      <c r="F109" s="30"/>
      <c r="H109" s="27"/>
      <c r="L109" s="30"/>
      <c r="M109" s="30"/>
      <c r="N109" s="30"/>
      <c r="O109" s="30"/>
      <c r="P109" s="27"/>
      <c r="U109" s="30"/>
      <c r="V109" s="30"/>
      <c r="W109" s="30"/>
      <c r="X109" s="30"/>
    </row>
    <row r="110" spans="2:24" s="28" customFormat="1" x14ac:dyDescent="0.3">
      <c r="B110" s="30"/>
      <c r="C110" s="30"/>
      <c r="D110" s="30"/>
      <c r="E110" s="30"/>
      <c r="F110" s="30"/>
      <c r="H110" s="27"/>
      <c r="L110" s="30"/>
      <c r="M110" s="30"/>
      <c r="N110" s="30"/>
      <c r="O110" s="30"/>
      <c r="P110" s="27"/>
      <c r="U110" s="30"/>
      <c r="V110" s="30"/>
      <c r="W110" s="30"/>
      <c r="X110" s="30"/>
    </row>
    <row r="111" spans="2:24" s="28" customFormat="1" x14ac:dyDescent="0.3">
      <c r="B111" s="30"/>
      <c r="C111" s="30"/>
      <c r="D111" s="30"/>
      <c r="E111" s="30"/>
      <c r="F111" s="30"/>
      <c r="H111" s="27"/>
      <c r="L111" s="30"/>
      <c r="M111" s="30"/>
      <c r="N111" s="30"/>
      <c r="O111" s="30"/>
      <c r="P111" s="27"/>
      <c r="U111" s="30"/>
      <c r="V111" s="30"/>
      <c r="W111" s="30"/>
      <c r="X111" s="30"/>
    </row>
    <row r="112" spans="2:24" s="28" customFormat="1" x14ac:dyDescent="0.3">
      <c r="B112" s="30"/>
      <c r="C112" s="30"/>
      <c r="D112" s="30"/>
      <c r="E112" s="30"/>
      <c r="F112" s="30"/>
      <c r="H112" s="27"/>
      <c r="L112" s="30"/>
      <c r="M112" s="30"/>
      <c r="N112" s="30"/>
      <c r="O112" s="30"/>
      <c r="P112" s="27"/>
      <c r="U112" s="30"/>
      <c r="V112" s="30"/>
      <c r="W112" s="30"/>
      <c r="X112" s="30"/>
    </row>
    <row r="113" spans="2:24" s="28" customFormat="1" x14ac:dyDescent="0.3">
      <c r="B113" s="30"/>
      <c r="C113" s="30"/>
      <c r="D113" s="30"/>
      <c r="E113" s="30"/>
      <c r="F113" s="30"/>
      <c r="H113" s="27"/>
      <c r="L113" s="30"/>
      <c r="M113" s="30"/>
      <c r="N113" s="30"/>
      <c r="O113" s="30"/>
      <c r="P113" s="27"/>
      <c r="U113" s="30"/>
      <c r="V113" s="30"/>
      <c r="W113" s="30"/>
      <c r="X113" s="30"/>
    </row>
    <row r="114" spans="2:24" s="28" customFormat="1" x14ac:dyDescent="0.3">
      <c r="B114" s="30"/>
      <c r="C114" s="30"/>
      <c r="D114" s="30"/>
      <c r="E114" s="30"/>
      <c r="F114" s="30"/>
      <c r="H114" s="27"/>
      <c r="L114" s="30"/>
      <c r="M114" s="30"/>
      <c r="N114" s="30"/>
      <c r="O114" s="30"/>
      <c r="P114" s="27"/>
      <c r="U114" s="30"/>
      <c r="V114" s="30"/>
      <c r="W114" s="30"/>
      <c r="X114" s="30"/>
    </row>
    <row r="115" spans="2:24" s="28" customFormat="1" x14ac:dyDescent="0.3">
      <c r="B115" s="30"/>
      <c r="C115" s="30"/>
      <c r="D115" s="30"/>
      <c r="E115" s="30"/>
      <c r="F115" s="30"/>
      <c r="H115" s="27"/>
      <c r="L115" s="30"/>
      <c r="M115" s="30"/>
      <c r="N115" s="30"/>
      <c r="O115" s="30"/>
      <c r="P115" s="27"/>
      <c r="U115" s="30"/>
      <c r="V115" s="30"/>
      <c r="W115" s="30"/>
      <c r="X115" s="30"/>
    </row>
    <row r="116" spans="2:24" s="28" customFormat="1" x14ac:dyDescent="0.3">
      <c r="B116" s="30"/>
      <c r="C116" s="30"/>
      <c r="D116" s="30"/>
      <c r="E116" s="30"/>
      <c r="F116" s="30"/>
      <c r="H116" s="27"/>
      <c r="L116" s="30"/>
      <c r="M116" s="30"/>
      <c r="N116" s="30"/>
      <c r="O116" s="30"/>
      <c r="P116" s="27"/>
      <c r="U116" s="30"/>
      <c r="V116" s="30"/>
      <c r="W116" s="30"/>
      <c r="X116" s="30"/>
    </row>
    <row r="117" spans="2:24" s="28" customFormat="1" x14ac:dyDescent="0.3">
      <c r="B117" s="30"/>
      <c r="C117" s="30"/>
      <c r="D117" s="30"/>
      <c r="E117" s="30"/>
      <c r="F117" s="30"/>
      <c r="H117" s="27"/>
      <c r="L117" s="30"/>
      <c r="M117" s="30"/>
      <c r="N117" s="30"/>
      <c r="O117" s="30"/>
      <c r="P117" s="27"/>
      <c r="U117" s="30"/>
      <c r="V117" s="30"/>
      <c r="W117" s="30"/>
      <c r="X117" s="30"/>
    </row>
    <row r="118" spans="2:24" s="28" customFormat="1" x14ac:dyDescent="0.3">
      <c r="B118" s="30"/>
      <c r="C118" s="30"/>
      <c r="D118" s="30"/>
      <c r="E118" s="30"/>
      <c r="F118" s="30"/>
      <c r="H118" s="27"/>
      <c r="L118" s="30"/>
      <c r="M118" s="30"/>
      <c r="N118" s="30"/>
      <c r="O118" s="30"/>
      <c r="P118" s="27"/>
      <c r="U118" s="30"/>
      <c r="V118" s="30"/>
      <c r="W118" s="30"/>
      <c r="X118" s="30"/>
    </row>
    <row r="119" spans="2:24" s="28" customFormat="1" x14ac:dyDescent="0.3">
      <c r="B119" s="30"/>
      <c r="C119" s="30"/>
      <c r="D119" s="30"/>
      <c r="E119" s="30"/>
      <c r="F119" s="30"/>
      <c r="H119" s="27"/>
      <c r="L119" s="30"/>
      <c r="M119" s="30"/>
      <c r="N119" s="30"/>
      <c r="O119" s="30"/>
      <c r="P119" s="27"/>
      <c r="U119" s="30"/>
      <c r="V119" s="30"/>
      <c r="W119" s="30"/>
      <c r="X119" s="30"/>
    </row>
    <row r="120" spans="2:24" s="28" customFormat="1" x14ac:dyDescent="0.3">
      <c r="B120" s="30"/>
      <c r="C120" s="30"/>
      <c r="D120" s="30"/>
      <c r="E120" s="30"/>
      <c r="F120" s="30"/>
      <c r="H120" s="27"/>
      <c r="L120" s="30"/>
      <c r="M120" s="30"/>
      <c r="N120" s="30"/>
      <c r="O120" s="30"/>
      <c r="P120" s="27"/>
      <c r="U120" s="30"/>
      <c r="V120" s="30"/>
      <c r="W120" s="30"/>
      <c r="X120" s="30"/>
    </row>
    <row r="121" spans="2:24" s="28" customFormat="1" x14ac:dyDescent="0.3">
      <c r="B121" s="30"/>
      <c r="C121" s="30"/>
      <c r="D121" s="30"/>
      <c r="E121" s="30"/>
      <c r="F121" s="30"/>
      <c r="H121" s="27"/>
      <c r="L121" s="30"/>
      <c r="M121" s="30"/>
      <c r="N121" s="30"/>
      <c r="O121" s="30"/>
      <c r="P121" s="27"/>
      <c r="U121" s="30"/>
      <c r="V121" s="30"/>
      <c r="W121" s="30"/>
      <c r="X121" s="30"/>
    </row>
    <row r="122" spans="2:24" s="28" customFormat="1" x14ac:dyDescent="0.3">
      <c r="B122" s="30"/>
      <c r="C122" s="30"/>
      <c r="D122" s="30"/>
      <c r="E122" s="30"/>
      <c r="F122" s="30"/>
      <c r="H122" s="27"/>
      <c r="L122" s="30"/>
      <c r="M122" s="30"/>
      <c r="N122" s="30"/>
      <c r="O122" s="30"/>
      <c r="P122" s="27"/>
      <c r="U122" s="30"/>
      <c r="V122" s="30"/>
      <c r="W122" s="30"/>
      <c r="X122" s="30"/>
    </row>
    <row r="123" spans="2:24" s="28" customFormat="1" x14ac:dyDescent="0.3">
      <c r="B123" s="30"/>
      <c r="C123" s="30"/>
      <c r="D123" s="30"/>
      <c r="E123" s="30"/>
      <c r="F123" s="30"/>
      <c r="H123" s="27"/>
      <c r="L123" s="30"/>
      <c r="M123" s="30"/>
      <c r="N123" s="30"/>
      <c r="O123" s="30"/>
      <c r="P123" s="27"/>
      <c r="U123" s="30"/>
      <c r="V123" s="30"/>
      <c r="W123" s="30"/>
      <c r="X123" s="30"/>
    </row>
    <row r="124" spans="2:24" s="28" customFormat="1" x14ac:dyDescent="0.3">
      <c r="B124" s="30"/>
      <c r="C124" s="30"/>
      <c r="D124" s="30"/>
      <c r="E124" s="30"/>
      <c r="F124" s="30"/>
      <c r="H124" s="27"/>
      <c r="L124" s="30"/>
      <c r="M124" s="30"/>
      <c r="N124" s="30"/>
      <c r="O124" s="30"/>
      <c r="P124" s="27"/>
      <c r="U124" s="30"/>
      <c r="V124" s="30"/>
      <c r="W124" s="30"/>
      <c r="X124" s="30"/>
    </row>
    <row r="125" spans="2:24" s="28" customFormat="1" x14ac:dyDescent="0.3">
      <c r="B125" s="30"/>
      <c r="C125" s="30"/>
      <c r="D125" s="30"/>
      <c r="E125" s="30"/>
      <c r="F125" s="30"/>
      <c r="H125" s="27"/>
      <c r="L125" s="30"/>
      <c r="M125" s="30"/>
      <c r="N125" s="30"/>
      <c r="O125" s="30"/>
      <c r="P125" s="27"/>
      <c r="U125" s="30"/>
      <c r="V125" s="30"/>
      <c r="W125" s="30"/>
      <c r="X125" s="30"/>
    </row>
    <row r="126" spans="2:24" s="28" customFormat="1" x14ac:dyDescent="0.3">
      <c r="B126" s="30"/>
      <c r="C126" s="30"/>
      <c r="D126" s="30"/>
      <c r="E126" s="30"/>
      <c r="F126" s="30"/>
      <c r="H126" s="27"/>
      <c r="L126" s="30"/>
      <c r="M126" s="30"/>
      <c r="N126" s="30"/>
      <c r="O126" s="30"/>
      <c r="P126" s="27"/>
      <c r="U126" s="30"/>
      <c r="V126" s="30"/>
      <c r="W126" s="30"/>
      <c r="X126" s="30"/>
    </row>
    <row r="127" spans="2:24" s="28" customFormat="1" x14ac:dyDescent="0.3">
      <c r="B127" s="30"/>
      <c r="C127" s="30"/>
      <c r="D127" s="30"/>
      <c r="E127" s="30"/>
      <c r="F127" s="30"/>
      <c r="H127" s="27"/>
      <c r="L127" s="30"/>
      <c r="M127" s="30"/>
      <c r="N127" s="30"/>
      <c r="O127" s="30"/>
      <c r="P127" s="27"/>
      <c r="U127" s="30"/>
      <c r="V127" s="30"/>
      <c r="W127" s="30"/>
      <c r="X127" s="30"/>
    </row>
    <row r="128" spans="2:24" s="28" customFormat="1" x14ac:dyDescent="0.3">
      <c r="B128" s="30"/>
      <c r="C128" s="30"/>
      <c r="D128" s="30"/>
      <c r="E128" s="30"/>
      <c r="F128" s="30"/>
      <c r="H128" s="27"/>
      <c r="L128" s="30"/>
      <c r="M128" s="30"/>
      <c r="N128" s="30"/>
      <c r="O128" s="30"/>
      <c r="P128" s="27"/>
      <c r="U128" s="30"/>
      <c r="V128" s="30"/>
      <c r="W128" s="30"/>
      <c r="X128" s="30"/>
    </row>
    <row r="129" spans="2:24" s="28" customFormat="1" x14ac:dyDescent="0.3">
      <c r="B129" s="30"/>
      <c r="C129" s="30"/>
      <c r="D129" s="30"/>
      <c r="E129" s="30"/>
      <c r="F129" s="30"/>
      <c r="H129" s="27"/>
      <c r="L129" s="30"/>
      <c r="M129" s="30"/>
      <c r="N129" s="30"/>
      <c r="O129" s="30"/>
      <c r="P129" s="27"/>
      <c r="U129" s="30"/>
      <c r="V129" s="30"/>
      <c r="W129" s="30"/>
      <c r="X129" s="30"/>
    </row>
    <row r="130" spans="2:24" s="28" customFormat="1" x14ac:dyDescent="0.3">
      <c r="B130" s="30"/>
      <c r="C130" s="30"/>
      <c r="D130" s="30"/>
      <c r="E130" s="30"/>
      <c r="F130" s="30"/>
      <c r="H130" s="27"/>
      <c r="L130" s="30"/>
      <c r="M130" s="30"/>
      <c r="N130" s="30"/>
      <c r="O130" s="30"/>
      <c r="P130" s="27"/>
      <c r="U130" s="30"/>
      <c r="V130" s="30"/>
      <c r="W130" s="30"/>
      <c r="X130" s="30"/>
    </row>
    <row r="131" spans="2:24" s="28" customFormat="1" x14ac:dyDescent="0.3">
      <c r="B131" s="30"/>
      <c r="C131" s="30"/>
      <c r="D131" s="30"/>
      <c r="E131" s="30"/>
      <c r="F131" s="30"/>
      <c r="H131" s="27"/>
      <c r="L131" s="30"/>
      <c r="M131" s="30"/>
      <c r="N131" s="30"/>
      <c r="O131" s="30"/>
      <c r="P131" s="27"/>
      <c r="U131" s="30"/>
      <c r="V131" s="30"/>
      <c r="W131" s="30"/>
      <c r="X131" s="30"/>
    </row>
    <row r="132" spans="2:24" s="28" customFormat="1" x14ac:dyDescent="0.3">
      <c r="B132" s="30"/>
      <c r="C132" s="30"/>
      <c r="D132" s="30"/>
      <c r="E132" s="30"/>
      <c r="F132" s="30"/>
      <c r="H132" s="27"/>
      <c r="L132" s="30"/>
      <c r="M132" s="30"/>
      <c r="N132" s="30"/>
      <c r="O132" s="30"/>
      <c r="P132" s="27"/>
      <c r="U132" s="30"/>
      <c r="V132" s="30"/>
      <c r="W132" s="30"/>
      <c r="X132" s="30"/>
    </row>
    <row r="133" spans="2:24" s="28" customFormat="1" x14ac:dyDescent="0.3">
      <c r="B133" s="30"/>
      <c r="C133" s="30"/>
      <c r="D133" s="30"/>
      <c r="E133" s="30"/>
      <c r="F133" s="30"/>
      <c r="H133" s="27"/>
      <c r="L133" s="30"/>
      <c r="M133" s="30"/>
      <c r="N133" s="30"/>
      <c r="O133" s="30"/>
      <c r="P133" s="27"/>
      <c r="U133" s="30"/>
      <c r="V133" s="30"/>
      <c r="W133" s="30"/>
      <c r="X133" s="30"/>
    </row>
    <row r="134" spans="2:24" s="28" customFormat="1" x14ac:dyDescent="0.3">
      <c r="B134" s="30"/>
      <c r="C134" s="30"/>
      <c r="D134" s="30"/>
      <c r="E134" s="30"/>
      <c r="F134" s="30"/>
      <c r="H134" s="27"/>
      <c r="L134" s="30"/>
      <c r="M134" s="30"/>
      <c r="N134" s="30"/>
      <c r="O134" s="30"/>
      <c r="P134" s="27"/>
      <c r="U134" s="30"/>
      <c r="V134" s="30"/>
      <c r="W134" s="30"/>
      <c r="X134" s="30"/>
    </row>
    <row r="135" spans="2:24" s="28" customFormat="1" x14ac:dyDescent="0.3">
      <c r="B135" s="30"/>
      <c r="C135" s="30"/>
      <c r="D135" s="30"/>
      <c r="E135" s="30"/>
      <c r="F135" s="30"/>
      <c r="H135" s="27"/>
      <c r="L135" s="30"/>
      <c r="M135" s="30"/>
      <c r="N135" s="30"/>
      <c r="O135" s="30"/>
      <c r="P135" s="27"/>
      <c r="U135" s="30"/>
      <c r="V135" s="30"/>
      <c r="W135" s="30"/>
      <c r="X135" s="30"/>
    </row>
    <row r="136" spans="2:24" s="28" customFormat="1" x14ac:dyDescent="0.3">
      <c r="B136" s="30"/>
      <c r="C136" s="30"/>
      <c r="D136" s="30"/>
      <c r="E136" s="30"/>
      <c r="F136" s="30"/>
      <c r="H136" s="27"/>
      <c r="L136" s="30"/>
      <c r="M136" s="30"/>
      <c r="N136" s="30"/>
      <c r="O136" s="30"/>
      <c r="P136" s="27"/>
      <c r="U136" s="30"/>
      <c r="V136" s="30"/>
      <c r="W136" s="30"/>
      <c r="X136" s="30"/>
    </row>
    <row r="137" spans="2:24" s="28" customFormat="1" x14ac:dyDescent="0.3">
      <c r="B137" s="30"/>
      <c r="C137" s="30"/>
      <c r="D137" s="30"/>
      <c r="E137" s="30"/>
      <c r="F137" s="30"/>
      <c r="H137" s="27"/>
      <c r="L137" s="30"/>
      <c r="M137" s="30"/>
      <c r="N137" s="30"/>
      <c r="O137" s="30"/>
      <c r="P137" s="27"/>
      <c r="U137" s="30"/>
      <c r="V137" s="30"/>
      <c r="W137" s="30"/>
      <c r="X137" s="30"/>
    </row>
    <row r="138" spans="2:24" s="28" customFormat="1" x14ac:dyDescent="0.3">
      <c r="B138" s="30"/>
      <c r="C138" s="30"/>
      <c r="D138" s="30"/>
      <c r="E138" s="30"/>
      <c r="F138" s="30"/>
      <c r="H138" s="27"/>
      <c r="L138" s="30"/>
      <c r="M138" s="30"/>
      <c r="N138" s="30"/>
      <c r="O138" s="30"/>
      <c r="P138" s="27"/>
      <c r="U138" s="30"/>
      <c r="V138" s="30"/>
      <c r="W138" s="30"/>
      <c r="X138" s="30"/>
    </row>
    <row r="139" spans="2:24" s="28" customFormat="1" x14ac:dyDescent="0.3">
      <c r="B139" s="30"/>
      <c r="C139" s="30"/>
      <c r="D139" s="30"/>
      <c r="E139" s="30"/>
      <c r="F139" s="30"/>
      <c r="H139" s="27"/>
      <c r="L139" s="30"/>
      <c r="M139" s="30"/>
      <c r="N139" s="30"/>
      <c r="O139" s="30"/>
      <c r="P139" s="27"/>
      <c r="U139" s="30"/>
      <c r="V139" s="30"/>
      <c r="W139" s="30"/>
      <c r="X139" s="30"/>
    </row>
    <row r="140" spans="2:24" s="28" customFormat="1" x14ac:dyDescent="0.3">
      <c r="B140" s="30"/>
      <c r="C140" s="30"/>
      <c r="D140" s="30"/>
      <c r="E140" s="30"/>
      <c r="F140" s="30"/>
      <c r="H140" s="27"/>
      <c r="L140" s="30"/>
      <c r="M140" s="30"/>
      <c r="N140" s="30"/>
      <c r="O140" s="30"/>
      <c r="P140" s="27"/>
      <c r="U140" s="30"/>
      <c r="V140" s="30"/>
      <c r="W140" s="30"/>
      <c r="X140" s="30"/>
    </row>
    <row r="141" spans="2:24" s="28" customFormat="1" x14ac:dyDescent="0.3">
      <c r="B141" s="30"/>
      <c r="C141" s="30"/>
      <c r="D141" s="30"/>
      <c r="E141" s="30"/>
      <c r="F141" s="30"/>
      <c r="H141" s="27"/>
      <c r="L141" s="30"/>
      <c r="M141" s="30"/>
      <c r="N141" s="30"/>
      <c r="O141" s="30"/>
      <c r="P141" s="27"/>
      <c r="U141" s="30"/>
      <c r="V141" s="30"/>
      <c r="W141" s="30"/>
      <c r="X141" s="30"/>
    </row>
    <row r="142" spans="2:24" s="28" customFormat="1" x14ac:dyDescent="0.3">
      <c r="B142" s="30"/>
      <c r="C142" s="30"/>
      <c r="D142" s="30"/>
      <c r="E142" s="30"/>
      <c r="F142" s="30"/>
      <c r="H142" s="27"/>
      <c r="L142" s="30"/>
      <c r="M142" s="30"/>
      <c r="N142" s="30"/>
      <c r="O142" s="30"/>
      <c r="P142" s="27"/>
      <c r="U142" s="30"/>
      <c r="V142" s="30"/>
      <c r="W142" s="30"/>
      <c r="X142" s="30"/>
    </row>
    <row r="143" spans="2:24" s="28" customFormat="1" x14ac:dyDescent="0.3">
      <c r="B143" s="30"/>
      <c r="C143" s="30"/>
      <c r="D143" s="30"/>
      <c r="E143" s="30"/>
      <c r="F143" s="30"/>
      <c r="H143" s="27"/>
      <c r="L143" s="30"/>
      <c r="M143" s="30"/>
      <c r="N143" s="30"/>
      <c r="O143" s="30"/>
      <c r="P143" s="27"/>
      <c r="U143" s="30"/>
      <c r="V143" s="30"/>
      <c r="W143" s="30"/>
      <c r="X143" s="30"/>
    </row>
    <row r="144" spans="2:24" s="28" customFormat="1" x14ac:dyDescent="0.3">
      <c r="B144" s="30"/>
      <c r="C144" s="30"/>
      <c r="D144" s="30"/>
      <c r="E144" s="30"/>
      <c r="F144" s="30"/>
      <c r="H144" s="27"/>
      <c r="L144" s="30"/>
      <c r="M144" s="30"/>
      <c r="N144" s="30"/>
      <c r="O144" s="30"/>
      <c r="P144" s="27"/>
      <c r="U144" s="30"/>
      <c r="V144" s="30"/>
      <c r="W144" s="30"/>
      <c r="X144" s="30"/>
    </row>
    <row r="145" spans="2:24" s="28" customFormat="1" x14ac:dyDescent="0.3">
      <c r="B145" s="30"/>
      <c r="C145" s="30"/>
      <c r="D145" s="30"/>
      <c r="E145" s="30"/>
      <c r="F145" s="30"/>
      <c r="H145" s="27"/>
      <c r="L145" s="30"/>
      <c r="M145" s="30"/>
      <c r="N145" s="30"/>
      <c r="O145" s="30"/>
      <c r="P145" s="27"/>
      <c r="U145" s="30"/>
      <c r="V145" s="30"/>
      <c r="W145" s="30"/>
      <c r="X145" s="30"/>
    </row>
    <row r="146" spans="2:24" s="28" customFormat="1" x14ac:dyDescent="0.3">
      <c r="B146" s="30"/>
      <c r="C146" s="30"/>
      <c r="D146" s="30"/>
      <c r="E146" s="30"/>
      <c r="F146" s="30"/>
      <c r="H146" s="27"/>
      <c r="L146" s="30"/>
      <c r="M146" s="30"/>
      <c r="N146" s="30"/>
      <c r="O146" s="30"/>
      <c r="P146" s="27"/>
      <c r="U146" s="30"/>
      <c r="V146" s="30"/>
      <c r="W146" s="30"/>
      <c r="X146" s="30"/>
    </row>
    <row r="147" spans="2:24" s="28" customFormat="1" x14ac:dyDescent="0.3">
      <c r="B147" s="30"/>
      <c r="C147" s="30"/>
      <c r="D147" s="30"/>
      <c r="E147" s="30"/>
      <c r="F147" s="30"/>
      <c r="H147" s="27"/>
      <c r="L147" s="30"/>
      <c r="M147" s="30"/>
      <c r="N147" s="30"/>
      <c r="O147" s="30"/>
      <c r="P147" s="27"/>
      <c r="U147" s="30"/>
      <c r="V147" s="30"/>
      <c r="W147" s="30"/>
      <c r="X147" s="30"/>
    </row>
    <row r="148" spans="2:24" s="28" customFormat="1" x14ac:dyDescent="0.3">
      <c r="B148" s="30"/>
      <c r="C148" s="30"/>
      <c r="D148" s="30"/>
      <c r="E148" s="30"/>
      <c r="F148" s="30"/>
      <c r="H148" s="27"/>
      <c r="L148" s="30"/>
      <c r="M148" s="30"/>
      <c r="N148" s="30"/>
      <c r="O148" s="30"/>
      <c r="P148" s="27"/>
      <c r="U148" s="30"/>
      <c r="V148" s="30"/>
      <c r="W148" s="30"/>
      <c r="X148" s="30"/>
    </row>
    <row r="149" spans="2:24" s="28" customFormat="1" x14ac:dyDescent="0.3">
      <c r="B149" s="30"/>
      <c r="C149" s="30"/>
      <c r="D149" s="30"/>
      <c r="E149" s="30"/>
      <c r="F149" s="30"/>
      <c r="H149" s="27"/>
      <c r="L149" s="30"/>
      <c r="M149" s="30"/>
      <c r="N149" s="30"/>
      <c r="O149" s="30"/>
      <c r="P149" s="27"/>
      <c r="U149" s="30"/>
      <c r="V149" s="30"/>
      <c r="W149" s="30"/>
      <c r="X149" s="30"/>
    </row>
    <row r="150" spans="2:24" s="28" customFormat="1" x14ac:dyDescent="0.3">
      <c r="B150" s="30"/>
      <c r="C150" s="30"/>
      <c r="D150" s="30"/>
      <c r="E150" s="30"/>
      <c r="F150" s="30"/>
      <c r="H150" s="27"/>
      <c r="L150" s="30"/>
      <c r="M150" s="30"/>
      <c r="N150" s="30"/>
      <c r="O150" s="30"/>
      <c r="P150" s="27"/>
      <c r="U150" s="30"/>
      <c r="V150" s="30"/>
      <c r="W150" s="30"/>
      <c r="X150" s="30"/>
    </row>
    <row r="151" spans="2:24" s="28" customFormat="1" x14ac:dyDescent="0.3">
      <c r="B151" s="30"/>
      <c r="C151" s="30"/>
      <c r="D151" s="30"/>
      <c r="E151" s="30"/>
      <c r="F151" s="30"/>
      <c r="H151" s="27"/>
      <c r="L151" s="30"/>
      <c r="M151" s="30"/>
      <c r="N151" s="30"/>
      <c r="O151" s="30"/>
      <c r="P151" s="27"/>
      <c r="U151" s="30"/>
      <c r="V151" s="30"/>
      <c r="W151" s="30"/>
      <c r="X151" s="30"/>
    </row>
    <row r="152" spans="2:24" s="28" customFormat="1" x14ac:dyDescent="0.3">
      <c r="B152" s="30"/>
      <c r="C152" s="30"/>
      <c r="D152" s="30"/>
      <c r="E152" s="30"/>
      <c r="F152" s="30"/>
      <c r="H152" s="27"/>
      <c r="L152" s="30"/>
      <c r="M152" s="30"/>
      <c r="N152" s="30"/>
      <c r="O152" s="30"/>
      <c r="P152" s="27"/>
      <c r="U152" s="30"/>
      <c r="V152" s="30"/>
      <c r="W152" s="30"/>
      <c r="X152" s="30"/>
    </row>
    <row r="153" spans="2:24" s="28" customFormat="1" x14ac:dyDescent="0.3">
      <c r="B153" s="30"/>
      <c r="C153" s="30"/>
      <c r="D153" s="30"/>
      <c r="E153" s="30"/>
      <c r="F153" s="30"/>
      <c r="H153" s="27"/>
      <c r="L153" s="30"/>
      <c r="M153" s="30"/>
      <c r="N153" s="30"/>
      <c r="O153" s="30"/>
      <c r="P153" s="27"/>
      <c r="U153" s="30"/>
      <c r="V153" s="30"/>
      <c r="W153" s="30"/>
      <c r="X153" s="30"/>
    </row>
    <row r="154" spans="2:24" s="28" customFormat="1" x14ac:dyDescent="0.3">
      <c r="B154" s="30"/>
      <c r="C154" s="30"/>
      <c r="D154" s="30"/>
      <c r="E154" s="30"/>
      <c r="F154" s="30"/>
      <c r="H154" s="27"/>
      <c r="L154" s="30"/>
      <c r="M154" s="30"/>
      <c r="N154" s="30"/>
      <c r="O154" s="30"/>
      <c r="P154" s="27"/>
      <c r="U154" s="30"/>
      <c r="V154" s="30"/>
      <c r="W154" s="30"/>
      <c r="X154" s="30"/>
    </row>
    <row r="155" spans="2:24" s="28" customFormat="1" x14ac:dyDescent="0.3">
      <c r="B155" s="30"/>
      <c r="C155" s="30"/>
      <c r="D155" s="30"/>
      <c r="E155" s="30"/>
      <c r="F155" s="30"/>
      <c r="H155" s="27"/>
      <c r="L155" s="30"/>
      <c r="M155" s="30"/>
      <c r="N155" s="30"/>
      <c r="O155" s="30"/>
      <c r="P155" s="27"/>
      <c r="U155" s="30"/>
      <c r="V155" s="30"/>
      <c r="W155" s="30"/>
      <c r="X155" s="30"/>
    </row>
    <row r="156" spans="2:24" s="28" customFormat="1" x14ac:dyDescent="0.3">
      <c r="B156" s="30"/>
      <c r="C156" s="30"/>
      <c r="D156" s="30"/>
      <c r="E156" s="30"/>
      <c r="F156" s="30"/>
      <c r="H156" s="27"/>
      <c r="L156" s="30"/>
      <c r="M156" s="30"/>
      <c r="N156" s="30"/>
      <c r="O156" s="30"/>
      <c r="P156" s="27"/>
      <c r="U156" s="30"/>
      <c r="V156" s="30"/>
      <c r="W156" s="30"/>
      <c r="X156" s="30"/>
    </row>
    <row r="157" spans="2:24" s="28" customFormat="1" x14ac:dyDescent="0.3">
      <c r="B157" s="30"/>
      <c r="C157" s="30"/>
      <c r="D157" s="30"/>
      <c r="E157" s="30"/>
      <c r="F157" s="30"/>
      <c r="H157" s="27"/>
      <c r="L157" s="30"/>
      <c r="M157" s="30"/>
      <c r="N157" s="30"/>
      <c r="O157" s="30"/>
      <c r="P157" s="27"/>
      <c r="U157" s="30"/>
      <c r="V157" s="30"/>
      <c r="W157" s="30"/>
      <c r="X157" s="30"/>
    </row>
    <row r="158" spans="2:24" s="28" customFormat="1" x14ac:dyDescent="0.3">
      <c r="B158" s="30"/>
      <c r="C158" s="30"/>
      <c r="D158" s="30"/>
      <c r="E158" s="30"/>
      <c r="F158" s="30"/>
      <c r="H158" s="27"/>
      <c r="L158" s="30"/>
      <c r="M158" s="30"/>
      <c r="N158" s="30"/>
      <c r="O158" s="30"/>
      <c r="P158" s="27"/>
      <c r="U158" s="30"/>
      <c r="V158" s="30"/>
      <c r="W158" s="30"/>
      <c r="X158" s="30"/>
    </row>
    <row r="159" spans="2:24" s="28" customFormat="1" x14ac:dyDescent="0.3">
      <c r="B159" s="30"/>
      <c r="C159" s="30"/>
      <c r="D159" s="30"/>
      <c r="E159" s="30"/>
      <c r="F159" s="30"/>
      <c r="H159" s="27"/>
      <c r="L159" s="30"/>
      <c r="M159" s="30"/>
      <c r="N159" s="30"/>
      <c r="O159" s="30"/>
      <c r="P159" s="27"/>
      <c r="U159" s="30"/>
      <c r="V159" s="30"/>
      <c r="W159" s="30"/>
      <c r="X159" s="30"/>
    </row>
    <row r="160" spans="2:24" s="28" customFormat="1" x14ac:dyDescent="0.3">
      <c r="B160" s="30"/>
      <c r="C160" s="30"/>
      <c r="D160" s="30"/>
      <c r="E160" s="30"/>
      <c r="F160" s="30"/>
      <c r="H160" s="27"/>
      <c r="L160" s="30"/>
      <c r="M160" s="30"/>
      <c r="N160" s="30"/>
      <c r="O160" s="30"/>
      <c r="P160" s="27"/>
      <c r="U160" s="30"/>
      <c r="V160" s="30"/>
      <c r="W160" s="30"/>
      <c r="X160" s="30"/>
    </row>
    <row r="161" spans="2:24" s="28" customFormat="1" x14ac:dyDescent="0.3">
      <c r="B161" s="30"/>
      <c r="C161" s="30"/>
      <c r="D161" s="30"/>
      <c r="E161" s="30"/>
      <c r="F161" s="30"/>
      <c r="H161" s="27"/>
      <c r="L161" s="30"/>
      <c r="M161" s="30"/>
      <c r="N161" s="30"/>
      <c r="O161" s="30"/>
      <c r="P161" s="27"/>
      <c r="U161" s="30"/>
      <c r="V161" s="30"/>
      <c r="W161" s="30"/>
      <c r="X161" s="30"/>
    </row>
    <row r="162" spans="2:24" s="28" customFormat="1" x14ac:dyDescent="0.3">
      <c r="B162" s="30"/>
      <c r="C162" s="30"/>
      <c r="D162" s="30"/>
      <c r="E162" s="30"/>
      <c r="F162" s="30"/>
      <c r="H162" s="27"/>
      <c r="L162" s="30"/>
      <c r="M162" s="30"/>
      <c r="N162" s="30"/>
      <c r="O162" s="30"/>
      <c r="P162" s="27"/>
      <c r="U162" s="30"/>
      <c r="V162" s="30"/>
      <c r="W162" s="30"/>
      <c r="X162" s="30"/>
    </row>
    <row r="163" spans="2:24" s="28" customFormat="1" x14ac:dyDescent="0.3">
      <c r="B163" s="30"/>
      <c r="C163" s="30"/>
      <c r="D163" s="30"/>
      <c r="E163" s="30"/>
      <c r="F163" s="30"/>
      <c r="H163" s="27"/>
      <c r="L163" s="30"/>
      <c r="M163" s="30"/>
      <c r="N163" s="30"/>
      <c r="O163" s="30"/>
      <c r="P163" s="27"/>
      <c r="U163" s="30"/>
      <c r="V163" s="30"/>
      <c r="W163" s="30"/>
      <c r="X163" s="30"/>
    </row>
    <row r="164" spans="2:24" s="28" customFormat="1" x14ac:dyDescent="0.3">
      <c r="B164" s="30"/>
      <c r="C164" s="30"/>
      <c r="D164" s="30"/>
      <c r="E164" s="30"/>
      <c r="F164" s="30"/>
      <c r="H164" s="27"/>
      <c r="L164" s="30"/>
      <c r="M164" s="30"/>
      <c r="N164" s="30"/>
      <c r="O164" s="30"/>
      <c r="P164" s="27"/>
      <c r="U164" s="30"/>
      <c r="V164" s="30"/>
      <c r="W164" s="30"/>
      <c r="X164" s="30"/>
    </row>
    <row r="165" spans="2:24" s="28" customFormat="1" x14ac:dyDescent="0.3">
      <c r="B165" s="30"/>
      <c r="C165" s="30"/>
      <c r="D165" s="30"/>
      <c r="E165" s="30"/>
      <c r="F165" s="30"/>
      <c r="H165" s="27"/>
      <c r="L165" s="30"/>
      <c r="M165" s="30"/>
      <c r="N165" s="30"/>
      <c r="O165" s="30"/>
      <c r="P165" s="27"/>
      <c r="U165" s="30"/>
      <c r="V165" s="30"/>
      <c r="W165" s="30"/>
      <c r="X165" s="30"/>
    </row>
    <row r="166" spans="2:24" s="28" customFormat="1" x14ac:dyDescent="0.3">
      <c r="B166" s="30"/>
      <c r="C166" s="30"/>
      <c r="D166" s="30"/>
      <c r="E166" s="30"/>
      <c r="F166" s="30"/>
      <c r="H166" s="27"/>
      <c r="L166" s="30"/>
      <c r="M166" s="30"/>
      <c r="N166" s="30"/>
      <c r="O166" s="30"/>
      <c r="P166" s="27"/>
      <c r="U166" s="30"/>
      <c r="V166" s="30"/>
      <c r="W166" s="30"/>
      <c r="X166" s="30"/>
    </row>
    <row r="167" spans="2:24" s="28" customFormat="1" x14ac:dyDescent="0.3">
      <c r="B167" s="30"/>
      <c r="C167" s="30"/>
      <c r="D167" s="30"/>
      <c r="E167" s="30"/>
      <c r="F167" s="30"/>
      <c r="H167" s="27"/>
      <c r="L167" s="30"/>
      <c r="M167" s="30"/>
      <c r="N167" s="30"/>
      <c r="O167" s="30"/>
      <c r="P167" s="27"/>
      <c r="U167" s="30"/>
      <c r="V167" s="30"/>
      <c r="W167" s="30"/>
      <c r="X167" s="30"/>
    </row>
    <row r="168" spans="2:24" s="28" customFormat="1" x14ac:dyDescent="0.3">
      <c r="B168" s="30"/>
      <c r="C168" s="30"/>
      <c r="D168" s="30"/>
      <c r="E168" s="30"/>
      <c r="F168" s="30"/>
      <c r="H168" s="27"/>
      <c r="L168" s="30"/>
      <c r="M168" s="30"/>
      <c r="N168" s="30"/>
      <c r="O168" s="30"/>
      <c r="P168" s="27"/>
      <c r="U168" s="30"/>
      <c r="V168" s="30"/>
      <c r="W168" s="30"/>
      <c r="X168" s="30"/>
    </row>
    <row r="169" spans="2:24" s="28" customFormat="1" x14ac:dyDescent="0.3">
      <c r="B169" s="30"/>
      <c r="C169" s="30"/>
      <c r="D169" s="30"/>
      <c r="E169" s="30"/>
      <c r="F169" s="30"/>
      <c r="H169" s="27"/>
      <c r="L169" s="30"/>
      <c r="M169" s="30"/>
      <c r="N169" s="30"/>
      <c r="O169" s="30"/>
      <c r="P169" s="27"/>
      <c r="U169" s="30"/>
      <c r="V169" s="30"/>
      <c r="W169" s="30"/>
      <c r="X169" s="30"/>
    </row>
    <row r="170" spans="2:24" s="28" customFormat="1" x14ac:dyDescent="0.3">
      <c r="B170" s="30"/>
      <c r="C170" s="30"/>
      <c r="D170" s="30"/>
      <c r="E170" s="30"/>
      <c r="F170" s="30"/>
      <c r="H170" s="27"/>
      <c r="L170" s="30"/>
      <c r="M170" s="30"/>
      <c r="N170" s="30"/>
      <c r="O170" s="30"/>
      <c r="P170" s="27"/>
      <c r="U170" s="30"/>
      <c r="V170" s="30"/>
      <c r="W170" s="30"/>
      <c r="X170" s="30"/>
    </row>
    <row r="171" spans="2:24" s="28" customFormat="1" x14ac:dyDescent="0.3">
      <c r="B171" s="30"/>
      <c r="C171" s="30"/>
      <c r="D171" s="30"/>
      <c r="E171" s="30"/>
      <c r="F171" s="30"/>
      <c r="H171" s="27"/>
      <c r="L171" s="30"/>
      <c r="M171" s="30"/>
      <c r="N171" s="30"/>
      <c r="O171" s="30"/>
      <c r="P171" s="27"/>
      <c r="U171" s="30"/>
      <c r="V171" s="30"/>
      <c r="W171" s="30"/>
      <c r="X171" s="30"/>
    </row>
    <row r="172" spans="2:24" s="28" customFormat="1" x14ac:dyDescent="0.3">
      <c r="B172" s="30"/>
      <c r="C172" s="30"/>
      <c r="D172" s="30"/>
      <c r="E172" s="30"/>
      <c r="F172" s="30"/>
      <c r="H172" s="27"/>
      <c r="L172" s="30"/>
      <c r="M172" s="30"/>
      <c r="N172" s="30"/>
      <c r="O172" s="30"/>
      <c r="P172" s="27"/>
      <c r="U172" s="30"/>
      <c r="V172" s="30"/>
      <c r="W172" s="30"/>
      <c r="X172" s="30"/>
    </row>
    <row r="173" spans="2:24" s="28" customFormat="1" x14ac:dyDescent="0.3">
      <c r="B173" s="30"/>
      <c r="C173" s="30"/>
      <c r="D173" s="30"/>
      <c r="E173" s="30"/>
      <c r="F173" s="30"/>
      <c r="H173" s="27"/>
      <c r="L173" s="30"/>
      <c r="M173" s="30"/>
      <c r="N173" s="30"/>
      <c r="O173" s="30"/>
      <c r="P173" s="27"/>
      <c r="U173" s="30"/>
      <c r="V173" s="30"/>
      <c r="W173" s="30"/>
      <c r="X173" s="30"/>
    </row>
    <row r="174" spans="2:24" s="28" customFormat="1" x14ac:dyDescent="0.3">
      <c r="B174" s="30"/>
      <c r="C174" s="30"/>
      <c r="D174" s="30"/>
      <c r="E174" s="30"/>
      <c r="F174" s="30"/>
      <c r="H174" s="27"/>
      <c r="L174" s="30"/>
      <c r="M174" s="30"/>
      <c r="N174" s="30"/>
      <c r="O174" s="30"/>
      <c r="P174" s="27"/>
      <c r="U174" s="30"/>
      <c r="V174" s="30"/>
      <c r="W174" s="30"/>
      <c r="X174" s="30"/>
    </row>
    <row r="175" spans="2:24" s="28" customFormat="1" x14ac:dyDescent="0.3">
      <c r="B175" s="30"/>
      <c r="C175" s="30"/>
      <c r="D175" s="30"/>
      <c r="E175" s="30"/>
      <c r="F175" s="30"/>
      <c r="H175" s="27"/>
      <c r="L175" s="30"/>
      <c r="M175" s="30"/>
      <c r="N175" s="30"/>
      <c r="O175" s="30"/>
      <c r="P175" s="27"/>
      <c r="U175" s="30"/>
      <c r="V175" s="30"/>
      <c r="W175" s="30"/>
      <c r="X175" s="30"/>
    </row>
    <row r="176" spans="2:24" s="28" customFormat="1" x14ac:dyDescent="0.3">
      <c r="B176" s="30"/>
      <c r="C176" s="30"/>
      <c r="D176" s="30"/>
      <c r="E176" s="30"/>
      <c r="F176" s="30"/>
      <c r="H176" s="27"/>
      <c r="L176" s="30"/>
      <c r="M176" s="30"/>
      <c r="N176" s="30"/>
      <c r="O176" s="30"/>
      <c r="P176" s="27"/>
      <c r="U176" s="30"/>
      <c r="V176" s="30"/>
      <c r="W176" s="30"/>
      <c r="X176" s="30"/>
    </row>
    <row r="177" spans="2:24" s="28" customFormat="1" x14ac:dyDescent="0.3">
      <c r="B177" s="30"/>
      <c r="C177" s="30"/>
      <c r="D177" s="30"/>
      <c r="E177" s="30"/>
      <c r="F177" s="30"/>
      <c r="H177" s="27"/>
      <c r="L177" s="30"/>
      <c r="M177" s="30"/>
      <c r="N177" s="30"/>
      <c r="O177" s="30"/>
      <c r="P177" s="27"/>
      <c r="U177" s="30"/>
      <c r="V177" s="30"/>
      <c r="W177" s="30"/>
      <c r="X177" s="30"/>
    </row>
    <row r="178" spans="2:24" s="28" customFormat="1" x14ac:dyDescent="0.3">
      <c r="B178" s="30"/>
      <c r="C178" s="30"/>
      <c r="D178" s="30"/>
      <c r="E178" s="30"/>
      <c r="F178" s="30"/>
      <c r="H178" s="27"/>
      <c r="L178" s="30"/>
      <c r="M178" s="30"/>
      <c r="N178" s="30"/>
      <c r="O178" s="30"/>
      <c r="P178" s="27"/>
      <c r="U178" s="30"/>
      <c r="V178" s="30"/>
      <c r="W178" s="30"/>
      <c r="X178" s="30"/>
    </row>
    <row r="179" spans="2:24" s="28" customFormat="1" x14ac:dyDescent="0.3">
      <c r="B179" s="30"/>
      <c r="C179" s="30"/>
      <c r="D179" s="30"/>
      <c r="E179" s="30"/>
      <c r="F179" s="30"/>
      <c r="H179" s="27"/>
      <c r="L179" s="30"/>
      <c r="M179" s="30"/>
      <c r="N179" s="30"/>
      <c r="O179" s="30"/>
      <c r="P179" s="27"/>
      <c r="U179" s="30"/>
      <c r="V179" s="30"/>
      <c r="W179" s="30"/>
      <c r="X179" s="30"/>
    </row>
    <row r="180" spans="2:24" s="28" customFormat="1" x14ac:dyDescent="0.3">
      <c r="B180" s="30"/>
      <c r="C180" s="30"/>
      <c r="D180" s="30"/>
      <c r="E180" s="30"/>
      <c r="F180" s="30"/>
      <c r="H180" s="27"/>
      <c r="L180" s="30"/>
      <c r="M180" s="30"/>
      <c r="N180" s="30"/>
      <c r="O180" s="30"/>
      <c r="P180" s="27"/>
      <c r="U180" s="30"/>
      <c r="V180" s="30"/>
      <c r="W180" s="30"/>
      <c r="X180" s="30"/>
    </row>
    <row r="181" spans="2:24" s="28" customFormat="1" x14ac:dyDescent="0.3">
      <c r="B181" s="30"/>
      <c r="C181" s="30"/>
      <c r="D181" s="30"/>
      <c r="E181" s="30"/>
      <c r="F181" s="30"/>
      <c r="H181" s="27"/>
      <c r="L181" s="30"/>
      <c r="M181" s="30"/>
      <c r="N181" s="30"/>
      <c r="O181" s="30"/>
      <c r="P181" s="27"/>
      <c r="U181" s="30"/>
      <c r="V181" s="30"/>
      <c r="W181" s="30"/>
      <c r="X181" s="30"/>
    </row>
    <row r="182" spans="2:24" s="28" customFormat="1" x14ac:dyDescent="0.3">
      <c r="B182" s="30"/>
      <c r="C182" s="30"/>
      <c r="D182" s="30"/>
      <c r="E182" s="30"/>
      <c r="F182" s="30"/>
      <c r="H182" s="27"/>
      <c r="L182" s="30"/>
      <c r="M182" s="30"/>
      <c r="N182" s="30"/>
      <c r="O182" s="30"/>
      <c r="P182" s="27"/>
      <c r="U182" s="30"/>
      <c r="V182" s="30"/>
      <c r="W182" s="30"/>
      <c r="X182" s="30"/>
    </row>
  </sheetData>
  <mergeCells count="5">
    <mergeCell ref="L78:N78"/>
    <mergeCell ref="B58:C58"/>
    <mergeCell ref="B4:C4"/>
    <mergeCell ref="B77:C77"/>
    <mergeCell ref="B33:E33"/>
  </mergeCells>
  <conditionalFormatting sqref="B33:B37 C34:E37 B55:E57 B61:E76">
    <cfRule type="expression" dxfId="7" priority="27">
      <formula>$L33&lt;&gt;""</formula>
    </cfRule>
  </conditionalFormatting>
  <conditionalFormatting sqref="B7:E32">
    <cfRule type="expression" dxfId="6" priority="6">
      <formula>$L7&lt;&gt;""</formula>
    </cfRule>
  </conditionalFormatting>
  <conditionalFormatting sqref="J1 J4:J5 K6:K37 J367:J1048576">
    <cfRule type="cellIs" dxfId="5" priority="38" operator="equal">
      <formula>"Fail"</formula>
    </cfRule>
  </conditionalFormatting>
  <conditionalFormatting sqref="J61:J352">
    <cfRule type="cellIs" dxfId="4" priority="7" operator="equal">
      <formula>"Fail"</formula>
    </cfRule>
  </conditionalFormatting>
  <conditionalFormatting sqref="K55:K61">
    <cfRule type="cellIs" dxfId="3" priority="8" operator="equal">
      <formula>"Fail"</formula>
    </cfRule>
  </conditionalFormatting>
  <conditionalFormatting sqref="K79">
    <cfRule type="cellIs" dxfId="2" priority="33" operator="equal">
      <formula>"Fail"</formula>
    </cfRule>
  </conditionalFormatting>
  <pageMargins left="0.7" right="0.7" top="0.75" bottom="0.75" header="0.3" footer="0.3"/>
  <pageSetup scale="88"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04"/>
  <sheetViews>
    <sheetView zoomScaleNormal="100" workbookViewId="0">
      <selection activeCell="C4" sqref="C4"/>
    </sheetView>
  </sheetViews>
  <sheetFormatPr defaultRowHeight="14.4" x14ac:dyDescent="0.3"/>
  <cols>
    <col min="1" max="1" width="9.109375" style="5"/>
    <col min="2" max="2" width="15.21875" style="5" customWidth="1"/>
    <col min="3" max="3" width="9.6640625" style="259" bestFit="1" customWidth="1"/>
    <col min="4" max="4" width="24.6640625" style="5" customWidth="1"/>
    <col min="5" max="6" width="9.5546875" style="252" bestFit="1" customWidth="1"/>
    <col min="7" max="7" width="9.109375" style="252"/>
    <col min="8" max="10" width="9.109375" style="5"/>
    <col min="15" max="15" width="11.109375" customWidth="1"/>
    <col min="17" max="19" width="13.6640625" customWidth="1"/>
    <col min="20" max="20" width="1.109375" customWidth="1"/>
    <col min="21" max="21" width="4.88671875" customWidth="1"/>
  </cols>
  <sheetData>
    <row r="1" spans="1:21" x14ac:dyDescent="0.3">
      <c r="A1" s="5" t="s">
        <v>270</v>
      </c>
      <c r="B1" s="5" t="s">
        <v>60</v>
      </c>
      <c r="C1" s="259" t="s">
        <v>189</v>
      </c>
      <c r="D1" s="5" t="s">
        <v>85</v>
      </c>
      <c r="E1" s="252" t="s">
        <v>101</v>
      </c>
      <c r="F1" s="252" t="s">
        <v>102</v>
      </c>
      <c r="G1" s="252" t="s">
        <v>103</v>
      </c>
      <c r="L1" s="2" t="s">
        <v>252</v>
      </c>
      <c r="M1" s="4" t="str">
        <f>'The details'!$D$2</f>
        <v>56561-045570</v>
      </c>
      <c r="U1" s="192" t="str">
        <f>CONCATENATE("Page 3 of ",'The details'!$G$16)</f>
        <v>Page 3 of 2</v>
      </c>
    </row>
    <row r="2" spans="1:21" x14ac:dyDescent="0.3">
      <c r="B2" s="242" t="s">
        <v>390</v>
      </c>
      <c r="C2" s="260"/>
      <c r="D2" s="5" t="str">
        <f>IF($C$4="Yes",AC91,AD91)</f>
        <v>Centered, Radial</v>
      </c>
      <c r="E2" s="253">
        <v>61.585000000000001</v>
      </c>
      <c r="F2" s="253">
        <v>52.134500000000003</v>
      </c>
      <c r="G2" s="253">
        <v>-14.4963</v>
      </c>
    </row>
    <row r="3" spans="1:21" ht="27.6" x14ac:dyDescent="0.45">
      <c r="B3" s="258" t="s">
        <v>205</v>
      </c>
      <c r="C3" s="260">
        <v>2E-3</v>
      </c>
      <c r="D3" s="5" t="str">
        <f t="shared" ref="D3:D9" si="0">IF($C$4="Yes",AC92,AD92)</f>
        <v>Rotated Back</v>
      </c>
      <c r="E3" s="253">
        <v>61.579799999999999</v>
      </c>
      <c r="F3" s="253">
        <v>52.13</v>
      </c>
      <c r="G3" s="253">
        <v>-14.494899999999999</v>
      </c>
      <c r="P3" s="193" t="s">
        <v>114</v>
      </c>
    </row>
    <row r="4" spans="1:21" ht="17.399999999999999" x14ac:dyDescent="0.3">
      <c r="B4" s="258" t="s">
        <v>281</v>
      </c>
      <c r="C4" s="260" t="s">
        <v>309</v>
      </c>
      <c r="D4" s="5" t="str">
        <f t="shared" si="0"/>
        <v>Rotated Forward</v>
      </c>
      <c r="E4" s="253">
        <v>61.590499999999999</v>
      </c>
      <c r="F4" s="253">
        <v>52.140099999999997</v>
      </c>
      <c r="G4" s="253">
        <v>-14.4961</v>
      </c>
      <c r="P4" s="194" t="s">
        <v>115</v>
      </c>
    </row>
    <row r="5" spans="1:21" ht="17.399999999999999" x14ac:dyDescent="0.3">
      <c r="D5" s="5" t="str">
        <f t="shared" si="0"/>
        <v>Rotated Left</v>
      </c>
      <c r="E5" s="253">
        <v>61.590600000000002</v>
      </c>
      <c r="F5" s="253">
        <v>52.129800000000003</v>
      </c>
      <c r="G5" s="253">
        <v>-14.495900000000001</v>
      </c>
      <c r="P5" s="194" t="s">
        <v>212</v>
      </c>
    </row>
    <row r="6" spans="1:21" x14ac:dyDescent="0.3">
      <c r="A6" s="5" t="str">
        <f t="shared" ref="A6:A12" si="1">IF($C$4="No",AD103,"")</f>
        <v/>
      </c>
      <c r="D6" s="5" t="str">
        <f t="shared" si="0"/>
        <v>Rotated Right</v>
      </c>
      <c r="E6" s="253">
        <v>61.579000000000001</v>
      </c>
      <c r="F6" s="253">
        <v>52.139899999999997</v>
      </c>
      <c r="G6" s="253">
        <v>-14.4955</v>
      </c>
    </row>
    <row r="7" spans="1:21" ht="26.4" x14ac:dyDescent="0.5">
      <c r="A7" s="5" t="str">
        <f t="shared" si="1"/>
        <v/>
      </c>
      <c r="B7" s="28"/>
      <c r="D7" s="5" t="str">
        <f t="shared" si="0"/>
        <v xml:space="preserve"> </v>
      </c>
      <c r="E7" s="253"/>
      <c r="F7" s="253"/>
      <c r="G7" s="253"/>
      <c r="P7" s="195" t="s">
        <v>218</v>
      </c>
    </row>
    <row r="8" spans="1:21" x14ac:dyDescent="0.3">
      <c r="A8" s="5" t="str">
        <f t="shared" si="1"/>
        <v/>
      </c>
      <c r="B8" s="28"/>
      <c r="D8" s="5" t="str">
        <f t="shared" si="0"/>
        <v xml:space="preserve"> </v>
      </c>
      <c r="E8" s="253"/>
      <c r="F8" s="253"/>
      <c r="G8" s="253"/>
    </row>
    <row r="9" spans="1:21" ht="17.399999999999999" x14ac:dyDescent="0.3">
      <c r="A9" s="5" t="str">
        <f t="shared" si="1"/>
        <v/>
      </c>
      <c r="B9" s="28"/>
      <c r="D9" s="5" t="str">
        <f t="shared" si="0"/>
        <v xml:space="preserve"> </v>
      </c>
      <c r="E9" s="253"/>
      <c r="F9" s="253"/>
      <c r="G9" s="253"/>
      <c r="K9" s="196"/>
      <c r="M9" s="197" t="s">
        <v>121</v>
      </c>
      <c r="N9" s="251" t="str">
        <f>B2</f>
        <v>1.5 inch SMR</v>
      </c>
      <c r="O9" s="196"/>
      <c r="P9" s="196"/>
      <c r="Q9" s="196"/>
      <c r="R9" s="197" t="s">
        <v>213</v>
      </c>
      <c r="S9" s="255">
        <f ca="1">'The details'!$D$9</f>
        <v>45517</v>
      </c>
      <c r="T9" s="196"/>
      <c r="U9" s="196"/>
    </row>
    <row r="10" spans="1:21" ht="17.399999999999999" x14ac:dyDescent="0.3">
      <c r="A10" s="5" t="str">
        <f t="shared" si="1"/>
        <v/>
      </c>
      <c r="B10" s="28"/>
      <c r="H10" s="5" t="s">
        <v>247</v>
      </c>
      <c r="I10" s="266" t="str">
        <f>Q36</f>
        <v>Fail</v>
      </c>
      <c r="K10" s="196"/>
      <c r="L10" s="8"/>
      <c r="M10" s="300" t="s">
        <v>90</v>
      </c>
      <c r="N10" s="301">
        <f>C2</f>
        <v>0</v>
      </c>
      <c r="O10" s="302"/>
      <c r="P10" s="302"/>
      <c r="Q10" s="302"/>
      <c r="R10" s="300" t="s">
        <v>214</v>
      </c>
      <c r="S10" s="302" t="str">
        <f>'The details'!$D$11</f>
        <v>PE, ML</v>
      </c>
      <c r="T10" s="198"/>
      <c r="U10" s="196"/>
    </row>
    <row r="11" spans="1:21" ht="17.399999999999999" x14ac:dyDescent="0.3">
      <c r="A11" s="5" t="str">
        <f t="shared" si="1"/>
        <v/>
      </c>
      <c r="B11" s="28"/>
      <c r="D11" s="5" t="s">
        <v>161</v>
      </c>
      <c r="E11" s="252">
        <f>MAX(E2:E9)</f>
        <v>61.590600000000002</v>
      </c>
      <c r="F11" s="252">
        <f>MAX(F2:F9)</f>
        <v>52.140099999999997</v>
      </c>
      <c r="G11" s="252">
        <f>MAX(G2:G9)</f>
        <v>-14.494899999999999</v>
      </c>
      <c r="K11" s="196"/>
      <c r="L11" s="200" t="s">
        <v>87</v>
      </c>
      <c r="M11" s="196" t="s">
        <v>244</v>
      </c>
      <c r="Q11" s="200" t="s">
        <v>101</v>
      </c>
      <c r="R11" s="200" t="s">
        <v>102</v>
      </c>
      <c r="S11" s="200" t="s">
        <v>103</v>
      </c>
      <c r="T11" s="196"/>
      <c r="U11" s="196"/>
    </row>
    <row r="12" spans="1:21" ht="17.399999999999999" x14ac:dyDescent="0.3">
      <c r="A12" s="5" t="str">
        <f t="shared" si="1"/>
        <v/>
      </c>
      <c r="C12" s="259" t="str">
        <f>IF(C4="No",MAX(B7:B11)-MIN(B7:B11),"")</f>
        <v/>
      </c>
      <c r="D12" s="5" t="s">
        <v>162</v>
      </c>
      <c r="E12" s="252">
        <f>MIN(E2:E9)</f>
        <v>61.579000000000001</v>
      </c>
      <c r="F12" s="252">
        <f>MIN(F2:F9)</f>
        <v>52.129800000000003</v>
      </c>
      <c r="G12" s="252">
        <f>MIN(G2:G9)</f>
        <v>-14.4963</v>
      </c>
      <c r="L12" s="200">
        <v>1</v>
      </c>
      <c r="M12" s="196" t="str">
        <f>IF($C$4="Yes",AC91,AD91)</f>
        <v>Centered, Radial</v>
      </c>
      <c r="N12" s="196"/>
      <c r="O12" s="196"/>
      <c r="P12" s="196"/>
      <c r="Q12" s="206">
        <f t="shared" ref="Q12:S19" si="2">IF(E2&lt;&gt;"",E2,"")</f>
        <v>61.585000000000001</v>
      </c>
      <c r="R12" s="206">
        <f t="shared" si="2"/>
        <v>52.134500000000003</v>
      </c>
      <c r="S12" s="206">
        <f t="shared" si="2"/>
        <v>-14.4963</v>
      </c>
      <c r="T12" s="199"/>
    </row>
    <row r="13" spans="1:21" ht="17.399999999999999" x14ac:dyDescent="0.3">
      <c r="D13" s="5" t="s">
        <v>204</v>
      </c>
      <c r="E13" s="252">
        <f>(E11-E12)/2</f>
        <v>5.8000000000006935E-3</v>
      </c>
      <c r="F13" s="252">
        <f>(F11-F12)/2</f>
        <v>5.1499999999968793E-3</v>
      </c>
      <c r="G13" s="252">
        <f>(G11-G12)/2</f>
        <v>7.0000000000014495E-4</v>
      </c>
      <c r="L13" s="200">
        <v>2</v>
      </c>
      <c r="M13" s="196" t="str">
        <f t="shared" ref="M13:M19" si="3">IF($C$4="Yes",AC92,AD92)</f>
        <v>Rotated Back</v>
      </c>
      <c r="N13" s="196"/>
      <c r="O13" s="196"/>
      <c r="P13" s="201"/>
      <c r="Q13" s="206">
        <f t="shared" si="2"/>
        <v>61.579799999999999</v>
      </c>
      <c r="R13" s="206">
        <f t="shared" si="2"/>
        <v>52.13</v>
      </c>
      <c r="S13" s="206">
        <f t="shared" si="2"/>
        <v>-14.494899999999999</v>
      </c>
      <c r="T13" s="199"/>
    </row>
    <row r="14" spans="1:21" ht="17.399999999999999" x14ac:dyDescent="0.3">
      <c r="K14" s="196"/>
      <c r="L14" s="200">
        <v>3</v>
      </c>
      <c r="M14" s="196" t="str">
        <f t="shared" si="3"/>
        <v>Rotated Forward</v>
      </c>
      <c r="N14" s="196"/>
      <c r="O14" s="196"/>
      <c r="P14" s="201"/>
      <c r="Q14" s="206">
        <f t="shared" si="2"/>
        <v>61.590499999999999</v>
      </c>
      <c r="R14" s="206">
        <f t="shared" si="2"/>
        <v>52.140099999999997</v>
      </c>
      <c r="S14" s="206">
        <f t="shared" si="2"/>
        <v>-14.4961</v>
      </c>
      <c r="U14" s="196"/>
    </row>
    <row r="15" spans="1:21" ht="17.399999999999999" x14ac:dyDescent="0.3">
      <c r="A15" s="216"/>
      <c r="B15" s="216"/>
      <c r="C15" s="261"/>
      <c r="D15" s="216"/>
      <c r="E15" s="254"/>
      <c r="F15" s="254"/>
      <c r="G15" s="254"/>
      <c r="H15" s="216"/>
      <c r="I15" s="216"/>
      <c r="J15" s="216"/>
      <c r="K15" s="196"/>
      <c r="L15" s="200">
        <v>4</v>
      </c>
      <c r="M15" s="196" t="str">
        <f t="shared" si="3"/>
        <v>Rotated Left</v>
      </c>
      <c r="N15" s="196"/>
      <c r="O15" s="196"/>
      <c r="P15" s="201"/>
      <c r="Q15" s="206">
        <f t="shared" si="2"/>
        <v>61.590600000000002</v>
      </c>
      <c r="R15" s="206">
        <f t="shared" si="2"/>
        <v>52.129800000000003</v>
      </c>
      <c r="S15" s="206">
        <f t="shared" si="2"/>
        <v>-14.495900000000001</v>
      </c>
      <c r="T15" s="196"/>
      <c r="U15" s="196"/>
    </row>
    <row r="16" spans="1:21" ht="17.399999999999999" x14ac:dyDescent="0.3">
      <c r="A16" s="5" t="s">
        <v>271</v>
      </c>
      <c r="K16" s="196"/>
      <c r="L16" s="200">
        <v>5</v>
      </c>
      <c r="M16" s="196" t="str">
        <f t="shared" si="3"/>
        <v>Rotated Right</v>
      </c>
      <c r="N16" s="196"/>
      <c r="O16" s="196"/>
      <c r="P16" s="201"/>
      <c r="Q16" s="206">
        <f t="shared" si="2"/>
        <v>61.579000000000001</v>
      </c>
      <c r="R16" s="206">
        <f t="shared" si="2"/>
        <v>52.139899999999997</v>
      </c>
      <c r="S16" s="206">
        <f t="shared" si="2"/>
        <v>-14.4955</v>
      </c>
      <c r="T16" s="196"/>
      <c r="U16" s="196"/>
    </row>
    <row r="17" spans="1:21" ht="17.399999999999999" x14ac:dyDescent="0.3">
      <c r="K17" s="196"/>
      <c r="L17" s="200" t="str">
        <f>IF(M17=" ","",L16+1)</f>
        <v/>
      </c>
      <c r="M17" s="196" t="str">
        <f t="shared" si="3"/>
        <v xml:space="preserve"> </v>
      </c>
      <c r="N17" s="196"/>
      <c r="O17" s="196"/>
      <c r="P17" s="201"/>
      <c r="Q17" s="206" t="str">
        <f t="shared" si="2"/>
        <v/>
      </c>
      <c r="R17" s="206" t="str">
        <f t="shared" si="2"/>
        <v/>
      </c>
      <c r="S17" s="206" t="str">
        <f t="shared" si="2"/>
        <v/>
      </c>
      <c r="T17" s="196"/>
      <c r="U17" s="196"/>
    </row>
    <row r="18" spans="1:21" ht="17.399999999999999" x14ac:dyDescent="0.3">
      <c r="B18" s="5" t="s">
        <v>60</v>
      </c>
      <c r="C18" s="259" t="s">
        <v>189</v>
      </c>
      <c r="D18" s="5" t="s">
        <v>85</v>
      </c>
      <c r="E18" s="252" t="s">
        <v>101</v>
      </c>
      <c r="F18" s="252" t="s">
        <v>102</v>
      </c>
      <c r="G18" s="252" t="s">
        <v>103</v>
      </c>
      <c r="K18" s="196"/>
      <c r="L18" s="200" t="str">
        <f>IF(M18=" ","",L17+1)</f>
        <v/>
      </c>
      <c r="M18" s="196" t="str">
        <f t="shared" si="3"/>
        <v xml:space="preserve"> </v>
      </c>
      <c r="N18" s="196"/>
      <c r="O18" s="196"/>
      <c r="P18" s="201"/>
      <c r="Q18" s="206" t="str">
        <f t="shared" si="2"/>
        <v/>
      </c>
      <c r="R18" s="206" t="str">
        <f t="shared" si="2"/>
        <v/>
      </c>
      <c r="S18" s="206" t="str">
        <f t="shared" si="2"/>
        <v/>
      </c>
      <c r="T18" s="196"/>
      <c r="U18" s="196"/>
    </row>
    <row r="19" spans="1:21" ht="17.399999999999999" x14ac:dyDescent="0.3">
      <c r="B19" s="242" t="s">
        <v>400</v>
      </c>
      <c r="C19" s="262"/>
      <c r="D19" s="5" t="str">
        <f>IF($C$21="Yes",AC91,AD91)</f>
        <v>Centered, Radial</v>
      </c>
      <c r="E19" s="253"/>
      <c r="F19" s="253"/>
      <c r="G19" s="253"/>
      <c r="K19" s="196"/>
      <c r="L19" s="200" t="str">
        <f>IF(M19=" ","",L18+1)</f>
        <v/>
      </c>
      <c r="M19" s="196" t="str">
        <f t="shared" si="3"/>
        <v xml:space="preserve"> </v>
      </c>
      <c r="N19" s="196"/>
      <c r="O19" s="196"/>
      <c r="P19" s="201"/>
      <c r="Q19" s="206" t="str">
        <f t="shared" si="2"/>
        <v/>
      </c>
      <c r="R19" s="206" t="str">
        <f t="shared" si="2"/>
        <v/>
      </c>
      <c r="S19" s="206" t="str">
        <f t="shared" si="2"/>
        <v/>
      </c>
      <c r="T19" s="196"/>
      <c r="U19" s="196"/>
    </row>
    <row r="20" spans="1:21" ht="17.399999999999999" x14ac:dyDescent="0.3">
      <c r="B20" s="258" t="s">
        <v>205</v>
      </c>
      <c r="C20" s="260">
        <v>5.0000000000000001E-4</v>
      </c>
      <c r="D20" s="5" t="str">
        <f t="shared" ref="D20:D26" si="4">IF($C$21="Yes",AC92,AD92)</f>
        <v>Mirror rotated upward</v>
      </c>
      <c r="E20" s="253"/>
      <c r="F20" s="253"/>
      <c r="G20" s="253"/>
      <c r="K20" s="196"/>
      <c r="Q20" s="207">
        <f>ABS(Q23)</f>
        <v>5.8000000000006935E-3</v>
      </c>
      <c r="R20" s="207">
        <f>ABS(R23)</f>
        <v>5.1499999999968793E-3</v>
      </c>
      <c r="S20" s="207">
        <f>ABS(S23)</f>
        <v>7.0000000000014495E-4</v>
      </c>
      <c r="T20" s="196"/>
      <c r="U20" s="196"/>
    </row>
    <row r="21" spans="1:21" ht="17.399999999999999" x14ac:dyDescent="0.3">
      <c r="B21" s="258" t="s">
        <v>281</v>
      </c>
      <c r="C21" s="260"/>
      <c r="D21" s="5" t="str">
        <f t="shared" si="4"/>
        <v>Mirror rotated downard</v>
      </c>
      <c r="E21" s="253"/>
      <c r="F21" s="253"/>
      <c r="G21" s="253"/>
      <c r="K21" s="196"/>
      <c r="P21" s="197" t="s">
        <v>215</v>
      </c>
      <c r="Q21" s="206">
        <f>MIN(Q12:Q19)</f>
        <v>61.579000000000001</v>
      </c>
      <c r="R21" s="206">
        <f>MIN(R12:R19)</f>
        <v>52.129800000000003</v>
      </c>
      <c r="S21" s="206">
        <f>MIN(S12:S19)</f>
        <v>-14.4963</v>
      </c>
      <c r="T21" s="196"/>
      <c r="U21" s="196"/>
    </row>
    <row r="22" spans="1:21" ht="17.399999999999999" x14ac:dyDescent="0.3">
      <c r="D22" s="5" t="str">
        <f t="shared" si="4"/>
        <v>Rotated CW Horizontally</v>
      </c>
      <c r="E22" s="253"/>
      <c r="F22" s="253"/>
      <c r="G22" s="253"/>
      <c r="K22" s="196"/>
      <c r="P22" s="197" t="s">
        <v>216</v>
      </c>
      <c r="Q22" s="206">
        <f>MAX(Q12:Q19)</f>
        <v>61.590600000000002</v>
      </c>
      <c r="R22" s="206">
        <f>MAX(R12:R19)</f>
        <v>52.140099999999997</v>
      </c>
      <c r="S22" s="206">
        <f>MAX(S12:S19)</f>
        <v>-14.494899999999999</v>
      </c>
      <c r="T22" s="196"/>
      <c r="U22" s="196"/>
    </row>
    <row r="23" spans="1:21" ht="17.399999999999999" x14ac:dyDescent="0.3">
      <c r="D23" s="5" t="str">
        <f t="shared" si="4"/>
        <v>Rotated CCW Horizontally</v>
      </c>
      <c r="E23" s="253"/>
      <c r="F23" s="253"/>
      <c r="G23" s="253"/>
      <c r="K23" s="196"/>
      <c r="P23" s="197" t="s">
        <v>217</v>
      </c>
      <c r="Q23" s="206">
        <f>(Q22-Q21)/2</f>
        <v>5.8000000000006935E-3</v>
      </c>
      <c r="R23" s="206">
        <f>(R22-R21)/2</f>
        <v>5.1499999999968793E-3</v>
      </c>
      <c r="S23" s="206">
        <f>(S22-S21)/2</f>
        <v>7.0000000000014495E-4</v>
      </c>
      <c r="T23" s="196"/>
      <c r="U23" s="196"/>
    </row>
    <row r="24" spans="1:21" ht="17.399999999999999" x14ac:dyDescent="0.3">
      <c r="A24" s="5" t="str">
        <f t="shared" ref="A24:A29" si="5">IF($C$21="No",AD104,"")</f>
        <v/>
      </c>
      <c r="B24" s="28"/>
      <c r="D24" s="5" t="str">
        <f t="shared" si="4"/>
        <v>Rotated 90° on beam axis</v>
      </c>
      <c r="E24" s="253"/>
      <c r="F24" s="253"/>
      <c r="G24" s="253"/>
      <c r="K24" s="196"/>
      <c r="T24" s="196"/>
      <c r="U24" s="196"/>
    </row>
    <row r="25" spans="1:21" ht="17.399999999999999" x14ac:dyDescent="0.3">
      <c r="A25" s="5" t="str">
        <f t="shared" si="5"/>
        <v/>
      </c>
      <c r="B25" s="28"/>
      <c r="D25" s="5" t="str">
        <f t="shared" si="4"/>
        <v>Rotated 180° on beam axis</v>
      </c>
      <c r="E25" s="253"/>
      <c r="F25" s="253"/>
      <c r="G25" s="253"/>
      <c r="K25" s="196"/>
      <c r="L25" s="200"/>
      <c r="M25" s="196" t="str">
        <f>IF(P33="","","Diameter")</f>
        <v/>
      </c>
      <c r="T25" s="196"/>
      <c r="U25" s="196"/>
    </row>
    <row r="26" spans="1:21" ht="17.399999999999999" x14ac:dyDescent="0.3">
      <c r="A26" s="5" t="str">
        <f t="shared" si="5"/>
        <v/>
      </c>
      <c r="B26" s="28"/>
      <c r="D26" s="5" t="str">
        <f t="shared" si="4"/>
        <v>Rotated 270° on beam axis</v>
      </c>
      <c r="E26" s="253"/>
      <c r="F26" s="253"/>
      <c r="G26" s="253"/>
      <c r="K26" s="196"/>
      <c r="L26" s="200" t="str">
        <f>IF(M26="","",1)</f>
        <v/>
      </c>
      <c r="M26" s="196" t="str">
        <f>IF(Q33="","","D1")</f>
        <v/>
      </c>
      <c r="N26" s="196"/>
      <c r="O26" s="196"/>
      <c r="Q26" s="206" t="str">
        <f>IF(P33="","",B7)</f>
        <v/>
      </c>
      <c r="T26" s="196"/>
      <c r="U26" s="196"/>
    </row>
    <row r="27" spans="1:21" ht="17.399999999999999" x14ac:dyDescent="0.3">
      <c r="A27" s="5" t="str">
        <f t="shared" si="5"/>
        <v/>
      </c>
      <c r="B27" s="28"/>
      <c r="H27" s="5" t="s">
        <v>247</v>
      </c>
      <c r="I27" s="266" t="str">
        <f>Q74</f>
        <v>Pass</v>
      </c>
      <c r="K27" s="196"/>
      <c r="L27" s="200" t="str">
        <f>IF(M27="","",2)</f>
        <v/>
      </c>
      <c r="M27" s="196" t="str">
        <f>IF(Q33="","","D2")</f>
        <v/>
      </c>
      <c r="P27" s="196"/>
      <c r="Q27" s="206" t="str">
        <f>IF(P33="","",B8)</f>
        <v/>
      </c>
      <c r="T27" s="196"/>
      <c r="U27" s="196"/>
    </row>
    <row r="28" spans="1:21" ht="17.399999999999999" x14ac:dyDescent="0.3">
      <c r="A28" s="5" t="str">
        <f t="shared" si="5"/>
        <v/>
      </c>
      <c r="B28" s="28"/>
      <c r="D28" s="5" t="s">
        <v>161</v>
      </c>
      <c r="E28" s="252">
        <f>MAX(E19:E26)</f>
        <v>0</v>
      </c>
      <c r="F28" s="252">
        <f>MAX(F19:F26)</f>
        <v>0</v>
      </c>
      <c r="G28" s="252">
        <f>MAX(G19:G26)</f>
        <v>0</v>
      </c>
      <c r="K28" s="196"/>
      <c r="L28" s="200" t="str">
        <f>IF(M28="","",3)</f>
        <v/>
      </c>
      <c r="M28" s="196" t="str">
        <f>IF(Q33="","","D3")</f>
        <v/>
      </c>
      <c r="N28" s="196"/>
      <c r="P28" s="196"/>
      <c r="Q28" s="206" t="str">
        <f>IF(P33="","",B9)</f>
        <v/>
      </c>
      <c r="R28" s="204"/>
      <c r="S28" s="204"/>
      <c r="T28" s="196"/>
      <c r="U28" s="196"/>
    </row>
    <row r="29" spans="1:21" ht="17.399999999999999" x14ac:dyDescent="0.3">
      <c r="A29" s="5" t="str">
        <f t="shared" si="5"/>
        <v/>
      </c>
      <c r="C29" s="259" t="str">
        <f>IF(C21="No",MAX(B24:B28)-MIN(B24:B28),"")</f>
        <v/>
      </c>
      <c r="D29" s="5" t="s">
        <v>162</v>
      </c>
      <c r="E29" s="252">
        <f>MIN(E19:E26)</f>
        <v>0</v>
      </c>
      <c r="F29" s="252">
        <f>MIN(F19:F26)</f>
        <v>0</v>
      </c>
      <c r="G29" s="252">
        <f>MIN(G19:G26)</f>
        <v>0</v>
      </c>
      <c r="K29" s="196"/>
      <c r="L29" s="200" t="str">
        <f>IF(M29="","",4)</f>
        <v/>
      </c>
      <c r="M29" s="196" t="str">
        <f>IF(Q33="","","D4")</f>
        <v/>
      </c>
      <c r="Q29" s="206" t="str">
        <f>IF(P33="","",B10)</f>
        <v/>
      </c>
      <c r="R29" s="205"/>
      <c r="S29" s="205"/>
      <c r="T29" s="196"/>
      <c r="U29" s="196"/>
    </row>
    <row r="30" spans="1:21" ht="17.399999999999999" x14ac:dyDescent="0.3">
      <c r="D30" s="5" t="s">
        <v>204</v>
      </c>
      <c r="E30" s="252">
        <f>(E28-E29)/2</f>
        <v>0</v>
      </c>
      <c r="F30" s="252">
        <f>(F28-F29)/2</f>
        <v>0</v>
      </c>
      <c r="G30" s="252">
        <f>(G28-G29)/2</f>
        <v>0</v>
      </c>
      <c r="K30" s="196"/>
      <c r="L30" s="200" t="str">
        <f>IF(M30="","",5)</f>
        <v/>
      </c>
      <c r="M30" s="196" t="str">
        <f>IF(Q33="","","D5")</f>
        <v/>
      </c>
      <c r="O30" s="197"/>
      <c r="Q30" s="206" t="str">
        <f>IF(P33="","",B11)</f>
        <v/>
      </c>
      <c r="R30" s="203"/>
      <c r="S30" s="203"/>
      <c r="U30" s="196"/>
    </row>
    <row r="31" spans="1:21" ht="17.399999999999999" x14ac:dyDescent="0.3">
      <c r="K31" s="196"/>
      <c r="L31" s="196"/>
      <c r="R31" s="203"/>
      <c r="S31" s="203"/>
      <c r="T31" s="202"/>
      <c r="U31" s="196"/>
    </row>
    <row r="32" spans="1:21" ht="17.399999999999999" x14ac:dyDescent="0.3">
      <c r="A32" s="216"/>
      <c r="B32" s="216"/>
      <c r="C32" s="261"/>
      <c r="D32" s="216"/>
      <c r="E32" s="254"/>
      <c r="F32" s="254"/>
      <c r="G32" s="254"/>
      <c r="H32" s="216"/>
      <c r="I32" s="216"/>
      <c r="J32" s="216"/>
      <c r="K32" s="196"/>
      <c r="R32" s="203"/>
      <c r="S32" s="203"/>
      <c r="T32" s="202"/>
      <c r="U32" s="196"/>
    </row>
    <row r="33" spans="1:21" ht="17.399999999999999" x14ac:dyDescent="0.3">
      <c r="A33" s="5" t="s">
        <v>272</v>
      </c>
      <c r="K33" s="196"/>
      <c r="L33" s="196"/>
      <c r="P33" s="197" t="str">
        <f>IF($C$4="Yes","",AD109)</f>
        <v/>
      </c>
      <c r="Q33" s="256" t="str">
        <f>IF(P33&lt;&gt;"",MAX(Q26:Q30)-MIN(Q26:Q30),"")</f>
        <v/>
      </c>
      <c r="U33" s="196"/>
    </row>
    <row r="34" spans="1:21" ht="17.399999999999999" x14ac:dyDescent="0.3">
      <c r="K34" s="196"/>
      <c r="P34" s="197" t="s">
        <v>227</v>
      </c>
      <c r="Q34" s="256">
        <f>HLOOKUP(MAX(Q20:S20),Q20:S23,4,FALSE)</f>
        <v>5.8000000000006935E-3</v>
      </c>
      <c r="T34" s="196"/>
      <c r="U34" s="196"/>
    </row>
    <row r="35" spans="1:21" ht="17.399999999999999" x14ac:dyDescent="0.3">
      <c r="B35" s="5" t="s">
        <v>60</v>
      </c>
      <c r="C35" s="259" t="s">
        <v>189</v>
      </c>
      <c r="D35" s="5" t="s">
        <v>85</v>
      </c>
      <c r="E35" s="252" t="s">
        <v>101</v>
      </c>
      <c r="F35" s="252" t="s">
        <v>102</v>
      </c>
      <c r="G35" s="252" t="s">
        <v>103</v>
      </c>
      <c r="K35" s="196"/>
      <c r="L35" s="196"/>
      <c r="M35" s="196"/>
      <c r="P35" s="197" t="s">
        <v>243</v>
      </c>
      <c r="Q35" s="257">
        <f>C3</f>
        <v>2E-3</v>
      </c>
      <c r="R35" s="196"/>
      <c r="S35" s="196"/>
      <c r="T35" s="196"/>
      <c r="U35" s="196"/>
    </row>
    <row r="36" spans="1:21" ht="17.399999999999999" x14ac:dyDescent="0.3">
      <c r="B36" s="242" t="s">
        <v>401</v>
      </c>
      <c r="C36" s="262"/>
      <c r="D36" s="5" t="str">
        <f>IF($C$38="Yes",AC91,AD91)</f>
        <v>Centered, Radial</v>
      </c>
      <c r="E36" s="253">
        <v>193.00380000000001</v>
      </c>
      <c r="F36" s="253">
        <v>-23.1785</v>
      </c>
      <c r="G36" s="253">
        <v>-19.430700000000002</v>
      </c>
      <c r="K36" s="196"/>
      <c r="L36" s="196"/>
      <c r="M36" s="196"/>
      <c r="P36" s="197" t="s">
        <v>247</v>
      </c>
      <c r="Q36" s="203" t="str">
        <f>IF(Q34&lt;=Q35,"Pass","Fail")</f>
        <v>Fail</v>
      </c>
      <c r="R36" s="196"/>
      <c r="S36" s="196"/>
      <c r="T36" s="196"/>
      <c r="U36" s="196"/>
    </row>
    <row r="37" spans="1:21" ht="17.399999999999999" x14ac:dyDescent="0.3">
      <c r="B37" s="258" t="s">
        <v>205</v>
      </c>
      <c r="C37" s="260">
        <v>2E-3</v>
      </c>
      <c r="D37" s="5" t="str">
        <f t="shared" ref="D37:D43" si="6">IF($C$38="Yes",AC92,AD92)</f>
        <v>Rotated Back</v>
      </c>
      <c r="E37" s="253">
        <v>192.9957</v>
      </c>
      <c r="F37" s="253">
        <v>-23.1782</v>
      </c>
      <c r="G37" s="253">
        <v>-19.429500000000001</v>
      </c>
      <c r="K37" s="196"/>
      <c r="L37" s="196"/>
      <c r="M37" s="196"/>
      <c r="O37" s="196"/>
      <c r="P37" s="196"/>
      <c r="Q37" s="196"/>
      <c r="R37" s="196"/>
      <c r="S37" s="196"/>
      <c r="T37" s="196"/>
      <c r="U37" s="196"/>
    </row>
    <row r="38" spans="1:21" ht="17.399999999999999" x14ac:dyDescent="0.3">
      <c r="B38" s="258" t="s">
        <v>281</v>
      </c>
      <c r="C38" s="260" t="s">
        <v>254</v>
      </c>
      <c r="D38" s="5" t="str">
        <f t="shared" si="6"/>
        <v>Rotated Forward</v>
      </c>
      <c r="E38" s="253">
        <v>193.0187</v>
      </c>
      <c r="F38" s="253">
        <v>-23.181699999999999</v>
      </c>
      <c r="G38" s="253">
        <v>-19.43</v>
      </c>
      <c r="K38" s="196"/>
      <c r="L38" s="318" t="s">
        <v>228</v>
      </c>
      <c r="M38" s="318"/>
      <c r="N38" s="318"/>
      <c r="O38" s="318"/>
      <c r="P38" s="318"/>
      <c r="Q38" s="318"/>
      <c r="R38" s="318"/>
      <c r="S38" s="318"/>
      <c r="T38" s="196"/>
      <c r="U38" s="196"/>
    </row>
    <row r="39" spans="1:21" x14ac:dyDescent="0.3">
      <c r="D39" s="5" t="str">
        <f t="shared" si="6"/>
        <v>Rotated Left</v>
      </c>
      <c r="E39" s="253">
        <v>193.00989999999999</v>
      </c>
      <c r="F39" s="253">
        <v>-23.1938</v>
      </c>
      <c r="G39" s="253">
        <v>-19.429099999999998</v>
      </c>
      <c r="L39" s="2" t="s">
        <v>252</v>
      </c>
      <c r="M39" s="4" t="str">
        <f>'The details'!$D$2</f>
        <v>56561-045570</v>
      </c>
      <c r="U39" s="192" t="str">
        <f>CONCATENATE("Page 4 of ",'The details'!$G$16)</f>
        <v>Page 4 of 2</v>
      </c>
    </row>
    <row r="40" spans="1:21" x14ac:dyDescent="0.3">
      <c r="A40" s="5" t="str">
        <f t="shared" ref="A40:A45" si="7">IF($C$38="No",AD104,"")</f>
        <v/>
      </c>
      <c r="B40" s="28"/>
      <c r="D40" s="5" t="str">
        <f t="shared" si="6"/>
        <v>Rotated Right</v>
      </c>
      <c r="E40" s="253">
        <v>193.00810000000001</v>
      </c>
      <c r="F40" s="253">
        <v>-23.165500000000002</v>
      </c>
      <c r="G40" s="253">
        <v>-19.429500000000001</v>
      </c>
    </row>
    <row r="41" spans="1:21" ht="27.6" x14ac:dyDescent="0.45">
      <c r="A41" s="5" t="str">
        <f t="shared" si="7"/>
        <v/>
      </c>
      <c r="B41" s="28"/>
      <c r="D41" s="5" t="str">
        <f t="shared" si="6"/>
        <v xml:space="preserve"> </v>
      </c>
      <c r="E41" s="253"/>
      <c r="F41" s="253"/>
      <c r="G41" s="253"/>
      <c r="P41" s="193" t="s">
        <v>114</v>
      </c>
    </row>
    <row r="42" spans="1:21" ht="17.399999999999999" x14ac:dyDescent="0.3">
      <c r="A42" s="5" t="str">
        <f t="shared" si="7"/>
        <v/>
      </c>
      <c r="B42" s="28"/>
      <c r="D42" s="5" t="str">
        <f t="shared" si="6"/>
        <v xml:space="preserve"> </v>
      </c>
      <c r="E42" s="253"/>
      <c r="F42" s="253"/>
      <c r="G42" s="253"/>
      <c r="P42" s="194" t="s">
        <v>115</v>
      </c>
    </row>
    <row r="43" spans="1:21" ht="17.399999999999999" x14ac:dyDescent="0.3">
      <c r="A43" s="5" t="str">
        <f t="shared" si="7"/>
        <v/>
      </c>
      <c r="B43" s="28"/>
      <c r="D43" s="5" t="str">
        <f t="shared" si="6"/>
        <v xml:space="preserve"> </v>
      </c>
      <c r="E43" s="253"/>
      <c r="F43" s="253"/>
      <c r="G43" s="253"/>
      <c r="P43" s="194" t="s">
        <v>212</v>
      </c>
    </row>
    <row r="44" spans="1:21" x14ac:dyDescent="0.3">
      <c r="A44" s="5" t="str">
        <f t="shared" si="7"/>
        <v/>
      </c>
      <c r="B44" s="28"/>
      <c r="H44" s="5" t="s">
        <v>247</v>
      </c>
      <c r="I44" s="266" t="str">
        <f>Q112</f>
        <v>Fail</v>
      </c>
    </row>
    <row r="45" spans="1:21" ht="26.4" x14ac:dyDescent="0.5">
      <c r="A45" s="5" t="str">
        <f t="shared" si="7"/>
        <v/>
      </c>
      <c r="C45" s="259" t="str">
        <f>IF(C38="No",MAX(B40:B44)-MIN(B40:B44),"")</f>
        <v/>
      </c>
      <c r="D45" s="5" t="s">
        <v>161</v>
      </c>
      <c r="E45" s="252">
        <f>MAX(E36:E43)</f>
        <v>193.0187</v>
      </c>
      <c r="F45" s="252">
        <f>MAX(F36:F43)</f>
        <v>-23.165500000000002</v>
      </c>
      <c r="G45" s="252">
        <f>MAX(G36:G43)</f>
        <v>-19.429099999999998</v>
      </c>
      <c r="P45" s="195" t="s">
        <v>218</v>
      </c>
    </row>
    <row r="46" spans="1:21" x14ac:dyDescent="0.3">
      <c r="D46" s="5" t="s">
        <v>162</v>
      </c>
      <c r="E46" s="252">
        <f>MIN(E36:E43)</f>
        <v>192.9957</v>
      </c>
      <c r="F46" s="252">
        <f>MIN(F36:F43)</f>
        <v>-23.1938</v>
      </c>
      <c r="G46" s="252">
        <f>MIN(G36:G43)</f>
        <v>-19.430700000000002</v>
      </c>
    </row>
    <row r="47" spans="1:21" ht="17.399999999999999" x14ac:dyDescent="0.3">
      <c r="D47" s="5" t="s">
        <v>204</v>
      </c>
      <c r="E47" s="252">
        <f>(E45-E46)/2</f>
        <v>1.1499999999998067E-2</v>
      </c>
      <c r="F47" s="252">
        <f>(F45-F46)/2</f>
        <v>1.4149999999998997E-2</v>
      </c>
      <c r="G47" s="252">
        <f>(G45-G46)/2</f>
        <v>8.0000000000168825E-4</v>
      </c>
      <c r="K47" s="196"/>
      <c r="M47" s="197" t="s">
        <v>121</v>
      </c>
      <c r="N47" s="251" t="str">
        <f>B19</f>
        <v>0.5 inch SMR</v>
      </c>
      <c r="O47" s="196"/>
      <c r="P47" s="196"/>
      <c r="Q47" s="196"/>
      <c r="R47" s="197" t="s">
        <v>213</v>
      </c>
      <c r="S47" s="255">
        <f ca="1">'The details'!$D$9</f>
        <v>45517</v>
      </c>
      <c r="T47" s="196"/>
      <c r="U47" s="196"/>
    </row>
    <row r="48" spans="1:21" ht="17.399999999999999" x14ac:dyDescent="0.3">
      <c r="K48" s="196"/>
      <c r="L48" s="8"/>
      <c r="M48" s="300" t="s">
        <v>90</v>
      </c>
      <c r="N48" s="303">
        <f>C19</f>
        <v>0</v>
      </c>
      <c r="O48" s="302"/>
      <c r="P48" s="302"/>
      <c r="Q48" s="302"/>
      <c r="R48" s="300" t="s">
        <v>214</v>
      </c>
      <c r="S48" s="302" t="str">
        <f>'The details'!$D$11</f>
        <v>PE, ML</v>
      </c>
      <c r="T48" s="198"/>
      <c r="U48" s="196"/>
    </row>
    <row r="49" spans="1:21" ht="17.399999999999999" x14ac:dyDescent="0.3">
      <c r="A49" s="216"/>
      <c r="B49" s="216"/>
      <c r="C49" s="261"/>
      <c r="D49" s="216"/>
      <c r="E49" s="254"/>
      <c r="F49" s="254"/>
      <c r="G49" s="254"/>
      <c r="H49" s="216"/>
      <c r="I49" s="216"/>
      <c r="J49" s="216"/>
      <c r="K49" s="196"/>
      <c r="L49" s="200" t="s">
        <v>87</v>
      </c>
      <c r="M49" s="196" t="s">
        <v>244</v>
      </c>
      <c r="Q49" s="200" t="s">
        <v>101</v>
      </c>
      <c r="R49" s="200" t="s">
        <v>102</v>
      </c>
      <c r="S49" s="200" t="s">
        <v>103</v>
      </c>
      <c r="T49" s="196"/>
      <c r="U49" s="196"/>
    </row>
    <row r="50" spans="1:21" ht="17.399999999999999" x14ac:dyDescent="0.3">
      <c r="A50" s="5" t="s">
        <v>273</v>
      </c>
      <c r="L50" s="200">
        <v>1</v>
      </c>
      <c r="M50" s="196" t="str">
        <f>IF($C$21="Yes",AC91,AD91)</f>
        <v>Centered, Radial</v>
      </c>
      <c r="N50" s="196"/>
      <c r="O50" s="196"/>
      <c r="P50" s="196"/>
      <c r="Q50" s="206" t="str">
        <f>IF(E19&lt;&gt;"",E19,"")</f>
        <v/>
      </c>
      <c r="R50" s="206" t="str">
        <f>IF(F19&lt;&gt;"",F19,"")</f>
        <v/>
      </c>
      <c r="S50" s="206" t="str">
        <f>IF(G19&lt;&gt;"",G19,"")</f>
        <v/>
      </c>
      <c r="T50" s="199"/>
    </row>
    <row r="51" spans="1:21" ht="17.399999999999999" x14ac:dyDescent="0.3">
      <c r="L51" s="200">
        <v>2</v>
      </c>
      <c r="M51" s="196" t="str">
        <f t="shared" ref="M51:M57" si="8">IF($C$21="Yes",AC92,AD92)</f>
        <v>Mirror rotated upward</v>
      </c>
      <c r="N51" s="196"/>
      <c r="O51" s="196"/>
      <c r="P51" s="201"/>
      <c r="Q51" s="206" t="str">
        <f t="shared" ref="Q51:Q57" si="9">IF(E20&lt;&gt;"",E20,"")</f>
        <v/>
      </c>
      <c r="R51" s="206" t="str">
        <f t="shared" ref="R51:R57" si="10">IF(F20&lt;&gt;"",F20,"")</f>
        <v/>
      </c>
      <c r="S51" s="206" t="str">
        <f t="shared" ref="S51:S57" si="11">IF(G20&lt;&gt;"",G20,"")</f>
        <v/>
      </c>
      <c r="T51" s="199"/>
    </row>
    <row r="52" spans="1:21" ht="17.399999999999999" x14ac:dyDescent="0.3">
      <c r="B52" s="5" t="s">
        <v>60</v>
      </c>
      <c r="C52" s="259" t="s">
        <v>189</v>
      </c>
      <c r="D52" s="5" t="s">
        <v>85</v>
      </c>
      <c r="E52" s="252" t="s">
        <v>101</v>
      </c>
      <c r="F52" s="252" t="s">
        <v>102</v>
      </c>
      <c r="G52" s="252" t="s">
        <v>103</v>
      </c>
      <c r="K52" s="196"/>
      <c r="L52" s="200">
        <v>3</v>
      </c>
      <c r="M52" s="196" t="str">
        <f t="shared" si="8"/>
        <v>Mirror rotated downard</v>
      </c>
      <c r="N52" s="196"/>
      <c r="O52" s="196"/>
      <c r="P52" s="201"/>
      <c r="Q52" s="206" t="str">
        <f t="shared" si="9"/>
        <v/>
      </c>
      <c r="R52" s="206" t="str">
        <f t="shared" si="10"/>
        <v/>
      </c>
      <c r="S52" s="206" t="str">
        <f t="shared" si="11"/>
        <v/>
      </c>
      <c r="U52" s="196"/>
    </row>
    <row r="53" spans="1:21" ht="17.399999999999999" x14ac:dyDescent="0.3">
      <c r="B53" s="242" t="s">
        <v>401</v>
      </c>
      <c r="C53" s="262"/>
      <c r="D53" s="5" t="str">
        <f>IF($C$55="Yes",AC91,AD91)</f>
        <v>Centered, Radial</v>
      </c>
      <c r="E53" s="253">
        <v>61.588299999999997</v>
      </c>
      <c r="F53" s="253">
        <v>52.135599999999997</v>
      </c>
      <c r="G53" s="253">
        <v>-14.4373</v>
      </c>
      <c r="K53" s="196"/>
      <c r="L53" s="200">
        <v>4</v>
      </c>
      <c r="M53" s="196" t="str">
        <f t="shared" si="8"/>
        <v>Rotated CW Horizontally</v>
      </c>
      <c r="N53" s="196"/>
      <c r="O53" s="196"/>
      <c r="P53" s="201"/>
      <c r="Q53" s="206" t="str">
        <f t="shared" si="9"/>
        <v/>
      </c>
      <c r="R53" s="206" t="str">
        <f t="shared" si="10"/>
        <v/>
      </c>
      <c r="S53" s="206" t="str">
        <f t="shared" si="11"/>
        <v/>
      </c>
      <c r="T53" s="196"/>
      <c r="U53" s="196"/>
    </row>
    <row r="54" spans="1:21" ht="17.399999999999999" x14ac:dyDescent="0.3">
      <c r="B54" s="258" t="s">
        <v>205</v>
      </c>
      <c r="C54" s="260">
        <v>2E-3</v>
      </c>
      <c r="D54" s="5" t="str">
        <f t="shared" ref="D54:D60" si="12">IF($C$55="Yes",AC92,AD92)</f>
        <v>Rotated Back</v>
      </c>
      <c r="E54" s="253"/>
      <c r="F54" s="253"/>
      <c r="G54" s="253"/>
      <c r="K54" s="196"/>
      <c r="L54" s="200">
        <v>5</v>
      </c>
      <c r="M54" s="196" t="str">
        <f t="shared" si="8"/>
        <v>Rotated CCW Horizontally</v>
      </c>
      <c r="N54" s="196"/>
      <c r="O54" s="196"/>
      <c r="P54" s="201"/>
      <c r="Q54" s="206" t="str">
        <f t="shared" si="9"/>
        <v/>
      </c>
      <c r="R54" s="206" t="str">
        <f t="shared" si="10"/>
        <v/>
      </c>
      <c r="S54" s="206" t="str">
        <f t="shared" si="11"/>
        <v/>
      </c>
      <c r="T54" s="196"/>
      <c r="U54" s="196"/>
    </row>
    <row r="55" spans="1:21" ht="17.399999999999999" x14ac:dyDescent="0.3">
      <c r="B55" s="258" t="s">
        <v>281</v>
      </c>
      <c r="C55" s="260" t="s">
        <v>309</v>
      </c>
      <c r="D55" s="5" t="str">
        <f t="shared" si="12"/>
        <v>Rotated Forward</v>
      </c>
      <c r="E55" s="253"/>
      <c r="F55" s="253"/>
      <c r="G55" s="253"/>
      <c r="K55" s="196"/>
      <c r="L55" s="200">
        <f>IF(M55=" ","",L54+1)</f>
        <v>6</v>
      </c>
      <c r="M55" s="196" t="str">
        <f t="shared" si="8"/>
        <v>Rotated 90° on beam axis</v>
      </c>
      <c r="N55" s="196"/>
      <c r="O55" s="196"/>
      <c r="P55" s="201"/>
      <c r="Q55" s="206" t="str">
        <f t="shared" si="9"/>
        <v/>
      </c>
      <c r="R55" s="206" t="str">
        <f t="shared" si="10"/>
        <v/>
      </c>
      <c r="S55" s="206" t="str">
        <f t="shared" si="11"/>
        <v/>
      </c>
      <c r="T55" s="196"/>
      <c r="U55" s="196"/>
    </row>
    <row r="56" spans="1:21" ht="17.399999999999999" x14ac:dyDescent="0.3">
      <c r="D56" s="5" t="str">
        <f t="shared" si="12"/>
        <v>Rotated Left</v>
      </c>
      <c r="E56" s="253"/>
      <c r="F56" s="253"/>
      <c r="G56" s="253"/>
      <c r="K56" s="196"/>
      <c r="L56" s="200">
        <f>IF(M56=" ","",L55+1)</f>
        <v>7</v>
      </c>
      <c r="M56" s="196" t="str">
        <f t="shared" si="8"/>
        <v>Rotated 180° on beam axis</v>
      </c>
      <c r="N56" s="196"/>
      <c r="O56" s="196"/>
      <c r="P56" s="201"/>
      <c r="Q56" s="206" t="str">
        <f t="shared" si="9"/>
        <v/>
      </c>
      <c r="R56" s="206" t="str">
        <f t="shared" si="10"/>
        <v/>
      </c>
      <c r="S56" s="206" t="str">
        <f t="shared" si="11"/>
        <v/>
      </c>
      <c r="T56" s="196"/>
      <c r="U56" s="196"/>
    </row>
    <row r="57" spans="1:21" ht="17.399999999999999" x14ac:dyDescent="0.3">
      <c r="A57" s="5" t="str">
        <f t="shared" ref="A57:A62" si="13">IF($C$55="No",AD104,"")</f>
        <v/>
      </c>
      <c r="B57" s="28"/>
      <c r="D57" s="5" t="str">
        <f t="shared" si="12"/>
        <v>Rotated Right</v>
      </c>
      <c r="E57" s="253"/>
      <c r="F57" s="253"/>
      <c r="G57" s="253"/>
      <c r="K57" s="196"/>
      <c r="L57" s="200">
        <f>IF(M57=" ","",L56+1)</f>
        <v>8</v>
      </c>
      <c r="M57" s="196" t="str">
        <f t="shared" si="8"/>
        <v>Rotated 270° on beam axis</v>
      </c>
      <c r="N57" s="196"/>
      <c r="O57" s="196"/>
      <c r="P57" s="201"/>
      <c r="Q57" s="206" t="str">
        <f t="shared" si="9"/>
        <v/>
      </c>
      <c r="R57" s="206" t="str">
        <f t="shared" si="10"/>
        <v/>
      </c>
      <c r="S57" s="206" t="str">
        <f t="shared" si="11"/>
        <v/>
      </c>
      <c r="T57" s="196"/>
      <c r="U57" s="196"/>
    </row>
    <row r="58" spans="1:21" ht="17.399999999999999" x14ac:dyDescent="0.3">
      <c r="A58" s="5" t="str">
        <f t="shared" si="13"/>
        <v/>
      </c>
      <c r="B58" s="28"/>
      <c r="D58" s="5" t="str">
        <f t="shared" si="12"/>
        <v xml:space="preserve"> </v>
      </c>
      <c r="E58" s="253"/>
      <c r="F58" s="253"/>
      <c r="G58" s="253"/>
      <c r="K58" s="196"/>
      <c r="Q58" s="207">
        <f>ABS(Q61)</f>
        <v>0</v>
      </c>
      <c r="R58" s="207">
        <f>ABS(R61)</f>
        <v>0</v>
      </c>
      <c r="S58" s="207">
        <f>ABS(S61)</f>
        <v>0</v>
      </c>
      <c r="T58" s="196"/>
      <c r="U58" s="196"/>
    </row>
    <row r="59" spans="1:21" ht="17.399999999999999" x14ac:dyDescent="0.3">
      <c r="A59" s="5" t="str">
        <f t="shared" si="13"/>
        <v/>
      </c>
      <c r="B59" s="28"/>
      <c r="D59" s="5" t="str">
        <f t="shared" si="12"/>
        <v xml:space="preserve"> </v>
      </c>
      <c r="E59" s="253" t="s">
        <v>274</v>
      </c>
      <c r="F59" s="253" t="s">
        <v>274</v>
      </c>
      <c r="G59" s="253" t="s">
        <v>274</v>
      </c>
      <c r="K59" s="196"/>
      <c r="P59" s="197" t="s">
        <v>215</v>
      </c>
      <c r="Q59" s="206">
        <f>MIN(Q50:Q57)</f>
        <v>0</v>
      </c>
      <c r="R59" s="206">
        <f>MIN(R50:R57)</f>
        <v>0</v>
      </c>
      <c r="S59" s="206">
        <f>MIN(S50:S57)</f>
        <v>0</v>
      </c>
      <c r="T59" s="196"/>
      <c r="U59" s="196"/>
    </row>
    <row r="60" spans="1:21" ht="17.399999999999999" x14ac:dyDescent="0.3">
      <c r="A60" s="5" t="str">
        <f t="shared" si="13"/>
        <v/>
      </c>
      <c r="B60" s="28"/>
      <c r="D60" s="5" t="str">
        <f t="shared" si="12"/>
        <v xml:space="preserve"> </v>
      </c>
      <c r="E60" s="253">
        <v>6.9999999999999999E-4</v>
      </c>
      <c r="F60" s="253">
        <v>4.0000000000000002E-4</v>
      </c>
      <c r="G60" s="253">
        <v>2.9999999999999997E-4</v>
      </c>
      <c r="K60" s="196"/>
      <c r="P60" s="197" t="s">
        <v>216</v>
      </c>
      <c r="Q60" s="206">
        <f>MAX(Q50:Q57)</f>
        <v>0</v>
      </c>
      <c r="R60" s="206">
        <f>MAX(R50:R57)</f>
        <v>0</v>
      </c>
      <c r="S60" s="206">
        <f>MAX(S50:S57)</f>
        <v>0</v>
      </c>
      <c r="T60" s="196"/>
      <c r="U60" s="196"/>
    </row>
    <row r="61" spans="1:21" ht="17.399999999999999" x14ac:dyDescent="0.3">
      <c r="A61" s="5" t="str">
        <f t="shared" si="13"/>
        <v/>
      </c>
      <c r="B61" s="28"/>
      <c r="H61" s="5" t="s">
        <v>247</v>
      </c>
      <c r="I61" s="266" t="str">
        <f>Q150</f>
        <v>Fail</v>
      </c>
      <c r="K61" s="196"/>
      <c r="P61" s="197" t="s">
        <v>217</v>
      </c>
      <c r="Q61" s="206">
        <f>(Q60-Q59)/2</f>
        <v>0</v>
      </c>
      <c r="R61" s="206">
        <f>(R60-R59)/2</f>
        <v>0</v>
      </c>
      <c r="S61" s="206">
        <f>(S60-S59)/2</f>
        <v>0</v>
      </c>
      <c r="T61" s="196"/>
      <c r="U61" s="196"/>
    </row>
    <row r="62" spans="1:21" ht="17.399999999999999" x14ac:dyDescent="0.3">
      <c r="A62" s="5" t="str">
        <f t="shared" si="13"/>
        <v/>
      </c>
      <c r="C62" s="259" t="str">
        <f>IF(C55="No",MAX(B57:B61)-MIN(B57:B61),"")</f>
        <v/>
      </c>
      <c r="D62" s="5" t="s">
        <v>161</v>
      </c>
      <c r="E62" s="252">
        <f>MAX(E53:E60)</f>
        <v>61.588299999999997</v>
      </c>
      <c r="F62" s="252">
        <f>MAX(F53:F60)</f>
        <v>52.135599999999997</v>
      </c>
      <c r="G62" s="252">
        <f>MAX(G53:G60)</f>
        <v>2.9999999999999997E-4</v>
      </c>
      <c r="K62" s="196"/>
      <c r="T62" s="196"/>
      <c r="U62" s="196"/>
    </row>
    <row r="63" spans="1:21" ht="17.399999999999999" x14ac:dyDescent="0.3">
      <c r="D63" s="5" t="s">
        <v>162</v>
      </c>
      <c r="E63" s="252">
        <f>MIN(E53:E60)</f>
        <v>6.9999999999999999E-4</v>
      </c>
      <c r="F63" s="252">
        <f>MIN(F53:F60)</f>
        <v>4.0000000000000002E-4</v>
      </c>
      <c r="G63" s="252">
        <f>MIN(G53:G60)</f>
        <v>-14.4373</v>
      </c>
      <c r="K63" s="196"/>
      <c r="L63" s="200"/>
      <c r="M63" s="196" t="str">
        <f>IF(P71="","","Diameter")</f>
        <v>Diameter</v>
      </c>
      <c r="T63" s="196"/>
      <c r="U63" s="196"/>
    </row>
    <row r="64" spans="1:21" ht="17.399999999999999" x14ac:dyDescent="0.3">
      <c r="D64" s="5" t="s">
        <v>204</v>
      </c>
      <c r="E64" s="252">
        <f>(E62-E63)/2</f>
        <v>30.793799999999997</v>
      </c>
      <c r="F64" s="252">
        <f>(F62-F63)/2</f>
        <v>26.067599999999999</v>
      </c>
      <c r="G64" s="252">
        <f>(G62-G63)/2</f>
        <v>7.2187999999999999</v>
      </c>
      <c r="K64" s="196"/>
      <c r="L64" s="200">
        <f>IF(M64="","",1)</f>
        <v>1</v>
      </c>
      <c r="M64" s="196" t="str">
        <f>IF(Q71="","","D1")</f>
        <v>D1</v>
      </c>
      <c r="N64" s="196"/>
      <c r="O64" s="196"/>
      <c r="Q64" s="206">
        <f>IF(P71="","",B24)</f>
        <v>0</v>
      </c>
      <c r="T64" s="196"/>
      <c r="U64" s="196"/>
    </row>
    <row r="65" spans="1:21" ht="17.399999999999999" x14ac:dyDescent="0.3">
      <c r="K65" s="196"/>
      <c r="L65" s="200">
        <f>IF(M65="","",2)</f>
        <v>2</v>
      </c>
      <c r="M65" s="196" t="str">
        <f>IF(Q71="","","D2")</f>
        <v>D2</v>
      </c>
      <c r="P65" s="196"/>
      <c r="Q65" s="206">
        <f>IF(P71="","",B25)</f>
        <v>0</v>
      </c>
      <c r="T65" s="196"/>
      <c r="U65" s="196"/>
    </row>
    <row r="66" spans="1:21" ht="17.399999999999999" x14ac:dyDescent="0.3">
      <c r="A66" s="216"/>
      <c r="B66" s="216"/>
      <c r="C66" s="261"/>
      <c r="D66" s="216"/>
      <c r="E66" s="254"/>
      <c r="F66" s="254"/>
      <c r="G66" s="254"/>
      <c r="H66" s="216"/>
      <c r="I66" s="216"/>
      <c r="J66" s="216"/>
      <c r="K66" s="196"/>
      <c r="L66" s="200">
        <f>IF(M66="","",3)</f>
        <v>3</v>
      </c>
      <c r="M66" s="196" t="str">
        <f>IF(Q71="","","D3")</f>
        <v>D3</v>
      </c>
      <c r="N66" s="196"/>
      <c r="P66" s="196"/>
      <c r="Q66" s="206">
        <f>IF(P71="","",B26)</f>
        <v>0</v>
      </c>
      <c r="R66" s="204"/>
      <c r="S66" s="204"/>
      <c r="T66" s="196"/>
      <c r="U66" s="196"/>
    </row>
    <row r="67" spans="1:21" ht="17.399999999999999" x14ac:dyDescent="0.3">
      <c r="A67" s="5" t="s">
        <v>398</v>
      </c>
      <c r="K67" s="196"/>
      <c r="L67" s="200">
        <f>IF(M67="","",4)</f>
        <v>4</v>
      </c>
      <c r="M67" s="196" t="str">
        <f>IF(Q71="","","D4")</f>
        <v>D4</v>
      </c>
      <c r="Q67" s="206">
        <f>IF(P71="","",B27)</f>
        <v>0</v>
      </c>
      <c r="R67" s="205"/>
      <c r="S67" s="205"/>
      <c r="T67" s="196"/>
      <c r="U67" s="196"/>
    </row>
    <row r="68" spans="1:21" ht="17.399999999999999" x14ac:dyDescent="0.3">
      <c r="K68" s="196"/>
      <c r="L68" s="200">
        <f>IF(M68="","",5)</f>
        <v>5</v>
      </c>
      <c r="M68" s="196" t="str">
        <f>IF(Q71="","","D5")</f>
        <v>D5</v>
      </c>
      <c r="O68" s="197"/>
      <c r="Q68" s="206">
        <f>IF(P71="","",B28)</f>
        <v>0</v>
      </c>
      <c r="R68" s="203"/>
      <c r="S68" s="203"/>
      <c r="U68" s="196"/>
    </row>
    <row r="69" spans="1:21" ht="17.399999999999999" x14ac:dyDescent="0.3">
      <c r="B69" s="5" t="s">
        <v>60</v>
      </c>
      <c r="C69" s="259" t="s">
        <v>189</v>
      </c>
      <c r="D69" s="5" t="s">
        <v>85</v>
      </c>
      <c r="E69" s="252" t="s">
        <v>101</v>
      </c>
      <c r="F69" s="252" t="s">
        <v>102</v>
      </c>
      <c r="G69" s="252" t="s">
        <v>103</v>
      </c>
      <c r="K69" s="196"/>
      <c r="L69" s="196"/>
      <c r="R69" s="203"/>
      <c r="S69" s="203"/>
      <c r="T69" s="202"/>
      <c r="U69" s="196"/>
    </row>
    <row r="70" spans="1:21" ht="17.399999999999999" x14ac:dyDescent="0.3">
      <c r="B70" s="242"/>
      <c r="C70" s="262"/>
      <c r="D70" s="5" t="str">
        <f>IF($C$72="Yes",AC91,AD91)</f>
        <v>Centered, Radial</v>
      </c>
      <c r="E70" s="253"/>
      <c r="F70" s="253"/>
      <c r="G70" s="253"/>
      <c r="K70" s="196"/>
      <c r="R70" s="203"/>
      <c r="S70" s="203"/>
      <c r="T70" s="202"/>
      <c r="U70" s="196"/>
    </row>
    <row r="71" spans="1:21" ht="17.399999999999999" x14ac:dyDescent="0.3">
      <c r="B71" s="258" t="s">
        <v>205</v>
      </c>
      <c r="C71" s="260"/>
      <c r="D71" s="5" t="str">
        <f t="shared" ref="D71:D77" si="14">IF($C$72="Yes",AC92,AD92)</f>
        <v>Mirror rotated upward</v>
      </c>
      <c r="E71" s="253"/>
      <c r="F71" s="253"/>
      <c r="G71" s="253"/>
      <c r="K71" s="196"/>
      <c r="L71" s="196"/>
      <c r="P71" s="197" t="str">
        <f>IF($C$21="Yes","",AD109)</f>
        <v>Variation in Diameter:</v>
      </c>
      <c r="Q71" s="256">
        <f>IF(P71&lt;&gt;"",MAX(Q64:Q68)-MIN(Q64:Q68),"")</f>
        <v>0</v>
      </c>
      <c r="U71" s="196"/>
    </row>
    <row r="72" spans="1:21" ht="17.399999999999999" x14ac:dyDescent="0.3">
      <c r="B72" s="258" t="s">
        <v>281</v>
      </c>
      <c r="C72" s="260" t="s">
        <v>284</v>
      </c>
      <c r="D72" s="5" t="str">
        <f t="shared" si="14"/>
        <v>Mirror rotated downard</v>
      </c>
      <c r="E72" s="253"/>
      <c r="F72" s="253"/>
      <c r="G72" s="253"/>
      <c r="K72" s="196"/>
      <c r="P72" s="197" t="s">
        <v>227</v>
      </c>
      <c r="Q72" s="256">
        <f>HLOOKUP(MAX(Q58:S58),Q58:S61,4,FALSE)</f>
        <v>0</v>
      </c>
      <c r="T72" s="196"/>
      <c r="U72" s="196"/>
    </row>
    <row r="73" spans="1:21" ht="17.399999999999999" x14ac:dyDescent="0.3">
      <c r="D73" s="5" t="str">
        <f t="shared" si="14"/>
        <v>Rotated CW Horizontally</v>
      </c>
      <c r="E73" s="253"/>
      <c r="F73" s="253"/>
      <c r="G73" s="253"/>
      <c r="K73" s="196"/>
      <c r="L73" s="196"/>
      <c r="M73" s="196"/>
      <c r="P73" s="197" t="s">
        <v>243</v>
      </c>
      <c r="Q73" s="257">
        <f>C20</f>
        <v>5.0000000000000001E-4</v>
      </c>
      <c r="R73" s="196"/>
      <c r="S73" s="196"/>
      <c r="T73" s="196"/>
      <c r="U73" s="196"/>
    </row>
    <row r="74" spans="1:21" ht="17.399999999999999" x14ac:dyDescent="0.3">
      <c r="A74" s="5" t="str">
        <f t="shared" ref="A74:A79" si="15">IF($C$72="No",AD104,"")</f>
        <v>D1</v>
      </c>
      <c r="B74" s="28"/>
      <c r="D74" s="5" t="str">
        <f t="shared" si="14"/>
        <v>Rotated CCW Horizontally</v>
      </c>
      <c r="E74" s="253"/>
      <c r="F74" s="253"/>
      <c r="G74" s="253"/>
      <c r="K74" s="196"/>
      <c r="L74" s="196"/>
      <c r="M74" s="196"/>
      <c r="P74" s="197" t="s">
        <v>247</v>
      </c>
      <c r="Q74" s="203" t="str">
        <f>IF(Q72&lt;=Q73,"Pass","Fail")</f>
        <v>Pass</v>
      </c>
      <c r="R74" s="196"/>
      <c r="S74" s="196"/>
      <c r="T74" s="196"/>
      <c r="U74" s="196"/>
    </row>
    <row r="75" spans="1:21" ht="17.399999999999999" x14ac:dyDescent="0.3">
      <c r="A75" s="5" t="str">
        <f t="shared" si="15"/>
        <v>D2</v>
      </c>
      <c r="B75" s="28"/>
      <c r="D75" s="5" t="str">
        <f t="shared" si="14"/>
        <v>Rotated 90° on beam axis</v>
      </c>
      <c r="E75" s="253"/>
      <c r="F75" s="253"/>
      <c r="G75" s="253"/>
      <c r="K75" s="196"/>
      <c r="L75" s="196"/>
      <c r="M75" s="196"/>
      <c r="O75" s="196"/>
      <c r="P75" s="196"/>
      <c r="Q75" s="196"/>
      <c r="R75" s="196"/>
      <c r="S75" s="196"/>
      <c r="T75" s="196"/>
      <c r="U75" s="196"/>
    </row>
    <row r="76" spans="1:21" ht="17.399999999999999" x14ac:dyDescent="0.3">
      <c r="A76" s="5" t="str">
        <f t="shared" si="15"/>
        <v>D3</v>
      </c>
      <c r="B76" s="28"/>
      <c r="D76" s="5" t="str">
        <f t="shared" si="14"/>
        <v>Rotated 180° on beam axis</v>
      </c>
      <c r="E76" s="253" t="s">
        <v>274</v>
      </c>
      <c r="F76" s="253" t="s">
        <v>274</v>
      </c>
      <c r="G76" s="253" t="s">
        <v>274</v>
      </c>
      <c r="K76" s="196"/>
      <c r="L76" s="318" t="s">
        <v>228</v>
      </c>
      <c r="M76" s="318"/>
      <c r="N76" s="318"/>
      <c r="O76" s="318"/>
      <c r="P76" s="318"/>
      <c r="Q76" s="318"/>
      <c r="R76" s="318"/>
      <c r="S76" s="318"/>
      <c r="T76" s="196"/>
      <c r="U76" s="196"/>
    </row>
    <row r="77" spans="1:21" x14ac:dyDescent="0.3">
      <c r="A77" s="5" t="str">
        <f t="shared" si="15"/>
        <v>D4</v>
      </c>
      <c r="B77" s="28"/>
      <c r="D77" s="5" t="str">
        <f t="shared" si="14"/>
        <v>Rotated 270° on beam axis</v>
      </c>
      <c r="E77" s="253" t="s">
        <v>274</v>
      </c>
      <c r="F77" s="253" t="s">
        <v>274</v>
      </c>
      <c r="G77" s="253" t="s">
        <v>274</v>
      </c>
      <c r="L77" s="2" t="s">
        <v>252</v>
      </c>
      <c r="M77" s="4" t="str">
        <f>'The details'!$D$2</f>
        <v>56561-045570</v>
      </c>
      <c r="U77" s="192" t="str">
        <f>CONCATENATE("Page 5 of ",'The details'!$G$16)</f>
        <v>Page 5 of 2</v>
      </c>
    </row>
    <row r="78" spans="1:21" x14ac:dyDescent="0.3">
      <c r="A78" s="5" t="str">
        <f t="shared" si="15"/>
        <v>D5</v>
      </c>
      <c r="B78" s="28"/>
      <c r="H78" s="5" t="s">
        <v>247</v>
      </c>
      <c r="I78" s="266" t="str">
        <f>Q188</f>
        <v>Pass</v>
      </c>
    </row>
    <row r="79" spans="1:21" ht="27.6" x14ac:dyDescent="0.45">
      <c r="A79" s="5" t="str">
        <f t="shared" si="15"/>
        <v>Variation in Diameter:</v>
      </c>
      <c r="C79" s="259">
        <f>IF(C72="No",MAX(B74:B78)-MIN(B74:B78),"")</f>
        <v>0</v>
      </c>
      <c r="D79" s="5" t="s">
        <v>161</v>
      </c>
      <c r="E79" s="252">
        <f>MAX(E70:E77)</f>
        <v>0</v>
      </c>
      <c r="F79" s="252">
        <f>MAX(F70:F77)</f>
        <v>0</v>
      </c>
      <c r="G79" s="252">
        <f>MAX(G70:G77)</f>
        <v>0</v>
      </c>
      <c r="P79" s="193" t="s">
        <v>114</v>
      </c>
    </row>
    <row r="80" spans="1:21" ht="17.399999999999999" x14ac:dyDescent="0.3">
      <c r="D80" s="5" t="s">
        <v>162</v>
      </c>
      <c r="E80" s="252">
        <f>MIN(E70:E77)</f>
        <v>0</v>
      </c>
      <c r="F80" s="252">
        <f>MIN(F70:F77)</f>
        <v>0</v>
      </c>
      <c r="G80" s="252">
        <f>MIN(G70:G77)</f>
        <v>0</v>
      </c>
      <c r="P80" s="194" t="s">
        <v>115</v>
      </c>
    </row>
    <row r="81" spans="1:30" ht="17.399999999999999" x14ac:dyDescent="0.3">
      <c r="D81" s="5" t="s">
        <v>204</v>
      </c>
      <c r="E81" s="252">
        <f>(E79-E80)/2</f>
        <v>0</v>
      </c>
      <c r="F81" s="252">
        <f>(F79-F80)/2</f>
        <v>0</v>
      </c>
      <c r="G81" s="252">
        <f>(G79-G80)/2</f>
        <v>0</v>
      </c>
      <c r="P81" s="194" t="s">
        <v>212</v>
      </c>
    </row>
    <row r="83" spans="1:30" ht="26.4" x14ac:dyDescent="0.5">
      <c r="A83" s="216"/>
      <c r="B83" s="216"/>
      <c r="C83" s="261"/>
      <c r="D83" s="216"/>
      <c r="E83" s="254"/>
      <c r="F83" s="254"/>
      <c r="G83" s="254"/>
      <c r="H83" s="216"/>
      <c r="I83" s="216"/>
      <c r="J83" s="216"/>
      <c r="P83" s="195" t="s">
        <v>218</v>
      </c>
    </row>
    <row r="84" spans="1:30" x14ac:dyDescent="0.3">
      <c r="A84" s="5" t="s">
        <v>399</v>
      </c>
    </row>
    <row r="85" spans="1:30" ht="17.399999999999999" x14ac:dyDescent="0.3">
      <c r="K85" s="196"/>
      <c r="M85" s="197" t="s">
        <v>121</v>
      </c>
      <c r="N85" s="251" t="str">
        <f>B36</f>
        <v>Leica T-Probe II</v>
      </c>
      <c r="O85" s="196"/>
      <c r="P85" s="196"/>
      <c r="Q85" s="196"/>
      <c r="R85" s="197" t="s">
        <v>213</v>
      </c>
      <c r="S85" s="255">
        <f ca="1">'The details'!$D$9</f>
        <v>45517</v>
      </c>
      <c r="T85" s="196"/>
      <c r="U85" s="196"/>
    </row>
    <row r="86" spans="1:30" ht="17.399999999999999" x14ac:dyDescent="0.3">
      <c r="B86" s="5" t="s">
        <v>60</v>
      </c>
      <c r="C86" s="259" t="s">
        <v>189</v>
      </c>
      <c r="D86" s="5" t="s">
        <v>85</v>
      </c>
      <c r="E86" s="252" t="s">
        <v>101</v>
      </c>
      <c r="F86" s="252" t="s">
        <v>102</v>
      </c>
      <c r="G86" s="252" t="s">
        <v>103</v>
      </c>
      <c r="K86" s="196"/>
      <c r="L86" s="8"/>
      <c r="M86" s="300" t="s">
        <v>90</v>
      </c>
      <c r="N86" s="303">
        <f>C36</f>
        <v>0</v>
      </c>
      <c r="O86" s="302"/>
      <c r="P86" s="302"/>
      <c r="Q86" s="302"/>
      <c r="R86" s="300" t="s">
        <v>214</v>
      </c>
      <c r="S86" s="302" t="str">
        <f>'The details'!$D$11</f>
        <v>PE, ML</v>
      </c>
      <c r="T86" s="198"/>
      <c r="U86" s="196"/>
    </row>
    <row r="87" spans="1:30" ht="17.399999999999999" x14ac:dyDescent="0.3">
      <c r="B87" s="242"/>
      <c r="C87" s="262"/>
      <c r="D87" s="5" t="str">
        <f>IF($C$89="Yes",AC91,AD91)</f>
        <v>Centered, Radial</v>
      </c>
      <c r="E87" s="253"/>
      <c r="F87" s="253"/>
      <c r="G87" s="253"/>
      <c r="K87" s="196"/>
      <c r="L87" s="200" t="s">
        <v>87</v>
      </c>
      <c r="M87" s="196" t="s">
        <v>244</v>
      </c>
      <c r="Q87" s="200" t="s">
        <v>101</v>
      </c>
      <c r="R87" s="200" t="s">
        <v>102</v>
      </c>
      <c r="S87" s="200" t="s">
        <v>103</v>
      </c>
      <c r="T87" s="196"/>
      <c r="U87" s="196"/>
    </row>
    <row r="88" spans="1:30" ht="17.399999999999999" x14ac:dyDescent="0.3">
      <c r="B88" s="258" t="s">
        <v>205</v>
      </c>
      <c r="C88" s="260"/>
      <c r="D88" s="5" t="str">
        <f t="shared" ref="D88:D94" si="16">IF($C$89="Yes",AC92,AD92)</f>
        <v>Mirror rotated upward</v>
      </c>
      <c r="E88" s="253"/>
      <c r="F88" s="253"/>
      <c r="G88" s="253"/>
      <c r="L88" s="200">
        <v>1</v>
      </c>
      <c r="M88" s="196" t="str">
        <f>IF($C$38="Yes",AC91,AD91)</f>
        <v>Centered, Radial</v>
      </c>
      <c r="N88" s="196"/>
      <c r="O88" s="196"/>
      <c r="P88" s="196"/>
      <c r="Q88" s="206" t="str">
        <f t="shared" ref="Q88" si="17">IF(E78&lt;&gt;"",E78,"")</f>
        <v/>
      </c>
      <c r="R88" s="206" t="str">
        <f t="shared" ref="R88" si="18">IF(F78&lt;&gt;"",F78,"")</f>
        <v/>
      </c>
      <c r="S88" s="206" t="str">
        <f t="shared" ref="S88" si="19">IF(G78&lt;&gt;"",G78,"")</f>
        <v/>
      </c>
      <c r="T88" s="199"/>
    </row>
    <row r="89" spans="1:30" ht="17.399999999999999" x14ac:dyDescent="0.3">
      <c r="B89" s="258" t="s">
        <v>281</v>
      </c>
      <c r="C89" s="260" t="s">
        <v>284</v>
      </c>
      <c r="D89" s="5" t="str">
        <f t="shared" si="16"/>
        <v>Mirror rotated downard</v>
      </c>
      <c r="E89" s="253"/>
      <c r="F89" s="253"/>
      <c r="G89" s="253"/>
      <c r="L89" s="200">
        <v>2</v>
      </c>
      <c r="M89" s="196" t="str">
        <f t="shared" ref="M89:M95" si="20">IF($C$38="Yes",AC92,AD92)</f>
        <v>Rotated Back</v>
      </c>
      <c r="N89" s="196"/>
      <c r="O89" s="196"/>
      <c r="P89" s="201"/>
      <c r="Q89" s="206">
        <f>IF(E36&lt;&gt;"",E36,"")</f>
        <v>193.00380000000001</v>
      </c>
      <c r="R89" s="206">
        <f t="shared" ref="R89:S89" si="21">IF(F36&lt;&gt;"",F36,"")</f>
        <v>-23.1785</v>
      </c>
      <c r="S89" s="206">
        <f t="shared" si="21"/>
        <v>-19.430700000000002</v>
      </c>
      <c r="T89" s="199"/>
    </row>
    <row r="90" spans="1:30" ht="17.399999999999999" x14ac:dyDescent="0.3">
      <c r="D90" s="5" t="str">
        <f t="shared" si="16"/>
        <v>Rotated CW Horizontally</v>
      </c>
      <c r="E90" s="253"/>
      <c r="F90" s="253"/>
      <c r="G90" s="253"/>
      <c r="K90" s="196"/>
      <c r="L90" s="200">
        <v>3</v>
      </c>
      <c r="M90" s="196" t="str">
        <f t="shared" si="20"/>
        <v>Rotated Forward</v>
      </c>
      <c r="N90" s="196"/>
      <c r="O90" s="196"/>
      <c r="P90" s="201"/>
      <c r="Q90" s="206">
        <f t="shared" ref="Q90:Q95" si="22">IF(E37&lt;&gt;"",E37,"")</f>
        <v>192.9957</v>
      </c>
      <c r="R90" s="206">
        <f t="shared" ref="R90:R95" si="23">IF(F37&lt;&gt;"",F37,"")</f>
        <v>-23.1782</v>
      </c>
      <c r="S90" s="206">
        <f t="shared" ref="S90:S95" si="24">IF(G37&lt;&gt;"",G37,"")</f>
        <v>-19.429500000000001</v>
      </c>
      <c r="U90" s="196"/>
      <c r="AC90" t="s">
        <v>283</v>
      </c>
      <c r="AD90" t="s">
        <v>282</v>
      </c>
    </row>
    <row r="91" spans="1:30" ht="17.399999999999999" x14ac:dyDescent="0.3">
      <c r="A91" s="5" t="str">
        <f t="shared" ref="A91:A96" si="25">IF($C$89="No",AD104,"")</f>
        <v>D1</v>
      </c>
      <c r="B91" s="28"/>
      <c r="D91" s="5" t="str">
        <f t="shared" si="16"/>
        <v>Rotated CCW Horizontally</v>
      </c>
      <c r="E91" s="253"/>
      <c r="F91" s="253"/>
      <c r="G91" s="253"/>
      <c r="K91" s="196"/>
      <c r="L91" s="200">
        <v>4</v>
      </c>
      <c r="M91" s="196" t="str">
        <f t="shared" si="20"/>
        <v>Rotated Left</v>
      </c>
      <c r="N91" s="196"/>
      <c r="O91" s="196"/>
      <c r="P91" s="201"/>
      <c r="Q91" s="206">
        <f t="shared" si="22"/>
        <v>193.0187</v>
      </c>
      <c r="R91" s="206">
        <f t="shared" si="23"/>
        <v>-23.181699999999999</v>
      </c>
      <c r="S91" s="206">
        <f t="shared" si="24"/>
        <v>-19.43</v>
      </c>
      <c r="T91" s="196"/>
      <c r="U91" s="196"/>
      <c r="AC91" s="196" t="s">
        <v>219</v>
      </c>
      <c r="AD91" s="196" t="s">
        <v>219</v>
      </c>
    </row>
    <row r="92" spans="1:30" ht="17.399999999999999" x14ac:dyDescent="0.3">
      <c r="A92" s="5" t="str">
        <f t="shared" si="25"/>
        <v>D2</v>
      </c>
      <c r="B92" s="28"/>
      <c r="D92" s="5" t="str">
        <f t="shared" si="16"/>
        <v>Rotated 90° on beam axis</v>
      </c>
      <c r="E92" s="253"/>
      <c r="F92" s="253"/>
      <c r="G92" s="253"/>
      <c r="K92" s="196"/>
      <c r="L92" s="200">
        <v>5</v>
      </c>
      <c r="M92" s="196" t="str">
        <f t="shared" si="20"/>
        <v>Rotated Right</v>
      </c>
      <c r="N92" s="196"/>
      <c r="O92" s="196"/>
      <c r="P92" s="201"/>
      <c r="Q92" s="206">
        <f t="shared" si="22"/>
        <v>193.00989999999999</v>
      </c>
      <c r="R92" s="206">
        <f t="shared" si="23"/>
        <v>-23.1938</v>
      </c>
      <c r="S92" s="206">
        <f t="shared" si="24"/>
        <v>-19.429099999999998</v>
      </c>
      <c r="T92" s="196"/>
      <c r="U92" s="196"/>
      <c r="AC92" s="196" t="s">
        <v>276</v>
      </c>
      <c r="AD92" s="196" t="s">
        <v>220</v>
      </c>
    </row>
    <row r="93" spans="1:30" ht="17.399999999999999" x14ac:dyDescent="0.3">
      <c r="A93" s="5" t="str">
        <f t="shared" si="25"/>
        <v>D3</v>
      </c>
      <c r="B93" s="28"/>
      <c r="D93" s="5" t="str">
        <f t="shared" si="16"/>
        <v>Rotated 180° on beam axis</v>
      </c>
      <c r="E93" s="253" t="s">
        <v>274</v>
      </c>
      <c r="F93" s="253" t="s">
        <v>274</v>
      </c>
      <c r="G93" s="253" t="s">
        <v>274</v>
      </c>
      <c r="K93" s="196"/>
      <c r="L93" s="200" t="str">
        <f>IF(M93=" ","",L92+1)</f>
        <v/>
      </c>
      <c r="M93" s="196" t="str">
        <f t="shared" si="20"/>
        <v xml:space="preserve"> </v>
      </c>
      <c r="N93" s="196"/>
      <c r="O93" s="196"/>
      <c r="P93" s="201"/>
      <c r="Q93" s="206">
        <f t="shared" si="22"/>
        <v>193.00810000000001</v>
      </c>
      <c r="R93" s="206">
        <f t="shared" si="23"/>
        <v>-23.165500000000002</v>
      </c>
      <c r="S93" s="206">
        <f t="shared" si="24"/>
        <v>-19.429500000000001</v>
      </c>
      <c r="T93" s="196"/>
      <c r="U93" s="196"/>
      <c r="AC93" s="196" t="s">
        <v>277</v>
      </c>
      <c r="AD93" s="196" t="s">
        <v>221</v>
      </c>
    </row>
    <row r="94" spans="1:30" ht="17.399999999999999" x14ac:dyDescent="0.3">
      <c r="A94" s="5" t="str">
        <f t="shared" si="25"/>
        <v>D4</v>
      </c>
      <c r="B94" s="28"/>
      <c r="D94" s="5" t="str">
        <f t="shared" si="16"/>
        <v>Rotated 270° on beam axis</v>
      </c>
      <c r="E94" s="253" t="s">
        <v>274</v>
      </c>
      <c r="F94" s="253" t="s">
        <v>274</v>
      </c>
      <c r="G94" s="253" t="s">
        <v>274</v>
      </c>
      <c r="K94" s="196"/>
      <c r="L94" s="200" t="str">
        <f>IF(M94=" ","",L93+1)</f>
        <v/>
      </c>
      <c r="M94" s="196" t="str">
        <f t="shared" si="20"/>
        <v xml:space="preserve"> </v>
      </c>
      <c r="N94" s="196"/>
      <c r="O94" s="196"/>
      <c r="P94" s="201"/>
      <c r="Q94" s="206" t="str">
        <f t="shared" si="22"/>
        <v/>
      </c>
      <c r="R94" s="206" t="str">
        <f t="shared" si="23"/>
        <v/>
      </c>
      <c r="S94" s="206" t="str">
        <f t="shared" si="24"/>
        <v/>
      </c>
      <c r="T94" s="196"/>
      <c r="U94" s="196"/>
      <c r="AC94" s="196" t="s">
        <v>278</v>
      </c>
      <c r="AD94" s="196" t="s">
        <v>222</v>
      </c>
    </row>
    <row r="95" spans="1:30" ht="17.399999999999999" x14ac:dyDescent="0.3">
      <c r="A95" s="5" t="str">
        <f t="shared" si="25"/>
        <v>D5</v>
      </c>
      <c r="B95" s="28"/>
      <c r="H95" s="5" t="s">
        <v>247</v>
      </c>
      <c r="I95" s="266" t="str">
        <f>Q226</f>
        <v>Pass</v>
      </c>
      <c r="K95" s="196"/>
      <c r="L95" s="200" t="str">
        <f>IF(M95=" ","",L94+1)</f>
        <v/>
      </c>
      <c r="M95" s="196" t="str">
        <f t="shared" si="20"/>
        <v xml:space="preserve"> </v>
      </c>
      <c r="N95" s="196"/>
      <c r="O95" s="196"/>
      <c r="P95" s="201"/>
      <c r="Q95" s="206" t="str">
        <f t="shared" si="22"/>
        <v/>
      </c>
      <c r="R95" s="206" t="str">
        <f t="shared" si="23"/>
        <v/>
      </c>
      <c r="S95" s="206" t="str">
        <f t="shared" si="24"/>
        <v/>
      </c>
      <c r="T95" s="196"/>
      <c r="U95" s="196"/>
      <c r="AC95" s="196" t="s">
        <v>279</v>
      </c>
      <c r="AD95" s="196" t="s">
        <v>223</v>
      </c>
    </row>
    <row r="96" spans="1:30" ht="17.399999999999999" x14ac:dyDescent="0.3">
      <c r="A96" s="5" t="str">
        <f t="shared" si="25"/>
        <v>Variation in Diameter:</v>
      </c>
      <c r="C96" s="259">
        <f>IF(C89="No",MAX(B91:B95)-MIN(B91:B95),"")</f>
        <v>0</v>
      </c>
      <c r="D96" s="5" t="s">
        <v>161</v>
      </c>
      <c r="E96" s="252">
        <f>MAX(E87:E94)</f>
        <v>0</v>
      </c>
      <c r="F96" s="252">
        <f>MAX(F87:F94)</f>
        <v>0</v>
      </c>
      <c r="G96" s="252">
        <f>MAX(G87:G94)</f>
        <v>0</v>
      </c>
      <c r="K96" s="196"/>
      <c r="Q96" s="207">
        <f>ABS(Q99)</f>
        <v>1.1499999999998067E-2</v>
      </c>
      <c r="R96" s="207">
        <f>ABS(R99)</f>
        <v>1.4149999999998997E-2</v>
      </c>
      <c r="S96" s="207">
        <f>ABS(S99)</f>
        <v>8.0000000000168825E-4</v>
      </c>
      <c r="T96" s="196"/>
      <c r="U96" s="196"/>
      <c r="AC96" s="196" t="s">
        <v>274</v>
      </c>
      <c r="AD96" s="196" t="s">
        <v>224</v>
      </c>
    </row>
    <row r="97" spans="1:30" ht="17.399999999999999" x14ac:dyDescent="0.3">
      <c r="D97" s="5" t="s">
        <v>162</v>
      </c>
      <c r="E97" s="252">
        <f>MIN(E87:E94)</f>
        <v>0</v>
      </c>
      <c r="F97" s="252">
        <f>MIN(F87:F94)</f>
        <v>0</v>
      </c>
      <c r="G97" s="252">
        <f>MIN(G87:G94)</f>
        <v>0</v>
      </c>
      <c r="K97" s="196"/>
      <c r="P97" s="197" t="s">
        <v>215</v>
      </c>
      <c r="Q97" s="206">
        <f>MIN(Q88:Q95)</f>
        <v>192.9957</v>
      </c>
      <c r="R97" s="206">
        <f>MIN(R88:R95)</f>
        <v>-23.1938</v>
      </c>
      <c r="S97" s="206">
        <f>MIN(S88:S95)</f>
        <v>-19.430700000000002</v>
      </c>
      <c r="T97" s="196"/>
      <c r="U97" s="196"/>
      <c r="AC97" s="196" t="s">
        <v>274</v>
      </c>
      <c r="AD97" s="196" t="s">
        <v>225</v>
      </c>
    </row>
    <row r="98" spans="1:30" ht="17.399999999999999" x14ac:dyDescent="0.3">
      <c r="D98" s="5" t="s">
        <v>204</v>
      </c>
      <c r="E98" s="252">
        <f>(E96-E97)/2</f>
        <v>0</v>
      </c>
      <c r="F98" s="252">
        <f>(F96-F97)/2</f>
        <v>0</v>
      </c>
      <c r="G98" s="252">
        <f>(G96-G97)/2</f>
        <v>0</v>
      </c>
      <c r="K98" s="196"/>
      <c r="P98" s="197" t="s">
        <v>216</v>
      </c>
      <c r="Q98" s="206">
        <f>MAX(Q88:Q95)</f>
        <v>193.0187</v>
      </c>
      <c r="R98" s="206">
        <f>MAX(R88:R95)</f>
        <v>-23.165500000000002</v>
      </c>
      <c r="S98" s="206">
        <f>MAX(S88:S95)</f>
        <v>-19.429099999999998</v>
      </c>
      <c r="T98" s="196"/>
      <c r="U98" s="196"/>
      <c r="AC98" s="196" t="s">
        <v>274</v>
      </c>
      <c r="AD98" s="196" t="s">
        <v>226</v>
      </c>
    </row>
    <row r="99" spans="1:30" ht="17.399999999999999" x14ac:dyDescent="0.3">
      <c r="K99" s="196"/>
      <c r="P99" s="197" t="s">
        <v>217</v>
      </c>
      <c r="Q99" s="206">
        <f>(Q98-Q97)/2</f>
        <v>1.1499999999998067E-2</v>
      </c>
      <c r="R99" s="206">
        <f>(R98-R97)/2</f>
        <v>1.4149999999998997E-2</v>
      </c>
      <c r="S99" s="206">
        <f>(S98-S97)/2</f>
        <v>8.0000000000168825E-4</v>
      </c>
      <c r="T99" s="196"/>
      <c r="U99" s="196"/>
    </row>
    <row r="100" spans="1:30" ht="17.399999999999999" x14ac:dyDescent="0.3">
      <c r="A100" s="216"/>
      <c r="B100" s="216"/>
      <c r="C100" s="261"/>
      <c r="D100" s="216"/>
      <c r="E100" s="254"/>
      <c r="F100" s="254"/>
      <c r="G100" s="254"/>
      <c r="H100" s="216"/>
      <c r="I100" s="216"/>
      <c r="J100" s="216"/>
      <c r="K100" s="196"/>
      <c r="T100" s="196"/>
      <c r="U100" s="196"/>
    </row>
    <row r="101" spans="1:30" ht="17.399999999999999" x14ac:dyDescent="0.3">
      <c r="A101" s="196"/>
      <c r="B101" s="196"/>
      <c r="C101" s="196"/>
      <c r="D101" s="196"/>
      <c r="E101" s="196"/>
      <c r="F101" s="196"/>
      <c r="G101" s="196"/>
      <c r="H101" s="196"/>
      <c r="I101" s="196"/>
      <c r="J101" s="196"/>
      <c r="K101" s="196"/>
      <c r="L101" s="200"/>
      <c r="M101" s="196" t="str">
        <f>IF(P109="","","Diameter")</f>
        <v/>
      </c>
      <c r="T101" s="196"/>
      <c r="U101" s="196"/>
    </row>
    <row r="102" spans="1:30" ht="17.399999999999999" x14ac:dyDescent="0.3">
      <c r="A102" s="196"/>
      <c r="B102" s="196"/>
      <c r="C102" s="196"/>
      <c r="D102" s="196"/>
      <c r="E102" s="196"/>
      <c r="F102" s="196"/>
      <c r="G102" s="196"/>
      <c r="H102" s="196"/>
      <c r="I102" s="196"/>
      <c r="J102" s="196"/>
      <c r="K102" s="196"/>
      <c r="L102" s="200" t="str">
        <f>IF(M102="","",1)</f>
        <v/>
      </c>
      <c r="M102" s="196" t="str">
        <f>IF(Q109="","","D1")</f>
        <v/>
      </c>
      <c r="N102" s="196"/>
      <c r="O102" s="196"/>
      <c r="Q102" s="206" t="str">
        <f>IF(P109="","",B41)</f>
        <v/>
      </c>
      <c r="T102" s="196"/>
      <c r="U102" s="196"/>
    </row>
    <row r="103" spans="1:30" ht="17.399999999999999" x14ac:dyDescent="0.3">
      <c r="A103" s="196"/>
      <c r="B103" s="196"/>
      <c r="C103" s="196"/>
      <c r="D103" s="196"/>
      <c r="E103" s="196"/>
      <c r="F103" s="196"/>
      <c r="G103" s="196"/>
      <c r="H103" s="196"/>
      <c r="I103" s="196"/>
      <c r="J103" s="196"/>
      <c r="K103" s="196"/>
      <c r="L103" s="200" t="str">
        <f>IF(M103="","",2)</f>
        <v/>
      </c>
      <c r="M103" s="196" t="str">
        <f>IF(Q109="","","D2")</f>
        <v/>
      </c>
      <c r="P103" s="196"/>
      <c r="Q103" s="206" t="str">
        <f>IF(P109="","",B42)</f>
        <v/>
      </c>
      <c r="T103" s="196"/>
      <c r="U103" s="196"/>
      <c r="AD103" s="196" t="s">
        <v>391</v>
      </c>
    </row>
    <row r="104" spans="1:30" ht="17.399999999999999" x14ac:dyDescent="0.3">
      <c r="A104" s="196"/>
      <c r="B104" s="196"/>
      <c r="C104" s="196"/>
      <c r="D104" s="196"/>
      <c r="E104" s="196"/>
      <c r="F104" s="196"/>
      <c r="G104" s="196"/>
      <c r="H104" s="196"/>
      <c r="I104" s="196"/>
      <c r="J104" s="196"/>
      <c r="K104" s="196"/>
      <c r="L104" s="200" t="str">
        <f>IF(M104="","",3)</f>
        <v/>
      </c>
      <c r="M104" s="196" t="str">
        <f>IF(Q109="","","D3")</f>
        <v/>
      </c>
      <c r="N104" s="196"/>
      <c r="P104" s="196"/>
      <c r="Q104" s="206" t="str">
        <f>IF(P109="","",B43)</f>
        <v/>
      </c>
      <c r="R104" s="204"/>
      <c r="S104" s="204"/>
      <c r="T104" s="196"/>
      <c r="U104" s="196"/>
      <c r="AD104" s="196" t="s">
        <v>392</v>
      </c>
    </row>
    <row r="105" spans="1:30" ht="17.399999999999999" x14ac:dyDescent="0.3">
      <c r="A105" s="196"/>
      <c r="B105" s="196"/>
      <c r="C105" s="196"/>
      <c r="D105" s="196"/>
      <c r="E105" s="196"/>
      <c r="F105" s="196"/>
      <c r="G105" s="196"/>
      <c r="H105" s="196"/>
      <c r="I105" s="196"/>
      <c r="J105" s="196"/>
      <c r="K105" s="196"/>
      <c r="L105" s="200" t="str">
        <f>IF(M105="","",4)</f>
        <v/>
      </c>
      <c r="M105" s="196" t="str">
        <f>IF(Q109="","","D4")</f>
        <v/>
      </c>
      <c r="Q105" s="206" t="str">
        <f>IF(P109="","",B44)</f>
        <v/>
      </c>
      <c r="R105" s="205"/>
      <c r="S105" s="205"/>
      <c r="T105" s="196"/>
      <c r="U105" s="196"/>
      <c r="AD105" s="196" t="s">
        <v>393</v>
      </c>
    </row>
    <row r="106" spans="1:30" ht="17.399999999999999" x14ac:dyDescent="0.3">
      <c r="A106" s="196"/>
      <c r="B106" s="196"/>
      <c r="C106" s="196"/>
      <c r="D106" s="196"/>
      <c r="E106" s="196"/>
      <c r="F106" s="196"/>
      <c r="G106" s="196"/>
      <c r="H106" s="196"/>
      <c r="I106" s="196"/>
      <c r="J106" s="196"/>
      <c r="K106" s="196"/>
      <c r="L106" s="200" t="str">
        <f>IF(M106="","",5)</f>
        <v/>
      </c>
      <c r="M106" s="196" t="str">
        <f>IF(Q109="","","D5")</f>
        <v/>
      </c>
      <c r="O106" s="197"/>
      <c r="Q106" s="206" t="str">
        <f>IF(P109="","",B45)</f>
        <v/>
      </c>
      <c r="R106" s="203"/>
      <c r="S106" s="203"/>
      <c r="U106" s="196"/>
      <c r="AD106" s="196" t="s">
        <v>394</v>
      </c>
    </row>
    <row r="107" spans="1:30" ht="17.399999999999999" x14ac:dyDescent="0.3">
      <c r="A107" s="196"/>
      <c r="B107" s="196"/>
      <c r="C107" s="196"/>
      <c r="D107" s="196"/>
      <c r="E107" s="196"/>
      <c r="F107" s="196"/>
      <c r="G107" s="196"/>
      <c r="H107" s="196"/>
      <c r="I107" s="196"/>
      <c r="J107" s="196"/>
      <c r="K107" s="196"/>
      <c r="L107" s="196"/>
      <c r="R107" s="203"/>
      <c r="S107" s="203"/>
      <c r="T107" s="202"/>
      <c r="U107" s="196"/>
      <c r="AD107" s="196" t="s">
        <v>395</v>
      </c>
    </row>
    <row r="108" spans="1:30" ht="17.399999999999999" x14ac:dyDescent="0.3">
      <c r="A108" s="196"/>
      <c r="B108" s="196"/>
      <c r="C108" s="196"/>
      <c r="D108" s="196"/>
      <c r="E108" s="196"/>
      <c r="F108" s="196"/>
      <c r="G108" s="196"/>
      <c r="H108" s="196"/>
      <c r="I108" s="196"/>
      <c r="J108" s="196"/>
      <c r="K108" s="196"/>
      <c r="R108" s="203"/>
      <c r="S108" s="203"/>
      <c r="T108" s="202"/>
      <c r="U108" s="196"/>
      <c r="AD108" s="196" t="s">
        <v>396</v>
      </c>
    </row>
    <row r="109" spans="1:30" ht="17.399999999999999" x14ac:dyDescent="0.3">
      <c r="A109" s="196"/>
      <c r="B109" s="196"/>
      <c r="C109" s="196"/>
      <c r="D109" s="196"/>
      <c r="E109" s="196"/>
      <c r="F109" s="196"/>
      <c r="G109" s="196"/>
      <c r="H109" s="196"/>
      <c r="I109" s="196"/>
      <c r="J109" s="196"/>
      <c r="K109" s="196"/>
      <c r="L109" s="196"/>
      <c r="P109" s="197" t="str">
        <f>IF($C$38="Yes","",AD109)</f>
        <v/>
      </c>
      <c r="Q109" s="256" t="str">
        <f>IF(P109&lt;&gt;"",MAX(Q102:Q106)-MIN(Q102:Q106),"")</f>
        <v/>
      </c>
      <c r="U109" s="196"/>
      <c r="AD109" s="196" t="s">
        <v>397</v>
      </c>
    </row>
    <row r="110" spans="1:30" ht="17.399999999999999" x14ac:dyDescent="0.3">
      <c r="A110" s="196"/>
      <c r="B110" s="196"/>
      <c r="C110" s="196"/>
      <c r="D110" s="196"/>
      <c r="E110" s="196"/>
      <c r="F110" s="196"/>
      <c r="G110" s="196"/>
      <c r="H110" s="196"/>
      <c r="I110" s="196"/>
      <c r="J110" s="196"/>
      <c r="K110" s="196"/>
      <c r="P110" s="197" t="s">
        <v>227</v>
      </c>
      <c r="Q110" s="256">
        <f>HLOOKUP(MAX(Q96:S96),Q96:S99,4,FALSE)</f>
        <v>1.4149999999998997E-2</v>
      </c>
      <c r="T110" s="196"/>
      <c r="U110" s="196"/>
    </row>
    <row r="111" spans="1:30" ht="17.399999999999999" x14ac:dyDescent="0.3">
      <c r="A111" s="196"/>
      <c r="B111" s="196"/>
      <c r="C111" s="196"/>
      <c r="D111" s="196"/>
      <c r="E111" s="196"/>
      <c r="F111" s="196"/>
      <c r="G111" s="196"/>
      <c r="H111" s="196"/>
      <c r="I111" s="196"/>
      <c r="J111" s="196"/>
      <c r="K111" s="196"/>
      <c r="L111" s="196"/>
      <c r="M111" s="196"/>
      <c r="P111" s="197" t="s">
        <v>243</v>
      </c>
      <c r="Q111" s="257">
        <f>C37</f>
        <v>2E-3</v>
      </c>
      <c r="R111" s="196"/>
      <c r="S111" s="196"/>
      <c r="T111" s="196"/>
      <c r="U111" s="196"/>
    </row>
    <row r="112" spans="1:30" ht="17.399999999999999" x14ac:dyDescent="0.3">
      <c r="A112" s="196"/>
      <c r="B112" s="196"/>
      <c r="C112" s="196"/>
      <c r="D112" s="196"/>
      <c r="E112" s="196"/>
      <c r="F112" s="196"/>
      <c r="G112" s="196"/>
      <c r="H112" s="196"/>
      <c r="I112" s="196"/>
      <c r="J112" s="196"/>
      <c r="K112" s="196"/>
      <c r="L112" s="196"/>
      <c r="M112" s="196"/>
      <c r="P112" s="197" t="s">
        <v>247</v>
      </c>
      <c r="Q112" s="203" t="str">
        <f>IF(Q110&lt;=Q111,"Pass","Fail")</f>
        <v>Fail</v>
      </c>
      <c r="R112" s="196"/>
      <c r="S112" s="196"/>
      <c r="T112" s="196"/>
      <c r="U112" s="196"/>
    </row>
    <row r="113" spans="1:21" ht="17.399999999999999" x14ac:dyDescent="0.3">
      <c r="A113" s="196"/>
      <c r="B113" s="196"/>
      <c r="C113" s="196"/>
      <c r="D113" s="196"/>
      <c r="E113" s="196"/>
      <c r="F113" s="196"/>
      <c r="G113" s="196"/>
      <c r="H113" s="196"/>
      <c r="I113" s="196"/>
      <c r="J113" s="196"/>
      <c r="K113" s="196"/>
      <c r="L113" s="196"/>
      <c r="M113" s="196"/>
      <c r="O113" s="196"/>
      <c r="P113" s="196"/>
      <c r="Q113" s="196"/>
      <c r="R113" s="196"/>
      <c r="S113" s="196"/>
      <c r="T113" s="196"/>
      <c r="U113" s="196"/>
    </row>
    <row r="114" spans="1:21" ht="17.399999999999999" x14ac:dyDescent="0.3">
      <c r="A114" s="196"/>
      <c r="B114" s="196"/>
      <c r="C114" s="196"/>
      <c r="D114" s="196"/>
      <c r="E114" s="196"/>
      <c r="F114" s="196"/>
      <c r="G114" s="196"/>
      <c r="H114" s="196"/>
      <c r="I114" s="196"/>
      <c r="J114" s="196"/>
      <c r="K114" s="196"/>
      <c r="L114" s="318" t="s">
        <v>228</v>
      </c>
      <c r="M114" s="318"/>
      <c r="N114" s="318"/>
      <c r="O114" s="318"/>
      <c r="P114" s="318"/>
      <c r="Q114" s="318"/>
      <c r="R114" s="318"/>
      <c r="S114" s="318"/>
      <c r="T114" s="196"/>
      <c r="U114" s="196"/>
    </row>
    <row r="115" spans="1:21" ht="17.399999999999999" x14ac:dyDescent="0.3">
      <c r="A115" s="196"/>
      <c r="B115" s="196"/>
      <c r="C115" s="196"/>
      <c r="D115" s="196"/>
      <c r="E115" s="196"/>
      <c r="F115" s="196"/>
      <c r="G115" s="196"/>
      <c r="H115" s="196"/>
      <c r="I115" s="196"/>
      <c r="J115" s="196"/>
      <c r="L115" s="2" t="s">
        <v>252</v>
      </c>
      <c r="M115" s="4" t="str">
        <f>'The details'!$D$2</f>
        <v>56561-045570</v>
      </c>
      <c r="U115" s="192" t="str">
        <f>CONCATENATE("Page 6 of ",'The details'!$G$16)</f>
        <v>Page 6 of 2</v>
      </c>
    </row>
    <row r="116" spans="1:21" ht="17.399999999999999" x14ac:dyDescent="0.3">
      <c r="A116" s="196"/>
      <c r="B116" s="196"/>
      <c r="C116" s="196"/>
      <c r="D116" s="196"/>
      <c r="E116" s="196"/>
      <c r="F116" s="196"/>
      <c r="G116" s="196"/>
      <c r="H116" s="196"/>
      <c r="I116" s="196"/>
      <c r="J116" s="196"/>
    </row>
    <row r="117" spans="1:21" ht="27.6" x14ac:dyDescent="0.45">
      <c r="A117" s="196"/>
      <c r="B117" s="196"/>
      <c r="C117" s="196"/>
      <c r="D117" s="196"/>
      <c r="E117" s="196"/>
      <c r="F117" s="196"/>
      <c r="G117" s="196"/>
      <c r="H117" s="196"/>
      <c r="I117" s="196"/>
      <c r="J117" s="196"/>
      <c r="P117" s="193" t="s">
        <v>114</v>
      </c>
    </row>
    <row r="118" spans="1:21" ht="17.399999999999999" x14ac:dyDescent="0.3">
      <c r="A118" s="196"/>
      <c r="B118" s="196"/>
      <c r="C118" s="196"/>
      <c r="D118" s="196"/>
      <c r="E118" s="196"/>
      <c r="F118" s="196"/>
      <c r="G118" s="196"/>
      <c r="H118" s="196"/>
      <c r="I118" s="196"/>
      <c r="J118" s="196"/>
      <c r="P118" s="194" t="s">
        <v>115</v>
      </c>
    </row>
    <row r="119" spans="1:21" ht="17.399999999999999" x14ac:dyDescent="0.3">
      <c r="A119" s="196"/>
      <c r="B119" s="196"/>
      <c r="C119" s="196"/>
      <c r="D119" s="196"/>
      <c r="E119" s="196"/>
      <c r="F119" s="196"/>
      <c r="G119" s="196"/>
      <c r="H119" s="196"/>
      <c r="I119" s="196"/>
      <c r="J119" s="196"/>
      <c r="P119" s="194" t="s">
        <v>212</v>
      </c>
    </row>
    <row r="120" spans="1:21" ht="17.399999999999999" x14ac:dyDescent="0.3">
      <c r="A120" s="196"/>
      <c r="B120" s="196"/>
      <c r="C120" s="196"/>
      <c r="D120" s="196"/>
      <c r="E120" s="196"/>
      <c r="F120" s="196"/>
      <c r="G120" s="196"/>
      <c r="H120" s="196"/>
      <c r="I120" s="196"/>
      <c r="J120" s="196"/>
    </row>
    <row r="121" spans="1:21" ht="26.4" x14ac:dyDescent="0.5">
      <c r="A121" s="196"/>
      <c r="B121" s="196"/>
      <c r="C121" s="196"/>
      <c r="D121" s="196"/>
      <c r="E121" s="196"/>
      <c r="F121" s="196"/>
      <c r="G121" s="196"/>
      <c r="H121" s="196"/>
      <c r="I121" s="196"/>
      <c r="J121" s="196"/>
      <c r="P121" s="195" t="s">
        <v>218</v>
      </c>
    </row>
    <row r="122" spans="1:21" ht="17.399999999999999" x14ac:dyDescent="0.3">
      <c r="A122" s="196"/>
      <c r="B122" s="196"/>
      <c r="C122" s="196"/>
      <c r="D122" s="196"/>
      <c r="E122" s="196"/>
      <c r="F122" s="196"/>
      <c r="G122" s="196"/>
      <c r="H122" s="196"/>
      <c r="I122" s="196"/>
      <c r="J122" s="196"/>
    </row>
    <row r="123" spans="1:21" ht="17.399999999999999" x14ac:dyDescent="0.3">
      <c r="A123" s="196"/>
      <c r="B123" s="196"/>
      <c r="C123" s="196"/>
      <c r="D123" s="196"/>
      <c r="E123" s="196"/>
      <c r="F123" s="196"/>
      <c r="G123" s="196"/>
      <c r="H123" s="196"/>
      <c r="I123" s="196"/>
      <c r="J123" s="196"/>
      <c r="K123" s="196"/>
      <c r="M123" s="197" t="s">
        <v>121</v>
      </c>
      <c r="N123" s="251" t="str">
        <f>B53</f>
        <v>Leica T-Probe II</v>
      </c>
      <c r="O123" s="196"/>
      <c r="P123" s="196"/>
      <c r="Q123" s="196"/>
      <c r="R123" s="197" t="s">
        <v>213</v>
      </c>
      <c r="S123" s="255">
        <f ca="1">'The details'!$D$9</f>
        <v>45517</v>
      </c>
      <c r="T123" s="196"/>
      <c r="U123" s="196"/>
    </row>
    <row r="124" spans="1:21" ht="17.399999999999999" x14ac:dyDescent="0.3">
      <c r="A124" s="196"/>
      <c r="B124" s="196"/>
      <c r="C124" s="196"/>
      <c r="D124" s="196"/>
      <c r="E124" s="196"/>
      <c r="F124" s="196"/>
      <c r="G124" s="196"/>
      <c r="H124" s="196"/>
      <c r="I124" s="196"/>
      <c r="J124" s="196"/>
      <c r="K124" s="196"/>
      <c r="L124" s="8"/>
      <c r="M124" s="300" t="s">
        <v>90</v>
      </c>
      <c r="N124" s="303">
        <f>C53</f>
        <v>0</v>
      </c>
      <c r="O124" s="302"/>
      <c r="P124" s="302"/>
      <c r="Q124" s="302"/>
      <c r="R124" s="300" t="s">
        <v>214</v>
      </c>
      <c r="S124" s="302" t="str">
        <f>'The details'!$D$11</f>
        <v>PE, ML</v>
      </c>
      <c r="T124" s="198"/>
      <c r="U124" s="196"/>
    </row>
    <row r="125" spans="1:21" ht="17.399999999999999" x14ac:dyDescent="0.3">
      <c r="A125" s="196"/>
      <c r="B125" s="196"/>
      <c r="C125" s="196"/>
      <c r="D125" s="196"/>
      <c r="E125" s="196"/>
      <c r="F125" s="196"/>
      <c r="G125" s="196"/>
      <c r="H125" s="196"/>
      <c r="I125" s="196"/>
      <c r="J125" s="196"/>
      <c r="K125" s="196"/>
      <c r="L125" s="200" t="s">
        <v>87</v>
      </c>
      <c r="M125" s="196" t="s">
        <v>244</v>
      </c>
      <c r="Q125" s="200" t="s">
        <v>101</v>
      </c>
      <c r="R125" s="200" t="s">
        <v>102</v>
      </c>
      <c r="S125" s="200" t="s">
        <v>103</v>
      </c>
      <c r="T125" s="196"/>
      <c r="U125" s="196"/>
    </row>
    <row r="126" spans="1:21" ht="17.399999999999999" x14ac:dyDescent="0.3">
      <c r="A126" s="196"/>
      <c r="B126" s="196"/>
      <c r="C126" s="196"/>
      <c r="D126" s="196"/>
      <c r="E126" s="196"/>
      <c r="F126" s="196"/>
      <c r="G126" s="196"/>
      <c r="H126" s="196"/>
      <c r="I126" s="196"/>
      <c r="J126" s="196"/>
      <c r="L126" s="200">
        <v>1</v>
      </c>
      <c r="M126" s="196" t="str">
        <f>IF($C$55="Yes",AC91,AD91)</f>
        <v>Centered, Radial</v>
      </c>
      <c r="N126" s="196"/>
      <c r="O126" s="196"/>
      <c r="P126" s="196"/>
      <c r="Q126" s="206">
        <f>IF(E53&lt;&gt;"",E53,"")</f>
        <v>61.588299999999997</v>
      </c>
      <c r="R126" s="206">
        <f t="shared" ref="R126:S126" si="26">IF(F53&lt;&gt;"",F53,"")</f>
        <v>52.135599999999997</v>
      </c>
      <c r="S126" s="206">
        <f t="shared" si="26"/>
        <v>-14.4373</v>
      </c>
      <c r="T126" s="199"/>
    </row>
    <row r="127" spans="1:21" ht="17.399999999999999" x14ac:dyDescent="0.3">
      <c r="A127" s="196"/>
      <c r="B127" s="196"/>
      <c r="C127" s="196"/>
      <c r="D127" s="196"/>
      <c r="E127" s="196"/>
      <c r="F127" s="196"/>
      <c r="G127" s="196"/>
      <c r="H127" s="196"/>
      <c r="I127" s="196"/>
      <c r="J127" s="196"/>
      <c r="L127" s="200">
        <v>2</v>
      </c>
      <c r="M127" s="196" t="str">
        <f t="shared" ref="M127:M133" si="27">IF($C$55="Yes",AC92,AD92)</f>
        <v>Rotated Back</v>
      </c>
      <c r="N127" s="196"/>
      <c r="O127" s="196"/>
      <c r="P127" s="201"/>
      <c r="Q127" s="206" t="str">
        <f t="shared" ref="Q127:Q133" si="28">IF(E54&lt;&gt;"",E54,"")</f>
        <v/>
      </c>
      <c r="R127" s="206" t="str">
        <f t="shared" ref="R127:R133" si="29">IF(F54&lt;&gt;"",F54,"")</f>
        <v/>
      </c>
      <c r="S127" s="206" t="str">
        <f t="shared" ref="S127:S133" si="30">IF(G54&lt;&gt;"",G54,"")</f>
        <v/>
      </c>
      <c r="T127" s="199"/>
    </row>
    <row r="128" spans="1:21" ht="17.399999999999999" x14ac:dyDescent="0.3">
      <c r="A128" s="196"/>
      <c r="B128" s="196"/>
      <c r="C128" s="196"/>
      <c r="D128" s="196"/>
      <c r="E128" s="196"/>
      <c r="F128" s="196"/>
      <c r="G128" s="196"/>
      <c r="H128" s="196"/>
      <c r="I128" s="196"/>
      <c r="J128" s="196"/>
      <c r="K128" s="196"/>
      <c r="L128" s="200">
        <v>3</v>
      </c>
      <c r="M128" s="196" t="str">
        <f t="shared" si="27"/>
        <v>Rotated Forward</v>
      </c>
      <c r="N128" s="196"/>
      <c r="O128" s="196"/>
      <c r="P128" s="201"/>
      <c r="Q128" s="206" t="str">
        <f t="shared" si="28"/>
        <v/>
      </c>
      <c r="R128" s="206" t="str">
        <f t="shared" si="29"/>
        <v/>
      </c>
      <c r="S128" s="206" t="str">
        <f t="shared" si="30"/>
        <v/>
      </c>
      <c r="U128" s="196"/>
    </row>
    <row r="129" spans="1:21" ht="17.399999999999999" x14ac:dyDescent="0.3">
      <c r="A129" s="196"/>
      <c r="B129" s="196"/>
      <c r="C129" s="196"/>
      <c r="D129" s="196"/>
      <c r="E129" s="196"/>
      <c r="F129" s="196"/>
      <c r="G129" s="196"/>
      <c r="H129" s="196"/>
      <c r="I129" s="196"/>
      <c r="J129" s="196"/>
      <c r="K129" s="196"/>
      <c r="L129" s="200">
        <v>4</v>
      </c>
      <c r="M129" s="196" t="str">
        <f t="shared" si="27"/>
        <v>Rotated Left</v>
      </c>
      <c r="N129" s="196"/>
      <c r="O129" s="196"/>
      <c r="P129" s="201"/>
      <c r="Q129" s="206" t="str">
        <f t="shared" si="28"/>
        <v/>
      </c>
      <c r="R129" s="206" t="str">
        <f t="shared" si="29"/>
        <v/>
      </c>
      <c r="S129" s="206" t="str">
        <f t="shared" si="30"/>
        <v/>
      </c>
      <c r="T129" s="196"/>
      <c r="U129" s="196"/>
    </row>
    <row r="130" spans="1:21" ht="17.399999999999999" x14ac:dyDescent="0.3">
      <c r="A130" s="196"/>
      <c r="B130" s="196"/>
      <c r="C130" s="196"/>
      <c r="D130" s="196"/>
      <c r="E130" s="196"/>
      <c r="F130" s="196"/>
      <c r="G130" s="196"/>
      <c r="H130" s="196"/>
      <c r="I130" s="196"/>
      <c r="J130" s="196"/>
      <c r="K130" s="196"/>
      <c r="L130" s="200">
        <v>5</v>
      </c>
      <c r="M130" s="196" t="str">
        <f t="shared" si="27"/>
        <v>Rotated Right</v>
      </c>
      <c r="N130" s="196"/>
      <c r="O130" s="196"/>
      <c r="P130" s="201"/>
      <c r="Q130" s="206" t="str">
        <f t="shared" si="28"/>
        <v/>
      </c>
      <c r="R130" s="206" t="str">
        <f t="shared" si="29"/>
        <v/>
      </c>
      <c r="S130" s="206" t="str">
        <f t="shared" si="30"/>
        <v/>
      </c>
      <c r="T130" s="196"/>
      <c r="U130" s="196"/>
    </row>
    <row r="131" spans="1:21" ht="17.399999999999999" x14ac:dyDescent="0.3">
      <c r="A131" s="196"/>
      <c r="B131" s="196"/>
      <c r="C131" s="196"/>
      <c r="D131" s="196"/>
      <c r="E131" s="196"/>
      <c r="F131" s="196"/>
      <c r="G131" s="196"/>
      <c r="H131" s="196"/>
      <c r="I131" s="196"/>
      <c r="J131" s="196"/>
      <c r="K131" s="196"/>
      <c r="L131" s="200" t="str">
        <f>IF(M131=" ","",L130+1)</f>
        <v/>
      </c>
      <c r="M131" s="196" t="str">
        <f t="shared" si="27"/>
        <v xml:space="preserve"> </v>
      </c>
      <c r="N131" s="196"/>
      <c r="O131" s="196"/>
      <c r="P131" s="201"/>
      <c r="Q131" s="206" t="str">
        <f t="shared" si="28"/>
        <v/>
      </c>
      <c r="R131" s="206" t="str">
        <f t="shared" si="29"/>
        <v/>
      </c>
      <c r="S131" s="206" t="str">
        <f t="shared" si="30"/>
        <v/>
      </c>
      <c r="T131" s="196"/>
      <c r="U131" s="196"/>
    </row>
    <row r="132" spans="1:21" ht="17.399999999999999" x14ac:dyDescent="0.3">
      <c r="A132" s="196"/>
      <c r="B132" s="196"/>
      <c r="C132" s="196"/>
      <c r="D132" s="196"/>
      <c r="E132" s="196"/>
      <c r="F132" s="196"/>
      <c r="G132" s="196"/>
      <c r="H132" s="196"/>
      <c r="I132" s="196"/>
      <c r="J132" s="196"/>
      <c r="K132" s="196"/>
      <c r="L132" s="200" t="str">
        <f>IF(M132=" ","",L131+1)</f>
        <v/>
      </c>
      <c r="M132" s="196" t="str">
        <f t="shared" si="27"/>
        <v xml:space="preserve"> </v>
      </c>
      <c r="N132" s="196"/>
      <c r="O132" s="196"/>
      <c r="P132" s="201"/>
      <c r="Q132" s="206" t="str">
        <f t="shared" si="28"/>
        <v xml:space="preserve"> </v>
      </c>
      <c r="R132" s="206" t="str">
        <f t="shared" si="29"/>
        <v xml:space="preserve"> </v>
      </c>
      <c r="S132" s="206" t="str">
        <f t="shared" si="30"/>
        <v xml:space="preserve"> </v>
      </c>
      <c r="T132" s="196"/>
      <c r="U132" s="196"/>
    </row>
    <row r="133" spans="1:21" ht="17.399999999999999" x14ac:dyDescent="0.3">
      <c r="A133" s="196"/>
      <c r="B133" s="196"/>
      <c r="C133" s="196"/>
      <c r="D133" s="196"/>
      <c r="E133" s="196"/>
      <c r="F133" s="196"/>
      <c r="G133" s="196"/>
      <c r="H133" s="196"/>
      <c r="I133" s="196"/>
      <c r="J133" s="196"/>
      <c r="K133" s="196"/>
      <c r="L133" s="200" t="str">
        <f>IF(M133=" ","",L132+1)</f>
        <v/>
      </c>
      <c r="M133" s="196" t="str">
        <f t="shared" si="27"/>
        <v xml:space="preserve"> </v>
      </c>
      <c r="N133" s="196"/>
      <c r="O133" s="196"/>
      <c r="P133" s="201"/>
      <c r="Q133" s="206">
        <f t="shared" si="28"/>
        <v>6.9999999999999999E-4</v>
      </c>
      <c r="R133" s="206">
        <f t="shared" si="29"/>
        <v>4.0000000000000002E-4</v>
      </c>
      <c r="S133" s="206">
        <f t="shared" si="30"/>
        <v>2.9999999999999997E-4</v>
      </c>
      <c r="T133" s="196"/>
      <c r="U133" s="196"/>
    </row>
    <row r="134" spans="1:21" ht="17.399999999999999" x14ac:dyDescent="0.3">
      <c r="A134" s="196"/>
      <c r="B134" s="196"/>
      <c r="C134" s="196"/>
      <c r="D134" s="196"/>
      <c r="E134" s="196"/>
      <c r="F134" s="196"/>
      <c r="G134" s="196"/>
      <c r="H134" s="196"/>
      <c r="I134" s="196"/>
      <c r="J134" s="196"/>
      <c r="K134" s="196"/>
      <c r="Q134" s="207">
        <f>ABS(Q137)</f>
        <v>30.793799999999997</v>
      </c>
      <c r="R134" s="207">
        <f>ABS(R137)</f>
        <v>26.067599999999999</v>
      </c>
      <c r="S134" s="207">
        <f>ABS(S137)</f>
        <v>7.2187999999999999</v>
      </c>
      <c r="T134" s="196"/>
      <c r="U134" s="196"/>
    </row>
    <row r="135" spans="1:21" ht="17.399999999999999" x14ac:dyDescent="0.3">
      <c r="A135" s="196"/>
      <c r="B135" s="196"/>
      <c r="C135" s="196"/>
      <c r="D135" s="196"/>
      <c r="E135" s="196"/>
      <c r="F135" s="196"/>
      <c r="G135" s="196"/>
      <c r="H135" s="196"/>
      <c r="I135" s="196"/>
      <c r="J135" s="196"/>
      <c r="K135" s="196"/>
      <c r="P135" s="197" t="s">
        <v>215</v>
      </c>
      <c r="Q135" s="206">
        <f>MIN(Q126:Q133)</f>
        <v>6.9999999999999999E-4</v>
      </c>
      <c r="R135" s="206">
        <f>MIN(R126:R133)</f>
        <v>4.0000000000000002E-4</v>
      </c>
      <c r="S135" s="206">
        <f>MIN(S126:S133)</f>
        <v>-14.4373</v>
      </c>
      <c r="T135" s="196"/>
      <c r="U135" s="196"/>
    </row>
    <row r="136" spans="1:21" ht="17.399999999999999" x14ac:dyDescent="0.3">
      <c r="K136" s="196"/>
      <c r="P136" s="197" t="s">
        <v>216</v>
      </c>
      <c r="Q136" s="206">
        <f>MAX(Q126:Q133)</f>
        <v>61.588299999999997</v>
      </c>
      <c r="R136" s="206">
        <f>MAX(R126:R133)</f>
        <v>52.135599999999997</v>
      </c>
      <c r="S136" s="206">
        <f>MAX(S126:S133)</f>
        <v>2.9999999999999997E-4</v>
      </c>
      <c r="T136" s="196"/>
      <c r="U136" s="196"/>
    </row>
    <row r="137" spans="1:21" ht="17.399999999999999" x14ac:dyDescent="0.3">
      <c r="K137" s="196"/>
      <c r="P137" s="197" t="s">
        <v>217</v>
      </c>
      <c r="Q137" s="206">
        <f>(Q136-Q135)/2</f>
        <v>30.793799999999997</v>
      </c>
      <c r="R137" s="206">
        <f>(R136-R135)/2</f>
        <v>26.067599999999999</v>
      </c>
      <c r="S137" s="206">
        <f>(S136-S135)/2</f>
        <v>7.2187999999999999</v>
      </c>
      <c r="T137" s="196"/>
      <c r="U137" s="196"/>
    </row>
    <row r="138" spans="1:21" ht="17.399999999999999" x14ac:dyDescent="0.3">
      <c r="K138" s="196"/>
      <c r="T138" s="196"/>
      <c r="U138" s="196"/>
    </row>
    <row r="139" spans="1:21" ht="17.399999999999999" x14ac:dyDescent="0.3">
      <c r="K139" s="196"/>
      <c r="L139" s="200"/>
      <c r="M139" s="196" t="str">
        <f>IF(P147="","","Diameter")</f>
        <v/>
      </c>
      <c r="T139" s="196"/>
      <c r="U139" s="196"/>
    </row>
    <row r="140" spans="1:21" ht="17.399999999999999" x14ac:dyDescent="0.3">
      <c r="K140" s="196"/>
      <c r="L140" s="200" t="str">
        <f>IF(M140="","",1)</f>
        <v/>
      </c>
      <c r="M140" s="196" t="str">
        <f>IF(Q147="","","D1")</f>
        <v/>
      </c>
      <c r="N140" s="196"/>
      <c r="O140" s="196"/>
      <c r="Q140" s="206" t="str">
        <f>IF(P147="","",B58)</f>
        <v/>
      </c>
      <c r="T140" s="196"/>
      <c r="U140" s="196"/>
    </row>
    <row r="141" spans="1:21" ht="17.399999999999999" x14ac:dyDescent="0.3">
      <c r="K141" s="196"/>
      <c r="L141" s="200" t="str">
        <f>IF(M141="","",2)</f>
        <v/>
      </c>
      <c r="M141" s="196" t="str">
        <f>IF(Q147="","","D2")</f>
        <v/>
      </c>
      <c r="P141" s="196"/>
      <c r="Q141" s="206" t="str">
        <f>IF(P147="","",B59)</f>
        <v/>
      </c>
      <c r="T141" s="196"/>
      <c r="U141" s="196"/>
    </row>
    <row r="142" spans="1:21" ht="17.399999999999999" x14ac:dyDescent="0.3">
      <c r="K142" s="196"/>
      <c r="L142" s="200" t="str">
        <f>IF(M142="","",3)</f>
        <v/>
      </c>
      <c r="M142" s="196" t="str">
        <f>IF(Q147="","","D3")</f>
        <v/>
      </c>
      <c r="N142" s="196"/>
      <c r="P142" s="196"/>
      <c r="Q142" s="206" t="str">
        <f>IF(P147="","",B60)</f>
        <v/>
      </c>
      <c r="R142" s="204"/>
      <c r="S142" s="204"/>
      <c r="T142" s="196"/>
      <c r="U142" s="196"/>
    </row>
    <row r="143" spans="1:21" ht="17.399999999999999" x14ac:dyDescent="0.3">
      <c r="K143" s="196"/>
      <c r="L143" s="200" t="str">
        <f>IF(M143="","",4)</f>
        <v/>
      </c>
      <c r="M143" s="196" t="str">
        <f>IF(Q147="","","D4")</f>
        <v/>
      </c>
      <c r="Q143" s="206" t="str">
        <f>IF(P147="","",B61)</f>
        <v/>
      </c>
      <c r="R143" s="205"/>
      <c r="S143" s="205"/>
      <c r="T143" s="196"/>
      <c r="U143" s="196"/>
    </row>
    <row r="144" spans="1:21" ht="17.399999999999999" x14ac:dyDescent="0.3">
      <c r="K144" s="196"/>
      <c r="L144" s="200" t="str">
        <f>IF(M144="","",5)</f>
        <v/>
      </c>
      <c r="M144" s="196" t="str">
        <f>IF(Q147="","","D5")</f>
        <v/>
      </c>
      <c r="O144" s="197"/>
      <c r="Q144" s="206" t="str">
        <f>IF(P147="","",B62)</f>
        <v/>
      </c>
      <c r="R144" s="203"/>
      <c r="S144" s="203"/>
      <c r="U144" s="196"/>
    </row>
    <row r="145" spans="11:21" ht="17.399999999999999" x14ac:dyDescent="0.3">
      <c r="K145" s="196"/>
      <c r="L145" s="196"/>
      <c r="R145" s="203"/>
      <c r="S145" s="203"/>
      <c r="T145" s="202"/>
      <c r="U145" s="196"/>
    </row>
    <row r="146" spans="11:21" ht="17.399999999999999" x14ac:dyDescent="0.3">
      <c r="K146" s="196"/>
      <c r="R146" s="203"/>
      <c r="S146" s="203"/>
      <c r="T146" s="202"/>
      <c r="U146" s="196"/>
    </row>
    <row r="147" spans="11:21" ht="17.399999999999999" x14ac:dyDescent="0.3">
      <c r="K147" s="196"/>
      <c r="L147" s="196"/>
      <c r="P147" s="197" t="str">
        <f>IF($C$55="Yes","",AD109)</f>
        <v/>
      </c>
      <c r="Q147" s="256" t="str">
        <f>IF(P147&lt;&gt;"",MAX(Q140:Q144)-MIN(Q140:Q144),"")</f>
        <v/>
      </c>
      <c r="U147" s="196"/>
    </row>
    <row r="148" spans="11:21" ht="17.399999999999999" x14ac:dyDescent="0.3">
      <c r="K148" s="196"/>
      <c r="P148" s="197" t="s">
        <v>227</v>
      </c>
      <c r="Q148" s="256">
        <f>HLOOKUP(MAX(Q134:S134),Q134:S137,4,FALSE)</f>
        <v>30.793799999999997</v>
      </c>
      <c r="T148" s="196"/>
      <c r="U148" s="196"/>
    </row>
    <row r="149" spans="11:21" ht="17.399999999999999" x14ac:dyDescent="0.3">
      <c r="K149" s="196"/>
      <c r="L149" s="196"/>
      <c r="M149" s="196"/>
      <c r="P149" s="197" t="s">
        <v>243</v>
      </c>
      <c r="Q149" s="257">
        <f>C54</f>
        <v>2E-3</v>
      </c>
      <c r="R149" s="196"/>
      <c r="S149" s="196"/>
      <c r="T149" s="196"/>
      <c r="U149" s="196"/>
    </row>
    <row r="150" spans="11:21" ht="17.399999999999999" x14ac:dyDescent="0.3">
      <c r="K150" s="196"/>
      <c r="L150" s="196"/>
      <c r="M150" s="196"/>
      <c r="P150" s="197" t="s">
        <v>247</v>
      </c>
      <c r="Q150" s="203" t="str">
        <f>IF(Q148&lt;=Q149,"Pass","Fail")</f>
        <v>Fail</v>
      </c>
      <c r="R150" s="196"/>
      <c r="S150" s="196"/>
      <c r="T150" s="196"/>
      <c r="U150" s="196"/>
    </row>
    <row r="151" spans="11:21" ht="17.399999999999999" x14ac:dyDescent="0.3">
      <c r="K151" s="196"/>
      <c r="L151" s="196"/>
      <c r="M151" s="196"/>
      <c r="O151" s="196"/>
      <c r="P151" s="196"/>
      <c r="Q151" s="196"/>
      <c r="R151" s="196"/>
      <c r="S151" s="196"/>
      <c r="T151" s="196"/>
      <c r="U151" s="196"/>
    </row>
    <row r="152" spans="11:21" ht="17.399999999999999" x14ac:dyDescent="0.3">
      <c r="K152" s="196"/>
      <c r="L152" s="318" t="s">
        <v>228</v>
      </c>
      <c r="M152" s="318"/>
      <c r="N152" s="318"/>
      <c r="O152" s="318"/>
      <c r="P152" s="318"/>
      <c r="Q152" s="318"/>
      <c r="R152" s="318"/>
      <c r="S152" s="318"/>
      <c r="T152" s="196"/>
      <c r="U152" s="196"/>
    </row>
    <row r="153" spans="11:21" x14ac:dyDescent="0.3">
      <c r="L153" s="2" t="s">
        <v>252</v>
      </c>
      <c r="M153" s="4" t="str">
        <f>'The details'!$D$2</f>
        <v>56561-045570</v>
      </c>
      <c r="U153" s="192" t="str">
        <f>CONCATENATE("Page 7 of ",'The details'!$G$16)</f>
        <v>Page 7 of 2</v>
      </c>
    </row>
    <row r="155" spans="11:21" ht="27.6" x14ac:dyDescent="0.45">
      <c r="P155" s="193" t="s">
        <v>114</v>
      </c>
    </row>
    <row r="156" spans="11:21" ht="17.399999999999999" x14ac:dyDescent="0.3">
      <c r="P156" s="194" t="s">
        <v>115</v>
      </c>
    </row>
    <row r="157" spans="11:21" ht="17.399999999999999" x14ac:dyDescent="0.3">
      <c r="P157" s="194" t="s">
        <v>212</v>
      </c>
    </row>
    <row r="159" spans="11:21" ht="26.4" x14ac:dyDescent="0.5">
      <c r="P159" s="195" t="s">
        <v>218</v>
      </c>
    </row>
    <row r="161" spans="11:21" ht="17.399999999999999" x14ac:dyDescent="0.3">
      <c r="K161" s="196"/>
      <c r="M161" s="197" t="s">
        <v>121</v>
      </c>
      <c r="N161" s="251">
        <f>B70</f>
        <v>0</v>
      </c>
      <c r="O161" s="196"/>
      <c r="P161" s="196"/>
      <c r="Q161" s="196"/>
      <c r="R161" s="197" t="s">
        <v>213</v>
      </c>
      <c r="S161" s="255">
        <f ca="1">'The details'!$D$9</f>
        <v>45517</v>
      </c>
      <c r="T161" s="196"/>
      <c r="U161" s="196"/>
    </row>
    <row r="162" spans="11:21" ht="17.399999999999999" x14ac:dyDescent="0.3">
      <c r="K162" s="196"/>
      <c r="L162" s="8"/>
      <c r="M162" s="300" t="s">
        <v>90</v>
      </c>
      <c r="N162" s="303">
        <f>C70</f>
        <v>0</v>
      </c>
      <c r="O162" s="302"/>
      <c r="P162" s="302"/>
      <c r="Q162" s="302"/>
      <c r="R162" s="300" t="s">
        <v>214</v>
      </c>
      <c r="S162" s="302" t="str">
        <f>'The details'!$D$11</f>
        <v>PE, ML</v>
      </c>
      <c r="T162" s="198"/>
      <c r="U162" s="196"/>
    </row>
    <row r="163" spans="11:21" ht="17.399999999999999" x14ac:dyDescent="0.3">
      <c r="K163" s="196"/>
      <c r="L163" s="200" t="s">
        <v>87</v>
      </c>
      <c r="M163" s="196" t="s">
        <v>244</v>
      </c>
      <c r="Q163" s="200" t="s">
        <v>101</v>
      </c>
      <c r="R163" s="200" t="s">
        <v>102</v>
      </c>
      <c r="S163" s="200" t="s">
        <v>103</v>
      </c>
      <c r="T163" s="196"/>
      <c r="U163" s="196"/>
    </row>
    <row r="164" spans="11:21" ht="17.399999999999999" x14ac:dyDescent="0.3">
      <c r="L164" s="200">
        <v>1</v>
      </c>
      <c r="M164" s="196" t="str">
        <f>IF($C$72="Yes",AC91,AD91)</f>
        <v>Centered, Radial</v>
      </c>
      <c r="N164" s="196"/>
      <c r="O164" s="196"/>
      <c r="P164" s="196"/>
      <c r="Q164" s="206" t="str">
        <f>IF(E70&lt;&gt;"",E70,"")</f>
        <v/>
      </c>
      <c r="R164" s="206" t="str">
        <f t="shared" ref="R164:S164" si="31">IF(F70&lt;&gt;"",F70,"")</f>
        <v/>
      </c>
      <c r="S164" s="206" t="str">
        <f t="shared" si="31"/>
        <v/>
      </c>
      <c r="T164" s="199"/>
    </row>
    <row r="165" spans="11:21" ht="17.399999999999999" x14ac:dyDescent="0.3">
      <c r="L165" s="200">
        <v>2</v>
      </c>
      <c r="M165" s="196" t="str">
        <f t="shared" ref="M165:M171" si="32">IF($C$72="Yes",AC92,AD92)</f>
        <v>Mirror rotated upward</v>
      </c>
      <c r="N165" s="196"/>
      <c r="O165" s="196"/>
      <c r="P165" s="201"/>
      <c r="Q165" s="206" t="str">
        <f t="shared" ref="Q165:Q171" si="33">IF(E71&lt;&gt;"",E71,"")</f>
        <v/>
      </c>
      <c r="R165" s="206" t="str">
        <f t="shared" ref="R165:R171" si="34">IF(F71&lt;&gt;"",F71,"")</f>
        <v/>
      </c>
      <c r="S165" s="206" t="str">
        <f t="shared" ref="S165:S171" si="35">IF(G71&lt;&gt;"",G71,"")</f>
        <v/>
      </c>
      <c r="T165" s="199"/>
    </row>
    <row r="166" spans="11:21" ht="17.399999999999999" x14ac:dyDescent="0.3">
      <c r="K166" s="196"/>
      <c r="L166" s="200">
        <v>3</v>
      </c>
      <c r="M166" s="196" t="str">
        <f t="shared" si="32"/>
        <v>Mirror rotated downard</v>
      </c>
      <c r="N166" s="196"/>
      <c r="O166" s="196"/>
      <c r="P166" s="201"/>
      <c r="Q166" s="206" t="str">
        <f t="shared" si="33"/>
        <v/>
      </c>
      <c r="R166" s="206" t="str">
        <f t="shared" si="34"/>
        <v/>
      </c>
      <c r="S166" s="206" t="str">
        <f t="shared" si="35"/>
        <v/>
      </c>
      <c r="U166" s="196"/>
    </row>
    <row r="167" spans="11:21" ht="17.399999999999999" x14ac:dyDescent="0.3">
      <c r="K167" s="196"/>
      <c r="L167" s="200">
        <v>4</v>
      </c>
      <c r="M167" s="196" t="str">
        <f t="shared" si="32"/>
        <v>Rotated CW Horizontally</v>
      </c>
      <c r="N167" s="196"/>
      <c r="O167" s="196"/>
      <c r="P167" s="201"/>
      <c r="Q167" s="206" t="str">
        <f t="shared" si="33"/>
        <v/>
      </c>
      <c r="R167" s="206" t="str">
        <f t="shared" si="34"/>
        <v/>
      </c>
      <c r="S167" s="206" t="str">
        <f t="shared" si="35"/>
        <v/>
      </c>
      <c r="T167" s="196"/>
      <c r="U167" s="196"/>
    </row>
    <row r="168" spans="11:21" ht="17.399999999999999" x14ac:dyDescent="0.3">
      <c r="K168" s="196"/>
      <c r="L168" s="200">
        <v>5</v>
      </c>
      <c r="M168" s="196" t="str">
        <f t="shared" si="32"/>
        <v>Rotated CCW Horizontally</v>
      </c>
      <c r="N168" s="196"/>
      <c r="O168" s="196"/>
      <c r="P168" s="201"/>
      <c r="Q168" s="206" t="str">
        <f t="shared" si="33"/>
        <v/>
      </c>
      <c r="R168" s="206" t="str">
        <f t="shared" si="34"/>
        <v/>
      </c>
      <c r="S168" s="206" t="str">
        <f t="shared" si="35"/>
        <v/>
      </c>
      <c r="T168" s="196"/>
      <c r="U168" s="196"/>
    </row>
    <row r="169" spans="11:21" ht="17.399999999999999" x14ac:dyDescent="0.3">
      <c r="K169" s="196"/>
      <c r="L169" s="200">
        <f>IF(M169=" ","",L168+1)</f>
        <v>6</v>
      </c>
      <c r="M169" s="196" t="str">
        <f t="shared" si="32"/>
        <v>Rotated 90° on beam axis</v>
      </c>
      <c r="N169" s="196"/>
      <c r="O169" s="196"/>
      <c r="P169" s="201"/>
      <c r="Q169" s="206" t="str">
        <f t="shared" si="33"/>
        <v/>
      </c>
      <c r="R169" s="206" t="str">
        <f t="shared" si="34"/>
        <v/>
      </c>
      <c r="S169" s="206" t="str">
        <f t="shared" si="35"/>
        <v/>
      </c>
      <c r="T169" s="196"/>
      <c r="U169" s="196"/>
    </row>
    <row r="170" spans="11:21" ht="17.399999999999999" x14ac:dyDescent="0.3">
      <c r="K170" s="196"/>
      <c r="L170" s="200">
        <f>IF(M170=" ","",L169+1)</f>
        <v>7</v>
      </c>
      <c r="M170" s="196" t="str">
        <f t="shared" si="32"/>
        <v>Rotated 180° on beam axis</v>
      </c>
      <c r="N170" s="196"/>
      <c r="O170" s="196"/>
      <c r="P170" s="201"/>
      <c r="Q170" s="206" t="str">
        <f t="shared" si="33"/>
        <v xml:space="preserve"> </v>
      </c>
      <c r="R170" s="206" t="str">
        <f t="shared" si="34"/>
        <v xml:space="preserve"> </v>
      </c>
      <c r="S170" s="206" t="str">
        <f t="shared" si="35"/>
        <v xml:space="preserve"> </v>
      </c>
      <c r="T170" s="196"/>
      <c r="U170" s="196"/>
    </row>
    <row r="171" spans="11:21" ht="17.399999999999999" x14ac:dyDescent="0.3">
      <c r="K171" s="196"/>
      <c r="L171" s="200">
        <f>IF(M171=" ","",L170+1)</f>
        <v>8</v>
      </c>
      <c r="M171" s="196" t="str">
        <f t="shared" si="32"/>
        <v>Rotated 270° on beam axis</v>
      </c>
      <c r="N171" s="196"/>
      <c r="O171" s="196"/>
      <c r="P171" s="201"/>
      <c r="Q171" s="206" t="str">
        <f t="shared" si="33"/>
        <v xml:space="preserve"> </v>
      </c>
      <c r="R171" s="206" t="str">
        <f t="shared" si="34"/>
        <v xml:space="preserve"> </v>
      </c>
      <c r="S171" s="206" t="str">
        <f t="shared" si="35"/>
        <v xml:space="preserve"> </v>
      </c>
      <c r="T171" s="196"/>
      <c r="U171" s="196"/>
    </row>
    <row r="172" spans="11:21" ht="17.399999999999999" x14ac:dyDescent="0.3">
      <c r="K172" s="196"/>
      <c r="Q172" s="207">
        <f>ABS(Q175)</f>
        <v>0</v>
      </c>
      <c r="R172" s="207">
        <f>ABS(R175)</f>
        <v>0</v>
      </c>
      <c r="S172" s="207">
        <f>ABS(S175)</f>
        <v>0</v>
      </c>
      <c r="T172" s="196"/>
      <c r="U172" s="196"/>
    </row>
    <row r="173" spans="11:21" ht="17.399999999999999" x14ac:dyDescent="0.3">
      <c r="K173" s="196"/>
      <c r="P173" s="197" t="s">
        <v>215</v>
      </c>
      <c r="Q173" s="206">
        <f>MIN(Q164:Q171)</f>
        <v>0</v>
      </c>
      <c r="R173" s="206">
        <f>MIN(R164:R171)</f>
        <v>0</v>
      </c>
      <c r="S173" s="206">
        <f>MIN(S164:S171)</f>
        <v>0</v>
      </c>
      <c r="T173" s="196"/>
      <c r="U173" s="196"/>
    </row>
    <row r="174" spans="11:21" ht="17.399999999999999" x14ac:dyDescent="0.3">
      <c r="K174" s="196"/>
      <c r="P174" s="197" t="s">
        <v>216</v>
      </c>
      <c r="Q174" s="206">
        <f>MAX(Q164:Q171)</f>
        <v>0</v>
      </c>
      <c r="R174" s="206">
        <f>MAX(R164:R171)</f>
        <v>0</v>
      </c>
      <c r="S174" s="206">
        <f>MAX(S164:S171)</f>
        <v>0</v>
      </c>
      <c r="T174" s="196"/>
      <c r="U174" s="196"/>
    </row>
    <row r="175" spans="11:21" ht="17.399999999999999" x14ac:dyDescent="0.3">
      <c r="K175" s="196"/>
      <c r="P175" s="197" t="s">
        <v>217</v>
      </c>
      <c r="Q175" s="206">
        <f>(Q174-Q173)/2</f>
        <v>0</v>
      </c>
      <c r="R175" s="206">
        <f>(R174-R173)/2</f>
        <v>0</v>
      </c>
      <c r="S175" s="206">
        <f>(S174-S173)/2</f>
        <v>0</v>
      </c>
      <c r="T175" s="196"/>
      <c r="U175" s="196"/>
    </row>
    <row r="176" spans="11:21" ht="17.399999999999999" x14ac:dyDescent="0.3">
      <c r="K176" s="196"/>
      <c r="T176" s="196"/>
      <c r="U176" s="196"/>
    </row>
    <row r="177" spans="11:21" ht="17.399999999999999" x14ac:dyDescent="0.3">
      <c r="K177" s="196"/>
      <c r="L177" s="200"/>
      <c r="M177" s="196" t="str">
        <f>IF(P185="","","Diameter")</f>
        <v>Diameter</v>
      </c>
      <c r="T177" s="196"/>
      <c r="U177" s="196"/>
    </row>
    <row r="178" spans="11:21" ht="17.399999999999999" x14ac:dyDescent="0.3">
      <c r="K178" s="196"/>
      <c r="L178" s="200">
        <f>IF(M178="","",1)</f>
        <v>1</v>
      </c>
      <c r="M178" s="196" t="str">
        <f>IF(Q185="","","D1")</f>
        <v>D1</v>
      </c>
      <c r="N178" s="196"/>
      <c r="O178" s="196"/>
      <c r="Q178" s="206">
        <f>IF(P185="","",B75)</f>
        <v>0</v>
      </c>
      <c r="T178" s="196"/>
      <c r="U178" s="196"/>
    </row>
    <row r="179" spans="11:21" ht="17.399999999999999" x14ac:dyDescent="0.3">
      <c r="K179" s="196"/>
      <c r="L179" s="200">
        <f>IF(M179="","",2)</f>
        <v>2</v>
      </c>
      <c r="M179" s="196" t="str">
        <f>IF(Q185="","","D2")</f>
        <v>D2</v>
      </c>
      <c r="P179" s="196"/>
      <c r="Q179" s="206">
        <f>IF(P185="","",B76)</f>
        <v>0</v>
      </c>
      <c r="T179" s="196"/>
      <c r="U179" s="196"/>
    </row>
    <row r="180" spans="11:21" ht="17.399999999999999" x14ac:dyDescent="0.3">
      <c r="K180" s="196"/>
      <c r="L180" s="200">
        <f>IF(M180="","",3)</f>
        <v>3</v>
      </c>
      <c r="M180" s="196" t="str">
        <f>IF(Q185="","","D3")</f>
        <v>D3</v>
      </c>
      <c r="N180" s="196"/>
      <c r="P180" s="196"/>
      <c r="Q180" s="206">
        <f>IF(P185="","",B77)</f>
        <v>0</v>
      </c>
      <c r="R180" s="204"/>
      <c r="S180" s="204"/>
      <c r="T180" s="196"/>
      <c r="U180" s="196"/>
    </row>
    <row r="181" spans="11:21" ht="17.399999999999999" x14ac:dyDescent="0.3">
      <c r="K181" s="196"/>
      <c r="L181" s="200">
        <f>IF(M181="","",4)</f>
        <v>4</v>
      </c>
      <c r="M181" s="196" t="str">
        <f>IF(Q185="","","D4")</f>
        <v>D4</v>
      </c>
      <c r="Q181" s="206">
        <f>IF(P185="","",B78)</f>
        <v>0</v>
      </c>
      <c r="R181" s="205"/>
      <c r="S181" s="205"/>
      <c r="T181" s="196"/>
      <c r="U181" s="196"/>
    </row>
    <row r="182" spans="11:21" ht="17.399999999999999" x14ac:dyDescent="0.3">
      <c r="K182" s="196"/>
      <c r="L182" s="200">
        <f>IF(M182="","",5)</f>
        <v>5</v>
      </c>
      <c r="M182" s="196" t="str">
        <f>IF(Q185="","","D5")</f>
        <v>D5</v>
      </c>
      <c r="O182" s="197"/>
      <c r="Q182" s="206">
        <f>IF(P185="","",B79)</f>
        <v>0</v>
      </c>
      <c r="R182" s="203"/>
      <c r="S182" s="203"/>
      <c r="U182" s="196"/>
    </row>
    <row r="183" spans="11:21" ht="17.399999999999999" x14ac:dyDescent="0.3">
      <c r="K183" s="196"/>
      <c r="L183" s="196"/>
      <c r="R183" s="203"/>
      <c r="S183" s="203"/>
      <c r="T183" s="202"/>
      <c r="U183" s="196"/>
    </row>
    <row r="184" spans="11:21" ht="17.399999999999999" x14ac:dyDescent="0.3">
      <c r="K184" s="196"/>
      <c r="R184" s="203"/>
      <c r="S184" s="203"/>
      <c r="T184" s="202"/>
      <c r="U184" s="196"/>
    </row>
    <row r="185" spans="11:21" ht="17.399999999999999" x14ac:dyDescent="0.3">
      <c r="K185" s="196"/>
      <c r="L185" s="196"/>
      <c r="P185" s="197" t="str">
        <f>IF($C$72="Yes","",AD109)</f>
        <v>Variation in Diameter:</v>
      </c>
      <c r="Q185" s="256">
        <f>IF(P185&lt;&gt;"",MAX(Q178:Q182)-MIN(Q178:Q182),"")</f>
        <v>0</v>
      </c>
      <c r="U185" s="196"/>
    </row>
    <row r="186" spans="11:21" ht="17.399999999999999" x14ac:dyDescent="0.3">
      <c r="K186" s="196"/>
      <c r="P186" s="197" t="s">
        <v>227</v>
      </c>
      <c r="Q186" s="256">
        <f>HLOOKUP(MAX(Q172:S172),Q172:S175,4,FALSE)</f>
        <v>0</v>
      </c>
      <c r="T186" s="196"/>
      <c r="U186" s="196"/>
    </row>
    <row r="187" spans="11:21" ht="17.399999999999999" x14ac:dyDescent="0.3">
      <c r="K187" s="196"/>
      <c r="L187" s="196"/>
      <c r="M187" s="196"/>
      <c r="P187" s="197" t="s">
        <v>243</v>
      </c>
      <c r="Q187" s="257">
        <f>C71</f>
        <v>0</v>
      </c>
      <c r="R187" s="196"/>
      <c r="S187" s="196"/>
      <c r="T187" s="196"/>
      <c r="U187" s="196"/>
    </row>
    <row r="188" spans="11:21" ht="17.399999999999999" x14ac:dyDescent="0.3">
      <c r="K188" s="196"/>
      <c r="L188" s="196"/>
      <c r="M188" s="196"/>
      <c r="P188" s="197" t="s">
        <v>247</v>
      </c>
      <c r="Q188" s="203" t="str">
        <f>IF(Q186&lt;=Q187,"Pass","Fail")</f>
        <v>Pass</v>
      </c>
      <c r="R188" s="196"/>
      <c r="S188" s="196"/>
      <c r="T188" s="196"/>
      <c r="U188" s="196"/>
    </row>
    <row r="189" spans="11:21" ht="17.399999999999999" x14ac:dyDescent="0.3">
      <c r="K189" s="196"/>
      <c r="L189" s="196"/>
      <c r="M189" s="196"/>
      <c r="O189" s="196"/>
      <c r="P189" s="196"/>
      <c r="Q189" s="196"/>
      <c r="R189" s="196"/>
      <c r="S189" s="196"/>
      <c r="T189" s="196"/>
      <c r="U189" s="196"/>
    </row>
    <row r="190" spans="11:21" ht="17.399999999999999" x14ac:dyDescent="0.3">
      <c r="K190" s="196"/>
      <c r="L190" s="318" t="s">
        <v>228</v>
      </c>
      <c r="M190" s="318"/>
      <c r="N190" s="318"/>
      <c r="O190" s="318"/>
      <c r="P190" s="318"/>
      <c r="Q190" s="318"/>
      <c r="R190" s="318"/>
      <c r="S190" s="318"/>
      <c r="T190" s="196"/>
      <c r="U190" s="196"/>
    </row>
    <row r="191" spans="11:21" x14ac:dyDescent="0.3">
      <c r="L191" s="2" t="s">
        <v>252</v>
      </c>
      <c r="M191" s="4" t="str">
        <f>'The details'!$D$2</f>
        <v>56561-045570</v>
      </c>
      <c r="U191" s="192" t="str">
        <f>CONCATENATE("Page 8 of ",'The details'!$G$16)</f>
        <v>Page 8 of 2</v>
      </c>
    </row>
    <row r="193" spans="11:21" ht="27.6" x14ac:dyDescent="0.45">
      <c r="P193" s="193" t="s">
        <v>114</v>
      </c>
    </row>
    <row r="194" spans="11:21" ht="17.399999999999999" x14ac:dyDescent="0.3">
      <c r="P194" s="194" t="s">
        <v>115</v>
      </c>
    </row>
    <row r="195" spans="11:21" ht="17.399999999999999" x14ac:dyDescent="0.3">
      <c r="P195" s="194" t="s">
        <v>212</v>
      </c>
    </row>
    <row r="197" spans="11:21" ht="26.4" x14ac:dyDescent="0.5">
      <c r="P197" s="195" t="s">
        <v>218</v>
      </c>
    </row>
    <row r="199" spans="11:21" ht="17.399999999999999" x14ac:dyDescent="0.3">
      <c r="K199" s="196"/>
      <c r="M199" s="197" t="s">
        <v>121</v>
      </c>
      <c r="N199" s="251">
        <f>B87</f>
        <v>0</v>
      </c>
      <c r="O199" s="196"/>
      <c r="P199" s="196"/>
      <c r="Q199" s="196"/>
      <c r="R199" s="197" t="s">
        <v>213</v>
      </c>
      <c r="S199" s="255">
        <f ca="1">'The details'!$D$9</f>
        <v>45517</v>
      </c>
      <c r="T199" s="196"/>
      <c r="U199" s="196"/>
    </row>
    <row r="200" spans="11:21" ht="17.399999999999999" x14ac:dyDescent="0.3">
      <c r="K200" s="196"/>
      <c r="L200" s="8"/>
      <c r="M200" s="300" t="s">
        <v>90</v>
      </c>
      <c r="N200" s="303">
        <f>C87</f>
        <v>0</v>
      </c>
      <c r="O200" s="302"/>
      <c r="P200" s="302"/>
      <c r="Q200" s="302"/>
      <c r="R200" s="300" t="s">
        <v>214</v>
      </c>
      <c r="S200" s="302" t="str">
        <f>'The details'!$D$11</f>
        <v>PE, ML</v>
      </c>
      <c r="T200" s="198"/>
      <c r="U200" s="196"/>
    </row>
    <row r="201" spans="11:21" ht="17.399999999999999" x14ac:dyDescent="0.3">
      <c r="K201" s="196"/>
      <c r="L201" s="200" t="s">
        <v>87</v>
      </c>
      <c r="M201" s="196" t="s">
        <v>244</v>
      </c>
      <c r="Q201" s="200" t="s">
        <v>101</v>
      </c>
      <c r="R201" s="200" t="s">
        <v>102</v>
      </c>
      <c r="S201" s="200" t="s">
        <v>103</v>
      </c>
      <c r="T201" s="196"/>
      <c r="U201" s="196"/>
    </row>
    <row r="202" spans="11:21" ht="17.399999999999999" x14ac:dyDescent="0.3">
      <c r="L202" s="200">
        <v>1</v>
      </c>
      <c r="M202" s="196" t="str">
        <f>IF($C$89="Yes",AC91,AD91)</f>
        <v>Centered, Radial</v>
      </c>
      <c r="N202" s="196"/>
      <c r="O202" s="196"/>
      <c r="P202" s="196"/>
      <c r="Q202" s="206" t="str">
        <f>IF(E87&lt;&gt;"",E87,"")</f>
        <v/>
      </c>
      <c r="R202" s="206" t="str">
        <f t="shared" ref="R202:S202" si="36">IF(F87&lt;&gt;"",F87,"")</f>
        <v/>
      </c>
      <c r="S202" s="206" t="str">
        <f t="shared" si="36"/>
        <v/>
      </c>
      <c r="T202" s="199"/>
    </row>
    <row r="203" spans="11:21" ht="17.399999999999999" x14ac:dyDescent="0.3">
      <c r="L203" s="200">
        <v>2</v>
      </c>
      <c r="M203" s="196" t="str">
        <f t="shared" ref="M203:M209" si="37">IF($C$89="Yes",AC92,AD92)</f>
        <v>Mirror rotated upward</v>
      </c>
      <c r="N203" s="196"/>
      <c r="O203" s="196"/>
      <c r="P203" s="201"/>
      <c r="Q203" s="206" t="str">
        <f t="shared" ref="Q203:Q209" si="38">IF(E88&lt;&gt;"",E88,"")</f>
        <v/>
      </c>
      <c r="R203" s="206" t="str">
        <f t="shared" ref="R203:R209" si="39">IF(F88&lt;&gt;"",F88,"")</f>
        <v/>
      </c>
      <c r="S203" s="206" t="str">
        <f t="shared" ref="S203:S209" si="40">IF(G88&lt;&gt;"",G88,"")</f>
        <v/>
      </c>
      <c r="T203" s="199"/>
    </row>
    <row r="204" spans="11:21" ht="17.399999999999999" x14ac:dyDescent="0.3">
      <c r="K204" s="196"/>
      <c r="L204" s="200">
        <v>3</v>
      </c>
      <c r="M204" s="196" t="str">
        <f t="shared" si="37"/>
        <v>Mirror rotated downard</v>
      </c>
      <c r="N204" s="196"/>
      <c r="O204" s="196"/>
      <c r="P204" s="201"/>
      <c r="Q204" s="206" t="str">
        <f t="shared" si="38"/>
        <v/>
      </c>
      <c r="R204" s="206" t="str">
        <f t="shared" si="39"/>
        <v/>
      </c>
      <c r="S204" s="206" t="str">
        <f t="shared" si="40"/>
        <v/>
      </c>
      <c r="U204" s="196"/>
    </row>
    <row r="205" spans="11:21" ht="17.399999999999999" x14ac:dyDescent="0.3">
      <c r="K205" s="196"/>
      <c r="L205" s="200">
        <v>4</v>
      </c>
      <c r="M205" s="196" t="str">
        <f t="shared" si="37"/>
        <v>Rotated CW Horizontally</v>
      </c>
      <c r="N205" s="196"/>
      <c r="O205" s="196"/>
      <c r="P205" s="201"/>
      <c r="Q205" s="206" t="str">
        <f t="shared" si="38"/>
        <v/>
      </c>
      <c r="R205" s="206" t="str">
        <f t="shared" si="39"/>
        <v/>
      </c>
      <c r="S205" s="206" t="str">
        <f t="shared" si="40"/>
        <v/>
      </c>
      <c r="T205" s="196"/>
      <c r="U205" s="196"/>
    </row>
    <row r="206" spans="11:21" ht="17.399999999999999" x14ac:dyDescent="0.3">
      <c r="K206" s="196"/>
      <c r="L206" s="200">
        <v>5</v>
      </c>
      <c r="M206" s="196" t="str">
        <f t="shared" si="37"/>
        <v>Rotated CCW Horizontally</v>
      </c>
      <c r="N206" s="196"/>
      <c r="O206" s="196"/>
      <c r="P206" s="201"/>
      <c r="Q206" s="206" t="str">
        <f t="shared" si="38"/>
        <v/>
      </c>
      <c r="R206" s="206" t="str">
        <f t="shared" si="39"/>
        <v/>
      </c>
      <c r="S206" s="206" t="str">
        <f t="shared" si="40"/>
        <v/>
      </c>
      <c r="T206" s="196"/>
      <c r="U206" s="196"/>
    </row>
    <row r="207" spans="11:21" ht="17.399999999999999" x14ac:dyDescent="0.3">
      <c r="K207" s="196"/>
      <c r="L207" s="200">
        <f>IF(M207=" ","",L206+1)</f>
        <v>6</v>
      </c>
      <c r="M207" s="196" t="str">
        <f t="shared" si="37"/>
        <v>Rotated 90° on beam axis</v>
      </c>
      <c r="N207" s="196"/>
      <c r="O207" s="196"/>
      <c r="P207" s="201"/>
      <c r="Q207" s="206" t="str">
        <f t="shared" si="38"/>
        <v/>
      </c>
      <c r="R207" s="206" t="str">
        <f t="shared" si="39"/>
        <v/>
      </c>
      <c r="S207" s="206" t="str">
        <f t="shared" si="40"/>
        <v/>
      </c>
      <c r="T207" s="196"/>
      <c r="U207" s="196"/>
    </row>
    <row r="208" spans="11:21" ht="17.399999999999999" x14ac:dyDescent="0.3">
      <c r="K208" s="196"/>
      <c r="L208" s="200">
        <f>IF(M208=" ","",L207+1)</f>
        <v>7</v>
      </c>
      <c r="M208" s="196" t="str">
        <f t="shared" si="37"/>
        <v>Rotated 180° on beam axis</v>
      </c>
      <c r="N208" s="196"/>
      <c r="O208" s="196"/>
      <c r="P208" s="201"/>
      <c r="Q208" s="206" t="str">
        <f t="shared" si="38"/>
        <v xml:space="preserve"> </v>
      </c>
      <c r="R208" s="206" t="str">
        <f t="shared" si="39"/>
        <v xml:space="preserve"> </v>
      </c>
      <c r="S208" s="206" t="str">
        <f t="shared" si="40"/>
        <v xml:space="preserve"> </v>
      </c>
      <c r="T208" s="196"/>
      <c r="U208" s="196"/>
    </row>
    <row r="209" spans="11:21" ht="17.399999999999999" x14ac:dyDescent="0.3">
      <c r="K209" s="196"/>
      <c r="L209" s="200">
        <f>IF(M209=" ","",L208+1)</f>
        <v>8</v>
      </c>
      <c r="M209" s="196" t="str">
        <f t="shared" si="37"/>
        <v>Rotated 270° on beam axis</v>
      </c>
      <c r="N209" s="196"/>
      <c r="O209" s="196"/>
      <c r="P209" s="201"/>
      <c r="Q209" s="206" t="str">
        <f t="shared" si="38"/>
        <v xml:space="preserve"> </v>
      </c>
      <c r="R209" s="206" t="str">
        <f t="shared" si="39"/>
        <v xml:space="preserve"> </v>
      </c>
      <c r="S209" s="206" t="str">
        <f t="shared" si="40"/>
        <v xml:space="preserve"> </v>
      </c>
      <c r="T209" s="196"/>
      <c r="U209" s="196"/>
    </row>
    <row r="210" spans="11:21" ht="17.399999999999999" x14ac:dyDescent="0.3">
      <c r="K210" s="196"/>
      <c r="Q210" s="207">
        <f>ABS(Q213)</f>
        <v>0</v>
      </c>
      <c r="R210" s="207">
        <f>ABS(R213)</f>
        <v>0</v>
      </c>
      <c r="S210" s="207">
        <f>ABS(S213)</f>
        <v>0</v>
      </c>
      <c r="T210" s="196"/>
      <c r="U210" s="196"/>
    </row>
    <row r="211" spans="11:21" ht="17.399999999999999" x14ac:dyDescent="0.3">
      <c r="K211" s="196"/>
      <c r="P211" s="197" t="s">
        <v>215</v>
      </c>
      <c r="Q211" s="206">
        <f>MIN(Q202:Q209)</f>
        <v>0</v>
      </c>
      <c r="R211" s="206">
        <f>MIN(R202:R209)</f>
        <v>0</v>
      </c>
      <c r="S211" s="206">
        <f>MIN(S202:S209)</f>
        <v>0</v>
      </c>
      <c r="T211" s="196"/>
      <c r="U211" s="196"/>
    </row>
    <row r="212" spans="11:21" ht="17.399999999999999" x14ac:dyDescent="0.3">
      <c r="K212" s="196"/>
      <c r="P212" s="197" t="s">
        <v>216</v>
      </c>
      <c r="Q212" s="206">
        <f>MAX(Q202:Q209)</f>
        <v>0</v>
      </c>
      <c r="R212" s="206">
        <f>MAX(R202:R209)</f>
        <v>0</v>
      </c>
      <c r="S212" s="206">
        <f>MAX(S202:S209)</f>
        <v>0</v>
      </c>
      <c r="T212" s="196"/>
      <c r="U212" s="196"/>
    </row>
    <row r="213" spans="11:21" ht="17.399999999999999" x14ac:dyDescent="0.3">
      <c r="K213" s="196"/>
      <c r="P213" s="197" t="s">
        <v>217</v>
      </c>
      <c r="Q213" s="206">
        <f>(Q212-Q211)/2</f>
        <v>0</v>
      </c>
      <c r="R213" s="206">
        <f>(R212-R211)/2</f>
        <v>0</v>
      </c>
      <c r="S213" s="206">
        <f>(S212-S211)/2</f>
        <v>0</v>
      </c>
      <c r="T213" s="196"/>
      <c r="U213" s="196"/>
    </row>
    <row r="214" spans="11:21" ht="17.399999999999999" x14ac:dyDescent="0.3">
      <c r="K214" s="196"/>
      <c r="T214" s="196"/>
      <c r="U214" s="196"/>
    </row>
    <row r="215" spans="11:21" ht="17.399999999999999" x14ac:dyDescent="0.3">
      <c r="K215" s="196"/>
      <c r="L215" s="200"/>
      <c r="M215" s="196" t="str">
        <f>IF(P223="","","Diameter")</f>
        <v>Diameter</v>
      </c>
      <c r="T215" s="196"/>
      <c r="U215" s="196"/>
    </row>
    <row r="216" spans="11:21" ht="17.399999999999999" x14ac:dyDescent="0.3">
      <c r="K216" s="196"/>
      <c r="L216" s="200">
        <f>IF(M216="","",1)</f>
        <v>1</v>
      </c>
      <c r="M216" s="196" t="str">
        <f>IF(Q223="","","D1")</f>
        <v>D1</v>
      </c>
      <c r="N216" s="196"/>
      <c r="O216" s="196"/>
      <c r="Q216" s="206">
        <f>IF(P223="","",B92)</f>
        <v>0</v>
      </c>
      <c r="T216" s="196"/>
      <c r="U216" s="196"/>
    </row>
    <row r="217" spans="11:21" ht="17.399999999999999" x14ac:dyDescent="0.3">
      <c r="K217" s="196"/>
      <c r="L217" s="200">
        <f>IF(M217="","",2)</f>
        <v>2</v>
      </c>
      <c r="M217" s="196" t="str">
        <f>IF(Q223="","","D2")</f>
        <v>D2</v>
      </c>
      <c r="P217" s="196"/>
      <c r="Q217" s="206">
        <f>IF(P223="","",B93)</f>
        <v>0</v>
      </c>
      <c r="T217" s="196"/>
      <c r="U217" s="196"/>
    </row>
    <row r="218" spans="11:21" ht="17.399999999999999" x14ac:dyDescent="0.3">
      <c r="K218" s="196"/>
      <c r="L218" s="200">
        <f>IF(M218="","",3)</f>
        <v>3</v>
      </c>
      <c r="M218" s="196" t="str">
        <f>IF(Q223="","","D3")</f>
        <v>D3</v>
      </c>
      <c r="N218" s="196"/>
      <c r="P218" s="196"/>
      <c r="Q218" s="206">
        <f>IF(P223="","",B94)</f>
        <v>0</v>
      </c>
      <c r="R218" s="204"/>
      <c r="S218" s="204"/>
      <c r="T218" s="196"/>
      <c r="U218" s="196"/>
    </row>
    <row r="219" spans="11:21" ht="17.399999999999999" x14ac:dyDescent="0.3">
      <c r="K219" s="196"/>
      <c r="L219" s="200">
        <f>IF(M219="","",4)</f>
        <v>4</v>
      </c>
      <c r="M219" s="196" t="str">
        <f>IF(Q223="","","D4")</f>
        <v>D4</v>
      </c>
      <c r="Q219" s="206">
        <f>IF(P223="","",B95)</f>
        <v>0</v>
      </c>
      <c r="R219" s="205"/>
      <c r="S219" s="205"/>
      <c r="T219" s="196"/>
      <c r="U219" s="196"/>
    </row>
    <row r="220" spans="11:21" ht="17.399999999999999" x14ac:dyDescent="0.3">
      <c r="K220" s="196"/>
      <c r="L220" s="200">
        <f>IF(M220="","",5)</f>
        <v>5</v>
      </c>
      <c r="M220" s="196" t="str">
        <f>IF(Q223="","","D5")</f>
        <v>D5</v>
      </c>
      <c r="O220" s="197"/>
      <c r="Q220" s="206">
        <f>IF(P223="","",B96)</f>
        <v>0</v>
      </c>
      <c r="R220" s="203"/>
      <c r="S220" s="203"/>
      <c r="U220" s="196"/>
    </row>
    <row r="221" spans="11:21" ht="17.399999999999999" x14ac:dyDescent="0.3">
      <c r="K221" s="196"/>
      <c r="L221" s="196"/>
      <c r="R221" s="203"/>
      <c r="S221" s="203"/>
      <c r="T221" s="202"/>
      <c r="U221" s="196"/>
    </row>
    <row r="222" spans="11:21" ht="17.399999999999999" x14ac:dyDescent="0.3">
      <c r="K222" s="196"/>
      <c r="R222" s="203"/>
      <c r="S222" s="203"/>
      <c r="T222" s="202"/>
      <c r="U222" s="196"/>
    </row>
    <row r="223" spans="11:21" ht="17.399999999999999" x14ac:dyDescent="0.3">
      <c r="K223" s="196"/>
      <c r="L223" s="196"/>
      <c r="P223" s="197" t="str">
        <f>IF($C$89="Yes","",AD109)</f>
        <v>Variation in Diameter:</v>
      </c>
      <c r="Q223" s="256">
        <f>IF(P223&lt;&gt;"",MAX(Q216:Q220)-MIN(Q216:Q220),"")</f>
        <v>0</v>
      </c>
      <c r="U223" s="196"/>
    </row>
    <row r="224" spans="11:21" ht="17.399999999999999" x14ac:dyDescent="0.3">
      <c r="K224" s="196"/>
      <c r="P224" s="197" t="s">
        <v>227</v>
      </c>
      <c r="Q224" s="256">
        <f>HLOOKUP(MAX(Q210:S210),Q210:S213,4,FALSE)</f>
        <v>0</v>
      </c>
      <c r="T224" s="196"/>
      <c r="U224" s="196"/>
    </row>
    <row r="225" spans="11:21" ht="17.399999999999999" x14ac:dyDescent="0.3">
      <c r="K225" s="196"/>
      <c r="L225" s="196"/>
      <c r="M225" s="196"/>
      <c r="P225" s="197" t="s">
        <v>243</v>
      </c>
      <c r="Q225" s="257">
        <f>C88</f>
        <v>0</v>
      </c>
      <c r="R225" s="196"/>
      <c r="S225" s="196"/>
      <c r="T225" s="196"/>
      <c r="U225" s="196"/>
    </row>
    <row r="226" spans="11:21" ht="17.399999999999999" x14ac:dyDescent="0.3">
      <c r="K226" s="196"/>
      <c r="L226" s="196"/>
      <c r="M226" s="196"/>
      <c r="P226" s="197" t="s">
        <v>247</v>
      </c>
      <c r="Q226" s="203" t="str">
        <f>IF(Q224&lt;=Q225,"Pass","Fail")</f>
        <v>Pass</v>
      </c>
      <c r="R226" s="196"/>
      <c r="S226" s="196"/>
      <c r="T226" s="196"/>
      <c r="U226" s="196"/>
    </row>
    <row r="227" spans="11:21" ht="17.399999999999999" x14ac:dyDescent="0.3">
      <c r="K227" s="196"/>
      <c r="L227" s="196"/>
      <c r="M227" s="196"/>
      <c r="O227" s="196"/>
      <c r="P227" s="196"/>
      <c r="Q227" s="196"/>
      <c r="R227" s="196"/>
      <c r="S227" s="196"/>
      <c r="T227" s="196"/>
      <c r="U227" s="196"/>
    </row>
    <row r="228" spans="11:21" ht="17.399999999999999" x14ac:dyDescent="0.3">
      <c r="K228" s="196"/>
      <c r="L228" s="318" t="s">
        <v>228</v>
      </c>
      <c r="M228" s="318"/>
      <c r="N228" s="318"/>
      <c r="O228" s="318"/>
      <c r="P228" s="318"/>
      <c r="Q228" s="318"/>
      <c r="R228" s="318"/>
      <c r="S228" s="318"/>
      <c r="T228" s="196"/>
      <c r="U228" s="196"/>
    </row>
    <row r="229" spans="11:21" x14ac:dyDescent="0.3">
      <c r="L229" s="2" t="s">
        <v>252</v>
      </c>
      <c r="M229" s="4" t="str">
        <f>'The details'!$D$2</f>
        <v>56561-045570</v>
      </c>
      <c r="U229" s="192" t="str">
        <f>CONCATENATE("Page 3 of ",'The details'!$G$16)</f>
        <v>Page 3 of 2</v>
      </c>
    </row>
    <row r="231" spans="11:21" ht="27.6" x14ac:dyDescent="0.45">
      <c r="P231" s="193" t="s">
        <v>114</v>
      </c>
    </row>
    <row r="232" spans="11:21" ht="17.399999999999999" x14ac:dyDescent="0.3">
      <c r="P232" s="194" t="s">
        <v>115</v>
      </c>
    </row>
    <row r="233" spans="11:21" ht="17.399999999999999" x14ac:dyDescent="0.3">
      <c r="P233" s="194" t="s">
        <v>212</v>
      </c>
    </row>
    <row r="235" spans="11:21" ht="26.4" x14ac:dyDescent="0.5">
      <c r="P235" s="195" t="s">
        <v>218</v>
      </c>
    </row>
    <row r="237" spans="11:21" ht="17.399999999999999" x14ac:dyDescent="0.3">
      <c r="K237" s="196"/>
      <c r="M237" s="197" t="s">
        <v>121</v>
      </c>
      <c r="N237" s="251">
        <f>B104</f>
        <v>0</v>
      </c>
      <c r="O237" s="196"/>
      <c r="P237" s="196"/>
      <c r="Q237" s="196"/>
      <c r="R237" s="197" t="s">
        <v>213</v>
      </c>
      <c r="S237" s="255">
        <f ca="1">'The details'!$D$9</f>
        <v>45517</v>
      </c>
      <c r="T237" s="196"/>
      <c r="U237" s="196"/>
    </row>
    <row r="238" spans="11:21" ht="17.399999999999999" x14ac:dyDescent="0.3">
      <c r="K238" s="196"/>
      <c r="L238" s="8"/>
      <c r="M238" s="300" t="s">
        <v>90</v>
      </c>
      <c r="N238" s="301">
        <f>C104</f>
        <v>0</v>
      </c>
      <c r="O238" s="302"/>
      <c r="P238" s="302"/>
      <c r="Q238" s="302"/>
      <c r="R238" s="300" t="s">
        <v>214</v>
      </c>
      <c r="S238" s="302" t="str">
        <f>'The details'!$D$11</f>
        <v>PE, ML</v>
      </c>
      <c r="T238" s="198"/>
      <c r="U238" s="196"/>
    </row>
    <row r="239" spans="11:21" ht="17.399999999999999" x14ac:dyDescent="0.3">
      <c r="K239" s="196"/>
      <c r="L239" s="200" t="s">
        <v>87</v>
      </c>
      <c r="M239" s="196" t="s">
        <v>244</v>
      </c>
      <c r="Q239" s="200" t="s">
        <v>101</v>
      </c>
      <c r="R239" s="200" t="s">
        <v>102</v>
      </c>
      <c r="S239" s="200" t="s">
        <v>103</v>
      </c>
      <c r="T239" s="196"/>
      <c r="U239" s="196"/>
    </row>
    <row r="240" spans="11:21" ht="17.399999999999999" x14ac:dyDescent="0.3">
      <c r="L240" s="200">
        <v>1</v>
      </c>
      <c r="M240" s="196" t="str">
        <f>IF($C$4="Yes",AC91,AD91)</f>
        <v>Centered, Radial</v>
      </c>
      <c r="N240" s="196"/>
      <c r="O240" s="196"/>
      <c r="P240" s="196"/>
      <c r="Q240" s="206" t="str">
        <f t="shared" ref="Q240:Q247" si="41">IF(E230&lt;&gt;"",E230,"")</f>
        <v/>
      </c>
      <c r="R240" s="206" t="str">
        <f t="shared" ref="R240:R247" si="42">IF(F230&lt;&gt;"",F230,"")</f>
        <v/>
      </c>
      <c r="S240" s="206" t="str">
        <f t="shared" ref="S240:S247" si="43">IF(G230&lt;&gt;"",G230,"")</f>
        <v/>
      </c>
      <c r="T240" s="199"/>
    </row>
    <row r="241" spans="11:21" ht="17.399999999999999" x14ac:dyDescent="0.3">
      <c r="L241" s="200">
        <v>2</v>
      </c>
      <c r="M241" s="196">
        <f t="shared" ref="M241:M247" si="44">IF($C$4="Yes",AC320,AD320)</f>
        <v>0</v>
      </c>
      <c r="N241" s="196"/>
      <c r="O241" s="196"/>
      <c r="P241" s="201"/>
      <c r="Q241" s="206" t="str">
        <f t="shared" si="41"/>
        <v/>
      </c>
      <c r="R241" s="206" t="str">
        <f t="shared" si="42"/>
        <v/>
      </c>
      <c r="S241" s="206" t="str">
        <f t="shared" si="43"/>
        <v/>
      </c>
      <c r="T241" s="199"/>
    </row>
    <row r="242" spans="11:21" ht="17.399999999999999" x14ac:dyDescent="0.3">
      <c r="K242" s="196"/>
      <c r="L242" s="200">
        <v>3</v>
      </c>
      <c r="M242" s="196">
        <f t="shared" si="44"/>
        <v>0</v>
      </c>
      <c r="N242" s="196"/>
      <c r="O242" s="196"/>
      <c r="P242" s="201"/>
      <c r="Q242" s="206" t="str">
        <f t="shared" si="41"/>
        <v/>
      </c>
      <c r="R242" s="206" t="str">
        <f t="shared" si="42"/>
        <v/>
      </c>
      <c r="S242" s="206" t="str">
        <f t="shared" si="43"/>
        <v/>
      </c>
      <c r="U242" s="196"/>
    </row>
    <row r="243" spans="11:21" ht="17.399999999999999" x14ac:dyDescent="0.3">
      <c r="K243" s="196"/>
      <c r="L243" s="200">
        <v>4</v>
      </c>
      <c r="M243" s="196">
        <f t="shared" si="44"/>
        <v>0</v>
      </c>
      <c r="N243" s="196"/>
      <c r="O243" s="196"/>
      <c r="P243" s="201"/>
      <c r="Q243" s="206" t="str">
        <f t="shared" si="41"/>
        <v/>
      </c>
      <c r="R243" s="206" t="str">
        <f t="shared" si="42"/>
        <v/>
      </c>
      <c r="S243" s="206" t="str">
        <f t="shared" si="43"/>
        <v/>
      </c>
      <c r="T243" s="196"/>
      <c r="U243" s="196"/>
    </row>
    <row r="244" spans="11:21" ht="17.399999999999999" x14ac:dyDescent="0.3">
      <c r="K244" s="196"/>
      <c r="L244" s="200">
        <v>5</v>
      </c>
      <c r="M244" s="196">
        <f t="shared" si="44"/>
        <v>0</v>
      </c>
      <c r="N244" s="196"/>
      <c r="O244" s="196"/>
      <c r="P244" s="201"/>
      <c r="Q244" s="206" t="str">
        <f t="shared" si="41"/>
        <v/>
      </c>
      <c r="R244" s="206" t="str">
        <f t="shared" si="42"/>
        <v/>
      </c>
      <c r="S244" s="206" t="str">
        <f t="shared" si="43"/>
        <v/>
      </c>
      <c r="T244" s="196"/>
      <c r="U244" s="196"/>
    </row>
    <row r="245" spans="11:21" ht="17.399999999999999" x14ac:dyDescent="0.3">
      <c r="K245" s="196"/>
      <c r="L245" s="200">
        <f>IF(M245=" ","",L244+1)</f>
        <v>6</v>
      </c>
      <c r="M245" s="196">
        <f t="shared" si="44"/>
        <v>0</v>
      </c>
      <c r="N245" s="196"/>
      <c r="O245" s="196"/>
      <c r="P245" s="201"/>
      <c r="Q245" s="206" t="str">
        <f t="shared" si="41"/>
        <v/>
      </c>
      <c r="R245" s="206" t="str">
        <f t="shared" si="42"/>
        <v/>
      </c>
      <c r="S245" s="206" t="str">
        <f t="shared" si="43"/>
        <v/>
      </c>
      <c r="T245" s="196"/>
      <c r="U245" s="196"/>
    </row>
    <row r="246" spans="11:21" ht="17.399999999999999" x14ac:dyDescent="0.3">
      <c r="K246" s="196"/>
      <c r="L246" s="200">
        <f>IF(M246=" ","",L245+1)</f>
        <v>7</v>
      </c>
      <c r="M246" s="196">
        <f t="shared" si="44"/>
        <v>0</v>
      </c>
      <c r="N246" s="196"/>
      <c r="O246" s="196"/>
      <c r="P246" s="201"/>
      <c r="Q246" s="206" t="str">
        <f t="shared" si="41"/>
        <v/>
      </c>
      <c r="R246" s="206" t="str">
        <f t="shared" si="42"/>
        <v/>
      </c>
      <c r="S246" s="206" t="str">
        <f t="shared" si="43"/>
        <v/>
      </c>
      <c r="T246" s="196"/>
      <c r="U246" s="196"/>
    </row>
    <row r="247" spans="11:21" ht="17.399999999999999" x14ac:dyDescent="0.3">
      <c r="K247" s="196"/>
      <c r="L247" s="200">
        <f>IF(M247=" ","",L246+1)</f>
        <v>8</v>
      </c>
      <c r="M247" s="196">
        <f t="shared" si="44"/>
        <v>0</v>
      </c>
      <c r="N247" s="196"/>
      <c r="O247" s="196"/>
      <c r="P247" s="201"/>
      <c r="Q247" s="206" t="str">
        <f t="shared" si="41"/>
        <v/>
      </c>
      <c r="R247" s="206" t="str">
        <f t="shared" si="42"/>
        <v/>
      </c>
      <c r="S247" s="206" t="str">
        <f t="shared" si="43"/>
        <v/>
      </c>
      <c r="T247" s="196"/>
      <c r="U247" s="196"/>
    </row>
    <row r="248" spans="11:21" ht="17.399999999999999" x14ac:dyDescent="0.3">
      <c r="K248" s="196"/>
      <c r="Q248" s="207">
        <f>ABS(Q251)</f>
        <v>0</v>
      </c>
      <c r="R248" s="207">
        <f>ABS(R251)</f>
        <v>0</v>
      </c>
      <c r="S248" s="207">
        <f>ABS(S251)</f>
        <v>0</v>
      </c>
      <c r="T248" s="196"/>
      <c r="U248" s="196"/>
    </row>
    <row r="249" spans="11:21" ht="17.399999999999999" x14ac:dyDescent="0.3">
      <c r="K249" s="196"/>
      <c r="P249" s="197" t="s">
        <v>215</v>
      </c>
      <c r="Q249" s="206">
        <f>MIN(Q240:Q247)</f>
        <v>0</v>
      </c>
      <c r="R249" s="206">
        <f>MIN(R240:R247)</f>
        <v>0</v>
      </c>
      <c r="S249" s="206">
        <f>MIN(S240:S247)</f>
        <v>0</v>
      </c>
      <c r="T249" s="196"/>
      <c r="U249" s="196"/>
    </row>
    <row r="250" spans="11:21" ht="17.399999999999999" x14ac:dyDescent="0.3">
      <c r="K250" s="196"/>
      <c r="P250" s="197" t="s">
        <v>216</v>
      </c>
      <c r="Q250" s="206">
        <f>MAX(Q240:Q247)</f>
        <v>0</v>
      </c>
      <c r="R250" s="206">
        <f>MAX(R240:R247)</f>
        <v>0</v>
      </c>
      <c r="S250" s="206">
        <f>MAX(S240:S247)</f>
        <v>0</v>
      </c>
      <c r="T250" s="196"/>
      <c r="U250" s="196"/>
    </row>
    <row r="251" spans="11:21" ht="17.399999999999999" x14ac:dyDescent="0.3">
      <c r="K251" s="196"/>
      <c r="P251" s="197" t="s">
        <v>217</v>
      </c>
      <c r="Q251" s="206">
        <f>(Q250-Q249)/2</f>
        <v>0</v>
      </c>
      <c r="R251" s="206">
        <f>(R250-R249)/2</f>
        <v>0</v>
      </c>
      <c r="S251" s="206">
        <f>(S250-S249)/2</f>
        <v>0</v>
      </c>
      <c r="T251" s="196"/>
      <c r="U251" s="196"/>
    </row>
    <row r="252" spans="11:21" ht="17.399999999999999" x14ac:dyDescent="0.3">
      <c r="K252" s="196"/>
      <c r="T252" s="196"/>
      <c r="U252" s="196"/>
    </row>
    <row r="253" spans="11:21" ht="17.399999999999999" x14ac:dyDescent="0.3">
      <c r="K253" s="196"/>
      <c r="L253" s="200"/>
      <c r="M253" s="196" t="str">
        <f t="shared" ref="M253:M258" si="45">IF($C$4="Yes","",AD331)</f>
        <v/>
      </c>
      <c r="T253" s="196"/>
      <c r="U253" s="196"/>
    </row>
    <row r="254" spans="11:21" ht="17.399999999999999" x14ac:dyDescent="0.3">
      <c r="K254" s="196"/>
      <c r="L254" s="200" t="str">
        <f>IF(M254="","",1)</f>
        <v/>
      </c>
      <c r="M254" s="196" t="str">
        <f t="shared" si="45"/>
        <v/>
      </c>
      <c r="N254" s="196"/>
      <c r="O254" s="196"/>
      <c r="Q254" s="206">
        <f>IF(C232="Yes","",B109)</f>
        <v>0</v>
      </c>
      <c r="T254" s="196"/>
      <c r="U254" s="196"/>
    </row>
    <row r="255" spans="11:21" ht="17.399999999999999" x14ac:dyDescent="0.3">
      <c r="K255" s="196"/>
      <c r="L255" s="200" t="str">
        <f>IF(M255="","",2)</f>
        <v/>
      </c>
      <c r="M255" s="196" t="str">
        <f t="shared" si="45"/>
        <v/>
      </c>
      <c r="P255" s="196"/>
      <c r="Q255" s="206">
        <f>IF(C233="Yes","",B236)</f>
        <v>0</v>
      </c>
      <c r="T255" s="196"/>
      <c r="U255" s="196"/>
    </row>
    <row r="256" spans="11:21" ht="17.399999999999999" x14ac:dyDescent="0.3">
      <c r="K256" s="196"/>
      <c r="L256" s="200" t="str">
        <f>IF(M256="","",3)</f>
        <v/>
      </c>
      <c r="M256" s="196" t="str">
        <f t="shared" si="45"/>
        <v/>
      </c>
      <c r="N256" s="196"/>
      <c r="P256" s="196"/>
      <c r="Q256" s="206">
        <f>IF(C234="Yes","",B237)</f>
        <v>0</v>
      </c>
      <c r="R256" s="204"/>
      <c r="S256" s="204"/>
      <c r="T256" s="196"/>
      <c r="U256" s="196"/>
    </row>
    <row r="257" spans="11:21" ht="17.399999999999999" x14ac:dyDescent="0.3">
      <c r="K257" s="196"/>
      <c r="L257" s="200" t="str">
        <f>IF(M257="","",4)</f>
        <v/>
      </c>
      <c r="M257" s="196" t="str">
        <f t="shared" si="45"/>
        <v/>
      </c>
      <c r="Q257" s="206">
        <f>IF(C235="Yes","",B238)</f>
        <v>0</v>
      </c>
      <c r="R257" s="205"/>
      <c r="S257" s="205"/>
      <c r="T257" s="196"/>
      <c r="U257" s="196"/>
    </row>
    <row r="258" spans="11:21" ht="17.399999999999999" x14ac:dyDescent="0.3">
      <c r="K258" s="196"/>
      <c r="L258" s="200" t="str">
        <f>IF(M258="","",5)</f>
        <v/>
      </c>
      <c r="M258" s="196" t="str">
        <f t="shared" si="45"/>
        <v/>
      </c>
      <c r="O258" s="197"/>
      <c r="Q258" s="206">
        <f>IF(C236="Yes","",B239)</f>
        <v>0</v>
      </c>
      <c r="R258" s="203"/>
      <c r="S258" s="203"/>
      <c r="U258" s="196"/>
    </row>
    <row r="259" spans="11:21" ht="17.399999999999999" x14ac:dyDescent="0.3">
      <c r="K259" s="196"/>
      <c r="L259" s="196"/>
      <c r="R259" s="203"/>
      <c r="S259" s="203"/>
      <c r="T259" s="202"/>
      <c r="U259" s="196"/>
    </row>
    <row r="260" spans="11:21" ht="17.399999999999999" x14ac:dyDescent="0.3">
      <c r="K260" s="196"/>
      <c r="R260" s="203"/>
      <c r="S260" s="203"/>
      <c r="T260" s="202"/>
      <c r="U260" s="196"/>
    </row>
    <row r="261" spans="11:21" ht="17.399999999999999" x14ac:dyDescent="0.3">
      <c r="K261" s="196"/>
      <c r="L261" s="196"/>
      <c r="P261" s="197" t="str">
        <f>IF($C$4="Yes","",AD337)</f>
        <v/>
      </c>
      <c r="Q261" s="256">
        <f>C240</f>
        <v>0</v>
      </c>
      <c r="U261" s="196"/>
    </row>
    <row r="262" spans="11:21" ht="17.399999999999999" x14ac:dyDescent="0.3">
      <c r="K262" s="196"/>
      <c r="P262" s="197" t="s">
        <v>227</v>
      </c>
      <c r="Q262" s="256">
        <f>HLOOKUP(MAX(Q248:S248),Q248:S251,4,FALSE)</f>
        <v>0</v>
      </c>
      <c r="T262" s="196"/>
      <c r="U262" s="196"/>
    </row>
    <row r="263" spans="11:21" ht="17.399999999999999" x14ac:dyDescent="0.3">
      <c r="K263" s="196"/>
      <c r="L263" s="196"/>
      <c r="M263" s="196"/>
      <c r="P263" s="197" t="s">
        <v>243</v>
      </c>
      <c r="Q263" s="257">
        <f>C231</f>
        <v>0</v>
      </c>
      <c r="R263" s="196"/>
      <c r="S263" s="196"/>
      <c r="T263" s="196"/>
      <c r="U263" s="196"/>
    </row>
    <row r="264" spans="11:21" ht="17.399999999999999" x14ac:dyDescent="0.3">
      <c r="K264" s="196"/>
      <c r="L264" s="196"/>
      <c r="M264" s="196"/>
      <c r="P264" s="197" t="s">
        <v>247</v>
      </c>
      <c r="Q264" s="203" t="str">
        <f>IF(Q262&lt;=Q263,"Pass","Fail")</f>
        <v>Pass</v>
      </c>
      <c r="R264" s="196"/>
      <c r="S264" s="196"/>
      <c r="T264" s="196"/>
      <c r="U264" s="196"/>
    </row>
    <row r="265" spans="11:21" ht="17.399999999999999" x14ac:dyDescent="0.3">
      <c r="K265" s="196"/>
      <c r="L265" s="196"/>
      <c r="M265" s="196"/>
      <c r="O265" s="196"/>
      <c r="P265" s="196"/>
      <c r="Q265" s="196"/>
      <c r="R265" s="196"/>
      <c r="S265" s="196"/>
      <c r="T265" s="196"/>
      <c r="U265" s="196"/>
    </row>
    <row r="266" spans="11:21" ht="17.399999999999999" x14ac:dyDescent="0.3">
      <c r="K266" s="196"/>
      <c r="L266" s="318" t="s">
        <v>228</v>
      </c>
      <c r="M266" s="318"/>
      <c r="N266" s="318"/>
      <c r="O266" s="318"/>
      <c r="P266" s="318"/>
      <c r="Q266" s="318"/>
      <c r="R266" s="318"/>
      <c r="S266" s="318"/>
      <c r="T266" s="196"/>
      <c r="U266" s="196"/>
    </row>
    <row r="267" spans="11:21" x14ac:dyDescent="0.3">
      <c r="L267" s="2" t="s">
        <v>252</v>
      </c>
      <c r="M267" s="4" t="str">
        <f>'The details'!$D$2</f>
        <v>56561-045570</v>
      </c>
      <c r="U267" s="192" t="str">
        <f>CONCATENATE("Page 3 of ",'The details'!$G$16)</f>
        <v>Page 3 of 2</v>
      </c>
    </row>
    <row r="269" spans="11:21" ht="27.6" x14ac:dyDescent="0.45">
      <c r="P269" s="193" t="s">
        <v>114</v>
      </c>
    </row>
    <row r="270" spans="11:21" ht="17.399999999999999" x14ac:dyDescent="0.3">
      <c r="P270" s="194" t="s">
        <v>115</v>
      </c>
    </row>
    <row r="271" spans="11:21" ht="17.399999999999999" x14ac:dyDescent="0.3">
      <c r="P271" s="194" t="s">
        <v>212</v>
      </c>
    </row>
    <row r="273" spans="11:21" ht="26.4" x14ac:dyDescent="0.5">
      <c r="P273" s="195" t="s">
        <v>218</v>
      </c>
    </row>
    <row r="275" spans="11:21" ht="17.399999999999999" x14ac:dyDescent="0.3">
      <c r="K275" s="196"/>
      <c r="M275" s="197" t="s">
        <v>121</v>
      </c>
      <c r="N275" s="251">
        <f>B268</f>
        <v>0</v>
      </c>
      <c r="O275" s="196"/>
      <c r="P275" s="196"/>
      <c r="Q275" s="196"/>
      <c r="R275" s="197" t="s">
        <v>213</v>
      </c>
      <c r="S275" s="255">
        <f ca="1">'The details'!$D$9</f>
        <v>45517</v>
      </c>
      <c r="T275" s="196"/>
      <c r="U275" s="196"/>
    </row>
    <row r="276" spans="11:21" ht="17.399999999999999" x14ac:dyDescent="0.3">
      <c r="K276" s="196"/>
      <c r="L276" s="8"/>
      <c r="M276" s="300" t="s">
        <v>90</v>
      </c>
      <c r="N276" s="301">
        <f>C268</f>
        <v>0</v>
      </c>
      <c r="O276" s="302"/>
      <c r="P276" s="302"/>
      <c r="Q276" s="302"/>
      <c r="R276" s="300" t="s">
        <v>214</v>
      </c>
      <c r="S276" s="302" t="str">
        <f>'The details'!$D$11</f>
        <v>PE, ML</v>
      </c>
      <c r="T276" s="198"/>
      <c r="U276" s="196"/>
    </row>
    <row r="277" spans="11:21" ht="17.399999999999999" x14ac:dyDescent="0.3">
      <c r="K277" s="196"/>
      <c r="L277" s="200" t="s">
        <v>87</v>
      </c>
      <c r="M277" s="196" t="s">
        <v>244</v>
      </c>
      <c r="Q277" s="200" t="s">
        <v>101</v>
      </c>
      <c r="R277" s="200" t="s">
        <v>102</v>
      </c>
      <c r="S277" s="200" t="s">
        <v>103</v>
      </c>
      <c r="T277" s="196"/>
      <c r="U277" s="196"/>
    </row>
    <row r="278" spans="11:21" ht="17.399999999999999" x14ac:dyDescent="0.3">
      <c r="L278" s="200">
        <v>1</v>
      </c>
      <c r="M278" s="196" t="str">
        <f>IF($C$4="Yes",AC91,AD91)</f>
        <v>Centered, Radial</v>
      </c>
      <c r="N278" s="196"/>
      <c r="O278" s="196"/>
      <c r="P278" s="196"/>
      <c r="Q278" s="206" t="str">
        <f t="shared" ref="Q278:Q285" si="46">IF(E268&lt;&gt;"",E268,"")</f>
        <v/>
      </c>
      <c r="R278" s="206" t="str">
        <f t="shared" ref="R278:R285" si="47">IF(F268&lt;&gt;"",F268,"")</f>
        <v/>
      </c>
      <c r="S278" s="206" t="str">
        <f t="shared" ref="S278:S285" si="48">IF(G268&lt;&gt;"",G268,"")</f>
        <v/>
      </c>
      <c r="T278" s="199"/>
    </row>
    <row r="279" spans="11:21" ht="17.399999999999999" x14ac:dyDescent="0.3">
      <c r="L279" s="200">
        <v>2</v>
      </c>
      <c r="M279" s="196">
        <f t="shared" ref="M279:M285" si="49">IF($C$4="Yes",AC358,AD358)</f>
        <v>0</v>
      </c>
      <c r="N279" s="196"/>
      <c r="O279" s="196"/>
      <c r="P279" s="201"/>
      <c r="Q279" s="206" t="str">
        <f t="shared" si="46"/>
        <v/>
      </c>
      <c r="R279" s="206" t="str">
        <f t="shared" si="47"/>
        <v/>
      </c>
      <c r="S279" s="206" t="str">
        <f t="shared" si="48"/>
        <v/>
      </c>
      <c r="T279" s="199"/>
    </row>
    <row r="280" spans="11:21" ht="17.399999999999999" x14ac:dyDescent="0.3">
      <c r="K280" s="196"/>
      <c r="L280" s="200">
        <v>3</v>
      </c>
      <c r="M280" s="196">
        <f t="shared" si="49"/>
        <v>0</v>
      </c>
      <c r="N280" s="196"/>
      <c r="O280" s="196"/>
      <c r="P280" s="201"/>
      <c r="Q280" s="206" t="str">
        <f t="shared" si="46"/>
        <v/>
      </c>
      <c r="R280" s="206" t="str">
        <f t="shared" si="47"/>
        <v/>
      </c>
      <c r="S280" s="206" t="str">
        <f t="shared" si="48"/>
        <v/>
      </c>
      <c r="U280" s="196"/>
    </row>
    <row r="281" spans="11:21" ht="17.399999999999999" x14ac:dyDescent="0.3">
      <c r="K281" s="196"/>
      <c r="L281" s="200">
        <v>4</v>
      </c>
      <c r="M281" s="196">
        <f t="shared" si="49"/>
        <v>0</v>
      </c>
      <c r="N281" s="196"/>
      <c r="O281" s="196"/>
      <c r="P281" s="201"/>
      <c r="Q281" s="206" t="str">
        <f t="shared" si="46"/>
        <v/>
      </c>
      <c r="R281" s="206" t="str">
        <f t="shared" si="47"/>
        <v/>
      </c>
      <c r="S281" s="206" t="str">
        <f t="shared" si="48"/>
        <v/>
      </c>
      <c r="T281" s="196"/>
      <c r="U281" s="196"/>
    </row>
    <row r="282" spans="11:21" ht="17.399999999999999" x14ac:dyDescent="0.3">
      <c r="K282" s="196"/>
      <c r="L282" s="200">
        <v>5</v>
      </c>
      <c r="M282" s="196">
        <f t="shared" si="49"/>
        <v>0</v>
      </c>
      <c r="N282" s="196"/>
      <c r="O282" s="196"/>
      <c r="P282" s="201"/>
      <c r="Q282" s="206" t="str">
        <f t="shared" si="46"/>
        <v/>
      </c>
      <c r="R282" s="206" t="str">
        <f t="shared" si="47"/>
        <v/>
      </c>
      <c r="S282" s="206" t="str">
        <f t="shared" si="48"/>
        <v/>
      </c>
      <c r="T282" s="196"/>
      <c r="U282" s="196"/>
    </row>
    <row r="283" spans="11:21" ht="17.399999999999999" x14ac:dyDescent="0.3">
      <c r="K283" s="196"/>
      <c r="L283" s="200">
        <f>IF(M283=" ","",L282+1)</f>
        <v>6</v>
      </c>
      <c r="M283" s="196">
        <f t="shared" si="49"/>
        <v>0</v>
      </c>
      <c r="N283" s="196"/>
      <c r="O283" s="196"/>
      <c r="P283" s="201"/>
      <c r="Q283" s="206" t="str">
        <f t="shared" si="46"/>
        <v/>
      </c>
      <c r="R283" s="206" t="str">
        <f t="shared" si="47"/>
        <v/>
      </c>
      <c r="S283" s="206" t="str">
        <f t="shared" si="48"/>
        <v/>
      </c>
      <c r="T283" s="196"/>
      <c r="U283" s="196"/>
    </row>
    <row r="284" spans="11:21" ht="17.399999999999999" x14ac:dyDescent="0.3">
      <c r="K284" s="196"/>
      <c r="L284" s="200">
        <f>IF(M284=" ","",L283+1)</f>
        <v>7</v>
      </c>
      <c r="M284" s="196">
        <f t="shared" si="49"/>
        <v>0</v>
      </c>
      <c r="N284" s="196"/>
      <c r="O284" s="196"/>
      <c r="P284" s="201"/>
      <c r="Q284" s="206" t="str">
        <f t="shared" si="46"/>
        <v/>
      </c>
      <c r="R284" s="206" t="str">
        <f t="shared" si="47"/>
        <v/>
      </c>
      <c r="S284" s="206" t="str">
        <f t="shared" si="48"/>
        <v/>
      </c>
      <c r="T284" s="196"/>
      <c r="U284" s="196"/>
    </row>
    <row r="285" spans="11:21" ht="17.399999999999999" x14ac:dyDescent="0.3">
      <c r="K285" s="196"/>
      <c r="L285" s="200">
        <f>IF(M285=" ","",L284+1)</f>
        <v>8</v>
      </c>
      <c r="M285" s="196">
        <f t="shared" si="49"/>
        <v>0</v>
      </c>
      <c r="N285" s="196"/>
      <c r="O285" s="196"/>
      <c r="P285" s="201"/>
      <c r="Q285" s="206" t="str">
        <f t="shared" si="46"/>
        <v/>
      </c>
      <c r="R285" s="206" t="str">
        <f t="shared" si="47"/>
        <v/>
      </c>
      <c r="S285" s="206" t="str">
        <f t="shared" si="48"/>
        <v/>
      </c>
      <c r="T285" s="196"/>
      <c r="U285" s="196"/>
    </row>
    <row r="286" spans="11:21" ht="17.399999999999999" x14ac:dyDescent="0.3">
      <c r="K286" s="196"/>
      <c r="Q286" s="207">
        <f>ABS(Q289)</f>
        <v>0</v>
      </c>
      <c r="R286" s="207">
        <f>ABS(R289)</f>
        <v>0</v>
      </c>
      <c r="S286" s="207">
        <f>ABS(S289)</f>
        <v>0</v>
      </c>
      <c r="T286" s="196"/>
      <c r="U286" s="196"/>
    </row>
    <row r="287" spans="11:21" ht="17.399999999999999" x14ac:dyDescent="0.3">
      <c r="K287" s="196"/>
      <c r="P287" s="197" t="s">
        <v>215</v>
      </c>
      <c r="Q287" s="206">
        <f>MIN(Q278:Q285)</f>
        <v>0</v>
      </c>
      <c r="R287" s="206">
        <f>MIN(R278:R285)</f>
        <v>0</v>
      </c>
      <c r="S287" s="206">
        <f>MIN(S278:S285)</f>
        <v>0</v>
      </c>
      <c r="T287" s="196"/>
      <c r="U287" s="196"/>
    </row>
    <row r="288" spans="11:21" ht="17.399999999999999" x14ac:dyDescent="0.3">
      <c r="K288" s="196"/>
      <c r="P288" s="197" t="s">
        <v>216</v>
      </c>
      <c r="Q288" s="206">
        <f>MAX(Q278:Q285)</f>
        <v>0</v>
      </c>
      <c r="R288" s="206">
        <f>MAX(R278:R285)</f>
        <v>0</v>
      </c>
      <c r="S288" s="206">
        <f>MAX(S278:S285)</f>
        <v>0</v>
      </c>
      <c r="T288" s="196"/>
      <c r="U288" s="196"/>
    </row>
    <row r="289" spans="11:21" ht="17.399999999999999" x14ac:dyDescent="0.3">
      <c r="K289" s="196"/>
      <c r="P289" s="197" t="s">
        <v>217</v>
      </c>
      <c r="Q289" s="206">
        <f>(Q288-Q287)/2</f>
        <v>0</v>
      </c>
      <c r="R289" s="206">
        <f>(R288-R287)/2</f>
        <v>0</v>
      </c>
      <c r="S289" s="206">
        <f>(S288-S287)/2</f>
        <v>0</v>
      </c>
      <c r="T289" s="196"/>
      <c r="U289" s="196"/>
    </row>
    <row r="290" spans="11:21" ht="17.399999999999999" x14ac:dyDescent="0.3">
      <c r="K290" s="196"/>
      <c r="T290" s="196"/>
      <c r="U290" s="196"/>
    </row>
    <row r="291" spans="11:21" ht="17.399999999999999" x14ac:dyDescent="0.3">
      <c r="K291" s="196"/>
      <c r="L291" s="200"/>
      <c r="M291" s="196" t="str">
        <f t="shared" ref="M291:M296" si="50">IF($C$4="Yes","",AD369)</f>
        <v/>
      </c>
      <c r="T291" s="196"/>
      <c r="U291" s="196"/>
    </row>
    <row r="292" spans="11:21" ht="17.399999999999999" x14ac:dyDescent="0.3">
      <c r="K292" s="196"/>
      <c r="L292" s="200" t="str">
        <f>IF(M292="","",1)</f>
        <v/>
      </c>
      <c r="M292" s="196" t="str">
        <f t="shared" si="50"/>
        <v/>
      </c>
      <c r="N292" s="196"/>
      <c r="O292" s="196"/>
      <c r="Q292" s="206">
        <f>IF(C270="Yes","",B273)</f>
        <v>0</v>
      </c>
      <c r="T292" s="196"/>
      <c r="U292" s="196"/>
    </row>
    <row r="293" spans="11:21" ht="17.399999999999999" x14ac:dyDescent="0.3">
      <c r="K293" s="196"/>
      <c r="L293" s="200" t="str">
        <f>IF(M293="","",2)</f>
        <v/>
      </c>
      <c r="M293" s="196" t="str">
        <f t="shared" si="50"/>
        <v/>
      </c>
      <c r="P293" s="196"/>
      <c r="Q293" s="206">
        <f>IF(C271="Yes","",B274)</f>
        <v>0</v>
      </c>
      <c r="T293" s="196"/>
      <c r="U293" s="196"/>
    </row>
    <row r="294" spans="11:21" ht="17.399999999999999" x14ac:dyDescent="0.3">
      <c r="K294" s="196"/>
      <c r="L294" s="200" t="str">
        <f>IF(M294="","",3)</f>
        <v/>
      </c>
      <c r="M294" s="196" t="str">
        <f t="shared" si="50"/>
        <v/>
      </c>
      <c r="N294" s="196"/>
      <c r="P294" s="196"/>
      <c r="Q294" s="206">
        <f>IF(C272="Yes","",B275)</f>
        <v>0</v>
      </c>
      <c r="R294" s="204"/>
      <c r="S294" s="204"/>
      <c r="T294" s="196"/>
      <c r="U294" s="196"/>
    </row>
    <row r="295" spans="11:21" ht="17.399999999999999" x14ac:dyDescent="0.3">
      <c r="K295" s="196"/>
      <c r="L295" s="200" t="str">
        <f>IF(M295="","",4)</f>
        <v/>
      </c>
      <c r="M295" s="196" t="str">
        <f t="shared" si="50"/>
        <v/>
      </c>
      <c r="Q295" s="206">
        <f>IF(C273="Yes","",B276)</f>
        <v>0</v>
      </c>
      <c r="R295" s="205"/>
      <c r="S295" s="205"/>
      <c r="T295" s="196"/>
      <c r="U295" s="196"/>
    </row>
    <row r="296" spans="11:21" ht="17.399999999999999" x14ac:dyDescent="0.3">
      <c r="K296" s="196"/>
      <c r="L296" s="200" t="str">
        <f>IF(M296="","",5)</f>
        <v/>
      </c>
      <c r="M296" s="196" t="str">
        <f t="shared" si="50"/>
        <v/>
      </c>
      <c r="O296" s="197"/>
      <c r="Q296" s="206">
        <f>IF(C274="Yes","",B277)</f>
        <v>0</v>
      </c>
      <c r="R296" s="203"/>
      <c r="S296" s="203"/>
      <c r="U296" s="196"/>
    </row>
    <row r="297" spans="11:21" ht="17.399999999999999" x14ac:dyDescent="0.3">
      <c r="K297" s="196"/>
      <c r="L297" s="196"/>
      <c r="R297" s="203"/>
      <c r="S297" s="203"/>
      <c r="T297" s="202"/>
      <c r="U297" s="196"/>
    </row>
    <row r="298" spans="11:21" ht="17.399999999999999" x14ac:dyDescent="0.3">
      <c r="K298" s="196"/>
      <c r="R298" s="203"/>
      <c r="S298" s="203"/>
      <c r="T298" s="202"/>
      <c r="U298" s="196"/>
    </row>
    <row r="299" spans="11:21" ht="17.399999999999999" x14ac:dyDescent="0.3">
      <c r="K299" s="196"/>
      <c r="L299" s="196"/>
      <c r="P299" s="197" t="str">
        <f>IF($C$4="Yes","",AD375)</f>
        <v/>
      </c>
      <c r="Q299" s="256">
        <f>C278</f>
        <v>0</v>
      </c>
      <c r="U299" s="196"/>
    </row>
    <row r="300" spans="11:21" ht="17.399999999999999" x14ac:dyDescent="0.3">
      <c r="K300" s="196"/>
      <c r="P300" s="197" t="s">
        <v>227</v>
      </c>
      <c r="Q300" s="256">
        <f>HLOOKUP(MAX(Q286:S286),Q286:S289,4,FALSE)</f>
        <v>0</v>
      </c>
      <c r="T300" s="196"/>
      <c r="U300" s="196"/>
    </row>
    <row r="301" spans="11:21" ht="17.399999999999999" x14ac:dyDescent="0.3">
      <c r="K301" s="196"/>
      <c r="L301" s="196"/>
      <c r="M301" s="196"/>
      <c r="P301" s="197" t="s">
        <v>243</v>
      </c>
      <c r="Q301" s="257">
        <f>C269</f>
        <v>0</v>
      </c>
      <c r="R301" s="196"/>
      <c r="S301" s="196"/>
      <c r="T301" s="196"/>
      <c r="U301" s="196"/>
    </row>
    <row r="302" spans="11:21" ht="17.399999999999999" x14ac:dyDescent="0.3">
      <c r="K302" s="196"/>
      <c r="L302" s="196"/>
      <c r="M302" s="196"/>
      <c r="P302" s="197" t="s">
        <v>247</v>
      </c>
      <c r="Q302" s="203" t="str">
        <f>IF(Q300&lt;=Q301,"Pass","Fail")</f>
        <v>Pass</v>
      </c>
      <c r="R302" s="196"/>
      <c r="S302" s="196"/>
      <c r="T302" s="196"/>
      <c r="U302" s="196"/>
    </row>
    <row r="303" spans="11:21" ht="17.399999999999999" x14ac:dyDescent="0.3">
      <c r="K303" s="196"/>
      <c r="L303" s="196"/>
      <c r="M303" s="196"/>
      <c r="O303" s="196"/>
      <c r="P303" s="196"/>
      <c r="Q303" s="196"/>
      <c r="R303" s="196"/>
      <c r="S303" s="196"/>
      <c r="T303" s="196"/>
      <c r="U303" s="196"/>
    </row>
    <row r="304" spans="11:21" ht="17.399999999999999" x14ac:dyDescent="0.3">
      <c r="K304" s="196"/>
      <c r="L304" s="318" t="s">
        <v>228</v>
      </c>
      <c r="M304" s="318"/>
      <c r="N304" s="318"/>
      <c r="O304" s="318"/>
      <c r="P304" s="318"/>
      <c r="Q304" s="318"/>
      <c r="R304" s="318"/>
      <c r="S304" s="318"/>
      <c r="T304" s="196"/>
      <c r="U304" s="196"/>
    </row>
  </sheetData>
  <sheetProtection selectLockedCells="1"/>
  <mergeCells count="8">
    <mergeCell ref="L228:S228"/>
    <mergeCell ref="L266:S266"/>
    <mergeCell ref="L304:S304"/>
    <mergeCell ref="L38:S38"/>
    <mergeCell ref="L76:S76"/>
    <mergeCell ref="L114:S114"/>
    <mergeCell ref="L152:S152"/>
    <mergeCell ref="L190:S190"/>
  </mergeCells>
  <pageMargins left="0.7" right="0.7" top="0.75" bottom="0.75" header="0.3" footer="0.3"/>
  <pageSetup scale="85" orientation="portrait" r:id="rId1"/>
  <rowBreaks count="5" manualBreakCount="5">
    <brk id="38" min="10" max="20" man="1"/>
    <brk id="76" min="10" max="20" man="1"/>
    <brk id="114" min="10" max="20" man="1"/>
    <brk id="152" min="10" max="20" man="1"/>
    <brk id="190" min="10" max="20"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X102"/>
  <sheetViews>
    <sheetView view="pageBreakPreview" topLeftCell="A28" zoomScale="80" zoomScaleNormal="100" zoomScaleSheetLayoutView="80" workbookViewId="0">
      <selection activeCell="L14" sqref="L14:M14"/>
    </sheetView>
  </sheetViews>
  <sheetFormatPr defaultRowHeight="14.4" x14ac:dyDescent="0.3"/>
  <cols>
    <col min="1" max="1" width="14.6640625" style="2" customWidth="1"/>
    <col min="2" max="2" width="11.6640625" customWidth="1"/>
    <col min="3" max="3" width="9.77734375" bestFit="1" customWidth="1"/>
    <col min="9" max="13" width="9.109375" customWidth="1"/>
    <col min="14" max="14" width="9.109375" style="63" customWidth="1"/>
    <col min="15" max="15" width="30.44140625" style="63" customWidth="1"/>
    <col min="16" max="16" width="12.21875" style="63" customWidth="1"/>
    <col min="17" max="17" width="11.5546875" style="63" customWidth="1"/>
    <col min="18" max="18" width="19.109375" style="63" customWidth="1"/>
    <col min="19" max="19" width="3.88671875" style="63" customWidth="1"/>
    <col min="20" max="20" width="21.33203125" style="63" customWidth="1"/>
    <col min="21" max="21" width="12.109375" style="63" customWidth="1"/>
    <col min="22" max="22" width="14" style="63" customWidth="1"/>
    <col min="23" max="102" width="9.109375" style="63"/>
  </cols>
  <sheetData>
    <row r="2" spans="1:102" ht="33.6" x14ac:dyDescent="0.65">
      <c r="A2" s="336" t="s">
        <v>114</v>
      </c>
      <c r="B2" s="336"/>
      <c r="C2" s="336"/>
      <c r="D2" s="336"/>
      <c r="E2" s="336"/>
      <c r="F2" s="336"/>
      <c r="G2" s="336"/>
      <c r="H2" s="336"/>
      <c r="I2" s="336"/>
      <c r="J2" s="336"/>
      <c r="K2" s="336"/>
      <c r="L2" s="336"/>
      <c r="M2" s="336"/>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row>
    <row r="3" spans="1:102" ht="23.4" x14ac:dyDescent="0.45">
      <c r="A3" s="337" t="s">
        <v>115</v>
      </c>
      <c r="B3" s="337"/>
      <c r="C3" s="337"/>
      <c r="D3" s="337"/>
      <c r="E3" s="337"/>
      <c r="F3" s="337"/>
      <c r="G3" s="337"/>
      <c r="H3" s="337"/>
      <c r="I3" s="337"/>
      <c r="J3" s="337"/>
      <c r="K3" s="337"/>
      <c r="L3" s="337"/>
      <c r="M3" s="337"/>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row>
    <row r="4" spans="1:102" ht="23.4" x14ac:dyDescent="0.45">
      <c r="A4" s="337" t="s">
        <v>116</v>
      </c>
      <c r="B4" s="337"/>
      <c r="C4" s="337"/>
      <c r="D4" s="337"/>
      <c r="E4" s="337"/>
      <c r="F4" s="337"/>
      <c r="G4" s="337"/>
      <c r="H4" s="337"/>
      <c r="I4" s="337"/>
      <c r="J4" s="337"/>
      <c r="K4" s="337"/>
      <c r="L4" s="337"/>
      <c r="M4" s="337"/>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row>
    <row r="5" spans="1:102" x14ac:dyDescent="0.3">
      <c r="A5" s="1"/>
      <c r="B5" s="1"/>
      <c r="C5" s="1"/>
      <c r="D5" s="1"/>
      <c r="E5" s="1"/>
      <c r="F5" s="1"/>
      <c r="G5" s="1"/>
      <c r="H5" s="1"/>
      <c r="I5" s="1"/>
      <c r="J5" s="1"/>
      <c r="K5" s="1"/>
      <c r="L5" s="1"/>
      <c r="M5" s="1"/>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row>
    <row r="6" spans="1:102" x14ac:dyDescent="0.3">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row>
    <row r="7" spans="1:102" ht="45.6" x14ac:dyDescent="0.8">
      <c r="A7" s="338" t="str">
        <f>IF(R16=TRUE,"Certificate of Inspection","Certificate of Calibration")</f>
        <v>Certificate of Calibration</v>
      </c>
      <c r="B7" s="338"/>
      <c r="C7" s="338"/>
      <c r="D7" s="338"/>
      <c r="E7" s="338"/>
      <c r="F7" s="338"/>
      <c r="G7" s="338"/>
      <c r="H7" s="338"/>
      <c r="I7" s="338"/>
      <c r="J7" s="338"/>
      <c r="K7" s="338"/>
      <c r="L7" s="338"/>
      <c r="M7" s="338"/>
      <c r="O7" s="65"/>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ht="23.4" x14ac:dyDescent="0.45">
      <c r="A8" s="66"/>
      <c r="B8" s="66"/>
      <c r="C8" s="66"/>
      <c r="D8" s="66"/>
      <c r="E8" s="66"/>
      <c r="F8" s="67"/>
      <c r="G8" s="66"/>
      <c r="H8" s="66"/>
      <c r="I8" s="66"/>
      <c r="J8" s="66"/>
      <c r="K8" s="66"/>
      <c r="L8" s="66"/>
      <c r="M8" s="66"/>
      <c r="O8" s="65"/>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ht="18" x14ac:dyDescent="0.35">
      <c r="B9" s="68" t="s">
        <v>252</v>
      </c>
      <c r="C9" s="75" t="str">
        <f>'The details'!D2</f>
        <v>56561-045570</v>
      </c>
      <c r="M9" s="70" t="str">
        <f>CONCATENATE("Page 1 of ",'The details'!G16)</f>
        <v>Page 1 of 2</v>
      </c>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row>
    <row r="10" spans="1:102" ht="18" x14ac:dyDescent="0.35">
      <c r="B10" s="68" t="s">
        <v>117</v>
      </c>
      <c r="C10" s="333" t="str">
        <f>'The details'!D3</f>
        <v>Orizon Aerostructures Assembly</v>
      </c>
      <c r="D10" s="333"/>
      <c r="E10" s="333"/>
      <c r="F10" s="333"/>
      <c r="G10" s="333"/>
      <c r="H10" s="333"/>
      <c r="I10" s="333"/>
      <c r="J10" s="333"/>
      <c r="K10" s="69"/>
      <c r="M10" s="214" t="s">
        <v>118</v>
      </c>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row>
    <row r="11" spans="1:102" ht="18" x14ac:dyDescent="0.35">
      <c r="B11" s="68" t="s">
        <v>119</v>
      </c>
      <c r="C11" s="333" t="str">
        <f>'The details'!D4</f>
        <v>2522 W 21st Street</v>
      </c>
      <c r="D11" s="333"/>
      <c r="E11" s="333"/>
      <c r="F11" s="333"/>
      <c r="G11" s="333"/>
      <c r="H11" s="333"/>
      <c r="I11" s="333"/>
      <c r="J11" s="333"/>
      <c r="K11" s="69"/>
      <c r="M11" s="214" t="s">
        <v>120</v>
      </c>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row>
    <row r="12" spans="1:102" ht="18" x14ac:dyDescent="0.35">
      <c r="B12" s="68"/>
      <c r="C12" s="69"/>
      <c r="E12" s="69"/>
      <c r="H12" s="69"/>
      <c r="I12" s="69"/>
      <c r="J12" s="69"/>
      <c r="K12" s="69"/>
      <c r="L12" s="69"/>
      <c r="M12" s="69"/>
      <c r="P12" s="71"/>
      <c r="Q12" s="71"/>
      <c r="R12" s="72"/>
      <c r="S12" s="73"/>
      <c r="T12" s="73"/>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102" ht="18" x14ac:dyDescent="0.35">
      <c r="B13" s="68" t="s">
        <v>121</v>
      </c>
      <c r="C13" s="74" t="s">
        <v>122</v>
      </c>
      <c r="E13" s="69"/>
      <c r="H13" s="69"/>
      <c r="I13" s="69"/>
      <c r="J13" s="69"/>
      <c r="K13" s="68" t="s">
        <v>123</v>
      </c>
      <c r="L13" s="75" t="str">
        <f>'The details'!D11</f>
        <v>PE, ML</v>
      </c>
      <c r="M13" s="69"/>
      <c r="P13" s="76"/>
      <c r="Q13" s="72"/>
      <c r="R13" s="76"/>
      <c r="S13" s="77"/>
      <c r="T13" s="78"/>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ht="18" x14ac:dyDescent="0.35">
      <c r="B14" s="68" t="s">
        <v>146</v>
      </c>
      <c r="C14" s="75">
        <f>'The details'!D7</f>
        <v>0</v>
      </c>
      <c r="E14" s="79"/>
      <c r="H14" s="69"/>
      <c r="I14" s="69"/>
      <c r="J14" s="69"/>
      <c r="K14" s="68" t="s">
        <v>124</v>
      </c>
      <c r="L14" s="331">
        <f ca="1">'The details'!D9</f>
        <v>45517</v>
      </c>
      <c r="M14" s="332"/>
      <c r="P14" s="76"/>
      <c r="Q14" s="72"/>
      <c r="R14" s="76"/>
      <c r="S14" s="77"/>
      <c r="T14" s="78"/>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ht="18" x14ac:dyDescent="0.35">
      <c r="B15" s="68" t="s">
        <v>125</v>
      </c>
      <c r="C15" s="75" t="str">
        <f>(IF('The details'!D5&lt;&gt;"",'The details'!D5,VLOOKUP('JGI Method Testing'!H2,'tracker specs'!A7:C25,3,FALSE)))</f>
        <v>Leica AT930</v>
      </c>
      <c r="E15" s="79"/>
      <c r="H15" s="69"/>
      <c r="I15" s="69"/>
      <c r="J15" s="69"/>
      <c r="K15" s="68" t="s">
        <v>126</v>
      </c>
      <c r="L15" s="331">
        <f ca="1">IF('The details'!D10="",L14+366,'The details'!D10)</f>
        <v>45882</v>
      </c>
      <c r="M15" s="332"/>
      <c r="P15" s="76"/>
      <c r="Q15" s="72"/>
      <c r="R15" s="76"/>
      <c r="S15" s="77"/>
      <c r="T15" s="78"/>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ht="18" x14ac:dyDescent="0.35">
      <c r="B16" s="68" t="s">
        <v>90</v>
      </c>
      <c r="C16" s="75">
        <f>'The details'!D8</f>
        <v>0</v>
      </c>
      <c r="E16" s="79"/>
      <c r="H16" s="69"/>
      <c r="I16" s="69"/>
      <c r="J16" s="69"/>
      <c r="K16" s="68" t="s">
        <v>127</v>
      </c>
      <c r="L16" s="271">
        <f>'The details'!D12</f>
        <v>74.666666666666671</v>
      </c>
      <c r="M16" s="69"/>
      <c r="P16" s="76"/>
      <c r="Q16" s="72"/>
      <c r="R16" s="80" t="b">
        <f>'The details'!R16</f>
        <v>0</v>
      </c>
      <c r="S16" s="64"/>
      <c r="T16" s="78"/>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2" ht="18" x14ac:dyDescent="0.35">
      <c r="B17" s="68" t="s">
        <v>128</v>
      </c>
      <c r="C17" s="75" t="str">
        <f>'The details'!D14</f>
        <v>Inspection</v>
      </c>
      <c r="F17" s="81" t="str">
        <f>IF(OR('The details'!D15="yes",'The details'!D15="Y"),"-Tested On-Site","")</f>
        <v>-Tested On-Site</v>
      </c>
      <c r="H17" s="69"/>
      <c r="I17" s="69"/>
      <c r="J17" s="69"/>
      <c r="K17" s="68" t="s">
        <v>129</v>
      </c>
      <c r="L17" s="272">
        <f>'The details'!D13</f>
        <v>0</v>
      </c>
      <c r="M17" s="69"/>
      <c r="R17" s="80" t="b">
        <f>'The details'!R15</f>
        <v>1</v>
      </c>
      <c r="S17" s="73"/>
      <c r="T17" s="82"/>
      <c r="U17" s="77"/>
      <c r="V17" s="83"/>
      <c r="W17" s="64"/>
      <c r="X17" s="64"/>
      <c r="Y17" s="64"/>
      <c r="Z17" s="64"/>
      <c r="AA17" s="64"/>
      <c r="AB17" s="64"/>
      <c r="AC17" s="64"/>
      <c r="AD17" s="64"/>
      <c r="AE17" s="64"/>
      <c r="AF17" s="64"/>
      <c r="AG17" s="64"/>
      <c r="AH17" s="64"/>
      <c r="AI17" s="64"/>
      <c r="AJ17" s="64"/>
      <c r="AK17" s="64"/>
      <c r="AL17" s="64"/>
      <c r="AM17" s="64"/>
      <c r="AN17" s="64"/>
      <c r="AO17" s="64"/>
      <c r="AP17" s="64"/>
      <c r="AQ17" s="64"/>
      <c r="AR17" s="64"/>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row>
    <row r="18" spans="1:102" ht="7.5" customHeight="1" x14ac:dyDescent="0.3">
      <c r="A18" s="185" t="s">
        <v>130</v>
      </c>
      <c r="B18" s="185"/>
      <c r="C18" s="186"/>
      <c r="D18" s="186"/>
      <c r="E18" s="186"/>
      <c r="F18" s="186"/>
      <c r="G18" s="186"/>
      <c r="H18" s="186"/>
      <c r="I18" s="186"/>
      <c r="J18" s="187"/>
      <c r="K18" s="188"/>
      <c r="L18" s="187"/>
      <c r="M18" s="188"/>
      <c r="R18" s="84"/>
      <c r="S18" s="73"/>
      <c r="T18" s="82"/>
      <c r="U18" s="77"/>
      <c r="V18" s="83"/>
      <c r="W18" s="64"/>
      <c r="X18" s="64"/>
      <c r="Y18" s="64"/>
      <c r="Z18" s="64"/>
      <c r="AA18" s="64"/>
      <c r="AB18" s="64"/>
      <c r="AC18" s="64"/>
      <c r="AD18" s="64"/>
      <c r="AE18" s="64"/>
      <c r="AF18" s="64"/>
      <c r="AG18" s="64"/>
      <c r="AH18" s="64"/>
      <c r="AI18" s="64"/>
      <c r="AJ18" s="64"/>
      <c r="AK18" s="64"/>
      <c r="AL18" s="64"/>
      <c r="AM18" s="64"/>
      <c r="AN18" s="64"/>
      <c r="AO18" s="64"/>
      <c r="AP18" s="64"/>
      <c r="AQ18" s="64"/>
      <c r="AR18" s="64"/>
    </row>
    <row r="19" spans="1:102" ht="18" x14ac:dyDescent="0.35">
      <c r="A19" s="69"/>
      <c r="B19" s="69"/>
      <c r="C19" s="68" t="s">
        <v>131</v>
      </c>
      <c r="D19" s="333" t="s">
        <v>206</v>
      </c>
      <c r="E19" s="333"/>
      <c r="F19" s="333"/>
      <c r="G19" s="333"/>
      <c r="H19" s="333"/>
      <c r="I19" s="333"/>
      <c r="J19" s="333"/>
      <c r="K19" s="333"/>
      <c r="L19" s="333"/>
      <c r="Q19" s="85"/>
      <c r="R19" s="72"/>
      <c r="S19" s="64"/>
      <c r="T19" s="82"/>
      <c r="U19" s="77"/>
      <c r="V19" s="83"/>
      <c r="W19" s="64"/>
      <c r="X19" s="64"/>
      <c r="Y19" s="64"/>
      <c r="Z19" s="64"/>
      <c r="AA19" s="64"/>
      <c r="AB19" s="64"/>
      <c r="AC19" s="64"/>
      <c r="AD19" s="64"/>
      <c r="AE19" s="64"/>
      <c r="AF19" s="64"/>
      <c r="AG19" s="64"/>
      <c r="AH19" s="64"/>
      <c r="AI19" s="64"/>
      <c r="AJ19" s="64"/>
      <c r="AK19" s="64"/>
      <c r="AL19" s="64"/>
      <c r="AM19" s="64"/>
      <c r="AN19" s="64"/>
      <c r="AO19" s="64"/>
      <c r="AP19" s="64"/>
      <c r="AQ19" s="64"/>
      <c r="AR19" s="64"/>
    </row>
    <row r="20" spans="1:102" ht="18" x14ac:dyDescent="0.35">
      <c r="A20" s="69"/>
      <c r="B20" s="69"/>
      <c r="C20" s="68" t="s">
        <v>132</v>
      </c>
      <c r="D20" s="333" t="s">
        <v>144</v>
      </c>
      <c r="E20" s="333"/>
      <c r="F20" s="333"/>
      <c r="G20" s="333"/>
      <c r="H20" s="333"/>
      <c r="I20" s="333"/>
      <c r="J20" s="333"/>
      <c r="K20" s="333"/>
      <c r="L20" s="333"/>
      <c r="O20" s="86"/>
      <c r="R20" s="72"/>
      <c r="S20" s="64"/>
      <c r="T20" s="87"/>
      <c r="U20" s="88"/>
      <c r="V20" s="83"/>
      <c r="W20" s="64"/>
      <c r="X20" s="64"/>
      <c r="Y20" s="64"/>
      <c r="Z20" s="64"/>
      <c r="AA20" s="64"/>
      <c r="AB20" s="64"/>
      <c r="AC20" s="64"/>
      <c r="AD20" s="64"/>
      <c r="AE20" s="64"/>
      <c r="AF20" s="64"/>
      <c r="AG20" s="64"/>
      <c r="AH20" s="64"/>
      <c r="AI20" s="64"/>
      <c r="AJ20" s="64"/>
      <c r="AK20" s="64"/>
      <c r="AL20" s="64"/>
      <c r="AM20" s="64"/>
      <c r="AN20" s="64"/>
      <c r="AO20" s="64"/>
      <c r="AP20" s="64"/>
      <c r="AQ20" s="64"/>
      <c r="AR20" s="64"/>
    </row>
    <row r="21" spans="1:102" ht="7.5" customHeight="1" x14ac:dyDescent="0.3">
      <c r="A21" s="185" t="s">
        <v>130</v>
      </c>
      <c r="B21" s="185"/>
      <c r="C21" s="186"/>
      <c r="D21" s="186"/>
      <c r="E21" s="186"/>
      <c r="F21" s="186"/>
      <c r="G21" s="186"/>
      <c r="H21" s="186"/>
      <c r="I21" s="186"/>
      <c r="J21" s="187"/>
      <c r="K21" s="188"/>
      <c r="L21" s="187"/>
      <c r="M21" s="188"/>
      <c r="R21" s="72"/>
      <c r="S21" s="64"/>
      <c r="T21" s="82"/>
      <c r="U21" s="77"/>
      <c r="V21" s="83"/>
      <c r="W21" s="64"/>
      <c r="X21" s="64"/>
      <c r="Y21" s="64"/>
      <c r="Z21" s="64"/>
      <c r="AA21" s="64"/>
      <c r="AB21" s="64"/>
      <c r="AC21" s="64"/>
      <c r="AD21" s="64"/>
      <c r="AE21" s="64"/>
      <c r="AF21" s="64"/>
      <c r="AG21" s="64"/>
      <c r="AH21" s="64"/>
      <c r="AI21" s="64"/>
      <c r="AJ21" s="64"/>
      <c r="AK21" s="64"/>
      <c r="AL21" s="64"/>
      <c r="AM21" s="64"/>
      <c r="AN21" s="64"/>
      <c r="AO21" s="64"/>
      <c r="AP21" s="64"/>
      <c r="AQ21" s="64"/>
      <c r="AR21" s="64"/>
    </row>
    <row r="22" spans="1:102" s="69" customFormat="1" ht="18.75" customHeight="1" x14ac:dyDescent="0.35">
      <c r="A22" s="68"/>
      <c r="N22" s="86"/>
      <c r="O22" s="86"/>
      <c r="P22" s="86"/>
      <c r="Q22" s="86"/>
      <c r="R22" s="89"/>
      <c r="S22" s="90"/>
      <c r="T22" s="90"/>
      <c r="U22" s="91"/>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row>
    <row r="23" spans="1:102" s="69" customFormat="1" ht="18" x14ac:dyDescent="0.35">
      <c r="B23" s="334" t="s">
        <v>157</v>
      </c>
      <c r="C23" s="334"/>
      <c r="D23" s="334"/>
      <c r="E23" s="334"/>
      <c r="F23" s="334"/>
      <c r="G23" s="334"/>
      <c r="H23" s="334"/>
      <c r="I23" s="334"/>
      <c r="J23" s="334"/>
      <c r="K23" s="334"/>
      <c r="N23" s="86"/>
      <c r="O23" s="86"/>
      <c r="P23" s="86"/>
      <c r="Q23" s="86"/>
      <c r="R23" s="92"/>
      <c r="S23" s="90"/>
      <c r="T23" s="90"/>
      <c r="U23" s="91"/>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row>
    <row r="24" spans="1:102" ht="18.75" customHeight="1" x14ac:dyDescent="0.3">
      <c r="B24" s="334"/>
      <c r="C24" s="334"/>
      <c r="D24" s="334"/>
      <c r="E24" s="334"/>
      <c r="F24" s="334"/>
      <c r="G24" s="334"/>
      <c r="H24" s="334"/>
      <c r="I24" s="334"/>
      <c r="J24" s="334"/>
      <c r="K24" s="334"/>
    </row>
    <row r="25" spans="1:102" ht="7.5" customHeight="1" x14ac:dyDescent="0.3">
      <c r="A25" s="189"/>
      <c r="B25" s="334"/>
      <c r="C25" s="334"/>
      <c r="D25" s="334"/>
      <c r="E25" s="334"/>
      <c r="F25" s="334"/>
      <c r="G25" s="334"/>
      <c r="H25" s="334"/>
      <c r="I25" s="334"/>
      <c r="J25" s="334"/>
      <c r="K25" s="334"/>
      <c r="L25" s="190"/>
      <c r="M25" s="191"/>
      <c r="R25" s="72"/>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row>
    <row r="26" spans="1:102" ht="17.25" customHeight="1" x14ac:dyDescent="0.3">
      <c r="B26" s="334"/>
      <c r="C26" s="334"/>
      <c r="D26" s="334"/>
      <c r="E26" s="334"/>
      <c r="F26" s="334"/>
      <c r="G26" s="334"/>
      <c r="H26" s="334"/>
      <c r="I26" s="334"/>
      <c r="J26" s="334"/>
      <c r="K26" s="334"/>
      <c r="R26" s="76"/>
      <c r="S26" s="64"/>
      <c r="T26" s="64"/>
      <c r="U26" s="64"/>
      <c r="V26" s="83"/>
      <c r="W26" s="64"/>
      <c r="X26" s="64"/>
      <c r="Y26" s="64"/>
      <c r="Z26" s="64"/>
      <c r="AA26" s="64"/>
      <c r="AB26" s="64"/>
      <c r="AC26" s="64"/>
      <c r="AD26" s="64"/>
      <c r="AE26" s="64"/>
      <c r="AF26" s="64"/>
      <c r="AG26" s="64"/>
      <c r="AH26" s="64"/>
      <c r="AI26" s="64"/>
      <c r="AJ26" s="64"/>
      <c r="AK26" s="64"/>
      <c r="AL26" s="64"/>
      <c r="AM26" s="64"/>
      <c r="AN26" s="64"/>
      <c r="AO26" s="64"/>
      <c r="AP26" s="64"/>
      <c r="AQ26" s="64"/>
      <c r="AR26" s="64"/>
    </row>
    <row r="27" spans="1:102" ht="15" customHeight="1" thickBot="1" x14ac:dyDescent="0.35">
      <c r="A27" s="93"/>
      <c r="B27" s="335" t="s">
        <v>133</v>
      </c>
      <c r="C27" s="335"/>
      <c r="D27" s="335" t="s">
        <v>275</v>
      </c>
      <c r="E27" s="335"/>
      <c r="F27" s="335"/>
      <c r="G27" s="335"/>
      <c r="H27" s="335"/>
      <c r="I27" s="335" t="s">
        <v>134</v>
      </c>
      <c r="J27" s="335"/>
      <c r="K27" s="335"/>
      <c r="L27" s="93"/>
      <c r="M27" s="93"/>
      <c r="O27" s="94"/>
      <c r="R27" s="76"/>
      <c r="S27" s="95"/>
      <c r="T27" s="64"/>
      <c r="U27" s="64"/>
      <c r="V27" s="83"/>
      <c r="W27" s="96"/>
      <c r="X27" s="64"/>
      <c r="Y27" s="96"/>
      <c r="Z27" s="95"/>
      <c r="AA27" s="64"/>
      <c r="AB27" s="64"/>
      <c r="AC27" s="64"/>
      <c r="AD27" s="64"/>
      <c r="AE27" s="64"/>
      <c r="AF27" s="64"/>
      <c r="AG27" s="64"/>
      <c r="AH27" s="64"/>
      <c r="AI27" s="64"/>
      <c r="AJ27" s="64"/>
      <c r="AK27" s="64"/>
      <c r="AL27" s="64"/>
      <c r="AM27" s="64"/>
      <c r="AN27" s="64"/>
      <c r="AO27" s="64"/>
      <c r="AP27" s="64"/>
      <c r="AQ27" s="64"/>
      <c r="AR27" s="64"/>
    </row>
    <row r="28" spans="1:102" ht="15" customHeight="1" x14ac:dyDescent="0.3">
      <c r="A28" s="1"/>
      <c r="B28" s="329" t="str">
        <f>IF(OR(E34&lt;&gt;"",E35&lt;&gt;"",E36&lt;&gt;""),"Final Readings","")</f>
        <v/>
      </c>
      <c r="C28" s="329"/>
      <c r="D28" s="93"/>
      <c r="E28" s="93"/>
      <c r="F28" s="93"/>
      <c r="G28" s="93"/>
      <c r="H28" s="93"/>
      <c r="I28" s="93"/>
      <c r="J28" s="93"/>
      <c r="K28" s="93"/>
      <c r="M28" s="1"/>
      <c r="O28" s="94"/>
      <c r="P28" s="94"/>
      <c r="Q28" s="94"/>
      <c r="R28" s="109"/>
      <c r="S28" s="110"/>
      <c r="T28" s="64"/>
      <c r="U28" s="97"/>
      <c r="V28" s="83"/>
      <c r="W28" s="96"/>
      <c r="X28" s="64"/>
      <c r="Y28" s="96"/>
      <c r="Z28" s="95"/>
      <c r="AA28" s="64"/>
      <c r="AB28" s="64"/>
      <c r="AC28" s="64"/>
      <c r="AD28" s="64"/>
      <c r="AE28" s="64"/>
      <c r="AF28" s="64"/>
      <c r="AG28" s="64"/>
      <c r="AH28" s="64"/>
      <c r="AI28" s="64"/>
      <c r="AJ28" s="64"/>
      <c r="AK28" s="64"/>
      <c r="AL28" s="64"/>
      <c r="AM28" s="64"/>
      <c r="AN28" s="64"/>
      <c r="AO28" s="64"/>
      <c r="AP28" s="64"/>
      <c r="AQ28" s="64"/>
      <c r="AR28" s="64"/>
    </row>
    <row r="29" spans="1:102" x14ac:dyDescent="0.3">
      <c r="A29" s="1"/>
      <c r="B29" s="325" t="s">
        <v>211</v>
      </c>
      <c r="C29" s="325"/>
      <c r="D29" s="93"/>
      <c r="E29" s="328">
        <f>'JGI Method Testing'!X4</f>
        <v>2.491353191487633E-3</v>
      </c>
      <c r="F29" s="328"/>
      <c r="G29" s="328"/>
      <c r="H29" s="146"/>
      <c r="I29" s="328">
        <f>'JGI Method Testing'!W4</f>
        <v>2.0569236744363037E-3</v>
      </c>
      <c r="J29" s="330"/>
      <c r="K29" s="330"/>
      <c r="L29" s="320"/>
      <c r="M29" s="320"/>
      <c r="P29" s="94"/>
      <c r="Q29" s="94"/>
      <c r="R29" s="111"/>
      <c r="S29" s="112"/>
      <c r="T29" s="64"/>
      <c r="U29" s="64"/>
      <c r="V29" s="64"/>
      <c r="W29" s="96"/>
      <c r="X29" s="64"/>
      <c r="Y29" s="96"/>
      <c r="Z29" s="95"/>
      <c r="AA29" s="64"/>
      <c r="AB29" s="64"/>
      <c r="AC29" s="64"/>
      <c r="AD29" s="64"/>
      <c r="AE29" s="64"/>
      <c r="AF29" s="64"/>
      <c r="AG29" s="64"/>
      <c r="AH29" s="64"/>
      <c r="AI29" s="64"/>
      <c r="AJ29" s="64"/>
      <c r="AK29" s="64"/>
      <c r="AL29" s="64"/>
      <c r="AM29" s="64"/>
      <c r="AN29" s="64"/>
      <c r="AO29" s="64"/>
      <c r="AP29" s="64"/>
      <c r="AQ29" s="64"/>
      <c r="AR29" s="64"/>
    </row>
    <row r="30" spans="1:102" ht="15" customHeight="1" x14ac:dyDescent="0.3">
      <c r="A30" s="1"/>
      <c r="B30" s="325" t="s">
        <v>190</v>
      </c>
      <c r="C30" s="325"/>
      <c r="D30" s="147"/>
      <c r="E30" s="328">
        <f>'JGI Method Testing'!I59</f>
        <v>1.5E-3</v>
      </c>
      <c r="F30" s="328"/>
      <c r="G30" s="328"/>
      <c r="H30" s="146"/>
      <c r="I30" s="328">
        <f>AVERAGE('Datasheet, JGI Method'!G28:G35)</f>
        <v>6.3750000000000005E-4</v>
      </c>
      <c r="J30" s="330"/>
      <c r="K30" s="330"/>
      <c r="O30" s="321"/>
      <c r="P30" s="321"/>
      <c r="Q30" s="321"/>
      <c r="R30" s="321"/>
      <c r="S30" s="113"/>
      <c r="T30" s="99" t="b">
        <v>0</v>
      </c>
      <c r="U30" s="64">
        <f>O30</f>
        <v>0</v>
      </c>
      <c r="V30" s="64"/>
      <c r="W30" s="96"/>
      <c r="X30" s="64"/>
      <c r="Y30" s="96"/>
      <c r="Z30" s="95"/>
      <c r="AA30" s="64"/>
      <c r="AB30" s="64"/>
      <c r="AC30" s="64"/>
      <c r="AD30" s="64"/>
      <c r="AE30" s="64"/>
      <c r="AF30" s="64"/>
      <c r="AG30" s="64"/>
      <c r="AH30" s="64"/>
      <c r="AI30" s="64"/>
      <c r="AJ30" s="64"/>
      <c r="AK30" s="64"/>
      <c r="AL30" s="64"/>
      <c r="AM30" s="64"/>
      <c r="AN30" s="64"/>
      <c r="AO30" s="64"/>
      <c r="AP30" s="64"/>
      <c r="AQ30" s="64"/>
      <c r="AR30" s="64"/>
    </row>
    <row r="31" spans="1:102" ht="15" customHeight="1" x14ac:dyDescent="0.3">
      <c r="A31" s="1"/>
      <c r="B31" s="325" t="s">
        <v>191</v>
      </c>
      <c r="C31" s="325"/>
      <c r="D31" s="147"/>
      <c r="E31" s="328">
        <f>'JGI Method Testing'!H24</f>
        <v>2.0913531914885652E-3</v>
      </c>
      <c r="F31" s="328"/>
      <c r="G31" s="328"/>
      <c r="H31" s="146"/>
      <c r="I31" s="328">
        <f>E31</f>
        <v>2.0913531914885652E-3</v>
      </c>
      <c r="J31" s="330"/>
      <c r="K31" s="330"/>
      <c r="O31" s="211"/>
      <c r="P31" s="211"/>
      <c r="Q31" s="211"/>
      <c r="R31" s="211"/>
      <c r="S31" s="113"/>
      <c r="T31" s="99"/>
      <c r="U31" s="64"/>
      <c r="V31" s="64"/>
      <c r="W31" s="96"/>
      <c r="X31" s="64"/>
      <c r="Y31" s="96"/>
      <c r="Z31" s="95"/>
      <c r="AA31" s="64"/>
      <c r="AB31" s="64"/>
      <c r="AC31" s="64"/>
      <c r="AD31" s="64"/>
      <c r="AE31" s="64"/>
      <c r="AF31" s="64"/>
      <c r="AG31" s="64"/>
      <c r="AH31" s="64"/>
      <c r="AI31" s="64"/>
      <c r="AJ31" s="64"/>
      <c r="AK31" s="64"/>
      <c r="AL31" s="64"/>
      <c r="AM31" s="64"/>
      <c r="AN31" s="64"/>
      <c r="AO31" s="64"/>
      <c r="AP31" s="64"/>
      <c r="AQ31" s="64"/>
      <c r="AR31" s="64"/>
    </row>
    <row r="32" spans="1:102" ht="6" customHeight="1" x14ac:dyDescent="0.3">
      <c r="A32" s="1"/>
      <c r="D32" s="125"/>
      <c r="H32" s="125"/>
      <c r="L32" s="320"/>
      <c r="M32" s="320"/>
      <c r="O32" s="114"/>
      <c r="P32" s="114"/>
      <c r="Q32" s="114"/>
      <c r="R32" s="114"/>
      <c r="S32" s="113"/>
      <c r="T32" s="100" t="b">
        <v>0</v>
      </c>
      <c r="U32" s="64">
        <f>O33</f>
        <v>0</v>
      </c>
      <c r="V32" s="64"/>
      <c r="W32" s="64"/>
      <c r="X32" s="64"/>
      <c r="Y32" s="64"/>
      <c r="Z32" s="64"/>
      <c r="AA32" s="64"/>
      <c r="AB32" s="64"/>
      <c r="AC32" s="64"/>
      <c r="AD32" s="64"/>
      <c r="AE32" s="64"/>
      <c r="AF32" s="64"/>
      <c r="AG32" s="64"/>
      <c r="AH32" s="64"/>
      <c r="AI32" s="64"/>
      <c r="AJ32" s="64"/>
      <c r="AK32" s="64"/>
      <c r="AL32" s="64"/>
      <c r="AM32" s="64"/>
      <c r="AN32" s="64"/>
      <c r="AO32" s="64"/>
      <c r="AP32" s="64"/>
      <c r="AQ32" s="64"/>
      <c r="AR32" s="64"/>
    </row>
    <row r="33" spans="1:102" x14ac:dyDescent="0.3">
      <c r="A33" s="1"/>
      <c r="B33" s="329" t="str">
        <f>IF(OR(E34&lt;&gt;"",E35&lt;&gt;"",E36&lt;&gt;""),"Preliminary Readings","")</f>
        <v/>
      </c>
      <c r="C33" s="329"/>
      <c r="F33" s="152"/>
      <c r="J33" s="152"/>
      <c r="L33" s="320"/>
      <c r="M33" s="320"/>
      <c r="O33" s="321"/>
      <c r="P33" s="321"/>
      <c r="Q33" s="321"/>
      <c r="R33" s="321"/>
      <c r="S33" s="113"/>
      <c r="T33" s="80" t="b">
        <v>0</v>
      </c>
      <c r="U33" s="101">
        <f>O35</f>
        <v>0</v>
      </c>
      <c r="V33" s="83"/>
      <c r="W33" s="64"/>
      <c r="X33" s="64"/>
      <c r="Y33" s="64"/>
      <c r="Z33" s="64"/>
      <c r="AA33" s="64"/>
      <c r="AB33" s="64"/>
      <c r="AC33" s="64"/>
      <c r="AD33" s="64"/>
      <c r="AE33" s="64"/>
      <c r="AF33" s="64"/>
      <c r="AG33" s="64"/>
      <c r="AH33" s="64"/>
      <c r="AI33" s="64"/>
      <c r="AJ33" s="64"/>
      <c r="AK33" s="64"/>
      <c r="AL33" s="64"/>
      <c r="AM33" s="64"/>
      <c r="AN33" s="64"/>
      <c r="AO33" s="64"/>
      <c r="AP33" s="64"/>
      <c r="AQ33" s="64"/>
      <c r="AR33" s="64"/>
    </row>
    <row r="34" spans="1:102" x14ac:dyDescent="0.3">
      <c r="A34"/>
      <c r="B34" s="325" t="str">
        <f>IF(E34&lt;&gt;"",B29,"")</f>
        <v/>
      </c>
      <c r="C34" s="325"/>
      <c r="D34" s="125"/>
      <c r="E34" s="328" t="str">
        <f>'JGI Method Testing'!AB35</f>
        <v/>
      </c>
      <c r="F34" s="328"/>
      <c r="G34" s="328"/>
      <c r="I34" s="328" t="str">
        <f>'JGI Method Testing'!AA35</f>
        <v/>
      </c>
      <c r="J34" s="328"/>
      <c r="K34" s="328"/>
      <c r="L34" s="320"/>
      <c r="M34" s="320"/>
      <c r="O34" s="115"/>
      <c r="P34" s="115"/>
      <c r="Q34" s="115"/>
      <c r="R34" s="115"/>
      <c r="S34" s="113"/>
      <c r="T34" s="80" t="b">
        <v>0</v>
      </c>
      <c r="U34" s="101">
        <f>O37</f>
        <v>0</v>
      </c>
      <c r="V34" s="83"/>
      <c r="W34" s="64"/>
      <c r="X34" s="64"/>
      <c r="Y34" s="64"/>
      <c r="Z34" s="64"/>
      <c r="AA34" s="64"/>
      <c r="AB34" s="64"/>
      <c r="AC34" s="64"/>
      <c r="AD34" s="64"/>
      <c r="AE34" s="64"/>
      <c r="AF34" s="64"/>
      <c r="AG34" s="64"/>
      <c r="AH34" s="64"/>
      <c r="AI34" s="64"/>
      <c r="AJ34" s="64"/>
      <c r="AK34" s="64"/>
      <c r="AL34" s="64"/>
      <c r="AM34" s="64"/>
      <c r="AN34" s="64"/>
      <c r="AO34" s="64"/>
      <c r="AP34" s="64"/>
      <c r="AQ34" s="64"/>
      <c r="AR34" s="64"/>
    </row>
    <row r="35" spans="1:102" x14ac:dyDescent="0.3">
      <c r="A35" s="1"/>
      <c r="B35" s="325" t="str">
        <f>IF(E35&lt;&gt;"",B30,"")</f>
        <v/>
      </c>
      <c r="C35" s="325"/>
      <c r="D35" s="125"/>
      <c r="E35" s="328" t="str">
        <f>'JGI Method Testing'!K59</f>
        <v/>
      </c>
      <c r="F35" s="328"/>
      <c r="G35" s="328"/>
      <c r="I35" s="328" t="str">
        <f>'JGI Method Testing'!K58</f>
        <v/>
      </c>
      <c r="J35" s="328"/>
      <c r="K35" s="328"/>
      <c r="L35" s="320"/>
      <c r="M35" s="320"/>
      <c r="O35" s="321"/>
      <c r="P35" s="321"/>
      <c r="Q35" s="321"/>
      <c r="R35" s="321"/>
      <c r="S35" s="113"/>
      <c r="T35" s="80" t="b">
        <v>0</v>
      </c>
      <c r="U35" s="97">
        <f>O39</f>
        <v>0</v>
      </c>
      <c r="V35" s="83"/>
      <c r="W35" s="64"/>
      <c r="X35" s="64"/>
      <c r="Y35" s="64"/>
      <c r="Z35" s="64"/>
      <c r="AA35" s="64"/>
      <c r="AB35" s="64"/>
      <c r="AC35" s="64"/>
      <c r="AD35" s="64"/>
      <c r="AE35" s="64"/>
      <c r="AF35" s="64"/>
      <c r="AG35" s="64"/>
      <c r="AH35" s="64"/>
      <c r="AI35" s="64"/>
      <c r="AJ35" s="64"/>
      <c r="AK35" s="64"/>
      <c r="AL35" s="64"/>
      <c r="AM35" s="64"/>
      <c r="AN35" s="64"/>
      <c r="AO35" s="64"/>
      <c r="AP35" s="64"/>
      <c r="AQ35" s="64"/>
      <c r="AR35" s="64"/>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row>
    <row r="36" spans="1:102" x14ac:dyDescent="0.3">
      <c r="A36" s="1"/>
      <c r="B36" s="325" t="str">
        <f>IF(E36&lt;&gt;"",B31,"")</f>
        <v/>
      </c>
      <c r="C36" s="325"/>
      <c r="D36" s="125"/>
      <c r="E36" s="328"/>
      <c r="F36" s="328"/>
      <c r="G36" s="328"/>
      <c r="I36" s="328"/>
      <c r="J36" s="328"/>
      <c r="K36" s="328"/>
      <c r="L36" s="322"/>
      <c r="M36" s="322"/>
      <c r="O36" s="114"/>
      <c r="P36" s="115"/>
      <c r="Q36" s="115"/>
      <c r="R36" s="115"/>
      <c r="S36" s="113"/>
      <c r="T36" s="64"/>
      <c r="U36" s="97"/>
      <c r="V36" s="83"/>
      <c r="W36" s="64"/>
      <c r="X36" s="64"/>
      <c r="Y36" s="64"/>
      <c r="Z36" s="64"/>
      <c r="AA36" s="64"/>
      <c r="AB36" s="64"/>
      <c r="AC36" s="64"/>
      <c r="AD36" s="64"/>
      <c r="AE36" s="64"/>
      <c r="AF36" s="64"/>
      <c r="AG36" s="64"/>
      <c r="AH36" s="64"/>
      <c r="AI36" s="64"/>
      <c r="AJ36" s="64"/>
      <c r="AK36" s="64"/>
      <c r="AL36" s="64"/>
      <c r="AM36" s="64"/>
      <c r="AN36" s="64"/>
      <c r="AO36" s="64"/>
      <c r="AP36" s="64"/>
      <c r="AQ36" s="64"/>
      <c r="AR36" s="64"/>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row>
    <row r="37" spans="1:102" x14ac:dyDescent="0.3">
      <c r="A37" s="1"/>
      <c r="B37" s="320" t="str">
        <f>CONCATENATE("Uncertainty @ k=2: ",'The details'!D24," µin")</f>
        <v>Uncertainty @ k=2: 600 µin</v>
      </c>
      <c r="C37" s="320"/>
      <c r="D37" s="320"/>
      <c r="E37" s="320"/>
      <c r="F37" s="320"/>
      <c r="G37" s="320"/>
      <c r="H37" s="320"/>
      <c r="I37" s="320"/>
      <c r="J37" s="320"/>
      <c r="K37" s="320"/>
      <c r="L37" s="1"/>
      <c r="M37" s="1"/>
      <c r="O37" s="321"/>
      <c r="P37" s="321"/>
      <c r="Q37" s="321"/>
      <c r="R37" s="321"/>
      <c r="S37" s="113"/>
      <c r="T37" s="64"/>
      <c r="U37" s="97"/>
      <c r="V37" s="83"/>
      <c r="W37" s="64"/>
      <c r="X37" s="64"/>
      <c r="Y37" s="64"/>
      <c r="Z37" s="64"/>
      <c r="AA37" s="64"/>
      <c r="AB37" s="64"/>
      <c r="AC37" s="64"/>
      <c r="AD37" s="64"/>
      <c r="AE37" s="64"/>
      <c r="AF37" s="64"/>
      <c r="AG37" s="64"/>
      <c r="AH37" s="64"/>
      <c r="AI37" s="64"/>
      <c r="AJ37" s="64"/>
      <c r="AK37" s="64"/>
      <c r="AL37" s="64"/>
      <c r="AM37" s="64"/>
      <c r="AN37" s="64"/>
      <c r="AO37" s="64"/>
      <c r="AP37" s="64"/>
      <c r="AQ37" s="64"/>
      <c r="AR37" s="64"/>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row>
    <row r="38" spans="1:102" x14ac:dyDescent="0.3">
      <c r="A38" s="1"/>
      <c r="B38" s="320" t="s">
        <v>145</v>
      </c>
      <c r="C38" s="320"/>
      <c r="D38" s="320"/>
      <c r="E38" s="320"/>
      <c r="F38" s="320"/>
      <c r="G38" s="320"/>
      <c r="H38" s="320"/>
      <c r="I38" s="320"/>
      <c r="J38" s="320"/>
      <c r="K38" s="320"/>
      <c r="L38" s="1"/>
      <c r="M38" s="1"/>
      <c r="O38" s="114"/>
      <c r="P38" s="115"/>
      <c r="Q38" s="115"/>
      <c r="R38" s="115"/>
      <c r="S38" s="113"/>
      <c r="T38" s="64" t="s">
        <v>135</v>
      </c>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row>
    <row r="39" spans="1:102" x14ac:dyDescent="0.3">
      <c r="A39" s="1"/>
      <c r="B39" s="149"/>
      <c r="C39" s="150"/>
      <c r="D39" s="147"/>
      <c r="E39" s="147"/>
      <c r="F39" s="148"/>
      <c r="L39" s="1"/>
      <c r="M39" s="1"/>
      <c r="O39" s="321"/>
      <c r="P39" s="321"/>
      <c r="Q39" s="321"/>
      <c r="R39" s="321"/>
      <c r="S39" s="113"/>
      <c r="T39" s="64" t="s">
        <v>136</v>
      </c>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row>
    <row r="40" spans="1:102" ht="15" customHeight="1" x14ac:dyDescent="0.3">
      <c r="A40" s="326" t="str">
        <f>IF(R17=TRUE,U46,U47)</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B40" s="326"/>
      <c r="C40" s="326"/>
      <c r="D40" s="326"/>
      <c r="E40" s="326"/>
      <c r="F40" s="326"/>
      <c r="G40" s="326"/>
      <c r="H40" s="326"/>
      <c r="I40" s="326"/>
      <c r="J40" s="326"/>
      <c r="K40" s="326"/>
      <c r="L40" s="326"/>
      <c r="M40" s="326"/>
      <c r="Q40" s="102"/>
      <c r="S40" s="113"/>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row>
    <row r="41" spans="1:102" ht="15" customHeight="1" x14ac:dyDescent="0.3">
      <c r="A41" s="326"/>
      <c r="B41" s="326"/>
      <c r="C41" s="326"/>
      <c r="D41" s="326"/>
      <c r="E41" s="326"/>
      <c r="F41" s="326"/>
      <c r="G41" s="326"/>
      <c r="H41" s="326"/>
      <c r="I41" s="326"/>
      <c r="J41" s="326"/>
      <c r="K41" s="326"/>
      <c r="L41" s="326"/>
      <c r="M41" s="326"/>
      <c r="Q41" s="102"/>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row>
    <row r="42" spans="1:102" x14ac:dyDescent="0.3">
      <c r="A42" s="326"/>
      <c r="B42" s="326"/>
      <c r="C42" s="326"/>
      <c r="D42" s="326"/>
      <c r="E42" s="326"/>
      <c r="F42" s="326"/>
      <c r="G42" s="326"/>
      <c r="H42" s="326"/>
      <c r="I42" s="326"/>
      <c r="J42" s="326"/>
      <c r="K42" s="326"/>
      <c r="L42" s="326"/>
      <c r="M42" s="326"/>
      <c r="Q42" s="102"/>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row>
    <row r="43" spans="1:102" x14ac:dyDescent="0.3">
      <c r="A43" s="326"/>
      <c r="B43" s="326"/>
      <c r="C43" s="326"/>
      <c r="D43" s="326"/>
      <c r="E43" s="326"/>
      <c r="F43" s="326"/>
      <c r="G43" s="326"/>
      <c r="H43" s="326"/>
      <c r="I43" s="326"/>
      <c r="J43" s="326"/>
      <c r="K43" s="326"/>
      <c r="L43" s="326"/>
      <c r="M43" s="326"/>
      <c r="Q43" s="102"/>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row>
    <row r="44" spans="1:102" ht="7.5" customHeight="1" x14ac:dyDescent="0.3">
      <c r="A44" s="185" t="s">
        <v>130</v>
      </c>
      <c r="B44" s="185"/>
      <c r="C44" s="186"/>
      <c r="D44" s="186"/>
      <c r="E44" s="186"/>
      <c r="F44" s="186"/>
      <c r="G44" s="186"/>
      <c r="H44" s="186"/>
      <c r="I44" s="186"/>
      <c r="J44" s="187"/>
      <c r="K44" s="188"/>
      <c r="L44" s="187"/>
      <c r="M44" s="188"/>
      <c r="Q44" s="102"/>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row>
    <row r="45" spans="1:102" x14ac:dyDescent="0.3">
      <c r="A45" s="151" t="s">
        <v>256</v>
      </c>
      <c r="B45" s="327" t="str">
        <f>'The details'!D18</f>
        <v>This item was found in tolerance. No adjustments were performed.</v>
      </c>
      <c r="C45" s="327"/>
      <c r="D45" s="327"/>
      <c r="E45" s="327"/>
      <c r="F45" s="327"/>
      <c r="G45" s="327"/>
      <c r="H45" s="327"/>
      <c r="I45" s="327"/>
      <c r="J45" s="327"/>
      <c r="K45" s="327"/>
      <c r="L45" s="327"/>
      <c r="M45" s="327"/>
      <c r="Q45" s="102"/>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row>
    <row r="46" spans="1:102" ht="15.6" x14ac:dyDescent="0.3">
      <c r="A46" s="212"/>
      <c r="B46" s="327"/>
      <c r="C46" s="327"/>
      <c r="D46" s="327"/>
      <c r="E46" s="327"/>
      <c r="F46" s="327"/>
      <c r="G46" s="327"/>
      <c r="H46" s="327"/>
      <c r="I46" s="327"/>
      <c r="J46" s="327"/>
      <c r="K46" s="327"/>
      <c r="L46" s="327"/>
      <c r="M46" s="327"/>
      <c r="Q46" s="102"/>
      <c r="R46" s="102"/>
      <c r="S46" s="64" t="s">
        <v>139</v>
      </c>
      <c r="T46" s="64"/>
      <c r="U46" s="64" t="str">
        <f>IF(OR(L29="*",L32="*",L33="*",L34="*",L35="*",L36="*"),T39,T38)</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row>
    <row r="47" spans="1:102" ht="15" customHeight="1" x14ac:dyDescent="0.3">
      <c r="B47" s="327"/>
      <c r="C47" s="327"/>
      <c r="D47" s="327"/>
      <c r="E47" s="327"/>
      <c r="F47" s="327"/>
      <c r="G47" s="327"/>
      <c r="H47" s="327"/>
      <c r="I47" s="327"/>
      <c r="J47" s="327"/>
      <c r="K47" s="327"/>
      <c r="L47" s="327"/>
      <c r="M47" s="327"/>
      <c r="Q47" s="102"/>
      <c r="R47" s="102"/>
      <c r="S47" s="64" t="s">
        <v>140</v>
      </c>
      <c r="T47" s="64"/>
      <c r="U47" s="64" t="s">
        <v>141</v>
      </c>
      <c r="V47" s="64"/>
      <c r="W47" s="118"/>
      <c r="X47" s="64"/>
      <c r="Y47" s="64"/>
      <c r="Z47" s="64"/>
      <c r="AA47" s="64"/>
      <c r="AB47" s="64"/>
      <c r="AC47" s="64"/>
      <c r="AD47" s="64"/>
      <c r="AE47" s="64"/>
      <c r="AF47" s="64"/>
      <c r="AG47" s="64"/>
      <c r="AH47" s="64"/>
      <c r="AI47" s="64"/>
      <c r="AJ47" s="64"/>
      <c r="AK47" s="64"/>
      <c r="AL47" s="64"/>
      <c r="AM47" s="64"/>
      <c r="AN47" s="64"/>
      <c r="AO47" s="64"/>
      <c r="AP47" s="64"/>
      <c r="AQ47" s="64"/>
      <c r="AR47" s="64"/>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row>
    <row r="48" spans="1:102" ht="15" customHeight="1" x14ac:dyDescent="0.3">
      <c r="A48" s="221" t="s">
        <v>257</v>
      </c>
      <c r="B48" s="213" t="str">
        <f>'The details'!D17</f>
        <v>Used</v>
      </c>
      <c r="C48" s="213"/>
      <c r="D48" s="213"/>
      <c r="E48" s="213"/>
      <c r="F48" s="221" t="str">
        <f>IF(R16=TRUE,"","Result:")</f>
        <v>Result:</v>
      </c>
      <c r="G48" s="215" t="str">
        <f>IF(R16=TRUE,"",'The details'!D22)</f>
        <v>Accepted</v>
      </c>
      <c r="H48" s="213"/>
      <c r="I48" s="213"/>
      <c r="J48" s="213"/>
      <c r="K48" s="213"/>
      <c r="L48" s="213"/>
      <c r="M48" s="213"/>
      <c r="Q48" s="102"/>
      <c r="R48" s="102"/>
      <c r="S48" s="64">
        <f>IF(R17=TRUE,1,2)</f>
        <v>1</v>
      </c>
      <c r="T48" s="64"/>
      <c r="U48" s="64"/>
      <c r="V48" s="64"/>
      <c r="W48" s="118"/>
      <c r="X48" s="64"/>
      <c r="Y48" s="64"/>
      <c r="Z48" s="64"/>
      <c r="AA48" s="64"/>
      <c r="AB48" s="64"/>
      <c r="AC48" s="64"/>
      <c r="AD48" s="64"/>
      <c r="AE48" s="64"/>
      <c r="AF48" s="64"/>
      <c r="AG48" s="64"/>
      <c r="AH48" s="64"/>
      <c r="AI48" s="64"/>
      <c r="AJ48" s="64"/>
      <c r="AK48" s="64"/>
      <c r="AL48" s="64"/>
      <c r="AM48" s="64"/>
      <c r="AN48" s="64"/>
      <c r="AO48" s="64"/>
      <c r="AP48" s="64"/>
      <c r="AQ48" s="64"/>
      <c r="AR48" s="64"/>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row>
    <row r="49" spans="1:102" ht="7.5" customHeight="1" x14ac:dyDescent="0.3">
      <c r="A49" s="323"/>
      <c r="B49" s="323"/>
      <c r="C49" s="323"/>
      <c r="D49" s="323"/>
      <c r="E49" s="323"/>
      <c r="F49" s="323"/>
      <c r="G49" s="323"/>
      <c r="H49" s="323"/>
      <c r="I49" s="323"/>
      <c r="J49" s="323"/>
      <c r="K49" s="323"/>
      <c r="L49" s="323"/>
      <c r="M49" s="323"/>
      <c r="Q49" s="102"/>
      <c r="R49" s="102"/>
      <c r="T49" s="64"/>
      <c r="U49" s="64"/>
      <c r="V49" s="64"/>
      <c r="W49" s="118"/>
      <c r="X49" s="64"/>
      <c r="Y49" s="64"/>
      <c r="Z49" s="64"/>
      <c r="AA49" s="64"/>
      <c r="AB49" s="64"/>
      <c r="AC49" s="64"/>
      <c r="AD49" s="64"/>
      <c r="AE49" s="64"/>
      <c r="AF49" s="64"/>
      <c r="AG49" s="64"/>
      <c r="AH49" s="64"/>
      <c r="AI49" s="64"/>
      <c r="AJ49" s="64"/>
      <c r="AK49" s="64"/>
      <c r="AL49" s="64"/>
      <c r="AM49" s="64"/>
      <c r="AN49" s="64"/>
      <c r="AO49" s="64"/>
      <c r="AP49" s="64"/>
      <c r="AQ49" s="64"/>
      <c r="AR49" s="64"/>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row>
    <row r="50" spans="1:102" ht="19.5" customHeight="1" thickBot="1" x14ac:dyDescent="0.5">
      <c r="A50" s="324" t="s">
        <v>142</v>
      </c>
      <c r="B50" s="324"/>
      <c r="C50" s="324"/>
      <c r="D50" s="324"/>
      <c r="E50" s="324"/>
      <c r="F50" s="324"/>
      <c r="G50" s="324"/>
      <c r="H50" s="324"/>
      <c r="I50" s="324"/>
      <c r="J50" s="324"/>
      <c r="K50" s="324"/>
      <c r="L50" s="324"/>
      <c r="M50" s="324"/>
      <c r="N50" s="103"/>
      <c r="P50" s="72" t="s">
        <v>149</v>
      </c>
      <c r="Q50" s="119" t="s">
        <v>150</v>
      </c>
      <c r="R50" s="102"/>
      <c r="T50" s="119" t="s">
        <v>60</v>
      </c>
      <c r="U50" s="119" t="s">
        <v>152</v>
      </c>
      <c r="V50" s="119" t="s">
        <v>154</v>
      </c>
      <c r="W50" s="118"/>
      <c r="X50" s="64"/>
      <c r="Y50" s="116" t="s">
        <v>151</v>
      </c>
      <c r="Z50" s="64"/>
      <c r="AA50" s="64"/>
      <c r="AB50" s="64"/>
      <c r="AC50" s="64"/>
      <c r="AD50" s="116"/>
      <c r="AE50" s="64"/>
      <c r="AF50" s="64"/>
      <c r="AG50" s="64"/>
      <c r="AH50" s="64"/>
      <c r="AI50" s="64"/>
      <c r="AJ50" s="64"/>
      <c r="AK50" s="64"/>
      <c r="AL50" s="64"/>
      <c r="AM50" s="64"/>
      <c r="AN50" s="64"/>
      <c r="AO50" s="64"/>
      <c r="AP50" s="64"/>
      <c r="AQ50" s="64"/>
      <c r="AR50" s="64"/>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row>
    <row r="51" spans="1:102" ht="15" customHeight="1" thickBot="1" x14ac:dyDescent="0.35">
      <c r="A51" s="104"/>
      <c r="B51" s="319" t="str">
        <f>IFERROR(VLOOKUP(1,$S$51:$Y$67,7,FALSE),"")</f>
        <v>Standard: Reference Length Bar, Serial No.: LTRB1 Certified: 06/05/2024 Due:06/05/2024 Traceability: 56561-059582</v>
      </c>
      <c r="C51" s="319"/>
      <c r="D51" s="319"/>
      <c r="E51" s="319"/>
      <c r="F51" s="319"/>
      <c r="G51" s="319"/>
      <c r="H51" s="319"/>
      <c r="I51" s="319"/>
      <c r="J51" s="319"/>
      <c r="K51" s="319"/>
      <c r="L51" s="319"/>
      <c r="M51" s="104"/>
      <c r="N51" s="121"/>
      <c r="O51" s="122" t="str">
        <f>CONCATENATE(T51," SN: ",U51)</f>
        <v>Reference Length Bar SN: LTRB1</v>
      </c>
      <c r="P51" s="117">
        <f>'The details'!D25</f>
        <v>45448</v>
      </c>
      <c r="Q51" s="117">
        <f>'The details'!D26</f>
        <v>45448</v>
      </c>
      <c r="S51" s="102">
        <f>IF(W51=TRUE,COUNTIF($W$51:W51,"TRUE"),"")</f>
        <v>1</v>
      </c>
      <c r="T51" s="119" t="s">
        <v>153</v>
      </c>
      <c r="U51" s="119" t="s">
        <v>155</v>
      </c>
      <c r="V51" s="119" t="str">
        <f>'The details'!D27</f>
        <v>56561-059582</v>
      </c>
      <c r="W51" s="118" t="b">
        <v>1</v>
      </c>
      <c r="X51" s="64"/>
      <c r="Y51" s="116" t="str">
        <f>CONCATENATE("Standard: ",T51,", Serial No.: ",U51," Certified: ",AD51," Due:",AE51," Traceability: ",V51)</f>
        <v>Standard: Reference Length Bar, Serial No.: LTRB1 Certified: 06/05/2024 Due:06/05/2024 Traceability: 56561-059582</v>
      </c>
      <c r="Z51" s="64"/>
      <c r="AA51" s="64"/>
      <c r="AB51" s="64"/>
      <c r="AC51" s="64"/>
      <c r="AD51" s="116" t="str">
        <f>TEXT(P51,"mm/dd/yyyy")</f>
        <v>06/05/2024</v>
      </c>
      <c r="AE51" s="116" t="str">
        <f>TEXT(Q51,"mm/dd/yyyy")</f>
        <v>06/05/2024</v>
      </c>
      <c r="AF51" s="64"/>
      <c r="AG51" s="64"/>
      <c r="AH51" s="64"/>
      <c r="AI51" s="64"/>
      <c r="AJ51" s="64"/>
      <c r="AK51" s="64"/>
      <c r="AL51" s="64"/>
      <c r="AM51" s="64"/>
      <c r="AN51" s="64"/>
      <c r="AO51" s="64"/>
      <c r="AP51" s="64"/>
      <c r="AQ51" s="64"/>
      <c r="AR51" s="64"/>
    </row>
    <row r="52" spans="1:102" ht="15" customHeight="1" thickBot="1" x14ac:dyDescent="0.35">
      <c r="A52" s="104"/>
      <c r="B52" s="319" t="str">
        <f>IFERROR(VLOOKUP(2,$S$51:$Y$67,7,FALSE),"")</f>
        <v/>
      </c>
      <c r="C52" s="319"/>
      <c r="D52" s="319"/>
      <c r="E52" s="319"/>
      <c r="F52" s="319"/>
      <c r="G52" s="319"/>
      <c r="H52" s="319"/>
      <c r="I52" s="319"/>
      <c r="J52" s="319"/>
      <c r="K52" s="319"/>
      <c r="L52" s="319"/>
      <c r="M52" s="104"/>
      <c r="N52" s="121"/>
      <c r="O52" s="122" t="str">
        <f t="shared" ref="O52:O62" si="0">CONCATENATE(T52," SN: ",U52)</f>
        <v>Reference Length Bar SN: LTRB2</v>
      </c>
      <c r="P52" s="117">
        <v>42715</v>
      </c>
      <c r="Q52" s="117">
        <v>43080</v>
      </c>
      <c r="S52" s="102" t="str">
        <f>IF(W52=TRUE,COUNTIF($W$51:W52,"TRUE"),"")</f>
        <v/>
      </c>
      <c r="T52" s="119" t="s">
        <v>153</v>
      </c>
      <c r="U52" s="119" t="s">
        <v>156</v>
      </c>
      <c r="V52" s="119">
        <v>209919</v>
      </c>
      <c r="W52" s="118" t="b">
        <v>0</v>
      </c>
      <c r="X52" s="64"/>
      <c r="Y52" s="116" t="str">
        <f t="shared" ref="Y52:Y62" si="1">CONCATENATE("Standard: ",T52,", Serial No.: ",U52," Certified: ",AD52," Due:",AE52," Traceability: ",V52)</f>
        <v>Standard: Reference Length Bar, Serial No.: LTRB2 Certified: 12/11/2016 Due:12/11/2017 Traceability: 209919</v>
      </c>
      <c r="Z52" s="64"/>
      <c r="AA52" s="64"/>
      <c r="AB52" s="64"/>
      <c r="AC52" s="64"/>
      <c r="AD52" s="116" t="str">
        <f t="shared" ref="AD52:AD62" si="2">TEXT(P52,"mm/dd/yyyy")</f>
        <v>12/11/2016</v>
      </c>
      <c r="AE52" s="116" t="str">
        <f t="shared" ref="AE52:AE62" si="3">TEXT(Q52,"mm/dd/yyyy")</f>
        <v>12/11/2017</v>
      </c>
      <c r="AF52" s="64"/>
      <c r="AG52" s="64"/>
      <c r="AH52" s="64"/>
      <c r="AI52" s="64"/>
      <c r="AJ52" s="64"/>
      <c r="AK52" s="64"/>
      <c r="AL52" s="64"/>
      <c r="AM52" s="64"/>
      <c r="AN52" s="64"/>
      <c r="AO52" s="64"/>
      <c r="AP52" s="64"/>
      <c r="AQ52" s="64"/>
      <c r="AR52" s="64"/>
    </row>
    <row r="53" spans="1:102" ht="15" customHeight="1" thickBot="1" x14ac:dyDescent="0.35">
      <c r="A53" s="104"/>
      <c r="B53" s="319" t="str">
        <f>IFERROR(VLOOKUP(3,$S$51:$Y$67,7,FALSE),"")</f>
        <v/>
      </c>
      <c r="C53" s="319"/>
      <c r="D53" s="319"/>
      <c r="E53" s="319"/>
      <c r="F53" s="319"/>
      <c r="G53" s="319"/>
      <c r="H53" s="319"/>
      <c r="I53" s="319"/>
      <c r="J53" s="319"/>
      <c r="K53" s="319"/>
      <c r="L53" s="319"/>
      <c r="M53" s="104"/>
      <c r="N53" s="121"/>
      <c r="O53" s="122" t="str">
        <f t="shared" si="0"/>
        <v xml:space="preserve"> SN: </v>
      </c>
      <c r="P53" s="98"/>
      <c r="Q53" s="98"/>
      <c r="S53" s="102" t="str">
        <f>IF(W53=TRUE,COUNTIF($W$51:W53,"TRUE"),"")</f>
        <v/>
      </c>
      <c r="T53" s="119"/>
      <c r="U53" s="119"/>
      <c r="V53" s="119"/>
      <c r="W53" s="118" t="b">
        <v>0</v>
      </c>
      <c r="X53" s="64"/>
      <c r="Y53" s="116" t="str">
        <f t="shared" si="1"/>
        <v xml:space="preserve">Standard: , Serial No.:  Certified: 01/00/1900 Due:01/00/1900 Traceability: </v>
      </c>
      <c r="Z53" s="64"/>
      <c r="AA53" s="64"/>
      <c r="AB53" s="64"/>
      <c r="AC53" s="64"/>
      <c r="AD53" s="116" t="str">
        <f t="shared" si="2"/>
        <v>01/00/1900</v>
      </c>
      <c r="AE53" s="116" t="str">
        <f t="shared" si="3"/>
        <v>01/00/1900</v>
      </c>
      <c r="AF53" s="64"/>
      <c r="AG53" s="64"/>
      <c r="AH53" s="64"/>
      <c r="AI53" s="64"/>
      <c r="AJ53" s="64"/>
      <c r="AK53" s="64"/>
      <c r="AL53" s="64"/>
      <c r="AM53" s="64"/>
      <c r="AN53" s="64"/>
      <c r="AO53" s="64"/>
      <c r="AP53" s="64"/>
      <c r="AQ53" s="64"/>
      <c r="AR53" s="64"/>
    </row>
    <row r="54" spans="1:102" ht="15" customHeight="1" thickBot="1" x14ac:dyDescent="0.35">
      <c r="A54" s="104"/>
      <c r="B54" s="319" t="str">
        <f>IFERROR(VLOOKUP(4,$S$51:$Y$67,7,FALSE),"")</f>
        <v/>
      </c>
      <c r="C54" s="319"/>
      <c r="D54" s="319"/>
      <c r="E54" s="319"/>
      <c r="F54" s="319"/>
      <c r="G54" s="319"/>
      <c r="H54" s="319"/>
      <c r="I54" s="319"/>
      <c r="J54" s="319"/>
      <c r="K54" s="319"/>
      <c r="L54" s="319"/>
      <c r="M54" s="104"/>
      <c r="N54" s="121"/>
      <c r="O54" s="122" t="str">
        <f t="shared" si="0"/>
        <v xml:space="preserve"> SN: </v>
      </c>
      <c r="P54" s="98"/>
      <c r="Q54" s="98"/>
      <c r="S54" s="102" t="str">
        <f>IF(W54=TRUE,COUNTIF($W$51:W54,"TRUE"),"")</f>
        <v/>
      </c>
      <c r="T54" s="119"/>
      <c r="U54" s="119"/>
      <c r="V54" s="119"/>
      <c r="W54" s="118" t="b">
        <v>0</v>
      </c>
      <c r="X54" s="64"/>
      <c r="Y54" s="116" t="str">
        <f t="shared" si="1"/>
        <v xml:space="preserve">Standard: , Serial No.:  Certified: 01/00/1900 Due:01/00/1900 Traceability: </v>
      </c>
      <c r="Z54" s="64"/>
      <c r="AA54" s="64"/>
      <c r="AB54" s="64"/>
      <c r="AC54" s="64"/>
      <c r="AD54" s="116" t="str">
        <f t="shared" si="2"/>
        <v>01/00/1900</v>
      </c>
      <c r="AE54" s="116" t="str">
        <f t="shared" si="3"/>
        <v>01/00/1900</v>
      </c>
      <c r="AF54" s="64"/>
      <c r="AG54" s="64"/>
      <c r="AH54" s="64"/>
      <c r="AI54" s="64"/>
      <c r="AJ54" s="64"/>
      <c r="AK54" s="64"/>
      <c r="AL54" s="64"/>
      <c r="AM54" s="64"/>
      <c r="AN54" s="64"/>
      <c r="AO54" s="64"/>
      <c r="AP54" s="64"/>
      <c r="AQ54" s="64"/>
      <c r="AR54" s="64"/>
    </row>
    <row r="55" spans="1:102" ht="15" customHeight="1" thickBot="1" x14ac:dyDescent="0.35">
      <c r="A55" s="104"/>
      <c r="B55" s="319" t="str">
        <f>IFERROR(VLOOKUP(5,$S$51:$Y$67,7,FALSE),"")</f>
        <v/>
      </c>
      <c r="C55" s="319"/>
      <c r="D55" s="319"/>
      <c r="E55" s="319"/>
      <c r="F55" s="319"/>
      <c r="G55" s="319"/>
      <c r="H55" s="319"/>
      <c r="I55" s="319"/>
      <c r="J55" s="319"/>
      <c r="K55" s="319"/>
      <c r="L55" s="319"/>
      <c r="M55" s="104"/>
      <c r="N55" s="121"/>
      <c r="O55" s="122" t="str">
        <f t="shared" si="0"/>
        <v xml:space="preserve"> SN: </v>
      </c>
      <c r="P55" s="98"/>
      <c r="Q55" s="98"/>
      <c r="S55" s="102" t="str">
        <f>IF(W55=TRUE,COUNTIF($W$51:W55,"TRUE"),"")</f>
        <v/>
      </c>
      <c r="T55" s="119"/>
      <c r="U55" s="119"/>
      <c r="V55" s="119"/>
      <c r="W55" s="118" t="b">
        <v>0</v>
      </c>
      <c r="X55" s="64"/>
      <c r="Y55" s="116" t="str">
        <f t="shared" si="1"/>
        <v xml:space="preserve">Standard: , Serial No.:  Certified: 01/00/1900 Due:01/00/1900 Traceability: </v>
      </c>
      <c r="Z55" s="64"/>
      <c r="AA55" s="64"/>
      <c r="AB55" s="64"/>
      <c r="AC55" s="64"/>
      <c r="AD55" s="116" t="str">
        <f t="shared" si="2"/>
        <v>01/00/1900</v>
      </c>
      <c r="AE55" s="116" t="str">
        <f t="shared" si="3"/>
        <v>01/00/1900</v>
      </c>
      <c r="AF55" s="64"/>
      <c r="AG55" s="64"/>
      <c r="AH55" s="64"/>
      <c r="AI55" s="64"/>
      <c r="AJ55" s="64"/>
      <c r="AK55" s="64"/>
      <c r="AL55" s="64"/>
      <c r="AM55" s="64"/>
      <c r="AN55" s="64"/>
      <c r="AO55" s="64"/>
      <c r="AP55" s="64"/>
      <c r="AQ55" s="64"/>
      <c r="AR55" s="64"/>
    </row>
    <row r="56" spans="1:102" ht="15" customHeight="1" thickBot="1" x14ac:dyDescent="0.35">
      <c r="B56" s="319" t="str">
        <f>IFERROR(VLOOKUP(6,$S$51:$Y$67,7,FALSE),"")</f>
        <v/>
      </c>
      <c r="C56" s="319"/>
      <c r="D56" s="319"/>
      <c r="E56" s="319"/>
      <c r="F56" s="319"/>
      <c r="G56" s="319"/>
      <c r="H56" s="319"/>
      <c r="I56" s="319"/>
      <c r="J56" s="319"/>
      <c r="K56" s="319"/>
      <c r="L56" s="319"/>
      <c r="N56" s="121"/>
      <c r="O56" s="122" t="str">
        <f t="shared" si="0"/>
        <v xml:space="preserve"> SN: </v>
      </c>
      <c r="P56" s="98"/>
      <c r="Q56" s="98"/>
      <c r="S56" s="102" t="str">
        <f>IF(W56=TRUE,COUNTIF($W$51:W56,"TRUE"),"")</f>
        <v/>
      </c>
      <c r="T56" s="119"/>
      <c r="U56" s="119"/>
      <c r="V56" s="119"/>
      <c r="W56" s="118" t="b">
        <v>0</v>
      </c>
      <c r="X56" s="64"/>
      <c r="Y56" s="116" t="str">
        <f t="shared" si="1"/>
        <v xml:space="preserve">Standard: , Serial No.:  Certified: 01/00/1900 Due:01/00/1900 Traceability: </v>
      </c>
      <c r="Z56" s="64"/>
      <c r="AA56" s="64"/>
      <c r="AB56" s="64"/>
      <c r="AC56" s="64"/>
      <c r="AD56" s="116" t="str">
        <f t="shared" si="2"/>
        <v>01/00/1900</v>
      </c>
      <c r="AE56" s="116" t="str">
        <f t="shared" si="3"/>
        <v>01/00/1900</v>
      </c>
      <c r="AF56" s="64"/>
      <c r="AG56" s="64"/>
      <c r="AH56" s="64"/>
      <c r="AI56" s="64"/>
      <c r="AJ56" s="64"/>
      <c r="AK56" s="64"/>
      <c r="AL56" s="64"/>
      <c r="AM56" s="64"/>
      <c r="AN56" s="64"/>
      <c r="AO56" s="64"/>
      <c r="AP56" s="64"/>
      <c r="AQ56" s="64"/>
      <c r="AR56" s="64"/>
    </row>
    <row r="57" spans="1:102" ht="15" customHeight="1" thickBot="1" x14ac:dyDescent="0.35">
      <c r="B57" s="319" t="str">
        <f>IFERROR(VLOOKUP(7,$S$51:$Y$67,7,FALSE),"")</f>
        <v/>
      </c>
      <c r="C57" s="319"/>
      <c r="D57" s="319"/>
      <c r="E57" s="319"/>
      <c r="F57" s="319"/>
      <c r="G57" s="319"/>
      <c r="H57" s="319"/>
      <c r="I57" s="319"/>
      <c r="J57" s="319"/>
      <c r="K57" s="319"/>
      <c r="L57" s="319"/>
      <c r="N57" s="121"/>
      <c r="O57" s="122" t="str">
        <f t="shared" si="0"/>
        <v xml:space="preserve"> SN: </v>
      </c>
      <c r="P57" s="98"/>
      <c r="Q57" s="98"/>
      <c r="S57" s="102" t="str">
        <f>IF(W57=TRUE,COUNTIF($W$51:W57,"TRUE"),"")</f>
        <v/>
      </c>
      <c r="T57" s="119"/>
      <c r="U57" s="119"/>
      <c r="V57" s="119"/>
      <c r="W57" s="118" t="b">
        <v>0</v>
      </c>
      <c r="X57" s="64"/>
      <c r="Y57" s="116" t="str">
        <f t="shared" si="1"/>
        <v xml:space="preserve">Standard: , Serial No.:  Certified: 01/00/1900 Due:01/00/1900 Traceability: </v>
      </c>
      <c r="Z57" s="64"/>
      <c r="AA57" s="64"/>
      <c r="AB57" s="64"/>
      <c r="AC57" s="64"/>
      <c r="AD57" s="116" t="str">
        <f t="shared" si="2"/>
        <v>01/00/1900</v>
      </c>
      <c r="AE57" s="116" t="str">
        <f t="shared" si="3"/>
        <v>01/00/1900</v>
      </c>
      <c r="AF57" s="64"/>
      <c r="AG57" s="64"/>
      <c r="AH57" s="64"/>
      <c r="AI57" s="64"/>
      <c r="AJ57" s="64"/>
      <c r="AK57" s="64"/>
      <c r="AL57" s="64"/>
      <c r="AM57" s="64"/>
      <c r="AN57" s="64"/>
      <c r="AO57" s="64"/>
      <c r="AP57" s="64"/>
      <c r="AQ57" s="64"/>
      <c r="AR57" s="64"/>
    </row>
    <row r="58" spans="1:102" ht="15" customHeight="1" thickBot="1" x14ac:dyDescent="0.35">
      <c r="B58" s="319" t="str">
        <f>IFERROR(VLOOKUP(8,$S$51:$Y$67,7,FALSE),"")</f>
        <v/>
      </c>
      <c r="C58" s="319"/>
      <c r="D58" s="319"/>
      <c r="E58" s="319"/>
      <c r="F58" s="319"/>
      <c r="G58" s="319"/>
      <c r="H58" s="319"/>
      <c r="I58" s="319"/>
      <c r="J58" s="319"/>
      <c r="K58" s="319"/>
      <c r="L58" s="319"/>
      <c r="N58" s="121"/>
      <c r="O58" s="122" t="str">
        <f t="shared" si="0"/>
        <v xml:space="preserve"> SN: </v>
      </c>
      <c r="P58" s="98"/>
      <c r="Q58" s="98"/>
      <c r="S58" s="102" t="str">
        <f>IF(W58=TRUE,COUNTIF($W$51:W58,"TRUE"),"")</f>
        <v/>
      </c>
      <c r="T58" s="119"/>
      <c r="U58" s="119"/>
      <c r="V58" s="119"/>
      <c r="W58" s="118" t="b">
        <v>0</v>
      </c>
      <c r="X58" s="64"/>
      <c r="Y58" s="116" t="str">
        <f t="shared" si="1"/>
        <v xml:space="preserve">Standard: , Serial No.:  Certified: 01/00/1900 Due:01/00/1900 Traceability: </v>
      </c>
      <c r="Z58" s="64"/>
      <c r="AA58" s="64"/>
      <c r="AB58" s="64"/>
      <c r="AC58" s="64"/>
      <c r="AD58" s="116" t="str">
        <f t="shared" si="2"/>
        <v>01/00/1900</v>
      </c>
      <c r="AE58" s="116" t="str">
        <f t="shared" si="3"/>
        <v>01/00/1900</v>
      </c>
      <c r="AF58" s="64"/>
      <c r="AG58" s="64"/>
      <c r="AH58" s="64"/>
      <c r="AI58" s="64"/>
      <c r="AJ58" s="64"/>
      <c r="AK58" s="64"/>
      <c r="AL58" s="64"/>
      <c r="AM58" s="64"/>
      <c r="AN58" s="64"/>
      <c r="AO58" s="64"/>
      <c r="AP58" s="64"/>
      <c r="AQ58" s="64"/>
      <c r="AR58" s="64"/>
    </row>
    <row r="59" spans="1:102" ht="15" customHeight="1" thickBot="1" x14ac:dyDescent="0.35">
      <c r="B59" s="319" t="str">
        <f>IFERROR(VLOOKUP(9,$S$51:$Y$67,7,FALSE),"")</f>
        <v/>
      </c>
      <c r="C59" s="319"/>
      <c r="D59" s="319"/>
      <c r="E59" s="319"/>
      <c r="F59" s="319"/>
      <c r="G59" s="319"/>
      <c r="H59" s="319"/>
      <c r="I59" s="319"/>
      <c r="J59" s="319"/>
      <c r="K59" s="319"/>
      <c r="L59" s="319"/>
      <c r="N59" s="121"/>
      <c r="O59" s="122" t="str">
        <f t="shared" si="0"/>
        <v xml:space="preserve"> SN: </v>
      </c>
      <c r="P59" s="98"/>
      <c r="Q59" s="98"/>
      <c r="S59" s="102" t="str">
        <f>IF(W59=TRUE,COUNTIF($W$51:W59,"TRUE"),"")</f>
        <v/>
      </c>
      <c r="T59" s="119"/>
      <c r="U59" s="119"/>
      <c r="V59" s="119"/>
      <c r="W59" s="118" t="b">
        <v>0</v>
      </c>
      <c r="X59" s="64"/>
      <c r="Y59" s="116" t="str">
        <f t="shared" si="1"/>
        <v xml:space="preserve">Standard: , Serial No.:  Certified: 01/00/1900 Due:01/00/1900 Traceability: </v>
      </c>
      <c r="Z59" s="64"/>
      <c r="AA59" s="64"/>
      <c r="AB59" s="64"/>
      <c r="AC59" s="64"/>
      <c r="AD59" s="116" t="str">
        <f t="shared" si="2"/>
        <v>01/00/1900</v>
      </c>
      <c r="AE59" s="116" t="str">
        <f t="shared" si="3"/>
        <v>01/00/1900</v>
      </c>
      <c r="AF59" s="64"/>
      <c r="AG59" s="64"/>
      <c r="AH59" s="64"/>
      <c r="AI59" s="64"/>
      <c r="AJ59" s="64"/>
      <c r="AK59" s="64"/>
      <c r="AL59" s="64"/>
      <c r="AM59" s="64"/>
      <c r="AN59" s="64"/>
      <c r="AO59" s="64"/>
      <c r="AP59" s="64"/>
      <c r="AQ59" s="64"/>
      <c r="AR59" s="64"/>
    </row>
    <row r="60" spans="1:102" ht="15" customHeight="1" thickBot="1" x14ac:dyDescent="0.35">
      <c r="B60" s="319" t="str">
        <f>IFERROR(VLOOKUP(10,$S$51:$Y$67,7,FALSE),"")</f>
        <v/>
      </c>
      <c r="C60" s="319"/>
      <c r="D60" s="319"/>
      <c r="E60" s="319"/>
      <c r="F60" s="319"/>
      <c r="G60" s="319"/>
      <c r="H60" s="319"/>
      <c r="I60" s="319"/>
      <c r="J60" s="319"/>
      <c r="K60" s="319"/>
      <c r="L60" s="319"/>
      <c r="N60" s="121"/>
      <c r="O60" s="122" t="str">
        <f t="shared" si="0"/>
        <v xml:space="preserve"> SN: </v>
      </c>
      <c r="P60" s="98"/>
      <c r="Q60" s="98"/>
      <c r="S60" s="102" t="str">
        <f>IF(W60=TRUE,COUNTIF($W$51:W60,"TRUE"),"")</f>
        <v/>
      </c>
      <c r="T60" s="119"/>
      <c r="U60" s="119"/>
      <c r="V60" s="119"/>
      <c r="W60" s="118" t="b">
        <v>0</v>
      </c>
      <c r="X60" s="64"/>
      <c r="Y60" s="116" t="str">
        <f t="shared" si="1"/>
        <v xml:space="preserve">Standard: , Serial No.:  Certified: 01/00/1900 Due:01/00/1900 Traceability: </v>
      </c>
      <c r="Z60" s="64"/>
      <c r="AA60" s="64"/>
      <c r="AB60" s="64"/>
      <c r="AC60" s="64"/>
      <c r="AD60" s="116" t="str">
        <f t="shared" si="2"/>
        <v>01/00/1900</v>
      </c>
      <c r="AE60" s="116" t="str">
        <f t="shared" si="3"/>
        <v>01/00/1900</v>
      </c>
      <c r="AF60" s="64"/>
      <c r="AG60" s="64"/>
      <c r="AH60" s="64"/>
      <c r="AI60" s="64"/>
      <c r="AJ60" s="64"/>
      <c r="AK60" s="64"/>
      <c r="AL60" s="64"/>
      <c r="AM60" s="64"/>
      <c r="AN60" s="64"/>
      <c r="AO60" s="64"/>
      <c r="AP60" s="64"/>
      <c r="AQ60" s="64"/>
      <c r="AR60" s="64"/>
    </row>
    <row r="61" spans="1:102" ht="15" thickBot="1" x14ac:dyDescent="0.35">
      <c r="A61" s="322" t="s">
        <v>137</v>
      </c>
      <c r="B61" s="322"/>
      <c r="C61" s="322"/>
      <c r="D61" s="322"/>
      <c r="E61" s="322"/>
      <c r="F61" s="322"/>
      <c r="G61" s="322"/>
      <c r="H61" s="322"/>
      <c r="I61" s="322"/>
      <c r="J61" s="322"/>
      <c r="K61" s="322"/>
      <c r="L61" s="322"/>
      <c r="M61" s="322"/>
      <c r="N61" s="121"/>
      <c r="O61" s="122" t="str">
        <f t="shared" si="0"/>
        <v xml:space="preserve"> SN: </v>
      </c>
      <c r="P61" s="98"/>
      <c r="Q61" s="98"/>
      <c r="S61" s="102" t="str">
        <f>IF(W61=TRUE,COUNTIF($W$51:W61,"TRUE"),"")</f>
        <v/>
      </c>
      <c r="T61" s="119"/>
      <c r="U61" s="119"/>
      <c r="V61" s="119"/>
      <c r="W61" s="118" t="b">
        <v>0</v>
      </c>
      <c r="X61" s="64"/>
      <c r="Y61" s="116" t="str">
        <f t="shared" si="1"/>
        <v xml:space="preserve">Standard: , Serial No.:  Certified: 01/00/1900 Due:01/00/1900 Traceability: </v>
      </c>
      <c r="Z61" s="64"/>
      <c r="AA61" s="64"/>
      <c r="AB61" s="64"/>
      <c r="AC61" s="64"/>
      <c r="AD61" s="116" t="str">
        <f t="shared" si="2"/>
        <v>01/00/1900</v>
      </c>
      <c r="AE61" s="116" t="str">
        <f t="shared" si="3"/>
        <v>01/00/1900</v>
      </c>
      <c r="AF61" s="64"/>
      <c r="AG61" s="64"/>
      <c r="AH61" s="64"/>
      <c r="AI61" s="64"/>
      <c r="AJ61" s="64"/>
      <c r="AK61" s="64"/>
      <c r="AL61" s="64"/>
      <c r="AM61" s="64"/>
      <c r="AN61" s="64"/>
      <c r="AO61" s="64"/>
      <c r="AP61" s="64"/>
      <c r="AQ61" s="64"/>
      <c r="AR61" s="64"/>
    </row>
    <row r="62" spans="1:102" s="69" customFormat="1" ht="18.600000000000001" thickBot="1" x14ac:dyDescent="0.4">
      <c r="A62" s="70"/>
      <c r="B62" s="105"/>
      <c r="C62" s="105"/>
      <c r="D62" s="105"/>
      <c r="E62" s="105"/>
      <c r="F62" s="105"/>
      <c r="G62" s="105"/>
      <c r="H62" s="105" t="s">
        <v>143</v>
      </c>
      <c r="J62" s="105"/>
      <c r="K62" s="105"/>
      <c r="L62" s="105"/>
      <c r="M62" s="105"/>
      <c r="N62" s="121"/>
      <c r="O62" s="122" t="str">
        <f t="shared" si="0"/>
        <v xml:space="preserve"> SN: </v>
      </c>
      <c r="P62" s="106"/>
      <c r="Q62" s="98"/>
      <c r="R62" s="63"/>
      <c r="S62" s="102" t="str">
        <f>IF(W62=TRUE,COUNTIF($W$51:W62,"TRUE"),"")</f>
        <v/>
      </c>
      <c r="T62" s="123"/>
      <c r="U62" s="123"/>
      <c r="V62" s="123"/>
      <c r="W62" s="120" t="b">
        <v>0</v>
      </c>
      <c r="X62" s="90"/>
      <c r="Y62" s="116" t="str">
        <f t="shared" si="1"/>
        <v xml:space="preserve">Standard: , Serial No.:  Certified: 01/00/1900 Due:01/00/1900 Traceability: </v>
      </c>
      <c r="Z62" s="90"/>
      <c r="AA62" s="90"/>
      <c r="AB62" s="90"/>
      <c r="AC62" s="90"/>
      <c r="AD62" s="116" t="str">
        <f t="shared" si="2"/>
        <v>01/00/1900</v>
      </c>
      <c r="AE62" s="116" t="str">
        <f t="shared" si="3"/>
        <v>01/00/1900</v>
      </c>
      <c r="AF62" s="90"/>
      <c r="AG62" s="90"/>
      <c r="AH62" s="90"/>
      <c r="AI62" s="90"/>
      <c r="AJ62" s="90"/>
      <c r="AK62" s="90"/>
      <c r="AL62" s="90"/>
      <c r="AM62" s="90"/>
      <c r="AN62" s="90"/>
      <c r="AO62" s="90"/>
      <c r="AP62" s="90"/>
      <c r="AQ62" s="90"/>
      <c r="AR62" s="90"/>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c r="CT62" s="86"/>
      <c r="CU62" s="86"/>
      <c r="CV62" s="86"/>
      <c r="CW62" s="86"/>
      <c r="CX62" s="86"/>
    </row>
    <row r="63" spans="1:102" s="63" customFormat="1" x14ac:dyDescent="0.3">
      <c r="A63" s="107"/>
      <c r="Q63" s="102"/>
      <c r="R63" s="102"/>
      <c r="S63" s="116"/>
      <c r="T63" s="118"/>
      <c r="U63" s="118"/>
      <c r="V63" s="118"/>
      <c r="W63" s="118"/>
      <c r="X63" s="64"/>
      <c r="Y63" s="64"/>
      <c r="Z63" s="64"/>
      <c r="AA63" s="64"/>
      <c r="AB63" s="64"/>
      <c r="AC63" s="64"/>
      <c r="AD63" s="64"/>
      <c r="AE63" s="64"/>
      <c r="AF63" s="64"/>
      <c r="AG63" s="64"/>
      <c r="AH63" s="64"/>
      <c r="AI63" s="64"/>
      <c r="AJ63" s="64"/>
      <c r="AK63" s="64"/>
      <c r="AL63" s="64"/>
      <c r="AM63" s="64"/>
      <c r="AN63" s="64"/>
      <c r="AO63" s="64"/>
      <c r="AP63" s="64"/>
      <c r="AQ63" s="64"/>
      <c r="AR63" s="64"/>
    </row>
    <row r="64" spans="1:102" s="63" customFormat="1" x14ac:dyDescent="0.3">
      <c r="A64" s="107"/>
      <c r="Q64" s="102"/>
      <c r="R64" s="102"/>
      <c r="S64" s="116"/>
      <c r="T64" s="116"/>
      <c r="U64" s="116"/>
      <c r="V64" s="64"/>
      <c r="W64" s="118"/>
      <c r="X64" s="64"/>
      <c r="Y64" s="64"/>
      <c r="Z64" s="64"/>
      <c r="AA64" s="64"/>
      <c r="AB64" s="64"/>
      <c r="AC64" s="64"/>
      <c r="AD64" s="64"/>
      <c r="AE64" s="64"/>
      <c r="AF64" s="64"/>
      <c r="AG64" s="64"/>
      <c r="AH64" s="64"/>
      <c r="AI64" s="64"/>
      <c r="AJ64" s="64"/>
      <c r="AK64" s="64"/>
      <c r="AL64" s="64"/>
      <c r="AM64" s="64"/>
      <c r="AN64" s="64"/>
      <c r="AO64" s="64"/>
      <c r="AP64" s="64"/>
      <c r="AQ64" s="64"/>
      <c r="AR64" s="64"/>
    </row>
    <row r="65" spans="1:44" s="63" customFormat="1" x14ac:dyDescent="0.3">
      <c r="A65" s="107"/>
      <c r="Q65" s="102"/>
      <c r="R65" s="102"/>
      <c r="S65" s="64"/>
      <c r="T65" s="64"/>
      <c r="U65" s="64"/>
      <c r="V65" s="64"/>
      <c r="W65" s="118"/>
      <c r="X65" s="64"/>
      <c r="Y65" s="64"/>
      <c r="Z65" s="64"/>
      <c r="AA65" s="64"/>
      <c r="AB65" s="64"/>
      <c r="AC65" s="64"/>
      <c r="AD65" s="64"/>
      <c r="AE65" s="64"/>
      <c r="AF65" s="64"/>
      <c r="AG65" s="64"/>
      <c r="AH65" s="64"/>
      <c r="AI65" s="64"/>
      <c r="AJ65" s="64"/>
      <c r="AK65" s="64"/>
      <c r="AL65" s="64"/>
      <c r="AM65" s="64"/>
      <c r="AN65" s="64"/>
      <c r="AO65" s="64"/>
      <c r="AP65" s="64"/>
      <c r="AQ65" s="64"/>
      <c r="AR65" s="64"/>
    </row>
    <row r="66" spans="1:44" s="63" customFormat="1" x14ac:dyDescent="0.3">
      <c r="A66" s="107"/>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row>
    <row r="67" spans="1:44" s="63" customFormat="1" x14ac:dyDescent="0.3">
      <c r="A67" s="107"/>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row>
    <row r="68" spans="1:44" s="63" customFormat="1" x14ac:dyDescent="0.3">
      <c r="A68" s="107"/>
    </row>
    <row r="69" spans="1:44" s="63" customFormat="1" x14ac:dyDescent="0.3">
      <c r="A69" s="107"/>
    </row>
    <row r="70" spans="1:44" s="63" customFormat="1" x14ac:dyDescent="0.3">
      <c r="A70" s="107"/>
    </row>
    <row r="71" spans="1:44" s="63" customFormat="1" x14ac:dyDescent="0.3">
      <c r="A71" s="107"/>
    </row>
    <row r="72" spans="1:44" s="63" customFormat="1" x14ac:dyDescent="0.3">
      <c r="A72" s="107"/>
    </row>
    <row r="73" spans="1:44" s="63" customFormat="1" x14ac:dyDescent="0.3">
      <c r="A73" s="107"/>
    </row>
    <row r="74" spans="1:44" s="63" customFormat="1" x14ac:dyDescent="0.3">
      <c r="A74" s="107"/>
    </row>
    <row r="75" spans="1:44" s="63" customFormat="1" x14ac:dyDescent="0.3">
      <c r="A75" s="107"/>
    </row>
    <row r="76" spans="1:44" s="63" customFormat="1" x14ac:dyDescent="0.3">
      <c r="A76" s="107"/>
    </row>
    <row r="77" spans="1:44" s="63" customFormat="1" x14ac:dyDescent="0.3">
      <c r="A77" s="107"/>
    </row>
    <row r="78" spans="1:44" s="63" customFormat="1" x14ac:dyDescent="0.3">
      <c r="A78" s="107"/>
    </row>
    <row r="79" spans="1:44" s="63" customFormat="1" x14ac:dyDescent="0.3">
      <c r="A79" s="107"/>
    </row>
    <row r="80" spans="1:44" s="63" customFormat="1" x14ac:dyDescent="0.3">
      <c r="A80" s="107"/>
    </row>
    <row r="81" spans="1:1" s="63" customFormat="1" x14ac:dyDescent="0.3">
      <c r="A81" s="107"/>
    </row>
    <row r="82" spans="1:1" s="63" customFormat="1" x14ac:dyDescent="0.3">
      <c r="A82" s="107"/>
    </row>
    <row r="83" spans="1:1" s="63" customFormat="1" x14ac:dyDescent="0.3">
      <c r="A83" s="107"/>
    </row>
    <row r="84" spans="1:1" s="63" customFormat="1" x14ac:dyDescent="0.3">
      <c r="A84" s="107"/>
    </row>
    <row r="85" spans="1:1" s="63" customFormat="1" x14ac:dyDescent="0.3">
      <c r="A85" s="107"/>
    </row>
    <row r="86" spans="1:1" s="63" customFormat="1" x14ac:dyDescent="0.3">
      <c r="A86" s="107"/>
    </row>
    <row r="87" spans="1:1" s="63" customFormat="1" x14ac:dyDescent="0.3">
      <c r="A87" s="107"/>
    </row>
    <row r="88" spans="1:1" s="63" customFormat="1" x14ac:dyDescent="0.3">
      <c r="A88" s="107"/>
    </row>
    <row r="89" spans="1:1" s="63" customFormat="1" x14ac:dyDescent="0.3">
      <c r="A89" s="107"/>
    </row>
    <row r="90" spans="1:1" s="63" customFormat="1" x14ac:dyDescent="0.3">
      <c r="A90" s="107"/>
    </row>
    <row r="91" spans="1:1" s="63" customFormat="1" x14ac:dyDescent="0.3">
      <c r="A91" s="107"/>
    </row>
    <row r="92" spans="1:1" s="63" customFormat="1" x14ac:dyDescent="0.3">
      <c r="A92" s="107"/>
    </row>
    <row r="93" spans="1:1" s="63" customFormat="1" x14ac:dyDescent="0.3">
      <c r="A93" s="107"/>
    </row>
    <row r="94" spans="1:1" s="63" customFormat="1" x14ac:dyDescent="0.3">
      <c r="A94" s="107"/>
    </row>
    <row r="95" spans="1:1" s="63" customFormat="1" x14ac:dyDescent="0.3">
      <c r="A95" s="107"/>
    </row>
    <row r="96" spans="1:1" s="63" customFormat="1" x14ac:dyDescent="0.3">
      <c r="A96" s="107"/>
    </row>
    <row r="97" spans="1:1" s="63" customFormat="1" x14ac:dyDescent="0.3">
      <c r="A97" s="107"/>
    </row>
    <row r="98" spans="1:1" s="63" customFormat="1" x14ac:dyDescent="0.3">
      <c r="A98" s="107"/>
    </row>
    <row r="99" spans="1:1" s="63" customFormat="1" x14ac:dyDescent="0.3">
      <c r="A99" s="107"/>
    </row>
    <row r="100" spans="1:1" s="63" customFormat="1" x14ac:dyDescent="0.3">
      <c r="A100" s="107"/>
    </row>
    <row r="101" spans="1:1" s="63" customFormat="1" x14ac:dyDescent="0.3">
      <c r="A101" s="107"/>
    </row>
    <row r="102" spans="1:1" s="63" customFormat="1" x14ac:dyDescent="0.3">
      <c r="A102" s="107"/>
    </row>
  </sheetData>
  <mergeCells count="62">
    <mergeCell ref="C11:J11"/>
    <mergeCell ref="A2:M2"/>
    <mergeCell ref="A3:M3"/>
    <mergeCell ref="A4:M4"/>
    <mergeCell ref="A7:M7"/>
    <mergeCell ref="C10:J10"/>
    <mergeCell ref="L14:M14"/>
    <mergeCell ref="L15:M15"/>
    <mergeCell ref="D20:L20"/>
    <mergeCell ref="L29:M29"/>
    <mergeCell ref="B23:K26"/>
    <mergeCell ref="B28:C28"/>
    <mergeCell ref="B29:C29"/>
    <mergeCell ref="B27:C27"/>
    <mergeCell ref="I27:K27"/>
    <mergeCell ref="D19:L19"/>
    <mergeCell ref="D27:H27"/>
    <mergeCell ref="L33:M33"/>
    <mergeCell ref="O33:R33"/>
    <mergeCell ref="B33:C33"/>
    <mergeCell ref="B31:C31"/>
    <mergeCell ref="I29:K29"/>
    <mergeCell ref="B30:C30"/>
    <mergeCell ref="E29:G29"/>
    <mergeCell ref="O30:R30"/>
    <mergeCell ref="L32:M32"/>
    <mergeCell ref="I30:K30"/>
    <mergeCell ref="E30:G30"/>
    <mergeCell ref="E31:G31"/>
    <mergeCell ref="I31:K31"/>
    <mergeCell ref="B34:C34"/>
    <mergeCell ref="L34:M34"/>
    <mergeCell ref="O39:R39"/>
    <mergeCell ref="A40:M43"/>
    <mergeCell ref="B45:M47"/>
    <mergeCell ref="B36:C36"/>
    <mergeCell ref="B35:C35"/>
    <mergeCell ref="O35:R35"/>
    <mergeCell ref="L36:M36"/>
    <mergeCell ref="E34:G34"/>
    <mergeCell ref="E35:G35"/>
    <mergeCell ref="E36:G36"/>
    <mergeCell ref="I34:K34"/>
    <mergeCell ref="I35:K35"/>
    <mergeCell ref="I36:K36"/>
    <mergeCell ref="L35:M35"/>
    <mergeCell ref="B60:L60"/>
    <mergeCell ref="B37:K37"/>
    <mergeCell ref="O37:R37"/>
    <mergeCell ref="B38:K38"/>
    <mergeCell ref="A61:M61"/>
    <mergeCell ref="B54:L54"/>
    <mergeCell ref="B55:L55"/>
    <mergeCell ref="B56:L56"/>
    <mergeCell ref="B57:L57"/>
    <mergeCell ref="B58:L58"/>
    <mergeCell ref="B59:L59"/>
    <mergeCell ref="A49:M49"/>
    <mergeCell ref="A50:M50"/>
    <mergeCell ref="B51:L51"/>
    <mergeCell ref="B52:L52"/>
    <mergeCell ref="B53:L53"/>
  </mergeCells>
  <pageMargins left="0.7" right="0.7" top="0.75" bottom="0.75" header="0.3" footer="0.3"/>
  <pageSetup scale="69" orientation="portrait" r:id="rId1"/>
  <rowBreaks count="1" manualBreakCount="1">
    <brk id="62" max="16383" man="1"/>
  </rowBreaks>
  <colBreaks count="1" manualBreakCount="1">
    <brk id="1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5164" r:id="rId4" name="Check Box 44">
              <controlPr defaultSize="0" autoFill="0" autoLine="0" autoPict="0">
                <anchor moveWithCells="1">
                  <from>
                    <xdr:col>13</xdr:col>
                    <xdr:colOff>213360</xdr:colOff>
                    <xdr:row>49</xdr:row>
                    <xdr:rowOff>198120</xdr:rowOff>
                  </from>
                  <to>
                    <xdr:col>14</xdr:col>
                    <xdr:colOff>1973580</xdr:colOff>
                    <xdr:row>51</xdr:row>
                    <xdr:rowOff>22860</xdr:rowOff>
                  </to>
                </anchor>
              </controlPr>
            </control>
          </mc:Choice>
        </mc:AlternateContent>
        <mc:AlternateContent xmlns:mc="http://schemas.openxmlformats.org/markup-compatibility/2006">
          <mc:Choice Requires="x14">
            <control shapeId="5165" r:id="rId5" name="Check Box 45">
              <controlPr defaultSize="0" autoFill="0" autoLine="0" autoPict="0">
                <anchor moveWithCells="1">
                  <from>
                    <xdr:col>13</xdr:col>
                    <xdr:colOff>213360</xdr:colOff>
                    <xdr:row>50</xdr:row>
                    <xdr:rowOff>152400</xdr:rowOff>
                  </from>
                  <to>
                    <xdr:col>14</xdr:col>
                    <xdr:colOff>1973580</xdr:colOff>
                    <xdr:row>52</xdr:row>
                    <xdr:rowOff>30480</xdr:rowOff>
                  </to>
                </anchor>
              </controlPr>
            </control>
          </mc:Choice>
        </mc:AlternateContent>
        <mc:AlternateContent xmlns:mc="http://schemas.openxmlformats.org/markup-compatibility/2006">
          <mc:Choice Requires="x14">
            <control shapeId="5166" r:id="rId6" name="Check Box 46">
              <controlPr defaultSize="0" autoFill="0" autoLine="0" autoPict="0">
                <anchor moveWithCells="1">
                  <from>
                    <xdr:col>13</xdr:col>
                    <xdr:colOff>213360</xdr:colOff>
                    <xdr:row>51</xdr:row>
                    <xdr:rowOff>152400</xdr:rowOff>
                  </from>
                  <to>
                    <xdr:col>14</xdr:col>
                    <xdr:colOff>1973580</xdr:colOff>
                    <xdr:row>53</xdr:row>
                    <xdr:rowOff>30480</xdr:rowOff>
                  </to>
                </anchor>
              </controlPr>
            </control>
          </mc:Choice>
        </mc:AlternateContent>
        <mc:AlternateContent xmlns:mc="http://schemas.openxmlformats.org/markup-compatibility/2006">
          <mc:Choice Requires="x14">
            <control shapeId="5167" r:id="rId7" name="Check Box 47">
              <controlPr defaultSize="0" autoFill="0" autoLine="0" autoPict="0">
                <anchor moveWithCells="1">
                  <from>
                    <xdr:col>13</xdr:col>
                    <xdr:colOff>213360</xdr:colOff>
                    <xdr:row>52</xdr:row>
                    <xdr:rowOff>152400</xdr:rowOff>
                  </from>
                  <to>
                    <xdr:col>14</xdr:col>
                    <xdr:colOff>1973580</xdr:colOff>
                    <xdr:row>54</xdr:row>
                    <xdr:rowOff>30480</xdr:rowOff>
                  </to>
                </anchor>
              </controlPr>
            </control>
          </mc:Choice>
        </mc:AlternateContent>
        <mc:AlternateContent xmlns:mc="http://schemas.openxmlformats.org/markup-compatibility/2006">
          <mc:Choice Requires="x14">
            <control shapeId="5168" r:id="rId8" name="Check Box 48">
              <controlPr defaultSize="0" autoFill="0" autoLine="0" autoPict="0">
                <anchor moveWithCells="1">
                  <from>
                    <xdr:col>13</xdr:col>
                    <xdr:colOff>213360</xdr:colOff>
                    <xdr:row>53</xdr:row>
                    <xdr:rowOff>152400</xdr:rowOff>
                  </from>
                  <to>
                    <xdr:col>14</xdr:col>
                    <xdr:colOff>1973580</xdr:colOff>
                    <xdr:row>55</xdr:row>
                    <xdr:rowOff>30480</xdr:rowOff>
                  </to>
                </anchor>
              </controlPr>
            </control>
          </mc:Choice>
        </mc:AlternateContent>
        <mc:AlternateContent xmlns:mc="http://schemas.openxmlformats.org/markup-compatibility/2006">
          <mc:Choice Requires="x14">
            <control shapeId="5169" r:id="rId9" name="Check Box 49">
              <controlPr defaultSize="0" autoFill="0" autoLine="0" autoPict="0">
                <anchor moveWithCells="1">
                  <from>
                    <xdr:col>13</xdr:col>
                    <xdr:colOff>213360</xdr:colOff>
                    <xdr:row>54</xdr:row>
                    <xdr:rowOff>152400</xdr:rowOff>
                  </from>
                  <to>
                    <xdr:col>14</xdr:col>
                    <xdr:colOff>1973580</xdr:colOff>
                    <xdr:row>56</xdr:row>
                    <xdr:rowOff>30480</xdr:rowOff>
                  </to>
                </anchor>
              </controlPr>
            </control>
          </mc:Choice>
        </mc:AlternateContent>
        <mc:AlternateContent xmlns:mc="http://schemas.openxmlformats.org/markup-compatibility/2006">
          <mc:Choice Requires="x14">
            <control shapeId="5170" r:id="rId10" name="Check Box 50">
              <controlPr defaultSize="0" autoFill="0" autoLine="0" autoPict="0">
                <anchor moveWithCells="1">
                  <from>
                    <xdr:col>13</xdr:col>
                    <xdr:colOff>213360</xdr:colOff>
                    <xdr:row>55</xdr:row>
                    <xdr:rowOff>160020</xdr:rowOff>
                  </from>
                  <to>
                    <xdr:col>14</xdr:col>
                    <xdr:colOff>1973580</xdr:colOff>
                    <xdr:row>57</xdr:row>
                    <xdr:rowOff>38100</xdr:rowOff>
                  </to>
                </anchor>
              </controlPr>
            </control>
          </mc:Choice>
        </mc:AlternateContent>
        <mc:AlternateContent xmlns:mc="http://schemas.openxmlformats.org/markup-compatibility/2006">
          <mc:Choice Requires="x14">
            <control shapeId="5171" r:id="rId11" name="Check Box 51">
              <controlPr defaultSize="0" autoFill="0" autoLine="0" autoPict="0">
                <anchor moveWithCells="1">
                  <from>
                    <xdr:col>13</xdr:col>
                    <xdr:colOff>220980</xdr:colOff>
                    <xdr:row>56</xdr:row>
                    <xdr:rowOff>152400</xdr:rowOff>
                  </from>
                  <to>
                    <xdr:col>14</xdr:col>
                    <xdr:colOff>1981200</xdr:colOff>
                    <xdr:row>58</xdr:row>
                    <xdr:rowOff>30480</xdr:rowOff>
                  </to>
                </anchor>
              </controlPr>
            </control>
          </mc:Choice>
        </mc:AlternateContent>
        <mc:AlternateContent xmlns:mc="http://schemas.openxmlformats.org/markup-compatibility/2006">
          <mc:Choice Requires="x14">
            <control shapeId="5172" r:id="rId12" name="Check Box 52">
              <controlPr defaultSize="0" autoFill="0" autoLine="0" autoPict="0">
                <anchor moveWithCells="1">
                  <from>
                    <xdr:col>13</xdr:col>
                    <xdr:colOff>220980</xdr:colOff>
                    <xdr:row>57</xdr:row>
                    <xdr:rowOff>152400</xdr:rowOff>
                  </from>
                  <to>
                    <xdr:col>14</xdr:col>
                    <xdr:colOff>1981200</xdr:colOff>
                    <xdr:row>59</xdr:row>
                    <xdr:rowOff>30480</xdr:rowOff>
                  </to>
                </anchor>
              </controlPr>
            </control>
          </mc:Choice>
        </mc:AlternateContent>
        <mc:AlternateContent xmlns:mc="http://schemas.openxmlformats.org/markup-compatibility/2006">
          <mc:Choice Requires="x14">
            <control shapeId="5173" r:id="rId13" name="Check Box 53">
              <controlPr defaultSize="0" autoFill="0" autoLine="0" autoPict="0">
                <anchor moveWithCells="1">
                  <from>
                    <xdr:col>13</xdr:col>
                    <xdr:colOff>220980</xdr:colOff>
                    <xdr:row>58</xdr:row>
                    <xdr:rowOff>152400</xdr:rowOff>
                  </from>
                  <to>
                    <xdr:col>14</xdr:col>
                    <xdr:colOff>1981200</xdr:colOff>
                    <xdr:row>60</xdr:row>
                    <xdr:rowOff>30480</xdr:rowOff>
                  </to>
                </anchor>
              </controlPr>
            </control>
          </mc:Choice>
        </mc:AlternateContent>
        <mc:AlternateContent xmlns:mc="http://schemas.openxmlformats.org/markup-compatibility/2006">
          <mc:Choice Requires="x14">
            <control shapeId="5174" r:id="rId14" name="Check Box 54">
              <controlPr defaultSize="0" autoFill="0" autoLine="0" autoPict="0">
                <anchor moveWithCells="1">
                  <from>
                    <xdr:col>13</xdr:col>
                    <xdr:colOff>220980</xdr:colOff>
                    <xdr:row>59</xdr:row>
                    <xdr:rowOff>152400</xdr:rowOff>
                  </from>
                  <to>
                    <xdr:col>14</xdr:col>
                    <xdr:colOff>1981200</xdr:colOff>
                    <xdr:row>61</xdr:row>
                    <xdr:rowOff>22860</xdr:rowOff>
                  </to>
                </anchor>
              </controlPr>
            </control>
          </mc:Choice>
        </mc:AlternateContent>
        <mc:AlternateContent xmlns:mc="http://schemas.openxmlformats.org/markup-compatibility/2006">
          <mc:Choice Requires="x14">
            <control shapeId="5175" r:id="rId15" name="Check Box 55">
              <controlPr defaultSize="0" autoFill="0" autoLine="0" autoPict="0">
                <anchor moveWithCells="1">
                  <from>
                    <xdr:col>13</xdr:col>
                    <xdr:colOff>220980</xdr:colOff>
                    <xdr:row>60</xdr:row>
                    <xdr:rowOff>182880</xdr:rowOff>
                  </from>
                  <to>
                    <xdr:col>14</xdr:col>
                    <xdr:colOff>1981200</xdr:colOff>
                    <xdr:row>61</xdr:row>
                    <xdr:rowOff>236220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81"/>
  <sheetViews>
    <sheetView topLeftCell="C1" zoomScaleNormal="100" workbookViewId="0">
      <selection activeCell="L8" sqref="L8"/>
    </sheetView>
  </sheetViews>
  <sheetFormatPr defaultRowHeight="14.4" x14ac:dyDescent="0.3"/>
  <cols>
    <col min="1" max="1" width="3.88671875" style="28" customWidth="1"/>
    <col min="2" max="2" width="11" customWidth="1"/>
    <col min="3" max="3" width="32.77734375" customWidth="1"/>
    <col min="4" max="4" width="16.6640625" bestFit="1" customWidth="1"/>
    <col min="5" max="5" width="19" customWidth="1"/>
    <col min="6" max="6" width="3.77734375" customWidth="1"/>
    <col min="7" max="7" width="20.21875" customWidth="1"/>
    <col min="8" max="8" width="16.109375" customWidth="1"/>
    <col min="9" max="9" width="16.21875" customWidth="1"/>
    <col min="10" max="10" width="13" customWidth="1"/>
    <col min="11" max="11" width="12.21875" customWidth="1"/>
    <col min="12" max="12" width="25" style="28" customWidth="1"/>
    <col min="13" max="13" width="9.109375" style="28"/>
    <col min="14" max="14" width="28" style="28" customWidth="1"/>
    <col min="15" max="30" width="9.109375" style="28"/>
  </cols>
  <sheetData>
    <row r="1" spans="2:14" s="28" customFormat="1" x14ac:dyDescent="0.3">
      <c r="B1" s="32" t="s">
        <v>252</v>
      </c>
      <c r="C1" s="54" t="str">
        <f>'The details'!D2</f>
        <v>56561-045570</v>
      </c>
      <c r="K1" s="32" t="str">
        <f>CONCATENATE("Page 2 of ",'The details'!G16)</f>
        <v>Page 2 of 2</v>
      </c>
    </row>
    <row r="2" spans="2:14" s="28" customFormat="1" ht="18" x14ac:dyDescent="0.3">
      <c r="B2" s="30"/>
      <c r="C2" s="33"/>
      <c r="D2" s="33"/>
      <c r="E2" s="33"/>
      <c r="I2" s="42"/>
      <c r="N2" s="243"/>
    </row>
    <row r="3" spans="2:14" s="28" customFormat="1" ht="18" x14ac:dyDescent="0.3">
      <c r="B3" s="30"/>
      <c r="C3" s="32"/>
      <c r="D3" s="33"/>
      <c r="E3" s="33"/>
      <c r="G3" s="32" t="s">
        <v>84</v>
      </c>
      <c r="H3" s="54">
        <f>'The details'!D8</f>
        <v>0</v>
      </c>
      <c r="I3" s="27"/>
      <c r="N3" s="295" t="e">
        <f>AVERAGE(L33:L36)</f>
        <v>#DIV/0!</v>
      </c>
    </row>
    <row r="4" spans="2:14" s="28" customFormat="1" ht="25.5" customHeight="1" x14ac:dyDescent="0.35">
      <c r="B4" s="339" t="s">
        <v>68</v>
      </c>
      <c r="C4" s="339"/>
      <c r="D4" s="30"/>
      <c r="E4" s="30"/>
      <c r="G4" s="58" t="s">
        <v>93</v>
      </c>
      <c r="I4" s="45"/>
      <c r="J4" s="45"/>
      <c r="K4" s="45"/>
      <c r="N4" s="296"/>
    </row>
    <row r="5" spans="2:14" ht="15.75" customHeight="1" x14ac:dyDescent="0.3">
      <c r="B5" s="30" t="s">
        <v>87</v>
      </c>
      <c r="C5" s="30" t="s">
        <v>12</v>
      </c>
      <c r="D5" s="30" t="s">
        <v>13</v>
      </c>
      <c r="E5" s="30" t="s">
        <v>7</v>
      </c>
      <c r="F5" s="46"/>
      <c r="G5" s="51"/>
      <c r="H5" s="40" t="s">
        <v>12</v>
      </c>
      <c r="I5" s="45"/>
      <c r="J5" s="45"/>
      <c r="K5" s="45"/>
      <c r="N5" s="297"/>
    </row>
    <row r="6" spans="2:14" ht="15" customHeight="1" thickBot="1" x14ac:dyDescent="0.35">
      <c r="B6" s="35" t="s">
        <v>85</v>
      </c>
      <c r="C6" s="35" t="s">
        <v>2</v>
      </c>
      <c r="D6" s="35" t="s">
        <v>1</v>
      </c>
      <c r="E6" s="35" t="s">
        <v>8</v>
      </c>
      <c r="F6" s="46"/>
      <c r="G6" s="43" t="s">
        <v>86</v>
      </c>
      <c r="H6" s="43" t="s">
        <v>36</v>
      </c>
      <c r="I6" s="43" t="s">
        <v>76</v>
      </c>
      <c r="J6" s="43" t="s">
        <v>31</v>
      </c>
      <c r="K6" s="43" t="s">
        <v>32</v>
      </c>
      <c r="N6" s="297"/>
    </row>
    <row r="7" spans="2:14" ht="15.6" x14ac:dyDescent="0.3">
      <c r="B7" s="30">
        <v>1</v>
      </c>
      <c r="C7" s="30" t="str">
        <f>'JGI Method Testing'!C7</f>
        <v>Horizontal</v>
      </c>
      <c r="D7" s="30" t="str">
        <f>'JGI Method Testing'!D7</f>
        <v>2.7m / 9ft</v>
      </c>
      <c r="E7" s="30" t="str">
        <f>'JGI Method Testing'!E7</f>
        <v>0°</v>
      </c>
      <c r="F7" s="46"/>
      <c r="G7" s="50">
        <f>'JGI Method Testing'!G7</f>
        <v>90.540608646808508</v>
      </c>
      <c r="H7" s="47">
        <f>'JGI Method Testing'!O7</f>
        <v>75</v>
      </c>
      <c r="I7" s="49">
        <f>'JGI Method Testing'!H7</f>
        <v>2.1913531914918849E-3</v>
      </c>
      <c r="J7" s="48">
        <f>'JGI Method Testing'!I7</f>
        <v>2.5000000000000001E-3</v>
      </c>
      <c r="K7" s="44" t="str">
        <f>'JGI Method Testing'!K7</f>
        <v>Pass</v>
      </c>
      <c r="N7" s="296">
        <f t="shared" ref="N7:N23" si="0">ABS(I7)</f>
        <v>2.1913531914918849E-3</v>
      </c>
    </row>
    <row r="8" spans="2:14" ht="15.6" x14ac:dyDescent="0.3">
      <c r="B8" s="30">
        <v>2</v>
      </c>
      <c r="C8" s="30" t="str">
        <f>'JGI Method Testing'!C8</f>
        <v>Horizontal</v>
      </c>
      <c r="D8" s="30" t="str">
        <f>'JGI Method Testing'!D8</f>
        <v>2.7m / 9ft</v>
      </c>
      <c r="E8" s="30" t="str">
        <f>'JGI Method Testing'!E8</f>
        <v>90°</v>
      </c>
      <c r="F8" s="46"/>
      <c r="G8" s="50">
        <f>'JGI Method Testing'!G8</f>
        <v>90.540608646808508</v>
      </c>
      <c r="H8" s="47">
        <f>'JGI Method Testing'!O8</f>
        <v>75</v>
      </c>
      <c r="I8" s="49">
        <f>'JGI Method Testing'!H8</f>
        <v>2.2913531914952046E-3</v>
      </c>
      <c r="J8" s="48">
        <f>'JGI Method Testing'!I8</f>
        <v>2.5000000000000001E-3</v>
      </c>
      <c r="K8" s="44" t="str">
        <f>'JGI Method Testing'!K8</f>
        <v>Pass</v>
      </c>
      <c r="N8" s="296">
        <f t="shared" si="0"/>
        <v>2.2913531914952046E-3</v>
      </c>
    </row>
    <row r="9" spans="2:14" ht="15.6" x14ac:dyDescent="0.3">
      <c r="B9" s="30">
        <v>3</v>
      </c>
      <c r="C9" s="30" t="str">
        <f>'JGI Method Testing'!C9</f>
        <v>Horizontal</v>
      </c>
      <c r="D9" s="30" t="str">
        <f>'JGI Method Testing'!D9</f>
        <v>2.7m / 9ft</v>
      </c>
      <c r="E9" s="30" t="str">
        <f>'JGI Method Testing'!E9</f>
        <v>180°</v>
      </c>
      <c r="F9" s="46"/>
      <c r="G9" s="50">
        <f>'JGI Method Testing'!G9</f>
        <v>90.540418512461997</v>
      </c>
      <c r="H9" s="47">
        <f>'JGI Method Testing'!O9</f>
        <v>72</v>
      </c>
      <c r="I9" s="49">
        <f>'JGI Method Testing'!H9</f>
        <v>1.0814875380020794E-3</v>
      </c>
      <c r="J9" s="48">
        <f>'JGI Method Testing'!I9</f>
        <v>2.5000000000000001E-3</v>
      </c>
      <c r="K9" s="44" t="str">
        <f>'JGI Method Testing'!K9</f>
        <v>Pass</v>
      </c>
      <c r="N9" s="296">
        <f t="shared" si="0"/>
        <v>1.0814875380020794E-3</v>
      </c>
    </row>
    <row r="10" spans="2:14" ht="15.6" x14ac:dyDescent="0.3">
      <c r="B10" s="30">
        <v>4</v>
      </c>
      <c r="C10" s="30" t="str">
        <f>'JGI Method Testing'!C10</f>
        <v>Horizontal</v>
      </c>
      <c r="D10" s="30" t="str">
        <f>'JGI Method Testing'!D10</f>
        <v>2.7m / 9ft</v>
      </c>
      <c r="E10" s="30" t="str">
        <f>'JGI Method Testing'!E10</f>
        <v>270°</v>
      </c>
      <c r="F10" s="46"/>
      <c r="G10" s="50">
        <f>'JGI Method Testing'!G10</f>
        <v>90.540418512461997</v>
      </c>
      <c r="H10" s="47">
        <f>'JGI Method Testing'!O10</f>
        <v>72</v>
      </c>
      <c r="I10" s="49">
        <f>'JGI Method Testing'!H10</f>
        <v>9.8148753799875976E-4</v>
      </c>
      <c r="J10" s="48">
        <f>'JGI Method Testing'!I10</f>
        <v>2.5000000000000001E-3</v>
      </c>
      <c r="K10" s="44" t="str">
        <f>'JGI Method Testing'!K10</f>
        <v>Pass</v>
      </c>
      <c r="N10" s="296">
        <f t="shared" si="0"/>
        <v>9.8148753799875976E-4</v>
      </c>
    </row>
    <row r="11" spans="2:14" ht="15.6" x14ac:dyDescent="0.3">
      <c r="B11" s="30">
        <v>5</v>
      </c>
      <c r="C11" s="30" t="str">
        <f>'JGI Method Testing'!C11</f>
        <v>Vertical</v>
      </c>
      <c r="D11" s="30" t="str">
        <f>'JGI Method Testing'!D11</f>
        <v>2.7m / 9ft</v>
      </c>
      <c r="E11" s="30" t="str">
        <f>'JGI Method Testing'!E11</f>
        <v>0°</v>
      </c>
      <c r="F11" s="46"/>
      <c r="G11" s="50">
        <f>'JGI Method Testing'!G11</f>
        <v>90.540608646808508</v>
      </c>
      <c r="H11" s="47">
        <f>'JGI Method Testing'!O11</f>
        <v>75</v>
      </c>
      <c r="I11" s="49">
        <f>'JGI Method Testing'!H11</f>
        <v>2.2913531914952046E-3</v>
      </c>
      <c r="J11" s="48">
        <f>'JGI Method Testing'!I11</f>
        <v>2.5000000000000001E-3</v>
      </c>
      <c r="K11" s="44" t="str">
        <f>'JGI Method Testing'!K11</f>
        <v>Pass</v>
      </c>
      <c r="N11" s="296">
        <f t="shared" si="0"/>
        <v>2.2913531914952046E-3</v>
      </c>
    </row>
    <row r="12" spans="2:14" ht="15.6" x14ac:dyDescent="0.3">
      <c r="B12" s="30">
        <v>6</v>
      </c>
      <c r="C12" s="30" t="str">
        <f>'JGI Method Testing'!C12</f>
        <v>Vertical</v>
      </c>
      <c r="D12" s="30" t="str">
        <f>'JGI Method Testing'!D12</f>
        <v>2.7m / 9ft</v>
      </c>
      <c r="E12" s="30" t="str">
        <f>'JGI Method Testing'!E12</f>
        <v>90°</v>
      </c>
      <c r="F12" s="46"/>
      <c r="G12" s="50">
        <f>'JGI Method Testing'!G12</f>
        <v>90.540608646808508</v>
      </c>
      <c r="H12" s="47">
        <f>'JGI Method Testing'!O12</f>
        <v>75</v>
      </c>
      <c r="I12" s="49">
        <f>'JGI Method Testing'!H12</f>
        <v>2.491353191487633E-3</v>
      </c>
      <c r="J12" s="48">
        <f>'JGI Method Testing'!I12</f>
        <v>2.5000000000000001E-3</v>
      </c>
      <c r="K12" s="44" t="str">
        <f>'JGI Method Testing'!K12</f>
        <v>Pass</v>
      </c>
      <c r="N12" s="296">
        <f t="shared" si="0"/>
        <v>2.491353191487633E-3</v>
      </c>
    </row>
    <row r="13" spans="2:14" ht="15.6" x14ac:dyDescent="0.3">
      <c r="B13" s="30">
        <v>7</v>
      </c>
      <c r="C13" s="30" t="str">
        <f>'JGI Method Testing'!C13</f>
        <v>Vertical</v>
      </c>
      <c r="D13" s="30" t="str">
        <f>'JGI Method Testing'!D13</f>
        <v>2.7m / 9ft</v>
      </c>
      <c r="E13" s="30" t="str">
        <f>'JGI Method Testing'!E13</f>
        <v>180°</v>
      </c>
      <c r="F13" s="46"/>
      <c r="G13" s="50">
        <f>'JGI Method Testing'!G13</f>
        <v>90.540608646808508</v>
      </c>
      <c r="H13" s="47">
        <f>'JGI Method Testing'!O13</f>
        <v>75</v>
      </c>
      <c r="I13" s="49">
        <f>'JGI Method Testing'!H13</f>
        <v>1.5913531914861778E-3</v>
      </c>
      <c r="J13" s="48">
        <f>'JGI Method Testing'!I13</f>
        <v>2.5000000000000001E-3</v>
      </c>
      <c r="K13" s="44" t="str">
        <f>'JGI Method Testing'!K13</f>
        <v>Pass</v>
      </c>
      <c r="N13" s="296">
        <f t="shared" si="0"/>
        <v>1.5913531914861778E-3</v>
      </c>
    </row>
    <row r="14" spans="2:14" ht="15.6" x14ac:dyDescent="0.3">
      <c r="B14" s="30">
        <v>8</v>
      </c>
      <c r="C14" s="30" t="str">
        <f>'JGI Method Testing'!C14</f>
        <v>Vertical</v>
      </c>
      <c r="D14" s="30" t="str">
        <f>'JGI Method Testing'!D14</f>
        <v>2.7m / 9ft</v>
      </c>
      <c r="E14" s="30" t="str">
        <f>'JGI Method Testing'!E14</f>
        <v>270°</v>
      </c>
      <c r="F14" s="46"/>
      <c r="G14" s="50">
        <f>'JGI Method Testing'!G14</f>
        <v>90.540608646808508</v>
      </c>
      <c r="H14" s="47">
        <f>'JGI Method Testing'!O14</f>
        <v>75</v>
      </c>
      <c r="I14" s="49">
        <f>'JGI Method Testing'!H14</f>
        <v>1.9913531914852456E-3</v>
      </c>
      <c r="J14" s="48">
        <f>'JGI Method Testing'!I14</f>
        <v>2.5000000000000001E-3</v>
      </c>
      <c r="K14" s="44" t="str">
        <f>'JGI Method Testing'!K14</f>
        <v>Pass</v>
      </c>
      <c r="N14" s="296">
        <f t="shared" si="0"/>
        <v>1.9913531914852456E-3</v>
      </c>
    </row>
    <row r="15" spans="2:14" ht="15.6" x14ac:dyDescent="0.3">
      <c r="B15" s="30">
        <v>9</v>
      </c>
      <c r="C15" s="30" t="str">
        <f>'JGI Method Testing'!C15</f>
        <v>Right Diagonal 45°</v>
      </c>
      <c r="D15" s="30" t="str">
        <f>'JGI Method Testing'!D15</f>
        <v>2.7m / 9ft</v>
      </c>
      <c r="E15" s="30" t="str">
        <f>'JGI Method Testing'!E15</f>
        <v>0°</v>
      </c>
      <c r="F15" s="46"/>
      <c r="G15" s="50">
        <f>'JGI Method Testing'!G15</f>
        <v>90.540608646808508</v>
      </c>
      <c r="H15" s="47">
        <f>'JGI Method Testing'!O15</f>
        <v>75</v>
      </c>
      <c r="I15" s="49">
        <f>'JGI Method Testing'!H15</f>
        <v>2.2913531914952046E-3</v>
      </c>
      <c r="J15" s="48">
        <f>'JGI Method Testing'!I15</f>
        <v>2.5000000000000001E-3</v>
      </c>
      <c r="K15" s="44" t="str">
        <f>'JGI Method Testing'!K15</f>
        <v>Pass</v>
      </c>
      <c r="N15" s="296">
        <f t="shared" si="0"/>
        <v>2.2913531914952046E-3</v>
      </c>
    </row>
    <row r="16" spans="2:14" ht="15.6" x14ac:dyDescent="0.3">
      <c r="B16" s="30">
        <v>10</v>
      </c>
      <c r="C16" s="30" t="str">
        <f>'JGI Method Testing'!C16</f>
        <v>Left Diagonal 45°</v>
      </c>
      <c r="D16" s="30" t="str">
        <f>'JGI Method Testing'!D16</f>
        <v>2.7m / 9ft</v>
      </c>
      <c r="E16" s="30" t="str">
        <f>'JGI Method Testing'!E16</f>
        <v>0°</v>
      </c>
      <c r="F16" s="46"/>
      <c r="G16" s="50">
        <f>'JGI Method Testing'!G16</f>
        <v>90.540608646808508</v>
      </c>
      <c r="H16" s="47">
        <f>'JGI Method Testing'!O16</f>
        <v>75</v>
      </c>
      <c r="I16" s="49">
        <f>'JGI Method Testing'!H16</f>
        <v>2.1913531914918849E-3</v>
      </c>
      <c r="J16" s="48">
        <f>'JGI Method Testing'!I16</f>
        <v>2.5000000000000001E-3</v>
      </c>
      <c r="K16" s="44" t="str">
        <f>'JGI Method Testing'!K16</f>
        <v>Pass</v>
      </c>
      <c r="N16" s="296">
        <f t="shared" si="0"/>
        <v>2.1913531914918849E-3</v>
      </c>
    </row>
    <row r="17" spans="1:30" ht="15.6" x14ac:dyDescent="0.3">
      <c r="B17" s="30">
        <v>11</v>
      </c>
      <c r="C17" s="30" t="str">
        <f>'JGI Method Testing'!C17</f>
        <v>Right Diagonal 45°</v>
      </c>
      <c r="D17" s="30" t="str">
        <f>'JGI Method Testing'!D17</f>
        <v>2.7m / 9ft</v>
      </c>
      <c r="E17" s="30" t="str">
        <f>'JGI Method Testing'!E17</f>
        <v>90°</v>
      </c>
      <c r="F17" s="46"/>
      <c r="G17" s="50">
        <f>'JGI Method Testing'!G17</f>
        <v>90.540608646808508</v>
      </c>
      <c r="H17" s="47">
        <f>'JGI Method Testing'!O17</f>
        <v>75</v>
      </c>
      <c r="I17" s="49">
        <f>'JGI Method Testing'!H17</f>
        <v>2.491353191487633E-3</v>
      </c>
      <c r="J17" s="48">
        <f>'JGI Method Testing'!I17</f>
        <v>2.5000000000000001E-3</v>
      </c>
      <c r="K17" s="44" t="str">
        <f>'JGI Method Testing'!K17</f>
        <v>Pass</v>
      </c>
      <c r="N17" s="296">
        <f t="shared" si="0"/>
        <v>2.491353191487633E-3</v>
      </c>
    </row>
    <row r="18" spans="1:30" ht="15.6" x14ac:dyDescent="0.3">
      <c r="B18" s="30">
        <v>12</v>
      </c>
      <c r="C18" s="30" t="str">
        <f>'JGI Method Testing'!C18</f>
        <v>Left Diagonal 45°</v>
      </c>
      <c r="D18" s="30" t="str">
        <f>'JGI Method Testing'!D18</f>
        <v>2.7m / 9ft</v>
      </c>
      <c r="E18" s="30" t="str">
        <f>'JGI Method Testing'!E18</f>
        <v>90°</v>
      </c>
      <c r="F18" s="46"/>
      <c r="G18" s="50">
        <f>'JGI Method Testing'!G18</f>
        <v>90.540608646808508</v>
      </c>
      <c r="H18" s="47">
        <f>'JGI Method Testing'!O18</f>
        <v>75</v>
      </c>
      <c r="I18" s="49">
        <f>'JGI Method Testing'!H18</f>
        <v>2.1913531914918849E-3</v>
      </c>
      <c r="J18" s="48">
        <f>'JGI Method Testing'!I18</f>
        <v>2.5000000000000001E-3</v>
      </c>
      <c r="K18" s="44" t="str">
        <f>'JGI Method Testing'!K18</f>
        <v>Pass</v>
      </c>
      <c r="N18" s="296">
        <f t="shared" si="0"/>
        <v>2.1913531914918849E-3</v>
      </c>
    </row>
    <row r="19" spans="1:30" ht="15.6" x14ac:dyDescent="0.3">
      <c r="B19" s="30">
        <v>13</v>
      </c>
      <c r="C19" s="30" t="str">
        <f>'JGI Method Testing'!C19</f>
        <v>Compound 45 °</v>
      </c>
      <c r="D19" s="30" t="str">
        <f>'JGI Method Testing'!D19</f>
        <v>4.9m / 16ft</v>
      </c>
      <c r="E19" s="30" t="str">
        <f>'JGI Method Testing'!E19</f>
        <v>0°</v>
      </c>
      <c r="F19" s="46"/>
      <c r="G19" s="50">
        <f>'JGI Method Testing'!G19</f>
        <v>90.540608646808508</v>
      </c>
      <c r="H19" s="47">
        <f>'JGI Method Testing'!O19</f>
        <v>75</v>
      </c>
      <c r="I19" s="49">
        <f>'JGI Method Testing'!H19</f>
        <v>2.0913531914885652E-3</v>
      </c>
      <c r="J19" s="48">
        <f>'JGI Method Testing'!I19</f>
        <v>2.5000000000000001E-3</v>
      </c>
      <c r="K19" s="44" t="str">
        <f>'JGI Method Testing'!K19</f>
        <v>Pass</v>
      </c>
      <c r="N19" s="296">
        <f t="shared" si="0"/>
        <v>2.0913531914885652E-3</v>
      </c>
    </row>
    <row r="20" spans="1:30" ht="15.6" x14ac:dyDescent="0.3">
      <c r="B20" s="30">
        <v>14</v>
      </c>
      <c r="C20" s="30" t="str">
        <f>'JGI Method Testing'!C20</f>
        <v>Radial</v>
      </c>
      <c r="D20" s="30" t="str">
        <f>'JGI Method Testing'!D20</f>
        <v>2.7m / 9ft</v>
      </c>
      <c r="E20" s="30" t="str">
        <f>'JGI Method Testing'!E20</f>
        <v>0°</v>
      </c>
      <c r="F20" s="46"/>
      <c r="G20" s="50">
        <f>'JGI Method Testing'!G20</f>
        <v>90.540608646808508</v>
      </c>
      <c r="H20" s="47">
        <f>'JGI Method Testing'!O20</f>
        <v>75</v>
      </c>
      <c r="I20" s="49">
        <f>'JGI Method Testing'!H20</f>
        <v>2.1913531914918849E-3</v>
      </c>
      <c r="J20" s="48">
        <f>'JGI Method Testing'!I20</f>
        <v>2.5000000000000001E-3</v>
      </c>
      <c r="K20" s="44" t="str">
        <f>'JGI Method Testing'!K20</f>
        <v>Pass</v>
      </c>
      <c r="N20" s="296">
        <f t="shared" si="0"/>
        <v>2.1913531914918849E-3</v>
      </c>
    </row>
    <row r="21" spans="1:30" ht="15.6" x14ac:dyDescent="0.3">
      <c r="B21" s="30">
        <v>15</v>
      </c>
      <c r="C21" s="30" t="str">
        <f>'JGI Method Testing'!C21</f>
        <v>Horizontal</v>
      </c>
      <c r="D21" s="30" t="str">
        <f>'JGI Method Testing'!D21</f>
        <v>6.1m / 20ft</v>
      </c>
      <c r="E21" s="30" t="str">
        <f>'JGI Method Testing'!E21</f>
        <v>0°</v>
      </c>
      <c r="F21" s="46"/>
      <c r="G21" s="50">
        <f>'JGI Method Testing'!G21</f>
        <v>90.540608646808508</v>
      </c>
      <c r="H21" s="47">
        <f>'JGI Method Testing'!O21</f>
        <v>75</v>
      </c>
      <c r="I21" s="49">
        <f>'JGI Method Testing'!H21</f>
        <v>1.6913531914894975E-3</v>
      </c>
      <c r="J21" s="48">
        <f>'JGI Method Testing'!I21</f>
        <v>4.1999999999999997E-3</v>
      </c>
      <c r="K21" s="44" t="str">
        <f>'JGI Method Testing'!K21</f>
        <v>Pass</v>
      </c>
      <c r="N21" s="296">
        <f t="shared" si="0"/>
        <v>1.6913531914894975E-3</v>
      </c>
    </row>
    <row r="22" spans="1:30" ht="15.6" x14ac:dyDescent="0.3">
      <c r="B22" s="30">
        <v>16</v>
      </c>
      <c r="C22" s="30" t="str">
        <f>'JGI Method Testing'!C22</f>
        <v>Vertical</v>
      </c>
      <c r="D22" s="30" t="str">
        <f>'JGI Method Testing'!D22</f>
        <v>6.1m / 20ft</v>
      </c>
      <c r="E22" s="30" t="str">
        <f>'JGI Method Testing'!E22</f>
        <v>0°</v>
      </c>
      <c r="F22" s="46"/>
      <c r="G22" s="50">
        <f>'JGI Method Testing'!G22</f>
        <v>90.540608646808508</v>
      </c>
      <c r="H22" s="47">
        <f>'JGI Method Testing'!O22</f>
        <v>75</v>
      </c>
      <c r="I22" s="49">
        <f>'JGI Method Testing'!H22</f>
        <v>2.3913531914985242E-3</v>
      </c>
      <c r="J22" s="48">
        <f>'JGI Method Testing'!I22</f>
        <v>4.1999999999999997E-3</v>
      </c>
      <c r="K22" s="44" t="str">
        <f>'JGI Method Testing'!K22</f>
        <v>Pass</v>
      </c>
      <c r="N22" s="296">
        <f t="shared" si="0"/>
        <v>2.3913531914985242E-3</v>
      </c>
    </row>
    <row r="23" spans="1:30" ht="15.6" x14ac:dyDescent="0.3">
      <c r="B23" s="30">
        <v>17</v>
      </c>
      <c r="C23" s="30" t="str">
        <f>'JGI Method Testing'!C23</f>
        <v>Horizontal</v>
      </c>
      <c r="D23" s="30" t="str">
        <f>'JGI Method Testing'!D23</f>
        <v>12.2m / 40ft</v>
      </c>
      <c r="E23" s="30" t="str">
        <f>'JGI Method Testing'!E23</f>
        <v>0°</v>
      </c>
      <c r="F23" s="46"/>
      <c r="G23" s="50">
        <f>'JGI Method Testing'!G23</f>
        <v>90.540608646808508</v>
      </c>
      <c r="H23" s="47">
        <f>'JGI Method Testing'!O23</f>
        <v>75</v>
      </c>
      <c r="I23" s="49">
        <f>'JGI Method Testing'!H23</f>
        <v>2.491353191487633E-3</v>
      </c>
      <c r="J23" s="48">
        <f>'JGI Method Testing'!I23</f>
        <v>7.4999999999999997E-3</v>
      </c>
      <c r="K23" s="44" t="str">
        <f>'JGI Method Testing'!K23</f>
        <v>Pass</v>
      </c>
      <c r="N23" s="296">
        <f t="shared" si="0"/>
        <v>2.491353191487633E-3</v>
      </c>
    </row>
    <row r="24" spans="1:30" ht="15.6" x14ac:dyDescent="0.3">
      <c r="B24" s="30">
        <v>18</v>
      </c>
      <c r="C24" s="30" t="str">
        <f>'JGI Method Testing'!C24</f>
        <v>Vertical</v>
      </c>
      <c r="D24" s="30" t="str">
        <f>'JGI Method Testing'!D24</f>
        <v>12.2m / 40ft</v>
      </c>
      <c r="E24" s="30" t="str">
        <f>'JGI Method Testing'!E24</f>
        <v>0°</v>
      </c>
      <c r="G24" s="50">
        <f>'JGI Method Testing'!G24</f>
        <v>90.540608646808508</v>
      </c>
      <c r="H24" s="47">
        <f>'JGI Method Testing'!O24</f>
        <v>75</v>
      </c>
      <c r="I24" s="49">
        <f>'JGI Method Testing'!H24</f>
        <v>2.0913531914885652E-3</v>
      </c>
      <c r="J24" s="48">
        <f>'JGI Method Testing'!I24</f>
        <v>7.4999999999999997E-3</v>
      </c>
      <c r="K24" s="44" t="str">
        <f>'JGI Method Testing'!K24</f>
        <v>Pass</v>
      </c>
      <c r="N24" s="243"/>
    </row>
    <row r="25" spans="1:30" ht="32.25" customHeight="1" x14ac:dyDescent="0.35">
      <c r="B25" s="339" t="s">
        <v>67</v>
      </c>
      <c r="C25" s="339"/>
      <c r="D25" s="30"/>
      <c r="E25" s="30"/>
      <c r="F25" s="46"/>
      <c r="G25" s="58"/>
      <c r="H25" s="52"/>
      <c r="I25" s="52"/>
      <c r="J25" s="52"/>
      <c r="K25" s="52"/>
      <c r="N25" s="296"/>
    </row>
    <row r="26" spans="1:30" ht="15.6" x14ac:dyDescent="0.3">
      <c r="B26" s="30" t="s">
        <v>87</v>
      </c>
      <c r="C26" s="30" t="s">
        <v>88</v>
      </c>
      <c r="D26" s="30" t="s">
        <v>13</v>
      </c>
      <c r="E26" s="30" t="s">
        <v>7</v>
      </c>
      <c r="F26" s="46"/>
      <c r="G26" s="274" t="s">
        <v>339</v>
      </c>
      <c r="H26" s="274"/>
      <c r="I26" s="182"/>
      <c r="J26" s="182"/>
      <c r="K26" s="182"/>
      <c r="N26" s="296"/>
    </row>
    <row r="27" spans="1:30" ht="15" customHeight="1" thickBot="1" x14ac:dyDescent="0.35">
      <c r="B27" s="35" t="s">
        <v>85</v>
      </c>
      <c r="C27" s="35" t="s">
        <v>89</v>
      </c>
      <c r="D27" s="35" t="s">
        <v>1</v>
      </c>
      <c r="E27" s="35" t="s">
        <v>8</v>
      </c>
      <c r="F27" s="46"/>
      <c r="G27" s="275"/>
      <c r="H27" s="182"/>
      <c r="I27" s="182"/>
      <c r="J27" s="182"/>
      <c r="K27" s="182"/>
      <c r="N27" s="296"/>
    </row>
    <row r="28" spans="1:30" ht="15.6" x14ac:dyDescent="0.3">
      <c r="B28" s="30">
        <f>'JGI Method Testing'!B61</f>
        <v>1</v>
      </c>
      <c r="C28" s="30" t="s">
        <v>336</v>
      </c>
      <c r="D28" s="30" t="str">
        <f>'JGI Method Testing'!D25</f>
        <v>2.7m / 9ft</v>
      </c>
      <c r="E28" s="30" t="str">
        <f>'JGI Method Testing'!E25</f>
        <v>0°</v>
      </c>
      <c r="F28" s="46"/>
      <c r="G28" s="49">
        <f>'JGI Method Testing'!J62</f>
        <v>8.9999999999999998E-4</v>
      </c>
      <c r="H28" s="182"/>
      <c r="I28" s="182"/>
      <c r="J28" s="182"/>
      <c r="K28" s="182"/>
      <c r="N28" s="296">
        <f>ABS(I28)</f>
        <v>0</v>
      </c>
    </row>
    <row r="29" spans="1:30" s="183" customFormat="1" ht="15.6" x14ac:dyDescent="0.3">
      <c r="A29" s="108"/>
      <c r="B29" s="30">
        <f>'JGI Method Testing'!B62</f>
        <v>2</v>
      </c>
      <c r="C29" s="30" t="s">
        <v>337</v>
      </c>
      <c r="D29" s="30" t="str">
        <f>'JGI Method Testing'!D26</f>
        <v>2.7m / 9ft</v>
      </c>
      <c r="E29" s="30" t="str">
        <f>'JGI Method Testing'!E26</f>
        <v>0°</v>
      </c>
      <c r="F29" s="46"/>
      <c r="G29" s="49">
        <f>'JGI Method Testing'!J64</f>
        <v>5.0000000000000001E-4</v>
      </c>
      <c r="H29" s="182"/>
      <c r="I29" s="182"/>
      <c r="J29" s="182"/>
      <c r="K29" s="182"/>
      <c r="L29" s="108"/>
      <c r="M29" s="108"/>
      <c r="N29" s="244"/>
      <c r="O29" s="108"/>
      <c r="P29" s="108"/>
      <c r="Q29" s="108"/>
      <c r="R29" s="108"/>
      <c r="S29" s="108"/>
      <c r="T29" s="108"/>
      <c r="U29" s="108"/>
      <c r="V29" s="108"/>
      <c r="W29" s="108"/>
      <c r="X29" s="108"/>
      <c r="Y29" s="108"/>
      <c r="Z29" s="108"/>
      <c r="AA29" s="108"/>
      <c r="AB29" s="108"/>
      <c r="AC29" s="108"/>
      <c r="AD29" s="108"/>
    </row>
    <row r="30" spans="1:30" s="108" customFormat="1" ht="15.6" x14ac:dyDescent="0.3">
      <c r="B30" s="30">
        <f>'JGI Method Testing'!B63</f>
        <v>3</v>
      </c>
      <c r="C30" s="30" t="s">
        <v>338</v>
      </c>
      <c r="D30" s="30" t="str">
        <f>'JGI Method Testing'!D27</f>
        <v>2.7m / 9ft</v>
      </c>
      <c r="E30" s="30" t="str">
        <f>'JGI Method Testing'!E27</f>
        <v>0°</v>
      </c>
      <c r="F30" s="46"/>
      <c r="G30" s="49">
        <f>'JGI Method Testing'!J66</f>
        <v>0</v>
      </c>
      <c r="H30" s="182"/>
      <c r="I30" s="182"/>
      <c r="J30" s="182"/>
      <c r="K30" s="182"/>
      <c r="N30" s="243"/>
    </row>
    <row r="31" spans="1:30" s="108" customFormat="1" ht="15.6" x14ac:dyDescent="0.3">
      <c r="B31" s="30">
        <f>'JGI Method Testing'!B64</f>
        <v>4</v>
      </c>
      <c r="C31" s="30" t="s">
        <v>337</v>
      </c>
      <c r="D31" s="30" t="str">
        <f>'JGI Method Testing'!D28</f>
        <v>1.8m / 6ft</v>
      </c>
      <c r="E31" s="30" t="str">
        <f>'JGI Method Testing'!E28</f>
        <v>30°</v>
      </c>
      <c r="F31" s="182"/>
      <c r="G31" s="49">
        <f>'JGI Method Testing'!J68</f>
        <v>0</v>
      </c>
      <c r="H31" s="182"/>
      <c r="I31" s="182"/>
      <c r="J31" s="182"/>
      <c r="K31" s="182"/>
      <c r="N31" s="243"/>
    </row>
    <row r="32" spans="1:30" s="108" customFormat="1" ht="15.6" x14ac:dyDescent="0.3">
      <c r="B32" s="30">
        <f>'JGI Method Testing'!B65</f>
        <v>5</v>
      </c>
      <c r="C32" s="30" t="s">
        <v>337</v>
      </c>
      <c r="D32" s="30" t="str">
        <f>'JGI Method Testing'!D29</f>
        <v>1.8m / 6ft</v>
      </c>
      <c r="E32" s="30" t="str">
        <f>'JGI Method Testing'!E29</f>
        <v>60°</v>
      </c>
      <c r="F32" s="182"/>
      <c r="G32" s="49">
        <f>'JGI Method Testing'!J70</f>
        <v>6.9999999999999999E-4</v>
      </c>
      <c r="H32" s="182"/>
      <c r="I32" s="182"/>
      <c r="J32" s="182"/>
      <c r="K32" s="182"/>
      <c r="N32" s="243"/>
    </row>
    <row r="33" spans="2:11" s="108" customFormat="1" ht="15.6" x14ac:dyDescent="0.3">
      <c r="B33" s="30">
        <f>'JGI Method Testing'!B66</f>
        <v>6</v>
      </c>
      <c r="C33" s="30" t="s">
        <v>337</v>
      </c>
      <c r="D33" s="30" t="str">
        <f>'JGI Method Testing'!D30</f>
        <v>1.8m / 6ft</v>
      </c>
      <c r="E33" s="30" t="str">
        <f>'JGI Method Testing'!E30</f>
        <v>90°</v>
      </c>
      <c r="F33" s="182"/>
      <c r="G33" s="49">
        <f>'JGI Method Testing'!J72</f>
        <v>8.0000000000000004E-4</v>
      </c>
      <c r="H33" s="182"/>
      <c r="I33" s="182"/>
      <c r="J33" s="182"/>
      <c r="K33" s="182"/>
    </row>
    <row r="34" spans="2:11" s="108" customFormat="1" ht="15.6" x14ac:dyDescent="0.3">
      <c r="B34" s="30">
        <f>'JGI Method Testing'!B67</f>
        <v>7</v>
      </c>
      <c r="C34" s="30" t="s">
        <v>337</v>
      </c>
      <c r="D34" s="30" t="str">
        <f>'JGI Method Testing'!D31</f>
        <v>2.7m / 9ft</v>
      </c>
      <c r="E34" s="30" t="str">
        <f>'JGI Method Testing'!E31</f>
        <v>90°</v>
      </c>
      <c r="F34" s="182"/>
      <c r="G34" s="49">
        <f>'JGI Method Testing'!J74</f>
        <v>6.9999999999999999E-4</v>
      </c>
      <c r="H34" s="182"/>
      <c r="I34" s="182"/>
      <c r="J34" s="182"/>
      <c r="K34" s="182"/>
    </row>
    <row r="35" spans="2:11" s="108" customFormat="1" ht="15.6" x14ac:dyDescent="0.3">
      <c r="B35" s="30">
        <f>'JGI Method Testing'!B68</f>
        <v>8</v>
      </c>
      <c r="C35" s="30" t="s">
        <v>337</v>
      </c>
      <c r="D35" s="30" t="str">
        <f>'JGI Method Testing'!D32</f>
        <v>6.1m / 20ft</v>
      </c>
      <c r="E35" s="30" t="str">
        <f>'JGI Method Testing'!E32</f>
        <v>0°</v>
      </c>
      <c r="F35" s="182"/>
      <c r="G35" s="49">
        <f>'JGI Method Testing'!J76</f>
        <v>1.5E-3</v>
      </c>
      <c r="H35" s="182"/>
      <c r="I35" s="182"/>
      <c r="J35" s="182"/>
      <c r="K35" s="182"/>
    </row>
    <row r="36" spans="2:11" s="108" customFormat="1" ht="15.6" x14ac:dyDescent="0.3">
      <c r="B36" s="182"/>
      <c r="C36" s="182"/>
      <c r="D36" s="182"/>
      <c r="E36" s="182"/>
      <c r="F36" s="182"/>
      <c r="G36" s="182"/>
      <c r="H36" s="182"/>
      <c r="I36" s="182"/>
      <c r="J36" s="182"/>
      <c r="K36" s="182"/>
    </row>
    <row r="37" spans="2:11" s="108" customFormat="1" ht="15.6" x14ac:dyDescent="0.3">
      <c r="B37" s="182"/>
      <c r="C37" s="182"/>
      <c r="D37" s="182"/>
      <c r="E37" s="182"/>
      <c r="F37" s="182"/>
      <c r="G37" s="182"/>
      <c r="H37" s="182"/>
      <c r="I37" s="182"/>
      <c r="J37" s="182"/>
      <c r="K37" s="182"/>
    </row>
    <row r="38" spans="2:11" s="108" customFormat="1" ht="15.6" x14ac:dyDescent="0.3">
      <c r="B38" s="182"/>
      <c r="C38" s="182"/>
      <c r="D38" s="182"/>
      <c r="E38" s="182"/>
      <c r="F38" s="182"/>
      <c r="G38" s="182"/>
      <c r="H38" s="182"/>
      <c r="I38" s="182"/>
      <c r="J38" s="182"/>
      <c r="K38" s="182"/>
    </row>
    <row r="39" spans="2:11" s="108" customFormat="1" ht="15.6" x14ac:dyDescent="0.3">
      <c r="B39" s="182"/>
      <c r="C39" s="182"/>
      <c r="D39" s="182"/>
      <c r="E39" s="182"/>
      <c r="F39" s="182"/>
      <c r="G39" s="182"/>
      <c r="H39" s="182"/>
      <c r="I39" s="182"/>
      <c r="J39" s="182"/>
      <c r="K39" s="182"/>
    </row>
    <row r="40" spans="2:11" s="108" customFormat="1" ht="15.6" x14ac:dyDescent="0.3">
      <c r="B40" s="182"/>
      <c r="C40" s="182"/>
      <c r="D40" s="182"/>
      <c r="E40" s="182"/>
      <c r="F40" s="182"/>
      <c r="G40" s="182"/>
      <c r="H40" s="182"/>
      <c r="I40" s="182"/>
      <c r="J40" s="182"/>
      <c r="K40" s="182"/>
    </row>
    <row r="41" spans="2:11" s="108" customFormat="1" ht="15.6" x14ac:dyDescent="0.3">
      <c r="B41" s="182"/>
      <c r="C41" s="182"/>
      <c r="D41" s="182"/>
      <c r="E41" s="182"/>
      <c r="F41" s="182"/>
      <c r="G41" s="182"/>
      <c r="H41" s="182"/>
      <c r="I41" s="182"/>
      <c r="J41" s="182"/>
      <c r="K41" s="182"/>
    </row>
    <row r="42" spans="2:11" s="108" customFormat="1" ht="15.6" x14ac:dyDescent="0.3">
      <c r="B42" s="182"/>
      <c r="C42" s="182"/>
      <c r="D42" s="182"/>
      <c r="E42" s="182"/>
      <c r="F42" s="182"/>
      <c r="G42" s="182"/>
      <c r="H42" s="182"/>
      <c r="I42" s="182"/>
      <c r="J42" s="182"/>
      <c r="K42" s="182"/>
    </row>
    <row r="43" spans="2:11" s="108" customFormat="1" ht="15.6" x14ac:dyDescent="0.3">
      <c r="B43" s="182"/>
      <c r="C43" s="182"/>
      <c r="D43" s="182"/>
      <c r="E43" s="182"/>
      <c r="F43" s="182"/>
      <c r="G43" s="182"/>
      <c r="H43" s="182"/>
      <c r="I43" s="182"/>
      <c r="J43" s="182"/>
      <c r="K43" s="182"/>
    </row>
    <row r="44" spans="2:11" s="108" customFormat="1" ht="15.6" x14ac:dyDescent="0.3">
      <c r="B44" s="182"/>
      <c r="C44" s="182"/>
      <c r="D44" s="182"/>
      <c r="E44" s="182"/>
      <c r="F44" s="182"/>
      <c r="G44" s="182"/>
      <c r="H44" s="182"/>
      <c r="I44" s="182"/>
      <c r="J44" s="182"/>
      <c r="K44" s="182"/>
    </row>
    <row r="45" spans="2:11" s="108" customFormat="1" ht="15.6" x14ac:dyDescent="0.3">
      <c r="B45" s="182"/>
      <c r="C45" s="182"/>
      <c r="D45" s="182"/>
      <c r="E45" s="182"/>
      <c r="F45" s="182"/>
      <c r="G45" s="182"/>
      <c r="H45" s="182"/>
      <c r="I45" s="182"/>
      <c r="J45" s="182"/>
      <c r="K45" s="182"/>
    </row>
    <row r="46" spans="2:11" s="28" customFormat="1" x14ac:dyDescent="0.3"/>
    <row r="47" spans="2:11" s="28" customFormat="1" x14ac:dyDescent="0.3"/>
    <row r="48" spans="2:11" s="28" customFormat="1" x14ac:dyDescent="0.3"/>
    <row r="49" s="28" customFormat="1" x14ac:dyDescent="0.3"/>
    <row r="50" s="28" customFormat="1" x14ac:dyDescent="0.3"/>
    <row r="51" s="28" customFormat="1" x14ac:dyDescent="0.3"/>
    <row r="52" s="28" customFormat="1" x14ac:dyDescent="0.3"/>
    <row r="53" s="28" customFormat="1" x14ac:dyDescent="0.3"/>
    <row r="54" s="28" customFormat="1" x14ac:dyDescent="0.3"/>
    <row r="55" s="28" customFormat="1" x14ac:dyDescent="0.3"/>
    <row r="56" s="28" customFormat="1" x14ac:dyDescent="0.3"/>
    <row r="57" s="28" customFormat="1" x14ac:dyDescent="0.3"/>
    <row r="58" s="28" customFormat="1" x14ac:dyDescent="0.3"/>
    <row r="59" s="28" customFormat="1" x14ac:dyDescent="0.3"/>
    <row r="60" s="28" customFormat="1" x14ac:dyDescent="0.3"/>
    <row r="61" s="28" customFormat="1" x14ac:dyDescent="0.3"/>
    <row r="62" s="28" customFormat="1" x14ac:dyDescent="0.3"/>
    <row r="63" s="28" customFormat="1" x14ac:dyDescent="0.3"/>
    <row r="64" s="28" customFormat="1" x14ac:dyDescent="0.3"/>
    <row r="65" s="28" customFormat="1" x14ac:dyDescent="0.3"/>
    <row r="66" s="28" customFormat="1" x14ac:dyDescent="0.3"/>
    <row r="67" s="28" customFormat="1" x14ac:dyDescent="0.3"/>
    <row r="68" s="28" customFormat="1" x14ac:dyDescent="0.3"/>
    <row r="69" s="28" customFormat="1" x14ac:dyDescent="0.3"/>
    <row r="70" s="28" customFormat="1" x14ac:dyDescent="0.3"/>
    <row r="71" s="28" customFormat="1" x14ac:dyDescent="0.3"/>
    <row r="72" s="28" customFormat="1" x14ac:dyDescent="0.3"/>
    <row r="73" s="28" customFormat="1" x14ac:dyDescent="0.3"/>
    <row r="74" s="28" customFormat="1" x14ac:dyDescent="0.3"/>
    <row r="75" s="28" customFormat="1" x14ac:dyDescent="0.3"/>
    <row r="76" s="28" customFormat="1" x14ac:dyDescent="0.3"/>
    <row r="77" s="28" customFormat="1" x14ac:dyDescent="0.3"/>
    <row r="78" s="28" customFormat="1" x14ac:dyDescent="0.3"/>
    <row r="79" s="28" customFormat="1" x14ac:dyDescent="0.3"/>
    <row r="80" s="28" customFormat="1" x14ac:dyDescent="0.3"/>
    <row r="81" s="28" customFormat="1" x14ac:dyDescent="0.3"/>
    <row r="82" s="28" customFormat="1" x14ac:dyDescent="0.3"/>
    <row r="83" s="28" customFormat="1" x14ac:dyDescent="0.3"/>
    <row r="84" s="28" customFormat="1" x14ac:dyDescent="0.3"/>
    <row r="85" s="28" customFormat="1" x14ac:dyDescent="0.3"/>
    <row r="86" s="28" customFormat="1" x14ac:dyDescent="0.3"/>
    <row r="87" s="28" customFormat="1" x14ac:dyDescent="0.3"/>
    <row r="88" s="28" customFormat="1" x14ac:dyDescent="0.3"/>
    <row r="89" s="28" customFormat="1" x14ac:dyDescent="0.3"/>
    <row r="90" s="28" customFormat="1" x14ac:dyDescent="0.3"/>
    <row r="91" s="28" customFormat="1" x14ac:dyDescent="0.3"/>
    <row r="92" s="28" customFormat="1" x14ac:dyDescent="0.3"/>
    <row r="93" s="28" customFormat="1" x14ac:dyDescent="0.3"/>
    <row r="94" s="28" customFormat="1" x14ac:dyDescent="0.3"/>
    <row r="95" s="28" customFormat="1" x14ac:dyDescent="0.3"/>
    <row r="96" s="28" customFormat="1" x14ac:dyDescent="0.3"/>
    <row r="97" s="28" customFormat="1" x14ac:dyDescent="0.3"/>
    <row r="98" s="28" customFormat="1" x14ac:dyDescent="0.3"/>
    <row r="99" s="28" customFormat="1" x14ac:dyDescent="0.3"/>
    <row r="100" s="28" customFormat="1" x14ac:dyDescent="0.3"/>
    <row r="101" s="28" customFormat="1" x14ac:dyDescent="0.3"/>
    <row r="102" s="28" customFormat="1" x14ac:dyDescent="0.3"/>
    <row r="103" s="28" customFormat="1" x14ac:dyDescent="0.3"/>
    <row r="104" s="28" customFormat="1" x14ac:dyDescent="0.3"/>
    <row r="105" s="28" customFormat="1" x14ac:dyDescent="0.3"/>
    <row r="106" s="28" customFormat="1" x14ac:dyDescent="0.3"/>
    <row r="107" s="28" customFormat="1" x14ac:dyDescent="0.3"/>
    <row r="108" s="28" customFormat="1" x14ac:dyDescent="0.3"/>
    <row r="109" s="28" customFormat="1" x14ac:dyDescent="0.3"/>
    <row r="110" s="28" customFormat="1" x14ac:dyDescent="0.3"/>
    <row r="111" s="28" customFormat="1" x14ac:dyDescent="0.3"/>
    <row r="112" s="28" customFormat="1" x14ac:dyDescent="0.3"/>
    <row r="113" s="28" customFormat="1" x14ac:dyDescent="0.3"/>
    <row r="114" s="28" customFormat="1" x14ac:dyDescent="0.3"/>
    <row r="115" s="28" customFormat="1" x14ac:dyDescent="0.3"/>
    <row r="116" s="28" customFormat="1" x14ac:dyDescent="0.3"/>
    <row r="117" s="28" customFormat="1" x14ac:dyDescent="0.3"/>
    <row r="118" s="28" customFormat="1" x14ac:dyDescent="0.3"/>
    <row r="119" s="28" customFormat="1" x14ac:dyDescent="0.3"/>
    <row r="120" s="28" customFormat="1" x14ac:dyDescent="0.3"/>
    <row r="121" s="28" customFormat="1" x14ac:dyDescent="0.3"/>
    <row r="122" s="28" customFormat="1" x14ac:dyDescent="0.3"/>
    <row r="123" s="28" customFormat="1" x14ac:dyDescent="0.3"/>
    <row r="124" s="28" customFormat="1" x14ac:dyDescent="0.3"/>
    <row r="125" s="28" customFormat="1" x14ac:dyDescent="0.3"/>
    <row r="126" s="28" customFormat="1" x14ac:dyDescent="0.3"/>
    <row r="127" s="28" customFormat="1" x14ac:dyDescent="0.3"/>
    <row r="128" s="28" customFormat="1" x14ac:dyDescent="0.3"/>
    <row r="129" s="28" customFormat="1" x14ac:dyDescent="0.3"/>
    <row r="130" s="28" customFormat="1" x14ac:dyDescent="0.3"/>
    <row r="131" s="28" customFormat="1" x14ac:dyDescent="0.3"/>
    <row r="132" s="28" customFormat="1" x14ac:dyDescent="0.3"/>
    <row r="133" s="28" customFormat="1" x14ac:dyDescent="0.3"/>
    <row r="134" s="28" customFormat="1" x14ac:dyDescent="0.3"/>
    <row r="135" s="28" customFormat="1" x14ac:dyDescent="0.3"/>
    <row r="136" s="28" customFormat="1" x14ac:dyDescent="0.3"/>
    <row r="137" s="28" customFormat="1" x14ac:dyDescent="0.3"/>
    <row r="138" s="28" customFormat="1" x14ac:dyDescent="0.3"/>
    <row r="139" s="28" customFormat="1" x14ac:dyDescent="0.3"/>
    <row r="140" s="28" customFormat="1" x14ac:dyDescent="0.3"/>
    <row r="141" s="28" customFormat="1" x14ac:dyDescent="0.3"/>
    <row r="142" s="28" customFormat="1" x14ac:dyDescent="0.3"/>
    <row r="143" s="28" customFormat="1" x14ac:dyDescent="0.3"/>
    <row r="144" s="28" customFormat="1" x14ac:dyDescent="0.3"/>
    <row r="145" s="28" customFormat="1" x14ac:dyDescent="0.3"/>
    <row r="146" s="28" customFormat="1" x14ac:dyDescent="0.3"/>
    <row r="147" s="28" customFormat="1" x14ac:dyDescent="0.3"/>
    <row r="148" s="28" customFormat="1" x14ac:dyDescent="0.3"/>
    <row r="149" s="28" customFormat="1" x14ac:dyDescent="0.3"/>
    <row r="150" s="28" customFormat="1" x14ac:dyDescent="0.3"/>
    <row r="151" s="28" customFormat="1" x14ac:dyDescent="0.3"/>
    <row r="152" s="28" customFormat="1" x14ac:dyDescent="0.3"/>
    <row r="153" s="28" customFormat="1" x14ac:dyDescent="0.3"/>
    <row r="154" s="28" customFormat="1" x14ac:dyDescent="0.3"/>
    <row r="155" s="28" customFormat="1" x14ac:dyDescent="0.3"/>
    <row r="156" s="28" customFormat="1" x14ac:dyDescent="0.3"/>
    <row r="157" s="28" customFormat="1" x14ac:dyDescent="0.3"/>
    <row r="158" s="28" customFormat="1" x14ac:dyDescent="0.3"/>
    <row r="159" s="28" customFormat="1" x14ac:dyDescent="0.3"/>
    <row r="160" s="28" customFormat="1" x14ac:dyDescent="0.3"/>
    <row r="161" s="28" customFormat="1" x14ac:dyDescent="0.3"/>
    <row r="162" s="28" customFormat="1" x14ac:dyDescent="0.3"/>
    <row r="163" s="28" customFormat="1" x14ac:dyDescent="0.3"/>
    <row r="164" s="28" customFormat="1" x14ac:dyDescent="0.3"/>
    <row r="165" s="28" customFormat="1" x14ac:dyDescent="0.3"/>
    <row r="166" s="28" customFormat="1" x14ac:dyDescent="0.3"/>
    <row r="167" s="28" customFormat="1" x14ac:dyDescent="0.3"/>
    <row r="168" s="28" customFormat="1" x14ac:dyDescent="0.3"/>
    <row r="169" s="28" customFormat="1" x14ac:dyDescent="0.3"/>
    <row r="170" s="28" customFormat="1" x14ac:dyDescent="0.3"/>
    <row r="171" s="28" customFormat="1" x14ac:dyDescent="0.3"/>
    <row r="172" s="28" customFormat="1" x14ac:dyDescent="0.3"/>
    <row r="173" s="28" customFormat="1" x14ac:dyDescent="0.3"/>
    <row r="174" s="28" customFormat="1" x14ac:dyDescent="0.3"/>
    <row r="175" s="28" customFormat="1" x14ac:dyDescent="0.3"/>
    <row r="176" s="28" customFormat="1" x14ac:dyDescent="0.3"/>
    <row r="177" s="28" customFormat="1" x14ac:dyDescent="0.3"/>
    <row r="178" s="28" customFormat="1" x14ac:dyDescent="0.3"/>
    <row r="179" s="28" customFormat="1" x14ac:dyDescent="0.3"/>
    <row r="180" s="28" customFormat="1" x14ac:dyDescent="0.3"/>
    <row r="181" s="28" customFormat="1" x14ac:dyDescent="0.3"/>
  </sheetData>
  <sheetProtection selectLockedCells="1" selectUnlockedCells="1"/>
  <mergeCells count="2">
    <mergeCell ref="B4:C4"/>
    <mergeCell ref="B25:C25"/>
  </mergeCells>
  <pageMargins left="0.25" right="0.25" top="0.75" bottom="0.75" header="0.3" footer="0.3"/>
  <pageSetup scale="81" orientation="landscape" r:id="rId1"/>
  <rowBreaks count="1" manualBreakCount="1">
    <brk id="2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85BF-48F5-4BDB-BB46-3270257AB39B}">
  <dimension ref="A1:M76"/>
  <sheetViews>
    <sheetView topLeftCell="A27" workbookViewId="0">
      <selection activeCell="I46" sqref="I46"/>
    </sheetView>
  </sheetViews>
  <sheetFormatPr defaultRowHeight="14.4" x14ac:dyDescent="0.3"/>
  <cols>
    <col min="1" max="1" width="11.44140625" customWidth="1"/>
    <col min="2" max="2" width="17.88671875" style="124" customWidth="1"/>
    <col min="3" max="3" width="16.6640625" customWidth="1"/>
    <col min="4" max="4" width="28.5546875" style="1" customWidth="1"/>
    <col min="5" max="5" width="17.21875" style="1" customWidth="1"/>
    <col min="8" max="8" width="16.77734375" customWidth="1"/>
    <col min="9" max="9" width="76.44140625" customWidth="1"/>
    <col min="12" max="12" width="17.44140625" customWidth="1"/>
    <col min="13" max="13" width="32.109375" bestFit="1" customWidth="1"/>
    <col min="14" max="14" width="7.109375" bestFit="1" customWidth="1"/>
  </cols>
  <sheetData>
    <row r="1" spans="1:13" x14ac:dyDescent="0.3">
      <c r="B1" s="124" t="s">
        <v>342</v>
      </c>
    </row>
    <row r="2" spans="1:13" x14ac:dyDescent="0.3">
      <c r="B2" s="124" t="s">
        <v>343</v>
      </c>
    </row>
    <row r="3" spans="1:13" x14ac:dyDescent="0.3">
      <c r="B3" s="124" t="s">
        <v>341</v>
      </c>
    </row>
    <row r="4" spans="1:13" x14ac:dyDescent="0.3">
      <c r="B4" s="124" t="s">
        <v>344</v>
      </c>
      <c r="C4" t="s">
        <v>349</v>
      </c>
      <c r="F4" t="s">
        <v>322</v>
      </c>
      <c r="G4" t="s">
        <v>323</v>
      </c>
      <c r="H4" t="s">
        <v>324</v>
      </c>
      <c r="L4" s="270"/>
    </row>
    <row r="5" spans="1:13" x14ac:dyDescent="0.3">
      <c r="B5" s="124" t="s">
        <v>345</v>
      </c>
      <c r="C5" t="s">
        <v>350</v>
      </c>
      <c r="F5">
        <f>LARGE(A:A,1)</f>
        <v>68</v>
      </c>
      <c r="G5" s="273">
        <f>COUNTIF(F:F,"Yes")</f>
        <v>13</v>
      </c>
      <c r="H5">
        <f>COUNTIF(G:G,"Fail")</f>
        <v>5</v>
      </c>
    </row>
    <row r="6" spans="1:13" x14ac:dyDescent="0.3">
      <c r="F6" t="s">
        <v>325</v>
      </c>
      <c r="G6" s="270">
        <f>G5/F5</f>
        <v>0.19117647058823528</v>
      </c>
      <c r="H6" s="270">
        <f>H5/F5</f>
        <v>7.3529411764705885E-2</v>
      </c>
      <c r="J6" s="270"/>
    </row>
    <row r="8" spans="1:13" x14ac:dyDescent="0.3">
      <c r="A8" t="s">
        <v>318</v>
      </c>
      <c r="B8" s="124" t="s">
        <v>158</v>
      </c>
      <c r="C8" t="s">
        <v>168</v>
      </c>
      <c r="D8" s="1" t="s">
        <v>290</v>
      </c>
      <c r="E8" s="1" t="s">
        <v>287</v>
      </c>
      <c r="F8" t="s">
        <v>288</v>
      </c>
      <c r="G8" t="s">
        <v>289</v>
      </c>
      <c r="H8" t="s">
        <v>319</v>
      </c>
      <c r="I8" t="s">
        <v>180</v>
      </c>
      <c r="M8" s="267" t="s">
        <v>320</v>
      </c>
    </row>
    <row r="9" spans="1:13" x14ac:dyDescent="0.3">
      <c r="A9">
        <v>1</v>
      </c>
      <c r="B9" s="124">
        <v>42796</v>
      </c>
      <c r="C9" t="s">
        <v>291</v>
      </c>
      <c r="D9" s="1" t="s">
        <v>296</v>
      </c>
      <c r="E9" s="1">
        <v>3654</v>
      </c>
      <c r="F9" t="s">
        <v>306</v>
      </c>
      <c r="G9" t="s">
        <v>165</v>
      </c>
      <c r="H9">
        <v>70.599999999999994</v>
      </c>
      <c r="M9" s="4" t="s">
        <v>295</v>
      </c>
    </row>
    <row r="10" spans="1:13" x14ac:dyDescent="0.3">
      <c r="A10">
        <v>2</v>
      </c>
      <c r="B10" s="124">
        <v>42829</v>
      </c>
      <c r="C10" t="s">
        <v>175</v>
      </c>
      <c r="D10" s="1" t="s">
        <v>296</v>
      </c>
      <c r="E10" s="1">
        <v>4403</v>
      </c>
      <c r="F10" t="s">
        <v>280</v>
      </c>
      <c r="G10" t="s">
        <v>165</v>
      </c>
      <c r="H10">
        <v>71.3</v>
      </c>
      <c r="M10" s="268">
        <v>60066</v>
      </c>
    </row>
    <row r="11" spans="1:13" x14ac:dyDescent="0.3">
      <c r="A11">
        <v>3</v>
      </c>
      <c r="B11" s="124">
        <v>42849</v>
      </c>
      <c r="C11" t="s">
        <v>292</v>
      </c>
      <c r="D11" s="1" t="s">
        <v>297</v>
      </c>
      <c r="E11" s="1" t="s">
        <v>307</v>
      </c>
      <c r="F11" t="s">
        <v>254</v>
      </c>
      <c r="G11" t="s">
        <v>295</v>
      </c>
      <c r="H11">
        <v>76.3</v>
      </c>
      <c r="M11" s="269" t="s">
        <v>299</v>
      </c>
    </row>
    <row r="12" spans="1:13" x14ac:dyDescent="0.3">
      <c r="A12">
        <v>4</v>
      </c>
      <c r="B12" s="124">
        <v>42857</v>
      </c>
      <c r="C12" t="s">
        <v>292</v>
      </c>
      <c r="D12" s="1" t="s">
        <v>297</v>
      </c>
      <c r="E12" s="1" t="s">
        <v>308</v>
      </c>
      <c r="F12" t="s">
        <v>280</v>
      </c>
      <c r="G12" t="s">
        <v>165</v>
      </c>
      <c r="H12">
        <v>76.3</v>
      </c>
      <c r="M12" s="268">
        <v>70215</v>
      </c>
    </row>
    <row r="13" spans="1:13" x14ac:dyDescent="0.3">
      <c r="A13">
        <v>5</v>
      </c>
      <c r="B13" s="124">
        <v>42905</v>
      </c>
      <c r="C13" t="s">
        <v>293</v>
      </c>
      <c r="D13" s="1" t="s">
        <v>298</v>
      </c>
      <c r="E13" s="1">
        <v>750064</v>
      </c>
      <c r="F13" t="s">
        <v>254</v>
      </c>
      <c r="G13" t="s">
        <v>165</v>
      </c>
      <c r="H13">
        <v>71</v>
      </c>
      <c r="M13" s="269" t="s">
        <v>302</v>
      </c>
    </row>
    <row r="14" spans="1:13" x14ac:dyDescent="0.3">
      <c r="A14">
        <v>6</v>
      </c>
      <c r="B14" s="124">
        <v>42948</v>
      </c>
      <c r="C14" t="s">
        <v>294</v>
      </c>
      <c r="D14" s="1" t="s">
        <v>299</v>
      </c>
      <c r="E14" s="1">
        <v>60066</v>
      </c>
      <c r="F14" t="s">
        <v>309</v>
      </c>
      <c r="G14" t="s">
        <v>295</v>
      </c>
      <c r="H14">
        <v>71.599999999999994</v>
      </c>
      <c r="I14" t="s">
        <v>347</v>
      </c>
      <c r="M14" s="268">
        <v>750419</v>
      </c>
    </row>
    <row r="15" spans="1:13" x14ac:dyDescent="0.3">
      <c r="A15">
        <v>7</v>
      </c>
      <c r="B15" s="124">
        <v>42955</v>
      </c>
      <c r="C15" t="s">
        <v>169</v>
      </c>
      <c r="D15" s="1" t="s">
        <v>300</v>
      </c>
      <c r="E15" s="1" t="s">
        <v>310</v>
      </c>
      <c r="F15" t="s">
        <v>280</v>
      </c>
      <c r="G15" t="s">
        <v>165</v>
      </c>
      <c r="H15">
        <v>68.400000000000006</v>
      </c>
      <c r="M15" s="269" t="s">
        <v>305</v>
      </c>
    </row>
    <row r="16" spans="1:13" x14ac:dyDescent="0.3">
      <c r="A16">
        <v>8</v>
      </c>
      <c r="B16" s="124">
        <v>43020</v>
      </c>
      <c r="C16" t="s">
        <v>293</v>
      </c>
      <c r="D16" s="1" t="s">
        <v>301</v>
      </c>
      <c r="E16" s="1">
        <v>750787</v>
      </c>
      <c r="F16" t="s">
        <v>280</v>
      </c>
      <c r="G16" t="s">
        <v>165</v>
      </c>
      <c r="H16">
        <v>68</v>
      </c>
      <c r="M16" s="268" t="s">
        <v>315</v>
      </c>
    </row>
    <row r="17" spans="1:13" x14ac:dyDescent="0.3">
      <c r="A17">
        <v>9</v>
      </c>
      <c r="B17" s="124">
        <v>43032</v>
      </c>
      <c r="C17" t="s">
        <v>166</v>
      </c>
      <c r="D17" s="1" t="s">
        <v>296</v>
      </c>
      <c r="E17" s="1" t="s">
        <v>311</v>
      </c>
      <c r="F17" t="s">
        <v>280</v>
      </c>
      <c r="G17" t="s">
        <v>165</v>
      </c>
      <c r="H17">
        <v>68</v>
      </c>
      <c r="M17" s="269" t="s">
        <v>314</v>
      </c>
    </row>
    <row r="18" spans="1:13" x14ac:dyDescent="0.3">
      <c r="A18">
        <v>10</v>
      </c>
      <c r="B18" s="276">
        <v>43038</v>
      </c>
      <c r="C18" s="277" t="s">
        <v>171</v>
      </c>
      <c r="D18" s="189" t="s">
        <v>302</v>
      </c>
      <c r="E18" s="189">
        <v>70215</v>
      </c>
      <c r="F18" t="s">
        <v>254</v>
      </c>
      <c r="G18" t="s">
        <v>295</v>
      </c>
      <c r="H18">
        <v>77</v>
      </c>
      <c r="M18" s="268" t="s">
        <v>307</v>
      </c>
    </row>
    <row r="19" spans="1:13" x14ac:dyDescent="0.3">
      <c r="A19">
        <v>11</v>
      </c>
      <c r="B19" s="276">
        <v>43040</v>
      </c>
      <c r="C19" s="277" t="s">
        <v>166</v>
      </c>
      <c r="D19" s="189" t="s">
        <v>303</v>
      </c>
      <c r="E19" s="189" t="s">
        <v>312</v>
      </c>
      <c r="F19" t="s">
        <v>254</v>
      </c>
      <c r="G19" t="s">
        <v>165</v>
      </c>
      <c r="H19">
        <v>65</v>
      </c>
      <c r="I19" t="s">
        <v>346</v>
      </c>
      <c r="M19" s="269" t="s">
        <v>297</v>
      </c>
    </row>
    <row r="20" spans="1:13" x14ac:dyDescent="0.3">
      <c r="A20">
        <v>12</v>
      </c>
      <c r="B20" s="124">
        <v>43047</v>
      </c>
      <c r="C20" t="s">
        <v>175</v>
      </c>
      <c r="D20" s="1" t="s">
        <v>296</v>
      </c>
      <c r="E20" s="1">
        <v>4176</v>
      </c>
      <c r="F20" t="s">
        <v>280</v>
      </c>
      <c r="G20" t="s">
        <v>165</v>
      </c>
      <c r="H20">
        <v>70</v>
      </c>
      <c r="M20" s="4" t="s">
        <v>165</v>
      </c>
    </row>
    <row r="21" spans="1:13" x14ac:dyDescent="0.3">
      <c r="A21">
        <v>13</v>
      </c>
      <c r="B21" s="124">
        <v>43064</v>
      </c>
      <c r="C21" t="s">
        <v>192</v>
      </c>
      <c r="D21" s="1" t="s">
        <v>362</v>
      </c>
      <c r="E21" s="1" t="s">
        <v>313</v>
      </c>
      <c r="F21" t="s">
        <v>254</v>
      </c>
      <c r="G21" t="s">
        <v>165</v>
      </c>
      <c r="H21">
        <v>68.5</v>
      </c>
      <c r="M21" s="268">
        <v>3654</v>
      </c>
    </row>
    <row r="22" spans="1:13" x14ac:dyDescent="0.3">
      <c r="A22">
        <v>14</v>
      </c>
      <c r="B22" s="276">
        <v>43076</v>
      </c>
      <c r="C22" s="277" t="s">
        <v>194</v>
      </c>
      <c r="D22" s="189" t="s">
        <v>305</v>
      </c>
      <c r="E22" s="189">
        <v>750419</v>
      </c>
      <c r="F22" t="s">
        <v>254</v>
      </c>
      <c r="G22" t="s">
        <v>295</v>
      </c>
      <c r="H22">
        <v>69</v>
      </c>
      <c r="I22" t="s">
        <v>348</v>
      </c>
      <c r="M22" s="269" t="s">
        <v>296</v>
      </c>
    </row>
    <row r="23" spans="1:13" x14ac:dyDescent="0.3">
      <c r="A23">
        <v>15</v>
      </c>
      <c r="B23" s="124">
        <v>43164</v>
      </c>
      <c r="C23" t="s">
        <v>174</v>
      </c>
      <c r="D23" s="1" t="s">
        <v>296</v>
      </c>
      <c r="E23" s="1">
        <v>3654</v>
      </c>
      <c r="F23" t="s">
        <v>306</v>
      </c>
      <c r="G23" t="s">
        <v>165</v>
      </c>
      <c r="H23">
        <v>66</v>
      </c>
      <c r="M23" s="268">
        <v>4176</v>
      </c>
    </row>
    <row r="24" spans="1:13" x14ac:dyDescent="0.3">
      <c r="A24">
        <v>16</v>
      </c>
      <c r="B24" s="124">
        <v>43193</v>
      </c>
      <c r="C24" t="s">
        <v>175</v>
      </c>
      <c r="D24" s="1" t="s">
        <v>296</v>
      </c>
      <c r="E24" s="1">
        <v>4403</v>
      </c>
      <c r="F24" t="s">
        <v>280</v>
      </c>
      <c r="G24" t="s">
        <v>165</v>
      </c>
      <c r="H24">
        <v>66.7</v>
      </c>
      <c r="M24" s="269" t="s">
        <v>296</v>
      </c>
    </row>
    <row r="25" spans="1:13" x14ac:dyDescent="0.3">
      <c r="A25">
        <v>18</v>
      </c>
      <c r="B25" s="124">
        <v>43223</v>
      </c>
      <c r="C25" t="s">
        <v>293</v>
      </c>
      <c r="D25" s="1" t="s">
        <v>296</v>
      </c>
      <c r="E25" s="1">
        <v>751074</v>
      </c>
      <c r="F25" t="s">
        <v>254</v>
      </c>
      <c r="G25" t="s">
        <v>165</v>
      </c>
      <c r="H25">
        <v>72.5</v>
      </c>
      <c r="M25" s="268">
        <v>4403</v>
      </c>
    </row>
    <row r="26" spans="1:13" x14ac:dyDescent="0.3">
      <c r="A26">
        <v>17</v>
      </c>
      <c r="B26" s="124">
        <v>43223</v>
      </c>
      <c r="C26" t="s">
        <v>293</v>
      </c>
      <c r="D26" s="1" t="s">
        <v>296</v>
      </c>
      <c r="E26" s="1">
        <v>751078</v>
      </c>
      <c r="F26" t="s">
        <v>280</v>
      </c>
      <c r="G26" t="s">
        <v>165</v>
      </c>
      <c r="H26">
        <v>68.7</v>
      </c>
      <c r="M26" s="269" t="s">
        <v>296</v>
      </c>
    </row>
    <row r="27" spans="1:13" x14ac:dyDescent="0.3">
      <c r="A27">
        <v>19</v>
      </c>
      <c r="B27" s="124">
        <v>43237</v>
      </c>
      <c r="C27" t="s">
        <v>166</v>
      </c>
      <c r="D27" s="1" t="s">
        <v>314</v>
      </c>
      <c r="E27" s="1" t="s">
        <v>358</v>
      </c>
      <c r="F27" t="s">
        <v>254</v>
      </c>
      <c r="G27" t="s">
        <v>295</v>
      </c>
      <c r="H27">
        <v>69.8</v>
      </c>
      <c r="M27" s="268">
        <v>750064</v>
      </c>
    </row>
    <row r="28" spans="1:13" x14ac:dyDescent="0.3">
      <c r="A28">
        <v>20</v>
      </c>
      <c r="B28" s="124">
        <v>43322</v>
      </c>
      <c r="C28" t="s">
        <v>169</v>
      </c>
      <c r="D28" s="1" t="s">
        <v>300</v>
      </c>
      <c r="E28" s="1" t="s">
        <v>310</v>
      </c>
      <c r="F28" t="s">
        <v>280</v>
      </c>
      <c r="G28" t="s">
        <v>165</v>
      </c>
      <c r="H28">
        <v>70.400000000000006</v>
      </c>
      <c r="I28" t="s">
        <v>353</v>
      </c>
      <c r="M28" s="269" t="s">
        <v>298</v>
      </c>
    </row>
    <row r="29" spans="1:13" x14ac:dyDescent="0.3">
      <c r="A29">
        <v>21</v>
      </c>
      <c r="B29" s="124">
        <v>43333</v>
      </c>
      <c r="C29" t="s">
        <v>194</v>
      </c>
      <c r="D29" s="1" t="s">
        <v>316</v>
      </c>
      <c r="E29" s="1">
        <v>750245</v>
      </c>
      <c r="F29" t="s">
        <v>254</v>
      </c>
      <c r="G29" t="s">
        <v>165</v>
      </c>
      <c r="H29">
        <v>70.3</v>
      </c>
      <c r="M29" s="268">
        <v>750245</v>
      </c>
    </row>
    <row r="30" spans="1:13" x14ac:dyDescent="0.3">
      <c r="A30">
        <v>22</v>
      </c>
      <c r="B30" s="124">
        <v>43348</v>
      </c>
      <c r="C30" t="s">
        <v>293</v>
      </c>
      <c r="D30" s="1" t="s">
        <v>317</v>
      </c>
      <c r="E30" s="1">
        <v>751189</v>
      </c>
      <c r="F30" t="s">
        <v>280</v>
      </c>
      <c r="G30" t="s">
        <v>165</v>
      </c>
      <c r="H30">
        <v>74.8</v>
      </c>
      <c r="M30" s="269" t="s">
        <v>316</v>
      </c>
    </row>
    <row r="31" spans="1:13" x14ac:dyDescent="0.3">
      <c r="A31">
        <v>23</v>
      </c>
      <c r="B31" s="124">
        <v>43384</v>
      </c>
      <c r="C31" t="s">
        <v>293</v>
      </c>
      <c r="D31" s="1" t="s">
        <v>301</v>
      </c>
      <c r="E31" s="1">
        <v>750787</v>
      </c>
      <c r="F31" t="s">
        <v>280</v>
      </c>
      <c r="G31" t="s">
        <v>165</v>
      </c>
      <c r="H31">
        <v>69</v>
      </c>
      <c r="M31" s="268">
        <v>750787</v>
      </c>
    </row>
    <row r="32" spans="1:13" x14ac:dyDescent="0.3">
      <c r="A32">
        <v>24</v>
      </c>
      <c r="B32" s="124">
        <v>43396</v>
      </c>
      <c r="C32" t="s">
        <v>175</v>
      </c>
      <c r="D32" s="1" t="s">
        <v>296</v>
      </c>
      <c r="E32" s="1">
        <v>4176</v>
      </c>
      <c r="F32" t="s">
        <v>280</v>
      </c>
      <c r="G32" t="s">
        <v>165</v>
      </c>
      <c r="H32">
        <v>68.900000000000006</v>
      </c>
      <c r="M32" s="269" t="s">
        <v>301</v>
      </c>
    </row>
    <row r="33" spans="1:13" x14ac:dyDescent="0.3">
      <c r="A33">
        <v>25</v>
      </c>
      <c r="B33" s="124">
        <v>43396</v>
      </c>
      <c r="C33" t="s">
        <v>166</v>
      </c>
      <c r="D33" s="1" t="s">
        <v>296</v>
      </c>
      <c r="E33" s="1" t="s">
        <v>311</v>
      </c>
      <c r="F33" t="s">
        <v>280</v>
      </c>
      <c r="G33" t="s">
        <v>165</v>
      </c>
      <c r="H33">
        <v>71.2</v>
      </c>
      <c r="M33" s="268">
        <v>751074</v>
      </c>
    </row>
    <row r="34" spans="1:13" x14ac:dyDescent="0.3">
      <c r="A34">
        <v>26</v>
      </c>
      <c r="B34" s="124">
        <v>43412</v>
      </c>
      <c r="C34" t="s">
        <v>192</v>
      </c>
      <c r="D34" s="1" t="s">
        <v>362</v>
      </c>
      <c r="E34" s="1" t="s">
        <v>313</v>
      </c>
      <c r="F34" t="s">
        <v>280</v>
      </c>
      <c r="G34" t="s">
        <v>165</v>
      </c>
      <c r="H34">
        <v>66.2</v>
      </c>
      <c r="M34" s="269" t="s">
        <v>296</v>
      </c>
    </row>
    <row r="35" spans="1:13" x14ac:dyDescent="0.3">
      <c r="A35">
        <v>27</v>
      </c>
      <c r="B35" s="124">
        <v>43419</v>
      </c>
      <c r="C35" t="s">
        <v>294</v>
      </c>
      <c r="D35" s="1" t="s">
        <v>299</v>
      </c>
      <c r="E35" s="1">
        <v>60066</v>
      </c>
      <c r="M35" s="268">
        <v>751078</v>
      </c>
    </row>
    <row r="36" spans="1:13" x14ac:dyDescent="0.3">
      <c r="A36">
        <v>28</v>
      </c>
      <c r="B36" s="124">
        <v>43483</v>
      </c>
      <c r="C36" t="s">
        <v>175</v>
      </c>
      <c r="D36" s="1" t="s">
        <v>351</v>
      </c>
      <c r="E36" s="1">
        <v>3268</v>
      </c>
      <c r="F36" t="s">
        <v>306</v>
      </c>
      <c r="G36" t="s">
        <v>165</v>
      </c>
      <c r="H36">
        <v>60.2</v>
      </c>
      <c r="M36" s="269" t="s">
        <v>296</v>
      </c>
    </row>
    <row r="37" spans="1:13" x14ac:dyDescent="0.3">
      <c r="A37">
        <v>29</v>
      </c>
      <c r="B37" s="124">
        <v>43535</v>
      </c>
      <c r="C37" t="s">
        <v>355</v>
      </c>
      <c r="D37" s="1" t="s">
        <v>354</v>
      </c>
      <c r="E37" s="1">
        <v>2077</v>
      </c>
      <c r="F37" t="s">
        <v>306</v>
      </c>
      <c r="G37" t="s">
        <v>165</v>
      </c>
      <c r="H37">
        <v>68.5</v>
      </c>
      <c r="M37" s="268">
        <v>751189</v>
      </c>
    </row>
    <row r="38" spans="1:13" x14ac:dyDescent="0.3">
      <c r="A38">
        <v>30</v>
      </c>
      <c r="B38" s="124">
        <v>43556</v>
      </c>
      <c r="C38" t="s">
        <v>175</v>
      </c>
      <c r="D38" s="1" t="s">
        <v>296</v>
      </c>
      <c r="E38" s="1">
        <v>4403</v>
      </c>
      <c r="F38" t="s">
        <v>306</v>
      </c>
      <c r="G38" t="s">
        <v>165</v>
      </c>
      <c r="I38" t="s">
        <v>364</v>
      </c>
      <c r="M38" s="269" t="s">
        <v>317</v>
      </c>
    </row>
    <row r="39" spans="1:13" x14ac:dyDescent="0.3">
      <c r="A39">
        <v>31</v>
      </c>
      <c r="B39" s="124">
        <v>43556</v>
      </c>
      <c r="C39" t="s">
        <v>293</v>
      </c>
      <c r="D39" s="1" t="s">
        <v>296</v>
      </c>
      <c r="E39" s="1">
        <v>751074</v>
      </c>
      <c r="F39" t="s">
        <v>306</v>
      </c>
      <c r="G39" t="s">
        <v>165</v>
      </c>
      <c r="I39" t="s">
        <v>363</v>
      </c>
      <c r="M39" s="268" t="s">
        <v>308</v>
      </c>
    </row>
    <row r="40" spans="1:13" x14ac:dyDescent="0.3">
      <c r="A40">
        <v>32</v>
      </c>
      <c r="B40" s="124">
        <v>43571</v>
      </c>
      <c r="C40" t="s">
        <v>293</v>
      </c>
      <c r="D40" s="1" t="s">
        <v>356</v>
      </c>
      <c r="E40" s="1">
        <v>750937</v>
      </c>
      <c r="F40" t="s">
        <v>280</v>
      </c>
      <c r="G40" t="s">
        <v>165</v>
      </c>
      <c r="M40" s="269" t="s">
        <v>297</v>
      </c>
    </row>
    <row r="41" spans="1:13" x14ac:dyDescent="0.3">
      <c r="A41">
        <v>33</v>
      </c>
      <c r="B41" s="124">
        <v>43587</v>
      </c>
      <c r="C41" t="s">
        <v>357</v>
      </c>
      <c r="D41" s="1" t="s">
        <v>297</v>
      </c>
      <c r="E41" s="1">
        <v>3212</v>
      </c>
      <c r="F41" t="s">
        <v>280</v>
      </c>
      <c r="G41" t="s">
        <v>165</v>
      </c>
      <c r="M41" s="268" t="s">
        <v>313</v>
      </c>
    </row>
    <row r="42" spans="1:13" x14ac:dyDescent="0.3">
      <c r="A42">
        <v>34</v>
      </c>
      <c r="B42" s="124">
        <v>43595</v>
      </c>
      <c r="C42" t="s">
        <v>357</v>
      </c>
      <c r="D42" s="1" t="s">
        <v>297</v>
      </c>
      <c r="E42" s="1">
        <v>3900</v>
      </c>
      <c r="F42" t="s">
        <v>280</v>
      </c>
      <c r="G42" t="s">
        <v>165</v>
      </c>
      <c r="M42" s="269" t="s">
        <v>304</v>
      </c>
    </row>
    <row r="43" spans="1:13" x14ac:dyDescent="0.3">
      <c r="A43">
        <v>35</v>
      </c>
      <c r="B43" s="124">
        <v>43641</v>
      </c>
      <c r="C43" t="s">
        <v>171</v>
      </c>
      <c r="D43" s="1" t="s">
        <v>297</v>
      </c>
      <c r="E43" s="1">
        <v>70457</v>
      </c>
      <c r="F43" t="s">
        <v>280</v>
      </c>
      <c r="G43" t="s">
        <v>165</v>
      </c>
      <c r="M43" s="268" t="s">
        <v>310</v>
      </c>
    </row>
    <row r="44" spans="1:13" x14ac:dyDescent="0.3">
      <c r="A44">
        <v>36</v>
      </c>
      <c r="B44" s="124">
        <v>43641</v>
      </c>
      <c r="C44" t="s">
        <v>171</v>
      </c>
      <c r="D44" s="1" t="s">
        <v>297</v>
      </c>
      <c r="E44" s="1">
        <v>70459</v>
      </c>
      <c r="F44" t="s">
        <v>280</v>
      </c>
      <c r="G44" t="s">
        <v>165</v>
      </c>
      <c r="M44" s="269" t="s">
        <v>300</v>
      </c>
    </row>
    <row r="45" spans="1:13" x14ac:dyDescent="0.3">
      <c r="A45">
        <v>37</v>
      </c>
      <c r="B45" s="124">
        <v>43641</v>
      </c>
      <c r="C45" t="s">
        <v>172</v>
      </c>
      <c r="D45" s="1" t="s">
        <v>297</v>
      </c>
      <c r="E45" s="1">
        <v>3676</v>
      </c>
      <c r="F45" t="s">
        <v>280</v>
      </c>
      <c r="G45" t="s">
        <v>165</v>
      </c>
      <c r="M45" s="268" t="s">
        <v>312</v>
      </c>
    </row>
    <row r="46" spans="1:13" x14ac:dyDescent="0.3">
      <c r="A46">
        <v>38</v>
      </c>
      <c r="B46" s="124">
        <v>43644</v>
      </c>
      <c r="C46" t="s">
        <v>166</v>
      </c>
      <c r="D46" s="1" t="s">
        <v>314</v>
      </c>
      <c r="E46" s="1" t="s">
        <v>358</v>
      </c>
      <c r="F46" t="s">
        <v>254</v>
      </c>
      <c r="G46" t="s">
        <v>165</v>
      </c>
      <c r="M46" s="269" t="s">
        <v>303</v>
      </c>
    </row>
    <row r="47" spans="1:13" x14ac:dyDescent="0.3">
      <c r="A47">
        <v>39</v>
      </c>
      <c r="B47" s="124">
        <v>43670</v>
      </c>
      <c r="C47" t="s">
        <v>192</v>
      </c>
      <c r="D47" s="1" t="s">
        <v>354</v>
      </c>
      <c r="E47" s="1" t="s">
        <v>359</v>
      </c>
      <c r="F47" t="s">
        <v>254</v>
      </c>
      <c r="G47" t="s">
        <v>165</v>
      </c>
      <c r="M47" s="268" t="s">
        <v>311</v>
      </c>
    </row>
    <row r="48" spans="1:13" x14ac:dyDescent="0.3">
      <c r="A48">
        <v>40</v>
      </c>
      <c r="B48" s="124">
        <v>43697</v>
      </c>
      <c r="C48" t="s">
        <v>293</v>
      </c>
      <c r="D48" s="1" t="s">
        <v>316</v>
      </c>
      <c r="E48" s="1">
        <v>750245</v>
      </c>
      <c r="F48" t="s">
        <v>280</v>
      </c>
      <c r="G48" t="s">
        <v>165</v>
      </c>
      <c r="M48" s="269" t="s">
        <v>296</v>
      </c>
    </row>
    <row r="49" spans="1:13" x14ac:dyDescent="0.3">
      <c r="A49">
        <v>41</v>
      </c>
      <c r="B49" s="124">
        <v>43699</v>
      </c>
      <c r="C49" t="s">
        <v>169</v>
      </c>
      <c r="D49" s="1" t="s">
        <v>300</v>
      </c>
      <c r="E49" s="1" t="s">
        <v>310</v>
      </c>
      <c r="F49" t="s">
        <v>280</v>
      </c>
      <c r="G49" t="s">
        <v>165</v>
      </c>
      <c r="M49" s="4" t="s">
        <v>321</v>
      </c>
    </row>
    <row r="50" spans="1:13" x14ac:dyDescent="0.3">
      <c r="A50">
        <v>42</v>
      </c>
      <c r="B50" s="124">
        <v>43711</v>
      </c>
      <c r="C50" t="s">
        <v>293</v>
      </c>
      <c r="D50" s="1" t="s">
        <v>317</v>
      </c>
      <c r="E50" s="1">
        <v>751189</v>
      </c>
      <c r="F50" t="s">
        <v>254</v>
      </c>
      <c r="G50" t="s">
        <v>165</v>
      </c>
    </row>
    <row r="51" spans="1:13" x14ac:dyDescent="0.3">
      <c r="A51">
        <v>43</v>
      </c>
      <c r="B51" s="124">
        <v>43740</v>
      </c>
      <c r="C51" t="s">
        <v>360</v>
      </c>
      <c r="D51" s="1" t="s">
        <v>361</v>
      </c>
      <c r="E51" s="1">
        <v>2028</v>
      </c>
      <c r="F51" t="s">
        <v>280</v>
      </c>
      <c r="G51" t="s">
        <v>165</v>
      </c>
    </row>
    <row r="52" spans="1:13" x14ac:dyDescent="0.3">
      <c r="A52">
        <v>44</v>
      </c>
      <c r="B52" s="124">
        <v>43748</v>
      </c>
      <c r="C52" t="s">
        <v>293</v>
      </c>
      <c r="D52" s="1" t="s">
        <v>301</v>
      </c>
      <c r="E52" s="1">
        <v>750787</v>
      </c>
      <c r="F52" t="s">
        <v>280</v>
      </c>
      <c r="G52" t="s">
        <v>165</v>
      </c>
    </row>
    <row r="53" spans="1:13" x14ac:dyDescent="0.3">
      <c r="A53">
        <v>45</v>
      </c>
      <c r="B53" s="124">
        <v>43763</v>
      </c>
      <c r="C53" t="s">
        <v>175</v>
      </c>
      <c r="D53" s="1" t="s">
        <v>296</v>
      </c>
      <c r="E53" s="1">
        <v>4176</v>
      </c>
      <c r="F53" t="s">
        <v>280</v>
      </c>
      <c r="G53" t="s">
        <v>165</v>
      </c>
      <c r="I53" t="s">
        <v>364</v>
      </c>
    </row>
    <row r="54" spans="1:13" x14ac:dyDescent="0.3">
      <c r="A54">
        <v>46</v>
      </c>
      <c r="B54" s="124">
        <v>43763</v>
      </c>
      <c r="C54" t="s">
        <v>166</v>
      </c>
      <c r="D54" s="1" t="s">
        <v>296</v>
      </c>
      <c r="E54" s="1" t="s">
        <v>311</v>
      </c>
      <c r="F54" t="s">
        <v>280</v>
      </c>
      <c r="G54" t="s">
        <v>165</v>
      </c>
      <c r="I54" t="s">
        <v>365</v>
      </c>
    </row>
    <row r="55" spans="1:13" x14ac:dyDescent="0.3">
      <c r="A55">
        <v>47</v>
      </c>
      <c r="B55" s="124">
        <v>43775</v>
      </c>
      <c r="C55" t="s">
        <v>192</v>
      </c>
      <c r="D55" s="1" t="s">
        <v>362</v>
      </c>
      <c r="E55" s="1" t="s">
        <v>313</v>
      </c>
      <c r="F55" t="s">
        <v>280</v>
      </c>
      <c r="G55" t="s">
        <v>165</v>
      </c>
    </row>
    <row r="56" spans="1:13" x14ac:dyDescent="0.3">
      <c r="A56">
        <v>48</v>
      </c>
      <c r="B56" s="124">
        <v>43804</v>
      </c>
      <c r="C56" t="s">
        <v>194</v>
      </c>
      <c r="D56" s="1" t="s">
        <v>305</v>
      </c>
      <c r="E56" s="1">
        <v>750419</v>
      </c>
      <c r="F56" t="s">
        <v>280</v>
      </c>
      <c r="G56" t="s">
        <v>165</v>
      </c>
    </row>
    <row r="57" spans="1:13" x14ac:dyDescent="0.3">
      <c r="A57">
        <v>49</v>
      </c>
      <c r="B57" s="124">
        <v>43836</v>
      </c>
      <c r="C57" t="s">
        <v>175</v>
      </c>
      <c r="D57" s="1" t="s">
        <v>351</v>
      </c>
      <c r="E57" s="1">
        <v>3268</v>
      </c>
      <c r="F57" t="s">
        <v>280</v>
      </c>
      <c r="G57" t="s">
        <v>165</v>
      </c>
    </row>
    <row r="58" spans="1:13" x14ac:dyDescent="0.3">
      <c r="A58">
        <v>50</v>
      </c>
      <c r="B58" s="124">
        <v>43900</v>
      </c>
      <c r="C58" t="s">
        <v>355</v>
      </c>
      <c r="D58" s="1" t="s">
        <v>354</v>
      </c>
      <c r="E58" s="1">
        <v>2077</v>
      </c>
      <c r="F58" t="s">
        <v>280</v>
      </c>
      <c r="G58" t="s">
        <v>165</v>
      </c>
    </row>
    <row r="59" spans="1:13" x14ac:dyDescent="0.3">
      <c r="A59">
        <v>51</v>
      </c>
    </row>
    <row r="60" spans="1:13" x14ac:dyDescent="0.3">
      <c r="A60">
        <v>52</v>
      </c>
    </row>
    <row r="61" spans="1:13" x14ac:dyDescent="0.3">
      <c r="A61">
        <v>53</v>
      </c>
    </row>
    <row r="62" spans="1:13" x14ac:dyDescent="0.3">
      <c r="A62">
        <v>54</v>
      </c>
    </row>
    <row r="63" spans="1:13" x14ac:dyDescent="0.3">
      <c r="A63">
        <v>55</v>
      </c>
    </row>
    <row r="64" spans="1:13" x14ac:dyDescent="0.3">
      <c r="A64">
        <v>56</v>
      </c>
    </row>
    <row r="65" spans="1:1" x14ac:dyDescent="0.3">
      <c r="A65">
        <v>57</v>
      </c>
    </row>
    <row r="66" spans="1:1" x14ac:dyDescent="0.3">
      <c r="A66">
        <v>58</v>
      </c>
    </row>
    <row r="67" spans="1:1" x14ac:dyDescent="0.3">
      <c r="A67">
        <v>59</v>
      </c>
    </row>
    <row r="68" spans="1:1" x14ac:dyDescent="0.3">
      <c r="A68">
        <v>60</v>
      </c>
    </row>
    <row r="69" spans="1:1" x14ac:dyDescent="0.3">
      <c r="A69">
        <v>61</v>
      </c>
    </row>
    <row r="70" spans="1:1" x14ac:dyDescent="0.3">
      <c r="A70">
        <v>62</v>
      </c>
    </row>
    <row r="71" spans="1:1" x14ac:dyDescent="0.3">
      <c r="A71">
        <v>63</v>
      </c>
    </row>
    <row r="72" spans="1:1" x14ac:dyDescent="0.3">
      <c r="A72">
        <v>64</v>
      </c>
    </row>
    <row r="73" spans="1:1" x14ac:dyDescent="0.3">
      <c r="A73">
        <v>65</v>
      </c>
    </row>
    <row r="74" spans="1:1" x14ac:dyDescent="0.3">
      <c r="A74">
        <v>66</v>
      </c>
    </row>
    <row r="75" spans="1:1" x14ac:dyDescent="0.3">
      <c r="A75">
        <v>67</v>
      </c>
    </row>
    <row r="76" spans="1:1" x14ac:dyDescent="0.3">
      <c r="A76">
        <v>68</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9638-67AC-4AD5-BCD1-B737B0FF4500}">
  <dimension ref="A5:B14"/>
  <sheetViews>
    <sheetView workbookViewId="0">
      <selection activeCell="A15" sqref="A15"/>
    </sheetView>
  </sheetViews>
  <sheetFormatPr defaultRowHeight="14.4" x14ac:dyDescent="0.3"/>
  <sheetData>
    <row r="5" spans="1:2" x14ac:dyDescent="0.3">
      <c r="A5" t="s">
        <v>326</v>
      </c>
    </row>
    <row r="7" spans="1:2" x14ac:dyDescent="0.3">
      <c r="A7" t="s">
        <v>327</v>
      </c>
    </row>
    <row r="8" spans="1:2" x14ac:dyDescent="0.3">
      <c r="A8" t="s">
        <v>328</v>
      </c>
    </row>
    <row r="9" spans="1:2" x14ac:dyDescent="0.3">
      <c r="A9" t="s">
        <v>329</v>
      </c>
    </row>
    <row r="11" spans="1:2" x14ac:dyDescent="0.3">
      <c r="A11" t="s">
        <v>330</v>
      </c>
    </row>
    <row r="13" spans="1:2" x14ac:dyDescent="0.3">
      <c r="A13" t="s">
        <v>331</v>
      </c>
      <c r="B13" t="s">
        <v>332</v>
      </c>
    </row>
    <row r="14" spans="1:2" x14ac:dyDescent="0.3">
      <c r="A14" t="s">
        <v>333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topLeftCell="B2" workbookViewId="0">
      <selection activeCell="M17" sqref="M17"/>
    </sheetView>
  </sheetViews>
  <sheetFormatPr defaultRowHeight="14.4" x14ac:dyDescent="0.3"/>
  <cols>
    <col min="2" max="2" width="54.77734375" customWidth="1"/>
    <col min="3" max="3" width="17.77734375" customWidth="1"/>
    <col min="4" max="4" width="34.21875" customWidth="1"/>
    <col min="5" max="5" width="20" customWidth="1"/>
    <col min="6" max="6" width="21.5546875" customWidth="1"/>
    <col min="7" max="7" width="11.88671875" customWidth="1"/>
    <col min="8" max="8" width="11.6640625" customWidth="1"/>
    <col min="9" max="9" width="12" customWidth="1"/>
    <col min="10" max="10" width="10.6640625" bestFit="1" customWidth="1"/>
    <col min="11" max="12" width="11.5546875" bestFit="1" customWidth="1"/>
  </cols>
  <sheetData>
    <row r="1" spans="1:14" ht="15" thickBot="1" x14ac:dyDescent="0.35"/>
    <row r="2" spans="1:14" ht="15" thickBot="1" x14ac:dyDescent="0.35">
      <c r="B2" s="142"/>
      <c r="C2" s="143" t="s">
        <v>167</v>
      </c>
      <c r="D2" s="143"/>
      <c r="E2" s="143"/>
      <c r="F2" s="143"/>
      <c r="G2" s="143"/>
      <c r="H2" s="143"/>
      <c r="I2" s="144"/>
      <c r="J2" s="144"/>
      <c r="K2" s="144"/>
      <c r="L2" s="145"/>
    </row>
    <row r="3" spans="1:14" x14ac:dyDescent="0.3">
      <c r="E3" s="129" t="s">
        <v>178</v>
      </c>
      <c r="H3" s="130"/>
      <c r="I3" s="126" t="s">
        <v>179</v>
      </c>
      <c r="J3" s="127"/>
      <c r="K3" s="127"/>
      <c r="L3" s="127"/>
      <c r="M3" s="128"/>
    </row>
    <row r="4" spans="1:14" x14ac:dyDescent="0.3">
      <c r="E4" s="129" t="s">
        <v>31</v>
      </c>
      <c r="H4" s="130"/>
      <c r="I4" s="129"/>
      <c r="M4" s="130"/>
    </row>
    <row r="5" spans="1:14" x14ac:dyDescent="0.3">
      <c r="B5" t="s">
        <v>180</v>
      </c>
      <c r="D5" t="s">
        <v>176</v>
      </c>
      <c r="E5" s="136">
        <f>(I5*12)/39.3703</f>
        <v>1.5239914351681343</v>
      </c>
      <c r="F5" s="136">
        <f>(J5*12)/39.3703</f>
        <v>2.743184583302642</v>
      </c>
      <c r="G5" s="136">
        <f>(K5*12)/39.3703</f>
        <v>6.0959657406725372</v>
      </c>
      <c r="H5" s="136">
        <f>(L5*12)/39.3703</f>
        <v>12.191931481345074</v>
      </c>
      <c r="I5" s="131">
        <v>5</v>
      </c>
      <c r="J5" s="132">
        <v>9</v>
      </c>
      <c r="K5" s="132">
        <v>20</v>
      </c>
      <c r="L5" s="132">
        <v>40</v>
      </c>
      <c r="M5" s="133">
        <v>16</v>
      </c>
    </row>
    <row r="6" spans="1:14" x14ac:dyDescent="0.3">
      <c r="C6" t="s">
        <v>168</v>
      </c>
      <c r="E6" s="134"/>
      <c r="F6" s="1"/>
      <c r="G6" s="1"/>
      <c r="H6" s="135"/>
      <c r="I6" s="134"/>
      <c r="J6" s="1"/>
      <c r="K6" s="1"/>
      <c r="L6" s="1"/>
      <c r="M6" s="130"/>
    </row>
    <row r="7" spans="1:14" x14ac:dyDescent="0.3">
      <c r="A7">
        <v>1</v>
      </c>
      <c r="B7" t="s">
        <v>182</v>
      </c>
      <c r="C7" t="s">
        <v>166</v>
      </c>
      <c r="E7" s="134">
        <v>4.3999999999999997E-2</v>
      </c>
      <c r="F7" s="1">
        <v>6.4000000000000001E-2</v>
      </c>
      <c r="G7" s="1">
        <v>9.9000000000000005E-2</v>
      </c>
      <c r="H7" s="135">
        <v>0.17</v>
      </c>
      <c r="I7" s="134">
        <f t="shared" ref="I7:L9" si="0">ROUND(E7*0.03937,4)</f>
        <v>1.6999999999999999E-3</v>
      </c>
      <c r="J7" s="1">
        <f t="shared" si="0"/>
        <v>2.5000000000000001E-3</v>
      </c>
      <c r="K7" s="1">
        <f t="shared" si="0"/>
        <v>3.8999999999999998E-3</v>
      </c>
      <c r="L7" s="1">
        <f t="shared" si="0"/>
        <v>6.7000000000000002E-3</v>
      </c>
      <c r="M7" s="130">
        <f>J7</f>
        <v>2.5000000000000001E-3</v>
      </c>
      <c r="N7" s="1"/>
    </row>
    <row r="8" spans="1:14" x14ac:dyDescent="0.3">
      <c r="A8">
        <v>2</v>
      </c>
      <c r="B8" t="s">
        <v>182</v>
      </c>
      <c r="C8" t="s">
        <v>169</v>
      </c>
      <c r="E8" s="134">
        <v>3.2000000000000001E-2</v>
      </c>
      <c r="F8" s="1">
        <v>4.5999999999999999E-2</v>
      </c>
      <c r="G8" s="1">
        <v>6.8000000000000005E-2</v>
      </c>
      <c r="H8" s="135">
        <v>0.11</v>
      </c>
      <c r="I8" s="134">
        <f t="shared" si="0"/>
        <v>1.2999999999999999E-3</v>
      </c>
      <c r="J8" s="1">
        <f t="shared" si="0"/>
        <v>1.8E-3</v>
      </c>
      <c r="K8" s="1">
        <f t="shared" si="0"/>
        <v>2.7000000000000001E-3</v>
      </c>
      <c r="L8" s="1">
        <f t="shared" si="0"/>
        <v>4.3E-3</v>
      </c>
      <c r="M8" s="130">
        <f>J8</f>
        <v>1.8E-3</v>
      </c>
    </row>
    <row r="9" spans="1:14" x14ac:dyDescent="0.3">
      <c r="A9">
        <v>3</v>
      </c>
      <c r="B9" t="s">
        <v>193</v>
      </c>
      <c r="C9" t="s">
        <v>192</v>
      </c>
      <c r="E9" s="134">
        <v>4.3999999999999997E-2</v>
      </c>
      <c r="F9" s="1">
        <v>6.4000000000000001E-2</v>
      </c>
      <c r="G9" s="1">
        <v>9.9000000000000005E-2</v>
      </c>
      <c r="H9" s="135">
        <v>0.17</v>
      </c>
      <c r="I9" s="134">
        <f t="shared" si="0"/>
        <v>1.6999999999999999E-3</v>
      </c>
      <c r="J9" s="1">
        <f t="shared" si="0"/>
        <v>2.5000000000000001E-3</v>
      </c>
      <c r="K9" s="1">
        <f t="shared" si="0"/>
        <v>3.8999999999999998E-3</v>
      </c>
      <c r="L9" s="1">
        <f t="shared" si="0"/>
        <v>6.7000000000000002E-3</v>
      </c>
      <c r="M9" s="130">
        <f t="shared" ref="M9:M15" si="1">J9</f>
        <v>2.5000000000000001E-3</v>
      </c>
      <c r="N9" s="1"/>
    </row>
    <row r="10" spans="1:14" x14ac:dyDescent="0.3">
      <c r="A10">
        <v>4</v>
      </c>
      <c r="B10" t="s">
        <v>183</v>
      </c>
      <c r="C10" t="s">
        <v>170</v>
      </c>
      <c r="E10" s="134">
        <v>2.8000000000000001E-2</v>
      </c>
      <c r="F10" s="1">
        <v>4.9000000000000002E-2</v>
      </c>
      <c r="G10" s="1">
        <v>8.5000000000000006E-2</v>
      </c>
      <c r="H10" s="135">
        <v>0.156</v>
      </c>
      <c r="I10" s="134">
        <f t="shared" ref="I10:I17" si="2">ROUND(E10*0.03937,4)</f>
        <v>1.1000000000000001E-3</v>
      </c>
      <c r="J10" s="1">
        <f t="shared" ref="J10:J17" si="3">ROUND(F10*0.03937,4)</f>
        <v>1.9E-3</v>
      </c>
      <c r="K10" s="1">
        <f t="shared" ref="K10:K17" si="4">ROUND(G10*0.03937,4)</f>
        <v>3.3E-3</v>
      </c>
      <c r="L10" s="1">
        <f t="shared" ref="L10:L17" si="5">ROUND(H10*0.03937,4)</f>
        <v>6.1000000000000004E-3</v>
      </c>
      <c r="M10" s="130">
        <f t="shared" si="1"/>
        <v>1.9E-3</v>
      </c>
      <c r="N10" s="1"/>
    </row>
    <row r="11" spans="1:14" x14ac:dyDescent="0.3">
      <c r="A11">
        <v>5</v>
      </c>
      <c r="B11" t="s">
        <v>183</v>
      </c>
      <c r="C11" t="s">
        <v>171</v>
      </c>
      <c r="E11" s="134">
        <v>3.5000000000000003E-2</v>
      </c>
      <c r="F11" s="1">
        <v>5.7000000000000002E-2</v>
      </c>
      <c r="G11" s="1">
        <v>9.1999999999999998E-2</v>
      </c>
      <c r="H11" s="135">
        <v>0.16300000000000001</v>
      </c>
      <c r="I11" s="134">
        <f t="shared" si="2"/>
        <v>1.4E-3</v>
      </c>
      <c r="J11" s="1">
        <f t="shared" si="3"/>
        <v>2.2000000000000001E-3</v>
      </c>
      <c r="K11" s="1">
        <f t="shared" si="4"/>
        <v>3.5999999999999999E-3</v>
      </c>
      <c r="L11" s="1">
        <f t="shared" si="5"/>
        <v>6.4000000000000003E-3</v>
      </c>
      <c r="M11" s="130">
        <f t="shared" si="1"/>
        <v>2.2000000000000001E-3</v>
      </c>
      <c r="N11" s="1"/>
    </row>
    <row r="12" spans="1:14" x14ac:dyDescent="0.3">
      <c r="A12">
        <v>6</v>
      </c>
      <c r="B12" t="s">
        <v>181</v>
      </c>
      <c r="C12" t="s">
        <v>172</v>
      </c>
      <c r="D12" t="s">
        <v>177</v>
      </c>
      <c r="E12" s="137">
        <f>((0.000005*2.3)+(0.0000035*E5)+0.000015+(0.00001*E5))*1000</f>
        <v>4.7073884374769816E-2</v>
      </c>
      <c r="F12" s="138">
        <f>((0.000005*2.3)+(0.0000035*F5)+0.000015+(0.00001*F5))*1000</f>
        <v>6.3532991874585665E-2</v>
      </c>
      <c r="G12" s="138">
        <f>((0.000005*2.3)+(0.0000035*G5)+0.000015+(0.00001*G5))*1000</f>
        <v>0.10879553749907925</v>
      </c>
      <c r="H12" s="139">
        <f>((0.000005*2.3)+(0.0000035*H5)+0.000015+(0.00001*H5))*1000</f>
        <v>0.1910910749981585</v>
      </c>
      <c r="I12" s="134">
        <f t="shared" si="2"/>
        <v>1.9E-3</v>
      </c>
      <c r="J12" s="1">
        <f t="shared" si="3"/>
        <v>2.5000000000000001E-3</v>
      </c>
      <c r="K12" s="1">
        <f t="shared" si="4"/>
        <v>4.3E-3</v>
      </c>
      <c r="L12" s="1">
        <f t="shared" si="5"/>
        <v>7.4999999999999997E-3</v>
      </c>
      <c r="M12" s="130">
        <f t="shared" si="1"/>
        <v>2.5000000000000001E-3</v>
      </c>
      <c r="N12" s="1"/>
    </row>
    <row r="13" spans="1:14" x14ac:dyDescent="0.3">
      <c r="A13">
        <v>7</v>
      </c>
      <c r="B13" t="s">
        <v>182</v>
      </c>
      <c r="C13" t="s">
        <v>173</v>
      </c>
      <c r="E13" s="134">
        <v>3.5999999999999997E-2</v>
      </c>
      <c r="F13" s="1">
        <v>6.3E-2</v>
      </c>
      <c r="G13" s="1">
        <v>0.106</v>
      </c>
      <c r="H13" s="135">
        <v>0.191</v>
      </c>
      <c r="I13" s="134">
        <f t="shared" si="2"/>
        <v>1.4E-3</v>
      </c>
      <c r="J13" s="1">
        <f t="shared" si="3"/>
        <v>2.5000000000000001E-3</v>
      </c>
      <c r="K13" s="1">
        <f t="shared" si="4"/>
        <v>4.1999999999999997E-3</v>
      </c>
      <c r="L13" s="1">
        <f t="shared" si="5"/>
        <v>7.4999999999999997E-3</v>
      </c>
      <c r="M13" s="130">
        <f t="shared" si="1"/>
        <v>2.5000000000000001E-3</v>
      </c>
      <c r="N13" s="1"/>
    </row>
    <row r="14" spans="1:14" x14ac:dyDescent="0.3">
      <c r="A14">
        <v>8</v>
      </c>
      <c r="B14" t="s">
        <v>207</v>
      </c>
      <c r="C14" t="s">
        <v>174</v>
      </c>
      <c r="E14" s="134">
        <v>0.06</v>
      </c>
      <c r="F14" s="1">
        <v>0.06</v>
      </c>
      <c r="G14" s="1">
        <v>0.06</v>
      </c>
      <c r="H14" s="135">
        <f>40*0.007</f>
        <v>0.28000000000000003</v>
      </c>
      <c r="I14" s="134">
        <f t="shared" si="2"/>
        <v>2.3999999999999998E-3</v>
      </c>
      <c r="J14" s="1">
        <f t="shared" si="3"/>
        <v>2.3999999999999998E-3</v>
      </c>
      <c r="K14" s="1">
        <f t="shared" si="4"/>
        <v>2.3999999999999998E-3</v>
      </c>
      <c r="L14" s="1">
        <f t="shared" si="5"/>
        <v>1.0999999999999999E-2</v>
      </c>
      <c r="M14" s="130">
        <f t="shared" si="1"/>
        <v>2.3999999999999998E-3</v>
      </c>
      <c r="N14" s="1"/>
    </row>
    <row r="15" spans="1:14" x14ac:dyDescent="0.3">
      <c r="A15">
        <v>9</v>
      </c>
      <c r="B15" t="s">
        <v>208</v>
      </c>
      <c r="C15" t="s">
        <v>175</v>
      </c>
      <c r="D15" t="s">
        <v>381</v>
      </c>
      <c r="E15" s="134">
        <v>0.06</v>
      </c>
      <c r="F15" s="1">
        <v>0.06</v>
      </c>
      <c r="G15" s="1">
        <v>0.06</v>
      </c>
      <c r="H15" s="135">
        <f>40*0.007</f>
        <v>0.28000000000000003</v>
      </c>
      <c r="I15" s="134">
        <f t="shared" si="2"/>
        <v>2.3999999999999998E-3</v>
      </c>
      <c r="J15" s="1">
        <f t="shared" si="3"/>
        <v>2.3999999999999998E-3</v>
      </c>
      <c r="K15" s="1">
        <f t="shared" si="4"/>
        <v>2.3999999999999998E-3</v>
      </c>
      <c r="L15" s="1">
        <f t="shared" si="5"/>
        <v>1.0999999999999999E-2</v>
      </c>
      <c r="M15" s="130">
        <f t="shared" si="1"/>
        <v>2.3999999999999998E-3</v>
      </c>
      <c r="N15" s="1"/>
    </row>
    <row r="16" spans="1:14" x14ac:dyDescent="0.3">
      <c r="A16">
        <v>10</v>
      </c>
      <c r="B16" t="s">
        <v>209</v>
      </c>
      <c r="C16" t="s">
        <v>194</v>
      </c>
      <c r="E16" s="134">
        <f>E13</f>
        <v>3.5999999999999997E-2</v>
      </c>
      <c r="F16" s="134">
        <f>F13</f>
        <v>6.3E-2</v>
      </c>
      <c r="G16" s="134">
        <f>G13</f>
        <v>0.106</v>
      </c>
      <c r="H16" s="134">
        <f>H13</f>
        <v>0.191</v>
      </c>
      <c r="I16" s="134">
        <f t="shared" si="2"/>
        <v>1.4E-3</v>
      </c>
      <c r="J16" s="1">
        <f t="shared" si="3"/>
        <v>2.5000000000000001E-3</v>
      </c>
      <c r="K16" s="1">
        <f t="shared" si="4"/>
        <v>4.1999999999999997E-3</v>
      </c>
      <c r="L16" s="1">
        <f t="shared" si="5"/>
        <v>7.4999999999999997E-3</v>
      </c>
      <c r="M16" s="130">
        <f>J16</f>
        <v>2.5000000000000001E-3</v>
      </c>
    </row>
    <row r="17" spans="1:13" x14ac:dyDescent="0.3">
      <c r="A17">
        <v>11</v>
      </c>
      <c r="B17" t="s">
        <v>209</v>
      </c>
      <c r="C17" t="s">
        <v>375</v>
      </c>
      <c r="E17" s="129">
        <v>4.5999999999999999E-2</v>
      </c>
      <c r="F17" s="1">
        <v>0.06</v>
      </c>
      <c r="G17" s="1">
        <v>0.09</v>
      </c>
      <c r="H17" s="130">
        <v>0.13300000000000001</v>
      </c>
      <c r="I17" s="134">
        <f t="shared" si="2"/>
        <v>1.8E-3</v>
      </c>
      <c r="J17" s="1">
        <f t="shared" si="3"/>
        <v>2.3999999999999998E-3</v>
      </c>
      <c r="K17" s="1">
        <f t="shared" si="4"/>
        <v>3.5000000000000001E-3</v>
      </c>
      <c r="L17" s="1">
        <f t="shared" si="5"/>
        <v>5.1999999999999998E-3</v>
      </c>
      <c r="M17" s="130"/>
    </row>
    <row r="18" spans="1:13" x14ac:dyDescent="0.3">
      <c r="A18">
        <v>12</v>
      </c>
      <c r="E18" s="129"/>
      <c r="H18" s="130"/>
      <c r="I18" s="134">
        <f t="shared" ref="I18:I23" si="6">ROUND(E18*0.03937,4)</f>
        <v>0</v>
      </c>
      <c r="J18" s="1">
        <f t="shared" ref="J18:J23" si="7">ROUND(F18*0.03937,4)</f>
        <v>0</v>
      </c>
      <c r="K18" s="1">
        <f t="shared" ref="K18:K23" si="8">ROUND(G18*0.03937,4)</f>
        <v>0</v>
      </c>
      <c r="L18" s="1">
        <f t="shared" ref="L18:L23" si="9">ROUND(H18*0.03937,4)</f>
        <v>0</v>
      </c>
      <c r="M18" s="130"/>
    </row>
    <row r="19" spans="1:13" x14ac:dyDescent="0.3">
      <c r="A19">
        <v>13</v>
      </c>
      <c r="E19" s="129"/>
      <c r="H19" s="130"/>
      <c r="I19" s="134">
        <f t="shared" si="6"/>
        <v>0</v>
      </c>
      <c r="J19" s="1">
        <f t="shared" si="7"/>
        <v>0</v>
      </c>
      <c r="K19" s="1">
        <f t="shared" si="8"/>
        <v>0</v>
      </c>
      <c r="L19" s="1">
        <f t="shared" si="9"/>
        <v>0</v>
      </c>
      <c r="M19" s="130"/>
    </row>
    <row r="20" spans="1:13" x14ac:dyDescent="0.3">
      <c r="A20">
        <v>14</v>
      </c>
      <c r="E20" s="129"/>
      <c r="H20" s="130"/>
      <c r="I20" s="134">
        <f t="shared" si="6"/>
        <v>0</v>
      </c>
      <c r="J20" s="1">
        <f t="shared" si="7"/>
        <v>0</v>
      </c>
      <c r="K20" s="1">
        <f t="shared" si="8"/>
        <v>0</v>
      </c>
      <c r="L20" s="1">
        <f t="shared" si="9"/>
        <v>0</v>
      </c>
      <c r="M20" s="130"/>
    </row>
    <row r="21" spans="1:13" x14ac:dyDescent="0.3">
      <c r="A21">
        <v>15</v>
      </c>
      <c r="E21" s="129"/>
      <c r="H21" s="130"/>
      <c r="I21" s="134">
        <f t="shared" si="6"/>
        <v>0</v>
      </c>
      <c r="J21" s="1">
        <f t="shared" si="7"/>
        <v>0</v>
      </c>
      <c r="K21" s="1">
        <f t="shared" si="8"/>
        <v>0</v>
      </c>
      <c r="L21" s="1">
        <f t="shared" si="9"/>
        <v>0</v>
      </c>
      <c r="M21" s="130"/>
    </row>
    <row r="22" spans="1:13" x14ac:dyDescent="0.3">
      <c r="A22">
        <v>16</v>
      </c>
      <c r="E22" s="129"/>
      <c r="H22" s="130"/>
      <c r="I22" s="134">
        <f t="shared" si="6"/>
        <v>0</v>
      </c>
      <c r="J22" s="1">
        <f t="shared" si="7"/>
        <v>0</v>
      </c>
      <c r="K22" s="1">
        <f t="shared" si="8"/>
        <v>0</v>
      </c>
      <c r="L22" s="1">
        <f t="shared" si="9"/>
        <v>0</v>
      </c>
      <c r="M22" s="130"/>
    </row>
    <row r="23" spans="1:13" x14ac:dyDescent="0.3">
      <c r="A23">
        <v>17</v>
      </c>
      <c r="E23" s="129"/>
      <c r="H23" s="130"/>
      <c r="I23" s="134">
        <f t="shared" si="6"/>
        <v>0</v>
      </c>
      <c r="J23" s="1">
        <f t="shared" si="7"/>
        <v>0</v>
      </c>
      <c r="K23" s="1">
        <f t="shared" si="8"/>
        <v>0</v>
      </c>
      <c r="L23" s="1">
        <f t="shared" si="9"/>
        <v>0</v>
      </c>
      <c r="M23" s="130"/>
    </row>
    <row r="24" spans="1:13" x14ac:dyDescent="0.3">
      <c r="A24">
        <v>18</v>
      </c>
      <c r="E24" s="129"/>
      <c r="H24" s="130"/>
      <c r="I24" s="129"/>
      <c r="M24" s="130"/>
    </row>
    <row r="25" spans="1:13" x14ac:dyDescent="0.3">
      <c r="A25">
        <v>19</v>
      </c>
      <c r="B25" t="s">
        <v>210</v>
      </c>
      <c r="C25" t="s">
        <v>184</v>
      </c>
      <c r="E25" s="140"/>
      <c r="F25" s="8"/>
      <c r="G25" s="8"/>
      <c r="H25" s="141"/>
      <c r="I25" s="140">
        <f>MAX(I7:I23)*0.8</f>
        <v>1.9199999999999998E-3</v>
      </c>
      <c r="J25" s="140">
        <f>MAX(J7:J23)*0.8</f>
        <v>2E-3</v>
      </c>
      <c r="K25" s="140">
        <f>MAX(K7:K23)*0.8</f>
        <v>3.4400000000000003E-3</v>
      </c>
      <c r="L25" s="140">
        <f>MAX(L7:L23)*0.8</f>
        <v>8.8000000000000005E-3</v>
      </c>
      <c r="M25" s="140">
        <f>MAX(M7:M23)*0.8</f>
        <v>2E-3</v>
      </c>
    </row>
    <row r="29" spans="1:13" x14ac:dyDescent="0.3">
      <c r="B29" t="s">
        <v>186</v>
      </c>
    </row>
    <row r="30" spans="1:13" x14ac:dyDescent="0.3">
      <c r="B30" t="s">
        <v>187</v>
      </c>
    </row>
    <row r="31" spans="1:13" x14ac:dyDescent="0.3">
      <c r="B31" t="s">
        <v>188</v>
      </c>
    </row>
    <row r="32" spans="1:13" x14ac:dyDescent="0.3">
      <c r="B32" s="4" t="s">
        <v>376</v>
      </c>
    </row>
    <row r="33" spans="2:2" x14ac:dyDescent="0.3">
      <c r="B33" t="s">
        <v>377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B248"/>
  <sheetViews>
    <sheetView topLeftCell="A7" workbookViewId="0">
      <selection activeCell="A139" sqref="A139"/>
    </sheetView>
  </sheetViews>
  <sheetFormatPr defaultRowHeight="14.4" x14ac:dyDescent="0.3"/>
  <cols>
    <col min="1" max="1" width="5" customWidth="1"/>
    <col min="2" max="2" width="24.109375" style="1" customWidth="1"/>
    <col min="3" max="3" width="34.6640625" style="1" customWidth="1"/>
    <col min="4" max="4" width="17.109375" style="1" customWidth="1"/>
    <col min="5" max="5" width="20.6640625" style="1" customWidth="1"/>
    <col min="6" max="6" width="3.33203125" style="1" customWidth="1"/>
    <col min="7" max="7" width="12" customWidth="1"/>
    <col min="8" max="8" width="11.33203125" customWidth="1"/>
    <col min="9" max="10" width="11.6640625" customWidth="1"/>
    <col min="11" max="11" width="12.6640625" customWidth="1"/>
    <col min="12" max="12" width="11.5546875" style="1" customWidth="1"/>
    <col min="13" max="13" width="11.88671875" style="1" customWidth="1"/>
    <col min="14" max="14" width="12.109375" style="1" customWidth="1"/>
    <col min="15" max="15" width="13" style="1" customWidth="1"/>
    <col min="16" max="16" width="11.33203125" customWidth="1"/>
  </cols>
  <sheetData>
    <row r="2" spans="2:21" ht="18" x14ac:dyDescent="0.3">
      <c r="C2" s="59"/>
      <c r="H2" s="24">
        <v>8.2000000000000007E-3</v>
      </c>
      <c r="I2" t="s">
        <v>59</v>
      </c>
      <c r="L2" s="2" t="s">
        <v>28</v>
      </c>
      <c r="M2" s="6">
        <v>90.54016</v>
      </c>
      <c r="S2" s="25" t="s">
        <v>64</v>
      </c>
      <c r="T2" s="25">
        <v>2.2997220999999999</v>
      </c>
      <c r="U2" s="26" t="s">
        <v>61</v>
      </c>
    </row>
    <row r="3" spans="2:21" ht="15.6" x14ac:dyDescent="0.3">
      <c r="B3" s="340" t="s">
        <v>43</v>
      </c>
      <c r="C3" s="340"/>
      <c r="H3" s="23">
        <f>H2/25.4</f>
        <v>3.2283464566929139E-4</v>
      </c>
      <c r="I3" t="s">
        <v>4</v>
      </c>
      <c r="L3" s="2" t="s">
        <v>30</v>
      </c>
      <c r="M3" s="5">
        <v>2E-3</v>
      </c>
      <c r="O3" s="2" t="s">
        <v>33</v>
      </c>
      <c r="P3" s="5">
        <v>0.7</v>
      </c>
      <c r="Q3" t="s">
        <v>34</v>
      </c>
      <c r="S3" s="25" t="s">
        <v>62</v>
      </c>
      <c r="T3" s="25">
        <v>90.540059076999995</v>
      </c>
      <c r="U3" s="26" t="s">
        <v>4</v>
      </c>
    </row>
    <row r="4" spans="2:21" x14ac:dyDescent="0.3">
      <c r="P4">
        <f>P3/1000000</f>
        <v>6.9999999999999997E-7</v>
      </c>
    </row>
    <row r="5" spans="2:21" x14ac:dyDescent="0.3">
      <c r="C5" s="1" t="s">
        <v>12</v>
      </c>
      <c r="D5" s="1" t="s">
        <v>13</v>
      </c>
      <c r="E5" s="1" t="s">
        <v>7</v>
      </c>
      <c r="O5" s="1" t="s">
        <v>29</v>
      </c>
      <c r="S5" t="s">
        <v>63</v>
      </c>
    </row>
    <row r="6" spans="2:21" ht="16.2" thickBot="1" x14ac:dyDescent="0.35">
      <c r="B6" s="3" t="s">
        <v>0</v>
      </c>
      <c r="C6" s="3" t="s">
        <v>2</v>
      </c>
      <c r="D6" s="3" t="s">
        <v>1</v>
      </c>
      <c r="E6" s="3" t="s">
        <v>8</v>
      </c>
      <c r="G6" s="1" t="s">
        <v>29</v>
      </c>
      <c r="H6" s="13" t="s">
        <v>27</v>
      </c>
      <c r="I6" s="13" t="s">
        <v>31</v>
      </c>
      <c r="J6" s="13" t="s">
        <v>32</v>
      </c>
      <c r="L6" s="1" t="s">
        <v>24</v>
      </c>
      <c r="M6" s="1" t="s">
        <v>25</v>
      </c>
      <c r="N6" s="1" t="s">
        <v>26</v>
      </c>
      <c r="O6" s="1" t="s">
        <v>36</v>
      </c>
      <c r="P6" s="4" t="s">
        <v>35</v>
      </c>
      <c r="S6">
        <v>2.2997247900183613</v>
      </c>
      <c r="T6" t="s">
        <v>61</v>
      </c>
    </row>
    <row r="7" spans="2:21" ht="15.6" x14ac:dyDescent="0.3">
      <c r="B7" s="1">
        <v>1</v>
      </c>
      <c r="C7" s="1" t="s">
        <v>16</v>
      </c>
      <c r="D7" s="1" t="s">
        <v>5</v>
      </c>
      <c r="E7" s="1" t="s">
        <v>3</v>
      </c>
      <c r="G7" s="9">
        <f>$M$2+P7</f>
        <v>90.54016</v>
      </c>
      <c r="H7" s="14">
        <f t="shared" ref="H7:H41" si="0">MAX(N7-G7,M7-G7,L7-G7)</f>
        <v>-90.54016</v>
      </c>
      <c r="I7" s="15">
        <f t="shared" ref="I7:I116" si="1">$M$3</f>
        <v>2E-3</v>
      </c>
      <c r="J7" s="14" t="str">
        <f>(IF(ABS(H7)&gt;I7,"Fail","Pass"))</f>
        <v>Fail</v>
      </c>
      <c r="K7" s="8"/>
      <c r="L7" s="18"/>
      <c r="M7" s="18"/>
      <c r="N7" s="18"/>
      <c r="O7" s="18"/>
      <c r="P7">
        <f>IF(O7&lt;&gt;"",Q7*$M$2*$P$4,0)</f>
        <v>0</v>
      </c>
      <c r="Q7" t="str">
        <f>IF(O7&lt;&gt;"",O7-68,"")</f>
        <v/>
      </c>
      <c r="S7">
        <v>90.540164983022876</v>
      </c>
      <c r="T7" t="s">
        <v>4</v>
      </c>
    </row>
    <row r="8" spans="2:21" ht="15.6" x14ac:dyDescent="0.3">
      <c r="B8" s="1">
        <v>2</v>
      </c>
      <c r="C8" s="1" t="s">
        <v>16</v>
      </c>
      <c r="D8" s="1" t="s">
        <v>22</v>
      </c>
      <c r="E8" s="1" t="s">
        <v>6</v>
      </c>
      <c r="G8" s="9">
        <f t="shared" ref="G8:G41" si="2">$M$2+P8</f>
        <v>90.54016</v>
      </c>
      <c r="H8" s="16">
        <f t="shared" si="0"/>
        <v>-90.54016</v>
      </c>
      <c r="I8" s="17">
        <f t="shared" si="1"/>
        <v>2E-3</v>
      </c>
      <c r="J8" s="16" t="str">
        <f t="shared" ref="J8:J41" si="3">(IF(ABS(H8)&gt;I8,"Fail","Pass"))</f>
        <v>Fail</v>
      </c>
      <c r="K8" s="11"/>
      <c r="L8" s="22"/>
      <c r="M8" s="22"/>
      <c r="N8" s="22"/>
      <c r="O8" s="18"/>
      <c r="P8">
        <f t="shared" ref="P8:P41" si="4">IF(O8&lt;&gt;"",Q8*$M$2*$P$4,0)</f>
        <v>0</v>
      </c>
      <c r="Q8" t="str">
        <f t="shared" ref="Q8:Q41" si="5">IF(O8&lt;&gt;"",O8-68,"")</f>
        <v/>
      </c>
    </row>
    <row r="9" spans="2:21" ht="15.6" x14ac:dyDescent="0.3">
      <c r="B9" s="1">
        <v>3</v>
      </c>
      <c r="C9" s="1" t="s">
        <v>16</v>
      </c>
      <c r="D9" s="1" t="s">
        <v>22</v>
      </c>
      <c r="E9" s="1" t="s">
        <v>9</v>
      </c>
      <c r="G9" s="9">
        <f t="shared" si="2"/>
        <v>90.54016</v>
      </c>
      <c r="H9" s="16">
        <f t="shared" si="0"/>
        <v>-90.54016</v>
      </c>
      <c r="I9" s="17">
        <f t="shared" si="1"/>
        <v>2E-3</v>
      </c>
      <c r="J9" s="16" t="str">
        <f t="shared" si="3"/>
        <v>Fail</v>
      </c>
      <c r="K9" s="11"/>
      <c r="L9" s="22"/>
      <c r="M9" s="22"/>
      <c r="N9" s="22"/>
      <c r="O9" s="18"/>
      <c r="P9">
        <f t="shared" si="4"/>
        <v>0</v>
      </c>
      <c r="Q9" t="str">
        <f t="shared" si="5"/>
        <v/>
      </c>
    </row>
    <row r="10" spans="2:21" ht="15.6" x14ac:dyDescent="0.3">
      <c r="B10" s="1">
        <v>4</v>
      </c>
      <c r="C10" s="1" t="s">
        <v>16</v>
      </c>
      <c r="D10" s="1" t="s">
        <v>22</v>
      </c>
      <c r="E10" s="1" t="s">
        <v>10</v>
      </c>
      <c r="G10" s="9">
        <f t="shared" si="2"/>
        <v>90.54016</v>
      </c>
      <c r="H10" s="16">
        <f t="shared" si="0"/>
        <v>-90.54016</v>
      </c>
      <c r="I10" s="17">
        <f t="shared" si="1"/>
        <v>2E-3</v>
      </c>
      <c r="J10" s="16" t="str">
        <f t="shared" si="3"/>
        <v>Fail</v>
      </c>
      <c r="K10" s="11"/>
      <c r="L10" s="22"/>
      <c r="M10" s="22"/>
      <c r="N10" s="22"/>
      <c r="O10" s="18"/>
      <c r="P10">
        <f t="shared" si="4"/>
        <v>0</v>
      </c>
      <c r="Q10" t="str">
        <f t="shared" si="5"/>
        <v/>
      </c>
    </row>
    <row r="11" spans="2:21" ht="15.6" x14ac:dyDescent="0.3">
      <c r="B11" s="1">
        <v>5</v>
      </c>
      <c r="C11" s="1" t="s">
        <v>16</v>
      </c>
      <c r="D11" s="1" t="s">
        <v>22</v>
      </c>
      <c r="E11" s="1" t="s">
        <v>11</v>
      </c>
      <c r="G11" s="9">
        <f t="shared" si="2"/>
        <v>90.54016</v>
      </c>
      <c r="H11" s="16">
        <f t="shared" si="0"/>
        <v>-90.54016</v>
      </c>
      <c r="I11" s="17">
        <f t="shared" si="1"/>
        <v>2E-3</v>
      </c>
      <c r="J11" s="16" t="str">
        <f t="shared" si="3"/>
        <v>Fail</v>
      </c>
      <c r="K11" s="11"/>
      <c r="L11" s="22"/>
      <c r="M11" s="22"/>
      <c r="N11" s="22"/>
      <c r="O11" s="18"/>
      <c r="P11">
        <f t="shared" si="4"/>
        <v>0</v>
      </c>
      <c r="Q11" t="str">
        <f t="shared" si="5"/>
        <v/>
      </c>
    </row>
    <row r="12" spans="2:21" ht="15.6" x14ac:dyDescent="0.3">
      <c r="B12" s="1">
        <v>6</v>
      </c>
      <c r="C12" s="1" t="s">
        <v>17</v>
      </c>
      <c r="D12" s="1" t="s">
        <v>22</v>
      </c>
      <c r="E12" s="1" t="s">
        <v>6</v>
      </c>
      <c r="G12" s="9">
        <f t="shared" si="2"/>
        <v>90.54016</v>
      </c>
      <c r="H12" s="16">
        <f t="shared" si="0"/>
        <v>-90.54016</v>
      </c>
      <c r="I12" s="17">
        <f t="shared" si="1"/>
        <v>2E-3</v>
      </c>
      <c r="J12" s="16" t="str">
        <f t="shared" si="3"/>
        <v>Fail</v>
      </c>
      <c r="K12" s="11"/>
      <c r="L12" s="22"/>
      <c r="M12" s="22"/>
      <c r="N12" s="22"/>
      <c r="O12" s="18"/>
      <c r="P12">
        <f t="shared" si="4"/>
        <v>0</v>
      </c>
      <c r="Q12" t="str">
        <f t="shared" si="5"/>
        <v/>
      </c>
    </row>
    <row r="13" spans="2:21" ht="15.6" x14ac:dyDescent="0.3">
      <c r="B13" s="1">
        <v>7</v>
      </c>
      <c r="C13" s="1" t="s">
        <v>17</v>
      </c>
      <c r="D13" s="1" t="s">
        <v>22</v>
      </c>
      <c r="E13" s="1" t="s">
        <v>9</v>
      </c>
      <c r="G13" s="9">
        <f t="shared" si="2"/>
        <v>90.54016</v>
      </c>
      <c r="H13" s="16">
        <f t="shared" si="0"/>
        <v>-90.54016</v>
      </c>
      <c r="I13" s="17">
        <f t="shared" si="1"/>
        <v>2E-3</v>
      </c>
      <c r="J13" s="16" t="str">
        <f t="shared" si="3"/>
        <v>Fail</v>
      </c>
      <c r="K13" s="11"/>
      <c r="L13" s="22"/>
      <c r="M13" s="22"/>
      <c r="N13" s="22"/>
      <c r="O13" s="18"/>
      <c r="P13">
        <f t="shared" si="4"/>
        <v>0</v>
      </c>
      <c r="Q13" t="str">
        <f t="shared" si="5"/>
        <v/>
      </c>
    </row>
    <row r="14" spans="2:21" ht="15.6" x14ac:dyDescent="0.3">
      <c r="B14" s="1">
        <v>8</v>
      </c>
      <c r="C14" s="1" t="s">
        <v>17</v>
      </c>
      <c r="D14" s="1" t="s">
        <v>22</v>
      </c>
      <c r="E14" s="1" t="s">
        <v>10</v>
      </c>
      <c r="G14" s="9">
        <f t="shared" si="2"/>
        <v>90.54016</v>
      </c>
      <c r="H14" s="16">
        <f t="shared" si="0"/>
        <v>-90.54016</v>
      </c>
      <c r="I14" s="17">
        <f t="shared" si="1"/>
        <v>2E-3</v>
      </c>
      <c r="J14" s="16" t="str">
        <f t="shared" si="3"/>
        <v>Fail</v>
      </c>
      <c r="K14" s="11"/>
      <c r="L14" s="22"/>
      <c r="M14" s="22"/>
      <c r="N14" s="22"/>
      <c r="O14" s="18"/>
      <c r="P14">
        <f t="shared" si="4"/>
        <v>0</v>
      </c>
      <c r="Q14" t="str">
        <f t="shared" si="5"/>
        <v/>
      </c>
    </row>
    <row r="15" spans="2:21" ht="15.6" x14ac:dyDescent="0.3">
      <c r="B15" s="1">
        <v>9</v>
      </c>
      <c r="C15" s="1" t="s">
        <v>17</v>
      </c>
      <c r="D15" s="1" t="s">
        <v>22</v>
      </c>
      <c r="E15" s="1" t="s">
        <v>11</v>
      </c>
      <c r="G15" s="9">
        <f t="shared" si="2"/>
        <v>90.54016</v>
      </c>
      <c r="H15" s="16">
        <f t="shared" si="0"/>
        <v>-90.54016</v>
      </c>
      <c r="I15" s="17">
        <f t="shared" si="1"/>
        <v>2E-3</v>
      </c>
      <c r="J15" s="16" t="str">
        <f t="shared" si="3"/>
        <v>Fail</v>
      </c>
      <c r="K15" s="11"/>
      <c r="L15" s="22"/>
      <c r="M15" s="22"/>
      <c r="N15" s="22"/>
      <c r="O15" s="18"/>
      <c r="P15">
        <f t="shared" si="4"/>
        <v>0</v>
      </c>
      <c r="Q15" t="str">
        <f t="shared" si="5"/>
        <v/>
      </c>
    </row>
    <row r="16" spans="2:21" ht="15.6" x14ac:dyDescent="0.3">
      <c r="B16" s="1">
        <v>10</v>
      </c>
      <c r="C16" s="1" t="s">
        <v>14</v>
      </c>
      <c r="D16" s="1" t="s">
        <v>22</v>
      </c>
      <c r="E16" s="1" t="s">
        <v>6</v>
      </c>
      <c r="G16" s="9">
        <f t="shared" si="2"/>
        <v>90.54016</v>
      </c>
      <c r="H16" s="16">
        <f t="shared" si="0"/>
        <v>-90.54016</v>
      </c>
      <c r="I16" s="17">
        <f t="shared" si="1"/>
        <v>2E-3</v>
      </c>
      <c r="J16" s="16" t="str">
        <f t="shared" si="3"/>
        <v>Fail</v>
      </c>
      <c r="K16" s="11"/>
      <c r="L16" s="22"/>
      <c r="M16" s="22"/>
      <c r="N16" s="22"/>
      <c r="O16" s="18"/>
      <c r="P16">
        <f t="shared" si="4"/>
        <v>0</v>
      </c>
      <c r="Q16" t="str">
        <f t="shared" si="5"/>
        <v/>
      </c>
    </row>
    <row r="17" spans="2:17" ht="15.6" x14ac:dyDescent="0.3">
      <c r="B17" s="1">
        <v>11</v>
      </c>
      <c r="C17" s="1" t="s">
        <v>14</v>
      </c>
      <c r="D17" s="1" t="s">
        <v>22</v>
      </c>
      <c r="E17" s="1" t="s">
        <v>9</v>
      </c>
      <c r="G17" s="9">
        <f t="shared" si="2"/>
        <v>90.54016</v>
      </c>
      <c r="H17" s="16">
        <f t="shared" si="0"/>
        <v>-90.54016</v>
      </c>
      <c r="I17" s="17">
        <f t="shared" si="1"/>
        <v>2E-3</v>
      </c>
      <c r="J17" s="16" t="str">
        <f t="shared" si="3"/>
        <v>Fail</v>
      </c>
      <c r="K17" s="11"/>
      <c r="L17" s="22"/>
      <c r="M17" s="22"/>
      <c r="N17" s="22"/>
      <c r="O17" s="18"/>
      <c r="P17">
        <f t="shared" si="4"/>
        <v>0</v>
      </c>
      <c r="Q17" t="str">
        <f t="shared" si="5"/>
        <v/>
      </c>
    </row>
    <row r="18" spans="2:17" ht="15.6" x14ac:dyDescent="0.3">
      <c r="B18" s="1">
        <v>12</v>
      </c>
      <c r="C18" s="1" t="s">
        <v>14</v>
      </c>
      <c r="D18" s="1" t="s">
        <v>22</v>
      </c>
      <c r="E18" s="1" t="s">
        <v>10</v>
      </c>
      <c r="G18" s="9">
        <f t="shared" si="2"/>
        <v>90.54016</v>
      </c>
      <c r="H18" s="16">
        <f t="shared" si="0"/>
        <v>-90.54016</v>
      </c>
      <c r="I18" s="17">
        <f t="shared" si="1"/>
        <v>2E-3</v>
      </c>
      <c r="J18" s="16" t="str">
        <f t="shared" si="3"/>
        <v>Fail</v>
      </c>
      <c r="K18" s="11"/>
      <c r="L18" s="22"/>
      <c r="M18" s="22"/>
      <c r="N18" s="22"/>
      <c r="O18" s="18"/>
      <c r="P18">
        <f t="shared" si="4"/>
        <v>0</v>
      </c>
      <c r="Q18" t="str">
        <f t="shared" si="5"/>
        <v/>
      </c>
    </row>
    <row r="19" spans="2:17" ht="15.6" x14ac:dyDescent="0.3">
      <c r="B19" s="1">
        <v>13</v>
      </c>
      <c r="C19" s="1" t="s">
        <v>14</v>
      </c>
      <c r="D19" s="1" t="s">
        <v>22</v>
      </c>
      <c r="E19" s="1" t="s">
        <v>11</v>
      </c>
      <c r="G19" s="9">
        <f t="shared" si="2"/>
        <v>90.54016</v>
      </c>
      <c r="H19" s="16">
        <f t="shared" si="0"/>
        <v>-90.54016</v>
      </c>
      <c r="I19" s="17">
        <f t="shared" si="1"/>
        <v>2E-3</v>
      </c>
      <c r="J19" s="16" t="str">
        <f t="shared" si="3"/>
        <v>Fail</v>
      </c>
      <c r="K19" s="11"/>
      <c r="L19" s="22"/>
      <c r="M19" s="22"/>
      <c r="N19" s="22"/>
      <c r="O19" s="18"/>
      <c r="P19">
        <f t="shared" si="4"/>
        <v>0</v>
      </c>
      <c r="Q19" t="str">
        <f t="shared" si="5"/>
        <v/>
      </c>
    </row>
    <row r="20" spans="2:17" ht="15.6" x14ac:dyDescent="0.3">
      <c r="B20" s="1">
        <v>14</v>
      </c>
      <c r="C20" s="1" t="s">
        <v>15</v>
      </c>
      <c r="D20" s="1" t="s">
        <v>22</v>
      </c>
      <c r="E20" s="1" t="s">
        <v>6</v>
      </c>
      <c r="G20" s="9">
        <f t="shared" si="2"/>
        <v>90.54016</v>
      </c>
      <c r="H20" s="16">
        <f t="shared" si="0"/>
        <v>-90.54016</v>
      </c>
      <c r="I20" s="17">
        <f t="shared" si="1"/>
        <v>2E-3</v>
      </c>
      <c r="J20" s="16" t="str">
        <f t="shared" si="3"/>
        <v>Fail</v>
      </c>
      <c r="K20" s="11"/>
      <c r="L20" s="22"/>
      <c r="M20" s="22"/>
      <c r="N20" s="22"/>
      <c r="O20" s="18"/>
      <c r="P20">
        <f t="shared" si="4"/>
        <v>0</v>
      </c>
      <c r="Q20" t="str">
        <f t="shared" si="5"/>
        <v/>
      </c>
    </row>
    <row r="21" spans="2:17" ht="15.6" x14ac:dyDescent="0.3">
      <c r="B21" s="1">
        <v>15</v>
      </c>
      <c r="C21" s="1" t="s">
        <v>15</v>
      </c>
      <c r="D21" s="1" t="s">
        <v>22</v>
      </c>
      <c r="E21" s="1" t="s">
        <v>9</v>
      </c>
      <c r="G21" s="9">
        <f t="shared" si="2"/>
        <v>90.54016</v>
      </c>
      <c r="H21" s="16">
        <f t="shared" si="0"/>
        <v>-90.54016</v>
      </c>
      <c r="I21" s="17">
        <f t="shared" si="1"/>
        <v>2E-3</v>
      </c>
      <c r="J21" s="16" t="str">
        <f t="shared" si="3"/>
        <v>Fail</v>
      </c>
      <c r="K21" s="11"/>
      <c r="L21" s="22"/>
      <c r="M21" s="22"/>
      <c r="N21" s="22"/>
      <c r="O21" s="18"/>
      <c r="P21">
        <f t="shared" si="4"/>
        <v>0</v>
      </c>
      <c r="Q21" t="str">
        <f t="shared" si="5"/>
        <v/>
      </c>
    </row>
    <row r="22" spans="2:17" ht="15.6" x14ac:dyDescent="0.3">
      <c r="B22" s="1">
        <v>16</v>
      </c>
      <c r="C22" s="1" t="s">
        <v>15</v>
      </c>
      <c r="D22" s="1" t="s">
        <v>22</v>
      </c>
      <c r="E22" s="1" t="s">
        <v>10</v>
      </c>
      <c r="G22" s="9">
        <f t="shared" si="2"/>
        <v>90.54016</v>
      </c>
      <c r="H22" s="16">
        <f t="shared" si="0"/>
        <v>-90.54016</v>
      </c>
      <c r="I22" s="17">
        <f t="shared" si="1"/>
        <v>2E-3</v>
      </c>
      <c r="J22" s="16" t="str">
        <f t="shared" si="3"/>
        <v>Fail</v>
      </c>
      <c r="K22" s="11"/>
      <c r="L22" s="22"/>
      <c r="M22" s="22"/>
      <c r="N22" s="22"/>
      <c r="O22" s="18"/>
      <c r="P22">
        <f t="shared" si="4"/>
        <v>0</v>
      </c>
      <c r="Q22" t="str">
        <f t="shared" si="5"/>
        <v/>
      </c>
    </row>
    <row r="23" spans="2:17" ht="15.6" x14ac:dyDescent="0.3">
      <c r="B23" s="1">
        <v>17</v>
      </c>
      <c r="C23" s="1" t="s">
        <v>15</v>
      </c>
      <c r="D23" s="1" t="s">
        <v>22</v>
      </c>
      <c r="E23" s="1" t="s">
        <v>11</v>
      </c>
      <c r="G23" s="9">
        <f t="shared" si="2"/>
        <v>90.54016</v>
      </c>
      <c r="H23" s="16">
        <f t="shared" si="0"/>
        <v>-90.54016</v>
      </c>
      <c r="I23" s="17">
        <f t="shared" si="1"/>
        <v>2E-3</v>
      </c>
      <c r="J23" s="16" t="str">
        <f t="shared" si="3"/>
        <v>Fail</v>
      </c>
      <c r="K23" s="11"/>
      <c r="L23" s="22"/>
      <c r="M23" s="22"/>
      <c r="N23" s="22"/>
      <c r="O23" s="18"/>
      <c r="P23">
        <f t="shared" si="4"/>
        <v>0</v>
      </c>
      <c r="Q23" t="str">
        <f t="shared" si="5"/>
        <v/>
      </c>
    </row>
    <row r="24" spans="2:17" ht="15.6" x14ac:dyDescent="0.3">
      <c r="B24" s="1">
        <v>18</v>
      </c>
      <c r="C24" s="1" t="s">
        <v>16</v>
      </c>
      <c r="D24" s="1" t="s">
        <v>23</v>
      </c>
      <c r="E24" s="1" t="s">
        <v>6</v>
      </c>
      <c r="G24" s="9">
        <f t="shared" si="2"/>
        <v>90.54016</v>
      </c>
      <c r="H24" s="16">
        <f t="shared" si="0"/>
        <v>-90.54016</v>
      </c>
      <c r="I24" s="17">
        <f t="shared" si="1"/>
        <v>2E-3</v>
      </c>
      <c r="J24" s="16" t="str">
        <f t="shared" si="3"/>
        <v>Fail</v>
      </c>
      <c r="K24" s="11"/>
      <c r="L24" s="22"/>
      <c r="M24" s="22"/>
      <c r="N24" s="22"/>
      <c r="O24" s="18"/>
      <c r="P24">
        <f t="shared" si="4"/>
        <v>0</v>
      </c>
      <c r="Q24" t="str">
        <f t="shared" si="5"/>
        <v/>
      </c>
    </row>
    <row r="25" spans="2:17" ht="15.6" x14ac:dyDescent="0.3">
      <c r="B25" s="1">
        <v>19</v>
      </c>
      <c r="C25" s="1" t="s">
        <v>16</v>
      </c>
      <c r="D25" s="1" t="s">
        <v>23</v>
      </c>
      <c r="E25" s="1" t="s">
        <v>9</v>
      </c>
      <c r="G25" s="9">
        <f t="shared" si="2"/>
        <v>90.54016</v>
      </c>
      <c r="H25" s="16">
        <f t="shared" si="0"/>
        <v>-90.54016</v>
      </c>
      <c r="I25" s="17">
        <f t="shared" si="1"/>
        <v>2E-3</v>
      </c>
      <c r="J25" s="16" t="str">
        <f t="shared" si="3"/>
        <v>Fail</v>
      </c>
      <c r="K25" s="11"/>
      <c r="L25" s="22"/>
      <c r="M25" s="22"/>
      <c r="N25" s="22"/>
      <c r="O25" s="18"/>
      <c r="P25">
        <f t="shared" si="4"/>
        <v>0</v>
      </c>
      <c r="Q25" t="str">
        <f t="shared" si="5"/>
        <v/>
      </c>
    </row>
    <row r="26" spans="2:17" ht="15.6" x14ac:dyDescent="0.3">
      <c r="B26" s="1">
        <v>20</v>
      </c>
      <c r="C26" s="1" t="s">
        <v>16</v>
      </c>
      <c r="D26" s="1" t="s">
        <v>23</v>
      </c>
      <c r="E26" s="1" t="s">
        <v>10</v>
      </c>
      <c r="G26" s="9">
        <f t="shared" si="2"/>
        <v>90.54016</v>
      </c>
      <c r="H26" s="16">
        <f t="shared" si="0"/>
        <v>-90.54016</v>
      </c>
      <c r="I26" s="17">
        <f t="shared" si="1"/>
        <v>2E-3</v>
      </c>
      <c r="J26" s="16" t="str">
        <f t="shared" si="3"/>
        <v>Fail</v>
      </c>
      <c r="K26" s="11"/>
      <c r="L26" s="22"/>
      <c r="M26" s="22"/>
      <c r="N26" s="22"/>
      <c r="O26" s="18"/>
      <c r="P26">
        <f t="shared" si="4"/>
        <v>0</v>
      </c>
      <c r="Q26" t="str">
        <f t="shared" si="5"/>
        <v/>
      </c>
    </row>
    <row r="27" spans="2:17" ht="15.6" x14ac:dyDescent="0.3">
      <c r="B27" s="1">
        <v>21</v>
      </c>
      <c r="C27" s="1" t="s">
        <v>16</v>
      </c>
      <c r="D27" s="1" t="s">
        <v>23</v>
      </c>
      <c r="E27" s="1" t="s">
        <v>11</v>
      </c>
      <c r="G27" s="9">
        <f t="shared" si="2"/>
        <v>90.54016</v>
      </c>
      <c r="H27" s="16">
        <f t="shared" si="0"/>
        <v>-90.54016</v>
      </c>
      <c r="I27" s="17">
        <f t="shared" si="1"/>
        <v>2E-3</v>
      </c>
      <c r="J27" s="16" t="str">
        <f t="shared" si="3"/>
        <v>Fail</v>
      </c>
      <c r="K27" s="11"/>
      <c r="L27" s="22"/>
      <c r="M27" s="22"/>
      <c r="N27" s="22"/>
      <c r="O27" s="18"/>
      <c r="P27">
        <f t="shared" si="4"/>
        <v>0</v>
      </c>
      <c r="Q27" t="str">
        <f t="shared" si="5"/>
        <v/>
      </c>
    </row>
    <row r="28" spans="2:17" ht="15.6" x14ac:dyDescent="0.3">
      <c r="B28" s="1">
        <v>22</v>
      </c>
      <c r="C28" s="1" t="s">
        <v>17</v>
      </c>
      <c r="D28" s="1" t="s">
        <v>23</v>
      </c>
      <c r="E28" s="1" t="s">
        <v>6</v>
      </c>
      <c r="G28" s="9">
        <f t="shared" si="2"/>
        <v>90.54016</v>
      </c>
      <c r="H28" s="16">
        <f t="shared" si="0"/>
        <v>-90.54016</v>
      </c>
      <c r="I28" s="17">
        <f t="shared" si="1"/>
        <v>2E-3</v>
      </c>
      <c r="J28" s="16" t="str">
        <f t="shared" si="3"/>
        <v>Fail</v>
      </c>
      <c r="K28" s="11"/>
      <c r="L28" s="22"/>
      <c r="M28" s="22"/>
      <c r="N28" s="22"/>
      <c r="O28" s="18"/>
      <c r="P28">
        <f t="shared" si="4"/>
        <v>0</v>
      </c>
      <c r="Q28" t="str">
        <f t="shared" si="5"/>
        <v/>
      </c>
    </row>
    <row r="29" spans="2:17" ht="15.6" x14ac:dyDescent="0.3">
      <c r="B29" s="1">
        <v>23</v>
      </c>
      <c r="C29" s="1" t="s">
        <v>17</v>
      </c>
      <c r="D29" s="1" t="s">
        <v>23</v>
      </c>
      <c r="E29" s="1" t="s">
        <v>9</v>
      </c>
      <c r="G29" s="9">
        <f t="shared" si="2"/>
        <v>90.54016</v>
      </c>
      <c r="H29" s="16">
        <f t="shared" si="0"/>
        <v>-90.54016</v>
      </c>
      <c r="I29" s="17">
        <f t="shared" si="1"/>
        <v>2E-3</v>
      </c>
      <c r="J29" s="16" t="str">
        <f t="shared" si="3"/>
        <v>Fail</v>
      </c>
      <c r="K29" s="11"/>
      <c r="L29" s="22"/>
      <c r="M29" s="22"/>
      <c r="N29" s="22"/>
      <c r="O29" s="18"/>
      <c r="P29">
        <f t="shared" si="4"/>
        <v>0</v>
      </c>
      <c r="Q29" t="str">
        <f t="shared" si="5"/>
        <v/>
      </c>
    </row>
    <row r="30" spans="2:17" ht="15.6" x14ac:dyDescent="0.3">
      <c r="B30" s="1">
        <v>24</v>
      </c>
      <c r="C30" s="1" t="s">
        <v>17</v>
      </c>
      <c r="D30" s="1" t="s">
        <v>23</v>
      </c>
      <c r="E30" s="1" t="s">
        <v>10</v>
      </c>
      <c r="G30" s="9">
        <f t="shared" si="2"/>
        <v>90.54016</v>
      </c>
      <c r="H30" s="16">
        <f t="shared" si="0"/>
        <v>-90.54016</v>
      </c>
      <c r="I30" s="17">
        <f t="shared" si="1"/>
        <v>2E-3</v>
      </c>
      <c r="J30" s="16" t="str">
        <f t="shared" si="3"/>
        <v>Fail</v>
      </c>
      <c r="K30" s="11"/>
      <c r="L30" s="22"/>
      <c r="M30" s="22"/>
      <c r="N30" s="22"/>
      <c r="O30" s="18"/>
      <c r="P30">
        <f t="shared" si="4"/>
        <v>0</v>
      </c>
      <c r="Q30" t="str">
        <f t="shared" si="5"/>
        <v/>
      </c>
    </row>
    <row r="31" spans="2:17" ht="15.6" x14ac:dyDescent="0.3">
      <c r="B31" s="1">
        <v>25</v>
      </c>
      <c r="C31" s="1" t="s">
        <v>17</v>
      </c>
      <c r="D31" s="1" t="s">
        <v>23</v>
      </c>
      <c r="E31" s="1" t="s">
        <v>11</v>
      </c>
      <c r="G31" s="9">
        <f t="shared" si="2"/>
        <v>90.54016</v>
      </c>
      <c r="H31" s="16">
        <f t="shared" si="0"/>
        <v>-90.54016</v>
      </c>
      <c r="I31" s="17">
        <f t="shared" si="1"/>
        <v>2E-3</v>
      </c>
      <c r="J31" s="16" t="str">
        <f t="shared" si="3"/>
        <v>Fail</v>
      </c>
      <c r="K31" s="11"/>
      <c r="L31" s="22"/>
      <c r="M31" s="22"/>
      <c r="N31" s="22"/>
      <c r="O31" s="18"/>
      <c r="P31">
        <f t="shared" si="4"/>
        <v>0</v>
      </c>
      <c r="Q31" t="str">
        <f t="shared" si="5"/>
        <v/>
      </c>
    </row>
    <row r="32" spans="2:17" ht="15.6" x14ac:dyDescent="0.3">
      <c r="B32" s="1">
        <v>26</v>
      </c>
      <c r="C32" s="1" t="s">
        <v>14</v>
      </c>
      <c r="D32" s="1" t="s">
        <v>23</v>
      </c>
      <c r="E32" s="1" t="s">
        <v>6</v>
      </c>
      <c r="G32" s="9">
        <f t="shared" si="2"/>
        <v>90.54016</v>
      </c>
      <c r="H32" s="16">
        <f t="shared" si="0"/>
        <v>-90.54016</v>
      </c>
      <c r="I32" s="17">
        <f t="shared" si="1"/>
        <v>2E-3</v>
      </c>
      <c r="J32" s="16" t="str">
        <f t="shared" si="3"/>
        <v>Fail</v>
      </c>
      <c r="K32" s="11"/>
      <c r="L32" s="22"/>
      <c r="M32" s="22"/>
      <c r="N32" s="22"/>
      <c r="O32" s="18"/>
      <c r="P32">
        <f t="shared" si="4"/>
        <v>0</v>
      </c>
      <c r="Q32" t="str">
        <f t="shared" si="5"/>
        <v/>
      </c>
    </row>
    <row r="33" spans="2:28" ht="15.6" x14ac:dyDescent="0.3">
      <c r="B33" s="1">
        <v>27</v>
      </c>
      <c r="C33" s="1" t="s">
        <v>14</v>
      </c>
      <c r="D33" s="1" t="s">
        <v>23</v>
      </c>
      <c r="E33" s="1" t="s">
        <v>9</v>
      </c>
      <c r="G33" s="9">
        <f t="shared" si="2"/>
        <v>90.54016</v>
      </c>
      <c r="H33" s="16">
        <f t="shared" si="0"/>
        <v>-90.54016</v>
      </c>
      <c r="I33" s="17">
        <f t="shared" si="1"/>
        <v>2E-3</v>
      </c>
      <c r="J33" s="16" t="str">
        <f t="shared" si="3"/>
        <v>Fail</v>
      </c>
      <c r="K33" s="11"/>
      <c r="L33" s="22"/>
      <c r="M33" s="22"/>
      <c r="N33" s="22"/>
      <c r="O33" s="18"/>
      <c r="P33">
        <f t="shared" si="4"/>
        <v>0</v>
      </c>
      <c r="Q33" t="str">
        <f t="shared" si="5"/>
        <v/>
      </c>
    </row>
    <row r="34" spans="2:28" ht="15.6" x14ac:dyDescent="0.3">
      <c r="B34" s="1">
        <v>28</v>
      </c>
      <c r="C34" s="1" t="s">
        <v>14</v>
      </c>
      <c r="D34" s="1" t="s">
        <v>23</v>
      </c>
      <c r="E34" s="1" t="s">
        <v>10</v>
      </c>
      <c r="G34" s="9">
        <f t="shared" si="2"/>
        <v>90.54016</v>
      </c>
      <c r="H34" s="16">
        <f t="shared" si="0"/>
        <v>-90.54016</v>
      </c>
      <c r="I34" s="17">
        <f t="shared" si="1"/>
        <v>2E-3</v>
      </c>
      <c r="J34" s="16" t="str">
        <f t="shared" si="3"/>
        <v>Fail</v>
      </c>
      <c r="K34" s="11"/>
      <c r="L34" s="22"/>
      <c r="M34" s="22"/>
      <c r="N34" s="22"/>
      <c r="O34" s="18"/>
      <c r="P34">
        <f t="shared" si="4"/>
        <v>0</v>
      </c>
      <c r="Q34" t="str">
        <f t="shared" si="5"/>
        <v/>
      </c>
    </row>
    <row r="35" spans="2:28" ht="15.6" x14ac:dyDescent="0.3">
      <c r="B35" s="1">
        <v>29</v>
      </c>
      <c r="C35" s="1" t="s">
        <v>14</v>
      </c>
      <c r="D35" s="1" t="s">
        <v>23</v>
      </c>
      <c r="E35" s="1" t="s">
        <v>11</v>
      </c>
      <c r="G35" s="9">
        <f t="shared" si="2"/>
        <v>90.54016</v>
      </c>
      <c r="H35" s="16">
        <f t="shared" si="0"/>
        <v>-90.54016</v>
      </c>
      <c r="I35" s="17">
        <f t="shared" si="1"/>
        <v>2E-3</v>
      </c>
      <c r="J35" s="16" t="str">
        <f t="shared" si="3"/>
        <v>Fail</v>
      </c>
      <c r="K35" s="11"/>
      <c r="L35" s="22"/>
      <c r="M35" s="22"/>
      <c r="N35" s="22"/>
      <c r="O35" s="18"/>
      <c r="P35">
        <f t="shared" si="4"/>
        <v>0</v>
      </c>
      <c r="Q35" t="str">
        <f t="shared" si="5"/>
        <v/>
      </c>
    </row>
    <row r="36" spans="2:28" ht="15.6" x14ac:dyDescent="0.3">
      <c r="B36" s="1">
        <v>30</v>
      </c>
      <c r="C36" s="1" t="s">
        <v>15</v>
      </c>
      <c r="D36" s="1" t="s">
        <v>23</v>
      </c>
      <c r="E36" s="1" t="s">
        <v>6</v>
      </c>
      <c r="G36" s="9">
        <f t="shared" si="2"/>
        <v>90.54016</v>
      </c>
      <c r="H36" s="16">
        <f t="shared" si="0"/>
        <v>-90.54016</v>
      </c>
      <c r="I36" s="17">
        <f t="shared" si="1"/>
        <v>2E-3</v>
      </c>
      <c r="J36" s="16" t="str">
        <f t="shared" si="3"/>
        <v>Fail</v>
      </c>
      <c r="K36" s="11"/>
      <c r="L36" s="22"/>
      <c r="M36" s="22"/>
      <c r="N36" s="22"/>
      <c r="O36" s="18"/>
      <c r="P36">
        <f t="shared" si="4"/>
        <v>0</v>
      </c>
      <c r="Q36" t="str">
        <f t="shared" si="5"/>
        <v/>
      </c>
    </row>
    <row r="37" spans="2:28" ht="15.6" x14ac:dyDescent="0.3">
      <c r="B37" s="1">
        <v>31</v>
      </c>
      <c r="C37" s="1" t="s">
        <v>15</v>
      </c>
      <c r="D37" s="1" t="s">
        <v>23</v>
      </c>
      <c r="E37" s="1" t="s">
        <v>9</v>
      </c>
      <c r="G37" s="9">
        <f t="shared" si="2"/>
        <v>90.54016</v>
      </c>
      <c r="H37" s="16">
        <f t="shared" si="0"/>
        <v>-90.54016</v>
      </c>
      <c r="I37" s="17">
        <f t="shared" si="1"/>
        <v>2E-3</v>
      </c>
      <c r="J37" s="16" t="str">
        <f t="shared" si="3"/>
        <v>Fail</v>
      </c>
      <c r="K37" s="11"/>
      <c r="L37" s="22"/>
      <c r="M37" s="22"/>
      <c r="N37" s="22"/>
      <c r="O37" s="18"/>
      <c r="P37">
        <f t="shared" si="4"/>
        <v>0</v>
      </c>
      <c r="Q37" t="str">
        <f t="shared" si="5"/>
        <v/>
      </c>
    </row>
    <row r="38" spans="2:28" ht="15.6" x14ac:dyDescent="0.3">
      <c r="B38" s="1">
        <v>32</v>
      </c>
      <c r="C38" s="1" t="s">
        <v>15</v>
      </c>
      <c r="D38" s="1" t="s">
        <v>23</v>
      </c>
      <c r="E38" s="1" t="s">
        <v>10</v>
      </c>
      <c r="G38" s="9">
        <f t="shared" si="2"/>
        <v>90.54016</v>
      </c>
      <c r="H38" s="16">
        <f t="shared" si="0"/>
        <v>-90.54016</v>
      </c>
      <c r="I38" s="17">
        <f t="shared" si="1"/>
        <v>2E-3</v>
      </c>
      <c r="J38" s="16" t="str">
        <f t="shared" si="3"/>
        <v>Fail</v>
      </c>
      <c r="K38" s="11"/>
      <c r="L38" s="22"/>
      <c r="M38" s="22"/>
      <c r="N38" s="22"/>
      <c r="O38" s="18"/>
      <c r="P38">
        <f t="shared" si="4"/>
        <v>0</v>
      </c>
      <c r="Q38" t="str">
        <f t="shared" si="5"/>
        <v/>
      </c>
    </row>
    <row r="39" spans="2:28" ht="15.6" x14ac:dyDescent="0.3">
      <c r="B39" s="1">
        <v>33</v>
      </c>
      <c r="C39" s="1" t="s">
        <v>15</v>
      </c>
      <c r="D39" s="1" t="s">
        <v>23</v>
      </c>
      <c r="E39" s="1" t="s">
        <v>11</v>
      </c>
      <c r="G39" s="9">
        <f t="shared" si="2"/>
        <v>90.54016</v>
      </c>
      <c r="H39" s="16">
        <f t="shared" si="0"/>
        <v>-90.54016</v>
      </c>
      <c r="I39" s="17">
        <f t="shared" si="1"/>
        <v>2E-3</v>
      </c>
      <c r="J39" s="16" t="str">
        <f t="shared" si="3"/>
        <v>Fail</v>
      </c>
      <c r="K39" s="11"/>
      <c r="L39" s="22"/>
      <c r="M39" s="22"/>
      <c r="N39" s="22"/>
      <c r="O39" s="18"/>
      <c r="P39">
        <f t="shared" si="4"/>
        <v>0</v>
      </c>
      <c r="Q39" t="str">
        <f t="shared" si="5"/>
        <v/>
      </c>
    </row>
    <row r="40" spans="2:28" ht="15.6" x14ac:dyDescent="0.3">
      <c r="B40" s="1" t="s">
        <v>37</v>
      </c>
      <c r="C40" s="1" t="s">
        <v>39</v>
      </c>
      <c r="D40" s="1" t="s">
        <v>41</v>
      </c>
      <c r="E40" s="1" t="s">
        <v>6</v>
      </c>
      <c r="G40" s="9">
        <f t="shared" si="2"/>
        <v>90.54016</v>
      </c>
      <c r="H40" s="16">
        <f t="shared" si="0"/>
        <v>-90.54016</v>
      </c>
      <c r="I40" s="17">
        <f t="shared" si="1"/>
        <v>2E-3</v>
      </c>
      <c r="J40" s="16" t="str">
        <f t="shared" si="3"/>
        <v>Fail</v>
      </c>
      <c r="K40" s="11"/>
      <c r="L40" s="22"/>
      <c r="M40" s="22"/>
      <c r="N40" s="22"/>
      <c r="O40" s="18"/>
      <c r="P40">
        <f t="shared" si="4"/>
        <v>0</v>
      </c>
      <c r="Q40" t="str">
        <f t="shared" si="5"/>
        <v/>
      </c>
    </row>
    <row r="41" spans="2:28" ht="15.6" x14ac:dyDescent="0.3">
      <c r="B41" s="1" t="s">
        <v>38</v>
      </c>
      <c r="C41" s="1" t="s">
        <v>40</v>
      </c>
      <c r="D41" s="1" t="s">
        <v>42</v>
      </c>
      <c r="E41" s="1" t="s">
        <v>6</v>
      </c>
      <c r="G41" s="9">
        <f t="shared" si="2"/>
        <v>90.54016</v>
      </c>
      <c r="H41" s="16">
        <f t="shared" si="0"/>
        <v>-90.54016</v>
      </c>
      <c r="I41" s="17">
        <f t="shared" si="1"/>
        <v>2E-3</v>
      </c>
      <c r="J41" s="16" t="str">
        <f t="shared" si="3"/>
        <v>Fail</v>
      </c>
      <c r="K41" s="11"/>
      <c r="L41" s="22"/>
      <c r="M41" s="22"/>
      <c r="N41" s="22"/>
      <c r="O41" s="18"/>
      <c r="P41">
        <f t="shared" si="4"/>
        <v>0</v>
      </c>
      <c r="Q41" t="str">
        <f t="shared" si="5"/>
        <v/>
      </c>
    </row>
    <row r="42" spans="2:28" ht="27.75" customHeight="1" x14ac:dyDescent="0.3">
      <c r="B42" s="341" t="s">
        <v>44</v>
      </c>
      <c r="C42" s="341"/>
      <c r="G42" s="1"/>
      <c r="H42" s="1"/>
      <c r="I42" s="1"/>
      <c r="J42" s="1"/>
      <c r="K42" s="1"/>
      <c r="P42" s="1"/>
      <c r="Q42" s="1"/>
    </row>
    <row r="43" spans="2:28" x14ac:dyDescent="0.3">
      <c r="D43" s="1" t="s">
        <v>13</v>
      </c>
      <c r="E43" s="1" t="s">
        <v>7</v>
      </c>
      <c r="G43" s="1"/>
      <c r="H43" s="1"/>
      <c r="I43" s="1"/>
      <c r="J43" s="1"/>
      <c r="K43" s="1"/>
      <c r="M43" s="1" t="s">
        <v>104</v>
      </c>
      <c r="P43" s="1"/>
      <c r="Q43" s="1" t="s">
        <v>105</v>
      </c>
      <c r="R43" s="1"/>
      <c r="S43" s="1"/>
      <c r="T43" s="1"/>
      <c r="U43" s="1" t="s">
        <v>106</v>
      </c>
      <c r="V43" s="1"/>
      <c r="AA43" s="1"/>
      <c r="AB43" s="1"/>
    </row>
    <row r="44" spans="2:28" ht="15" thickBot="1" x14ac:dyDescent="0.35">
      <c r="B44" s="3" t="s">
        <v>0</v>
      </c>
      <c r="C44" s="3" t="s">
        <v>94</v>
      </c>
      <c r="D44" s="3" t="s">
        <v>1</v>
      </c>
      <c r="E44" s="3" t="s">
        <v>8</v>
      </c>
      <c r="G44" s="1"/>
      <c r="H44" s="1"/>
      <c r="I44" s="1"/>
      <c r="J44" s="1"/>
      <c r="K44" s="1"/>
      <c r="L44" s="1" t="s">
        <v>101</v>
      </c>
      <c r="M44" s="1" t="s">
        <v>102</v>
      </c>
      <c r="N44" s="1" t="s">
        <v>103</v>
      </c>
      <c r="P44" s="1" t="s">
        <v>101</v>
      </c>
      <c r="Q44" s="1" t="s">
        <v>102</v>
      </c>
      <c r="R44" s="1" t="s">
        <v>103</v>
      </c>
      <c r="S44" s="1"/>
      <c r="T44" s="1" t="s">
        <v>101</v>
      </c>
      <c r="U44" s="1" t="s">
        <v>102</v>
      </c>
      <c r="V44" s="1" t="s">
        <v>103</v>
      </c>
      <c r="AA44" s="1"/>
      <c r="AB44" s="1"/>
    </row>
    <row r="45" spans="2:28" ht="15.6" x14ac:dyDescent="0.3">
      <c r="B45" s="1">
        <v>1</v>
      </c>
      <c r="C45" s="1" t="s">
        <v>95</v>
      </c>
      <c r="D45" s="1" t="s">
        <v>18</v>
      </c>
      <c r="E45" s="1" t="s">
        <v>6</v>
      </c>
      <c r="G45" s="12">
        <f t="shared" ref="G45:G116" si="6">$M$2</f>
        <v>90.54016</v>
      </c>
      <c r="H45" s="16">
        <f t="shared" ref="H45:H50" si="7">MAX(N45-G45,M45-G45,L45-G45)</f>
        <v>-90.54016</v>
      </c>
      <c r="I45" s="17">
        <f t="shared" si="1"/>
        <v>2E-3</v>
      </c>
      <c r="J45" s="16" t="str">
        <f t="shared" ref="J45:J50" si="8">(IF(ABS(H45)&gt;I45,"Fail","Pass"))</f>
        <v>Fail</v>
      </c>
      <c r="K45" s="11"/>
      <c r="L45" s="10"/>
      <c r="M45" s="10"/>
      <c r="N45" s="10"/>
      <c r="P45" s="10"/>
      <c r="Q45" s="10"/>
      <c r="R45" s="10"/>
      <c r="S45" s="1"/>
      <c r="T45" s="10"/>
      <c r="U45" s="10"/>
      <c r="V45" s="10"/>
      <c r="AA45" s="1"/>
      <c r="AB45" s="1"/>
    </row>
    <row r="46" spans="2:28" ht="15.6" x14ac:dyDescent="0.3">
      <c r="B46" s="1">
        <v>2</v>
      </c>
      <c r="C46" s="1" t="s">
        <v>96</v>
      </c>
      <c r="D46" s="1" t="s">
        <v>18</v>
      </c>
      <c r="E46" s="1" t="s">
        <v>6</v>
      </c>
      <c r="G46" s="12">
        <f t="shared" si="6"/>
        <v>90.54016</v>
      </c>
      <c r="H46" s="16">
        <f t="shared" si="7"/>
        <v>-90.54016</v>
      </c>
      <c r="I46" s="17">
        <f t="shared" si="1"/>
        <v>2E-3</v>
      </c>
      <c r="J46" s="16" t="str">
        <f t="shared" si="8"/>
        <v>Fail</v>
      </c>
      <c r="K46" s="11"/>
      <c r="L46" s="10"/>
      <c r="M46" s="10"/>
      <c r="N46" s="10"/>
      <c r="P46" s="10"/>
      <c r="Q46" s="10"/>
      <c r="R46" s="10"/>
      <c r="S46" s="1"/>
      <c r="T46" s="10"/>
      <c r="U46" s="10"/>
      <c r="V46" s="10"/>
      <c r="AA46" s="1"/>
      <c r="AB46" s="1"/>
    </row>
    <row r="47" spans="2:28" ht="15.6" x14ac:dyDescent="0.3">
      <c r="B47" s="1">
        <v>3</v>
      </c>
      <c r="C47" s="1" t="s">
        <v>97</v>
      </c>
      <c r="D47" s="1" t="s">
        <v>18</v>
      </c>
      <c r="E47" s="1" t="s">
        <v>6</v>
      </c>
      <c r="G47" s="12">
        <f t="shared" si="6"/>
        <v>90.54016</v>
      </c>
      <c r="H47" s="16">
        <f t="shared" si="7"/>
        <v>-90.54016</v>
      </c>
      <c r="I47" s="17">
        <f t="shared" si="1"/>
        <v>2E-3</v>
      </c>
      <c r="J47" s="16" t="str">
        <f t="shared" si="8"/>
        <v>Fail</v>
      </c>
      <c r="K47" s="11"/>
      <c r="L47" s="10"/>
      <c r="M47" s="10"/>
      <c r="N47" s="10"/>
      <c r="P47" s="10"/>
      <c r="Q47" s="10"/>
      <c r="R47" s="10"/>
      <c r="S47" s="1"/>
      <c r="T47" s="10"/>
      <c r="U47" s="10"/>
      <c r="V47" s="10"/>
      <c r="AA47" s="1"/>
      <c r="AB47" s="1"/>
    </row>
    <row r="48" spans="2:28" ht="15.6" x14ac:dyDescent="0.3">
      <c r="B48" s="1">
        <v>4</v>
      </c>
      <c r="C48" s="1" t="s">
        <v>98</v>
      </c>
      <c r="D48" s="1" t="s">
        <v>18</v>
      </c>
      <c r="E48" s="1" t="s">
        <v>6</v>
      </c>
      <c r="G48" s="12">
        <f t="shared" si="6"/>
        <v>90.54016</v>
      </c>
      <c r="H48" s="16">
        <f t="shared" si="7"/>
        <v>-90.54016</v>
      </c>
      <c r="I48" s="17">
        <f t="shared" si="1"/>
        <v>2E-3</v>
      </c>
      <c r="J48" s="16" t="str">
        <f t="shared" si="8"/>
        <v>Fail</v>
      </c>
      <c r="K48" s="11"/>
      <c r="L48" s="10"/>
      <c r="M48" s="10"/>
      <c r="N48" s="10"/>
      <c r="P48" s="10"/>
      <c r="Q48" s="10"/>
      <c r="R48" s="10"/>
      <c r="S48" s="1"/>
      <c r="T48" s="10"/>
      <c r="U48" s="10"/>
      <c r="V48" s="10"/>
      <c r="AA48" s="1"/>
      <c r="AB48" s="1"/>
    </row>
    <row r="49" spans="2:28" ht="15.6" x14ac:dyDescent="0.3">
      <c r="B49" s="1">
        <v>5</v>
      </c>
      <c r="C49" s="1" t="s">
        <v>99</v>
      </c>
      <c r="D49" s="1" t="s">
        <v>18</v>
      </c>
      <c r="E49" s="1" t="s">
        <v>6</v>
      </c>
      <c r="G49" s="12">
        <f t="shared" si="6"/>
        <v>90.54016</v>
      </c>
      <c r="H49" s="16">
        <f t="shared" si="7"/>
        <v>-90.54016</v>
      </c>
      <c r="I49" s="17">
        <f t="shared" si="1"/>
        <v>2E-3</v>
      </c>
      <c r="J49" s="16" t="str">
        <f t="shared" si="8"/>
        <v>Fail</v>
      </c>
      <c r="K49" s="11"/>
      <c r="L49" s="10"/>
      <c r="M49" s="10"/>
      <c r="N49" s="10"/>
      <c r="P49" s="10"/>
      <c r="Q49" s="10"/>
      <c r="R49" s="10"/>
      <c r="S49" s="1"/>
      <c r="T49" s="10"/>
      <c r="U49" s="10"/>
      <c r="V49" s="10"/>
      <c r="AA49" s="1"/>
      <c r="AB49" s="1"/>
    </row>
    <row r="50" spans="2:28" ht="15.6" x14ac:dyDescent="0.3">
      <c r="B50" s="1">
        <v>6</v>
      </c>
      <c r="C50" s="1" t="s">
        <v>100</v>
      </c>
      <c r="D50" s="1" t="s">
        <v>18</v>
      </c>
      <c r="E50" s="1" t="s">
        <v>6</v>
      </c>
      <c r="G50" s="12">
        <f t="shared" si="6"/>
        <v>90.54016</v>
      </c>
      <c r="H50" s="16">
        <f t="shared" si="7"/>
        <v>-90.54016</v>
      </c>
      <c r="I50" s="17">
        <f t="shared" si="1"/>
        <v>2E-3</v>
      </c>
      <c r="J50" s="16" t="str">
        <f t="shared" si="8"/>
        <v>Fail</v>
      </c>
      <c r="K50" s="11"/>
      <c r="L50" s="10"/>
      <c r="M50" s="10"/>
      <c r="N50" s="10"/>
      <c r="P50" s="10"/>
      <c r="Q50" s="10"/>
      <c r="R50" s="10"/>
      <c r="S50" s="1"/>
      <c r="T50" s="10"/>
      <c r="U50" s="10"/>
      <c r="V50" s="10"/>
      <c r="AA50" s="1"/>
      <c r="AB50" s="1"/>
    </row>
    <row r="51" spans="2:28" ht="15.6" x14ac:dyDescent="0.3">
      <c r="B51" s="1">
        <v>7</v>
      </c>
      <c r="C51" s="1" t="s">
        <v>95</v>
      </c>
      <c r="D51" s="1" t="s">
        <v>18</v>
      </c>
      <c r="E51" s="1" t="s">
        <v>9</v>
      </c>
      <c r="G51" s="12">
        <f t="shared" si="6"/>
        <v>90.54016</v>
      </c>
      <c r="H51" s="16">
        <f t="shared" ref="H51:H61" si="9">MAX(N51-G51,M51-G51,L51-G51)</f>
        <v>-90.54016</v>
      </c>
      <c r="I51" s="17">
        <f t="shared" si="1"/>
        <v>2E-3</v>
      </c>
      <c r="J51" s="16" t="str">
        <f t="shared" ref="J51:J61" si="10">(IF(ABS(H51)&gt;I51,"Fail","Pass"))</f>
        <v>Fail</v>
      </c>
      <c r="K51" s="11"/>
      <c r="L51" s="10"/>
      <c r="M51" s="10"/>
      <c r="N51" s="10"/>
      <c r="P51" s="10"/>
      <c r="Q51" s="10"/>
      <c r="R51" s="10"/>
      <c r="S51" s="1"/>
      <c r="T51" s="10"/>
      <c r="U51" s="10"/>
      <c r="V51" s="10"/>
      <c r="AA51" s="1"/>
      <c r="AB51" s="1"/>
    </row>
    <row r="52" spans="2:28" ht="15.6" x14ac:dyDescent="0.3">
      <c r="B52" s="1">
        <v>8</v>
      </c>
      <c r="C52" s="1" t="s">
        <v>96</v>
      </c>
      <c r="D52" s="1" t="s">
        <v>18</v>
      </c>
      <c r="E52" s="1" t="s">
        <v>9</v>
      </c>
      <c r="G52" s="12">
        <f t="shared" si="6"/>
        <v>90.54016</v>
      </c>
      <c r="H52" s="16">
        <f t="shared" si="9"/>
        <v>-90.54016</v>
      </c>
      <c r="I52" s="17">
        <f t="shared" si="1"/>
        <v>2E-3</v>
      </c>
      <c r="J52" s="16" t="str">
        <f t="shared" si="10"/>
        <v>Fail</v>
      </c>
      <c r="K52" s="11"/>
      <c r="L52" s="10"/>
      <c r="M52" s="10"/>
      <c r="N52" s="10"/>
      <c r="P52" s="10"/>
      <c r="Q52" s="10"/>
      <c r="R52" s="10"/>
      <c r="S52" s="1"/>
      <c r="T52" s="10"/>
      <c r="U52" s="10"/>
      <c r="V52" s="10"/>
      <c r="AA52" s="1"/>
      <c r="AB52" s="1"/>
    </row>
    <row r="53" spans="2:28" ht="15.6" x14ac:dyDescent="0.3">
      <c r="B53" s="1">
        <v>9</v>
      </c>
      <c r="C53" s="1" t="s">
        <v>97</v>
      </c>
      <c r="D53" s="1" t="s">
        <v>18</v>
      </c>
      <c r="E53" s="1" t="s">
        <v>9</v>
      </c>
      <c r="G53" s="12">
        <f t="shared" si="6"/>
        <v>90.54016</v>
      </c>
      <c r="H53" s="16">
        <f t="shared" si="9"/>
        <v>-90.54016</v>
      </c>
      <c r="I53" s="17">
        <f t="shared" si="1"/>
        <v>2E-3</v>
      </c>
      <c r="J53" s="16" t="str">
        <f t="shared" si="10"/>
        <v>Fail</v>
      </c>
      <c r="K53" s="11"/>
      <c r="L53" s="10"/>
      <c r="M53" s="10"/>
      <c r="N53" s="10"/>
      <c r="P53" s="10"/>
      <c r="Q53" s="10"/>
      <c r="R53" s="10"/>
      <c r="S53" s="1"/>
      <c r="T53" s="10"/>
      <c r="U53" s="10"/>
      <c r="V53" s="10"/>
      <c r="AA53" s="1"/>
      <c r="AB53" s="1"/>
    </row>
    <row r="54" spans="2:28" ht="15.6" x14ac:dyDescent="0.3">
      <c r="B54" s="1">
        <v>10</v>
      </c>
      <c r="C54" s="1" t="s">
        <v>98</v>
      </c>
      <c r="D54" s="1" t="s">
        <v>18</v>
      </c>
      <c r="E54" s="1" t="s">
        <v>9</v>
      </c>
      <c r="G54" s="12">
        <f t="shared" si="6"/>
        <v>90.54016</v>
      </c>
      <c r="H54" s="16">
        <f t="shared" si="9"/>
        <v>-90.54016</v>
      </c>
      <c r="I54" s="17">
        <f t="shared" si="1"/>
        <v>2E-3</v>
      </c>
      <c r="J54" s="16" t="str">
        <f t="shared" si="10"/>
        <v>Fail</v>
      </c>
      <c r="K54" s="11"/>
      <c r="L54" s="10"/>
      <c r="M54" s="10"/>
      <c r="N54" s="10"/>
      <c r="P54" s="10"/>
      <c r="Q54" s="10"/>
      <c r="R54" s="10"/>
      <c r="S54" s="1"/>
      <c r="T54" s="10"/>
      <c r="U54" s="10"/>
      <c r="V54" s="10"/>
      <c r="AA54" s="1"/>
      <c r="AB54" s="1"/>
    </row>
    <row r="55" spans="2:28" ht="15.6" x14ac:dyDescent="0.3">
      <c r="B55" s="1">
        <v>11</v>
      </c>
      <c r="C55" s="1" t="s">
        <v>99</v>
      </c>
      <c r="D55" s="1" t="s">
        <v>18</v>
      </c>
      <c r="E55" s="1" t="s">
        <v>9</v>
      </c>
      <c r="G55" s="12">
        <f t="shared" si="6"/>
        <v>90.54016</v>
      </c>
      <c r="H55" s="16">
        <f t="shared" si="9"/>
        <v>-90.54016</v>
      </c>
      <c r="I55" s="17">
        <f t="shared" si="1"/>
        <v>2E-3</v>
      </c>
      <c r="J55" s="16" t="str">
        <f t="shared" si="10"/>
        <v>Fail</v>
      </c>
      <c r="K55" s="11"/>
      <c r="L55" s="10"/>
      <c r="M55" s="10"/>
      <c r="N55" s="10"/>
      <c r="P55" s="10"/>
      <c r="Q55" s="10"/>
      <c r="R55" s="10"/>
      <c r="S55" s="1"/>
      <c r="T55" s="10"/>
      <c r="U55" s="10"/>
      <c r="V55" s="10"/>
      <c r="AA55" s="1"/>
      <c r="AB55" s="1"/>
    </row>
    <row r="56" spans="2:28" ht="15.6" x14ac:dyDescent="0.3">
      <c r="B56" s="1">
        <v>12</v>
      </c>
      <c r="C56" s="1" t="s">
        <v>100</v>
      </c>
      <c r="D56" s="1" t="s">
        <v>18</v>
      </c>
      <c r="E56" s="1" t="s">
        <v>9</v>
      </c>
      <c r="G56" s="12">
        <f t="shared" si="6"/>
        <v>90.54016</v>
      </c>
      <c r="H56" s="16">
        <f t="shared" si="9"/>
        <v>-90.54016</v>
      </c>
      <c r="I56" s="17">
        <f t="shared" si="1"/>
        <v>2E-3</v>
      </c>
      <c r="J56" s="16" t="str">
        <f t="shared" si="10"/>
        <v>Fail</v>
      </c>
      <c r="K56" s="11"/>
      <c r="L56" s="10"/>
      <c r="M56" s="10"/>
      <c r="N56" s="10"/>
      <c r="P56" s="10"/>
      <c r="Q56" s="10"/>
      <c r="R56" s="10"/>
      <c r="S56" s="1"/>
      <c r="T56" s="10"/>
      <c r="U56" s="10"/>
      <c r="V56" s="10"/>
      <c r="AA56" s="1"/>
      <c r="AB56" s="1"/>
    </row>
    <row r="57" spans="2:28" ht="15.6" x14ac:dyDescent="0.3">
      <c r="B57" s="1">
        <v>13</v>
      </c>
      <c r="C57" s="1" t="s">
        <v>95</v>
      </c>
      <c r="D57" s="1" t="s">
        <v>18</v>
      </c>
      <c r="E57" s="1" t="s">
        <v>10</v>
      </c>
      <c r="G57" s="12">
        <f t="shared" si="6"/>
        <v>90.54016</v>
      </c>
      <c r="H57" s="16">
        <f t="shared" si="9"/>
        <v>-90.54016</v>
      </c>
      <c r="I57" s="17">
        <f t="shared" si="1"/>
        <v>2E-3</v>
      </c>
      <c r="J57" s="16" t="str">
        <f t="shared" si="10"/>
        <v>Fail</v>
      </c>
      <c r="K57" s="11"/>
      <c r="L57" s="10"/>
      <c r="M57" s="10"/>
      <c r="N57" s="10"/>
      <c r="P57" s="10"/>
      <c r="Q57" s="10"/>
      <c r="R57" s="10"/>
      <c r="S57" s="1"/>
      <c r="T57" s="10"/>
      <c r="U57" s="10"/>
      <c r="V57" s="10"/>
      <c r="AA57" s="1"/>
      <c r="AB57" s="1"/>
    </row>
    <row r="58" spans="2:28" ht="15.6" x14ac:dyDescent="0.3">
      <c r="B58" s="1">
        <v>14</v>
      </c>
      <c r="C58" s="1" t="s">
        <v>96</v>
      </c>
      <c r="D58" s="1" t="s">
        <v>18</v>
      </c>
      <c r="E58" s="1" t="s">
        <v>10</v>
      </c>
      <c r="G58" s="12">
        <f t="shared" si="6"/>
        <v>90.54016</v>
      </c>
      <c r="H58" s="16">
        <f t="shared" si="9"/>
        <v>-90.54016</v>
      </c>
      <c r="I58" s="17">
        <f t="shared" si="1"/>
        <v>2E-3</v>
      </c>
      <c r="J58" s="16" t="str">
        <f t="shared" si="10"/>
        <v>Fail</v>
      </c>
      <c r="K58" s="11"/>
      <c r="L58" s="10"/>
      <c r="M58" s="10"/>
      <c r="N58" s="10"/>
      <c r="P58" s="10"/>
      <c r="Q58" s="10"/>
      <c r="R58" s="10"/>
      <c r="S58" s="1"/>
      <c r="T58" s="10"/>
      <c r="U58" s="10"/>
      <c r="V58" s="10"/>
      <c r="AA58" s="1"/>
      <c r="AB58" s="1"/>
    </row>
    <row r="59" spans="2:28" ht="15.6" x14ac:dyDescent="0.3">
      <c r="B59" s="1">
        <v>15</v>
      </c>
      <c r="C59" s="1" t="s">
        <v>97</v>
      </c>
      <c r="D59" s="1" t="s">
        <v>18</v>
      </c>
      <c r="E59" s="1" t="s">
        <v>10</v>
      </c>
      <c r="G59" s="12">
        <f t="shared" si="6"/>
        <v>90.54016</v>
      </c>
      <c r="H59" s="16">
        <f t="shared" si="9"/>
        <v>-90.54016</v>
      </c>
      <c r="I59" s="17">
        <f t="shared" si="1"/>
        <v>2E-3</v>
      </c>
      <c r="J59" s="16" t="str">
        <f t="shared" si="10"/>
        <v>Fail</v>
      </c>
      <c r="K59" s="11"/>
      <c r="L59" s="10"/>
      <c r="M59" s="10"/>
      <c r="N59" s="10"/>
      <c r="P59" s="10"/>
      <c r="Q59" s="10"/>
      <c r="R59" s="10"/>
      <c r="S59" s="1"/>
      <c r="T59" s="10"/>
      <c r="U59" s="10"/>
      <c r="V59" s="10"/>
      <c r="AA59" s="1"/>
      <c r="AB59" s="1"/>
    </row>
    <row r="60" spans="2:28" ht="15.6" x14ac:dyDescent="0.3">
      <c r="B60" s="1">
        <v>16</v>
      </c>
      <c r="C60" s="1" t="s">
        <v>98</v>
      </c>
      <c r="D60" s="1" t="s">
        <v>18</v>
      </c>
      <c r="E60" s="1" t="s">
        <v>10</v>
      </c>
      <c r="G60" s="12">
        <f t="shared" si="6"/>
        <v>90.54016</v>
      </c>
      <c r="H60" s="16">
        <f t="shared" si="9"/>
        <v>-90.54016</v>
      </c>
      <c r="I60" s="17">
        <f t="shared" si="1"/>
        <v>2E-3</v>
      </c>
      <c r="J60" s="16" t="str">
        <f t="shared" si="10"/>
        <v>Fail</v>
      </c>
      <c r="K60" s="11"/>
      <c r="L60" s="10"/>
      <c r="M60" s="10"/>
      <c r="N60" s="10"/>
      <c r="P60" s="10"/>
      <c r="Q60" s="10"/>
      <c r="R60" s="10"/>
      <c r="S60" s="1"/>
      <c r="T60" s="10"/>
      <c r="U60" s="10"/>
      <c r="V60" s="10"/>
      <c r="AA60" s="1"/>
      <c r="AB60" s="1"/>
    </row>
    <row r="61" spans="2:28" ht="15.6" x14ac:dyDescent="0.3">
      <c r="B61" s="1">
        <v>17</v>
      </c>
      <c r="C61" s="1" t="s">
        <v>99</v>
      </c>
      <c r="D61" s="1" t="s">
        <v>18</v>
      </c>
      <c r="E61" s="1" t="s">
        <v>10</v>
      </c>
      <c r="G61" s="12">
        <f t="shared" si="6"/>
        <v>90.54016</v>
      </c>
      <c r="H61" s="16">
        <f t="shared" si="9"/>
        <v>-90.54016</v>
      </c>
      <c r="I61" s="17">
        <f t="shared" si="1"/>
        <v>2E-3</v>
      </c>
      <c r="J61" s="16" t="str">
        <f t="shared" si="10"/>
        <v>Fail</v>
      </c>
      <c r="K61" s="11"/>
      <c r="L61" s="10"/>
      <c r="M61" s="10"/>
      <c r="N61" s="10"/>
      <c r="P61" s="10"/>
      <c r="Q61" s="10"/>
      <c r="R61" s="10"/>
      <c r="S61" s="1"/>
      <c r="T61" s="10"/>
      <c r="U61" s="10"/>
      <c r="V61" s="10"/>
      <c r="AA61" s="1"/>
      <c r="AB61" s="1"/>
    </row>
    <row r="62" spans="2:28" ht="15.6" x14ac:dyDescent="0.3">
      <c r="B62" s="1">
        <v>18</v>
      </c>
      <c r="C62" s="1" t="s">
        <v>100</v>
      </c>
      <c r="D62" s="1" t="s">
        <v>18</v>
      </c>
      <c r="E62" s="1" t="s">
        <v>10</v>
      </c>
      <c r="G62" s="12">
        <f t="shared" si="6"/>
        <v>90.54016</v>
      </c>
      <c r="H62" s="16">
        <f t="shared" ref="H62:H85" si="11">MAX(N62-G62,M62-G62,L62-G62)</f>
        <v>-90.54016</v>
      </c>
      <c r="I62" s="17">
        <f t="shared" si="1"/>
        <v>2E-3</v>
      </c>
      <c r="J62" s="16" t="str">
        <f t="shared" ref="J62:J85" si="12">(IF(ABS(H62)&gt;I62,"Fail","Pass"))</f>
        <v>Fail</v>
      </c>
      <c r="K62" s="11"/>
      <c r="L62" s="10"/>
      <c r="M62" s="10"/>
      <c r="N62" s="10"/>
      <c r="P62" s="10"/>
      <c r="Q62" s="10"/>
      <c r="R62" s="10"/>
      <c r="S62" s="1"/>
      <c r="T62" s="10"/>
      <c r="U62" s="10"/>
      <c r="V62" s="10"/>
      <c r="AA62" s="1"/>
      <c r="AB62" s="1"/>
    </row>
    <row r="63" spans="2:28" ht="15.6" x14ac:dyDescent="0.3">
      <c r="B63" s="1">
        <v>19</v>
      </c>
      <c r="C63" s="1" t="s">
        <v>95</v>
      </c>
      <c r="D63" s="1" t="s">
        <v>18</v>
      </c>
      <c r="E63" s="1" t="s">
        <v>11</v>
      </c>
      <c r="G63" s="12">
        <f t="shared" si="6"/>
        <v>90.54016</v>
      </c>
      <c r="H63" s="16">
        <f t="shared" si="11"/>
        <v>-90.54016</v>
      </c>
      <c r="I63" s="17">
        <f t="shared" si="1"/>
        <v>2E-3</v>
      </c>
      <c r="J63" s="16" t="str">
        <f t="shared" si="12"/>
        <v>Fail</v>
      </c>
      <c r="K63" s="11"/>
      <c r="L63" s="10"/>
      <c r="M63" s="10"/>
      <c r="N63" s="10"/>
      <c r="P63" s="10"/>
      <c r="Q63" s="10"/>
      <c r="R63" s="10"/>
      <c r="S63" s="1"/>
      <c r="T63" s="10"/>
      <c r="U63" s="10"/>
      <c r="V63" s="10"/>
      <c r="AA63" s="1"/>
      <c r="AB63" s="1"/>
    </row>
    <row r="64" spans="2:28" ht="15.6" x14ac:dyDescent="0.3">
      <c r="B64" s="1">
        <v>20</v>
      </c>
      <c r="C64" s="1" t="s">
        <v>96</v>
      </c>
      <c r="D64" s="1" t="s">
        <v>18</v>
      </c>
      <c r="E64" s="1" t="s">
        <v>11</v>
      </c>
      <c r="G64" s="12">
        <f t="shared" si="6"/>
        <v>90.54016</v>
      </c>
      <c r="H64" s="16">
        <f t="shared" si="11"/>
        <v>-90.54016</v>
      </c>
      <c r="I64" s="17">
        <f t="shared" si="1"/>
        <v>2E-3</v>
      </c>
      <c r="J64" s="16" t="str">
        <f t="shared" si="12"/>
        <v>Fail</v>
      </c>
      <c r="K64" s="11"/>
      <c r="L64" s="10"/>
      <c r="M64" s="10"/>
      <c r="N64" s="10"/>
      <c r="P64" s="10"/>
      <c r="Q64" s="10"/>
      <c r="R64" s="10"/>
      <c r="S64" s="1"/>
      <c r="T64" s="10"/>
      <c r="U64" s="10"/>
      <c r="V64" s="10"/>
      <c r="AA64" s="1"/>
      <c r="AB64" s="1"/>
    </row>
    <row r="65" spans="2:28" ht="15.6" x14ac:dyDescent="0.3">
      <c r="B65" s="1">
        <v>21</v>
      </c>
      <c r="C65" s="1" t="s">
        <v>97</v>
      </c>
      <c r="D65" s="1" t="s">
        <v>18</v>
      </c>
      <c r="E65" s="1" t="s">
        <v>11</v>
      </c>
      <c r="G65" s="12">
        <f t="shared" si="6"/>
        <v>90.54016</v>
      </c>
      <c r="H65" s="16">
        <f t="shared" si="11"/>
        <v>-90.54016</v>
      </c>
      <c r="I65" s="17">
        <f t="shared" si="1"/>
        <v>2E-3</v>
      </c>
      <c r="J65" s="16" t="str">
        <f t="shared" si="12"/>
        <v>Fail</v>
      </c>
      <c r="K65" s="11"/>
      <c r="L65" s="10"/>
      <c r="M65" s="10"/>
      <c r="N65" s="10"/>
      <c r="P65" s="10"/>
      <c r="Q65" s="10"/>
      <c r="R65" s="10"/>
      <c r="S65" s="1"/>
      <c r="T65" s="10"/>
      <c r="U65" s="10"/>
      <c r="V65" s="10"/>
      <c r="AA65" s="1"/>
      <c r="AB65" s="1"/>
    </row>
    <row r="66" spans="2:28" ht="15.6" x14ac:dyDescent="0.3">
      <c r="B66" s="1">
        <v>22</v>
      </c>
      <c r="C66" s="1" t="s">
        <v>98</v>
      </c>
      <c r="D66" s="1" t="s">
        <v>18</v>
      </c>
      <c r="E66" s="1" t="s">
        <v>11</v>
      </c>
      <c r="G66" s="12">
        <f t="shared" si="6"/>
        <v>90.54016</v>
      </c>
      <c r="H66" s="16">
        <f t="shared" si="11"/>
        <v>-90.54016</v>
      </c>
      <c r="I66" s="17">
        <f t="shared" si="1"/>
        <v>2E-3</v>
      </c>
      <c r="J66" s="16" t="str">
        <f t="shared" si="12"/>
        <v>Fail</v>
      </c>
      <c r="K66" s="11"/>
      <c r="L66" s="10"/>
      <c r="M66" s="10"/>
      <c r="N66" s="10"/>
      <c r="P66" s="10"/>
      <c r="Q66" s="10"/>
      <c r="R66" s="10"/>
      <c r="S66" s="1"/>
      <c r="T66" s="10"/>
      <c r="U66" s="10"/>
      <c r="V66" s="10"/>
      <c r="AA66" s="1"/>
      <c r="AB66" s="1"/>
    </row>
    <row r="67" spans="2:28" ht="15.6" x14ac:dyDescent="0.3">
      <c r="B67" s="1">
        <v>23</v>
      </c>
      <c r="C67" s="1" t="s">
        <v>99</v>
      </c>
      <c r="D67" s="1" t="s">
        <v>18</v>
      </c>
      <c r="E67" s="1" t="s">
        <v>11</v>
      </c>
      <c r="G67" s="12">
        <f t="shared" si="6"/>
        <v>90.54016</v>
      </c>
      <c r="H67" s="16">
        <f t="shared" si="11"/>
        <v>-90.54016</v>
      </c>
      <c r="I67" s="17">
        <f t="shared" si="1"/>
        <v>2E-3</v>
      </c>
      <c r="J67" s="16" t="str">
        <f t="shared" si="12"/>
        <v>Fail</v>
      </c>
      <c r="K67" s="11"/>
      <c r="L67" s="10"/>
      <c r="M67" s="10"/>
      <c r="N67" s="10"/>
      <c r="P67" s="10"/>
      <c r="Q67" s="10"/>
      <c r="R67" s="10"/>
      <c r="S67" s="1"/>
      <c r="T67" s="10"/>
      <c r="U67" s="10"/>
      <c r="V67" s="10"/>
      <c r="AA67" s="1"/>
      <c r="AB67" s="1"/>
    </row>
    <row r="68" spans="2:28" ht="15.6" x14ac:dyDescent="0.3">
      <c r="B68" s="1">
        <v>24</v>
      </c>
      <c r="C68" s="1" t="s">
        <v>100</v>
      </c>
      <c r="D68" s="1" t="s">
        <v>18</v>
      </c>
      <c r="E68" s="1" t="s">
        <v>11</v>
      </c>
      <c r="G68" s="12">
        <f t="shared" si="6"/>
        <v>90.54016</v>
      </c>
      <c r="H68" s="16">
        <f t="shared" si="11"/>
        <v>-90.54016</v>
      </c>
      <c r="I68" s="17">
        <f t="shared" si="1"/>
        <v>2E-3</v>
      </c>
      <c r="J68" s="16" t="str">
        <f t="shared" si="12"/>
        <v>Fail</v>
      </c>
      <c r="K68" s="11"/>
      <c r="L68" s="10"/>
      <c r="M68" s="10"/>
      <c r="N68" s="10"/>
      <c r="P68" s="10"/>
      <c r="Q68" s="10"/>
      <c r="R68" s="10"/>
      <c r="S68" s="1"/>
      <c r="T68" s="10"/>
      <c r="U68" s="10"/>
      <c r="V68" s="10"/>
      <c r="AA68" s="1"/>
      <c r="AB68" s="1"/>
    </row>
    <row r="69" spans="2:28" ht="15.6" x14ac:dyDescent="0.3">
      <c r="B69" s="1">
        <v>25</v>
      </c>
      <c r="C69" s="1" t="s">
        <v>95</v>
      </c>
      <c r="D69" s="1" t="s">
        <v>20</v>
      </c>
      <c r="E69" s="1" t="s">
        <v>6</v>
      </c>
      <c r="G69" s="12">
        <f t="shared" si="6"/>
        <v>90.54016</v>
      </c>
      <c r="H69" s="16">
        <f t="shared" si="11"/>
        <v>-90.54016</v>
      </c>
      <c r="I69" s="17">
        <f t="shared" si="1"/>
        <v>2E-3</v>
      </c>
      <c r="J69" s="16" t="str">
        <f t="shared" si="12"/>
        <v>Fail</v>
      </c>
      <c r="K69" s="11"/>
      <c r="L69" s="10"/>
      <c r="M69" s="10"/>
      <c r="N69" s="10"/>
      <c r="P69" s="10"/>
      <c r="Q69" s="10"/>
      <c r="R69" s="10"/>
      <c r="S69" s="1"/>
      <c r="T69" s="10"/>
      <c r="U69" s="10"/>
      <c r="V69" s="10"/>
      <c r="AA69" s="1"/>
      <c r="AB69" s="1"/>
    </row>
    <row r="70" spans="2:28" ht="15.6" x14ac:dyDescent="0.3">
      <c r="B70" s="1">
        <v>26</v>
      </c>
      <c r="C70" s="1" t="s">
        <v>96</v>
      </c>
      <c r="D70" s="1" t="s">
        <v>20</v>
      </c>
      <c r="E70" s="1" t="s">
        <v>6</v>
      </c>
      <c r="G70" s="12">
        <f t="shared" si="6"/>
        <v>90.54016</v>
      </c>
      <c r="H70" s="16">
        <f t="shared" si="11"/>
        <v>-90.54016</v>
      </c>
      <c r="I70" s="17">
        <f t="shared" si="1"/>
        <v>2E-3</v>
      </c>
      <c r="J70" s="16" t="str">
        <f t="shared" si="12"/>
        <v>Fail</v>
      </c>
      <c r="K70" s="11"/>
      <c r="L70" s="10"/>
      <c r="M70" s="10"/>
      <c r="N70" s="10"/>
      <c r="P70" s="10"/>
      <c r="Q70" s="10"/>
      <c r="R70" s="10"/>
      <c r="S70" s="1"/>
      <c r="T70" s="10"/>
      <c r="U70" s="10"/>
      <c r="V70" s="10"/>
      <c r="AA70" s="1"/>
      <c r="AB70" s="1"/>
    </row>
    <row r="71" spans="2:28" ht="15.6" x14ac:dyDescent="0.3">
      <c r="B71" s="1">
        <v>27</v>
      </c>
      <c r="C71" s="1" t="s">
        <v>97</v>
      </c>
      <c r="D71" s="1" t="s">
        <v>20</v>
      </c>
      <c r="E71" s="1" t="s">
        <v>6</v>
      </c>
      <c r="G71" s="12">
        <f t="shared" si="6"/>
        <v>90.54016</v>
      </c>
      <c r="H71" s="16">
        <f t="shared" si="11"/>
        <v>-90.54016</v>
      </c>
      <c r="I71" s="17">
        <f t="shared" si="1"/>
        <v>2E-3</v>
      </c>
      <c r="J71" s="16" t="str">
        <f t="shared" si="12"/>
        <v>Fail</v>
      </c>
      <c r="K71" s="11"/>
      <c r="L71" s="10"/>
      <c r="M71" s="10"/>
      <c r="N71" s="10"/>
      <c r="P71" s="10"/>
      <c r="Q71" s="10"/>
      <c r="R71" s="10"/>
      <c r="S71" s="1"/>
      <c r="T71" s="10"/>
      <c r="U71" s="10"/>
      <c r="V71" s="10"/>
      <c r="AA71" s="1"/>
      <c r="AB71" s="1"/>
    </row>
    <row r="72" spans="2:28" ht="15.6" x14ac:dyDescent="0.3">
      <c r="B72" s="1">
        <v>28</v>
      </c>
      <c r="C72" s="1" t="s">
        <v>98</v>
      </c>
      <c r="D72" s="1" t="s">
        <v>20</v>
      </c>
      <c r="E72" s="1" t="s">
        <v>6</v>
      </c>
      <c r="G72" s="12">
        <f t="shared" si="6"/>
        <v>90.54016</v>
      </c>
      <c r="H72" s="16">
        <f t="shared" si="11"/>
        <v>-90.54016</v>
      </c>
      <c r="I72" s="17">
        <f t="shared" si="1"/>
        <v>2E-3</v>
      </c>
      <c r="J72" s="16" t="str">
        <f t="shared" si="12"/>
        <v>Fail</v>
      </c>
      <c r="K72" s="11"/>
      <c r="L72" s="10"/>
      <c r="M72" s="10"/>
      <c r="N72" s="10"/>
      <c r="P72" s="10"/>
      <c r="Q72" s="10"/>
      <c r="R72" s="10"/>
      <c r="S72" s="1"/>
      <c r="T72" s="10"/>
      <c r="U72" s="10"/>
      <c r="V72" s="10"/>
      <c r="AA72" s="1"/>
      <c r="AB72" s="1"/>
    </row>
    <row r="73" spans="2:28" ht="15.6" x14ac:dyDescent="0.3">
      <c r="B73" s="1">
        <v>29</v>
      </c>
      <c r="C73" s="1" t="s">
        <v>99</v>
      </c>
      <c r="D73" s="1" t="s">
        <v>20</v>
      </c>
      <c r="E73" s="1" t="s">
        <v>6</v>
      </c>
      <c r="G73" s="12">
        <f t="shared" si="6"/>
        <v>90.54016</v>
      </c>
      <c r="H73" s="16">
        <f t="shared" si="11"/>
        <v>-90.54016</v>
      </c>
      <c r="I73" s="17">
        <f t="shared" si="1"/>
        <v>2E-3</v>
      </c>
      <c r="J73" s="16" t="str">
        <f t="shared" si="12"/>
        <v>Fail</v>
      </c>
      <c r="K73" s="11"/>
      <c r="L73" s="10"/>
      <c r="M73" s="10"/>
      <c r="N73" s="10"/>
      <c r="P73" s="10"/>
      <c r="Q73" s="10"/>
      <c r="R73" s="10"/>
      <c r="S73" s="1"/>
      <c r="T73" s="10"/>
      <c r="U73" s="10"/>
      <c r="V73" s="10"/>
      <c r="AA73" s="1"/>
      <c r="AB73" s="1"/>
    </row>
    <row r="74" spans="2:28" ht="15.6" x14ac:dyDescent="0.3">
      <c r="B74" s="1">
        <v>30</v>
      </c>
      <c r="C74" s="1" t="s">
        <v>100</v>
      </c>
      <c r="D74" s="1" t="s">
        <v>20</v>
      </c>
      <c r="E74" s="1" t="s">
        <v>6</v>
      </c>
      <c r="G74" s="12">
        <f t="shared" si="6"/>
        <v>90.54016</v>
      </c>
      <c r="H74" s="16">
        <f t="shared" si="11"/>
        <v>-90.54016</v>
      </c>
      <c r="I74" s="17">
        <f t="shared" si="1"/>
        <v>2E-3</v>
      </c>
      <c r="J74" s="16" t="str">
        <f t="shared" si="12"/>
        <v>Fail</v>
      </c>
      <c r="K74" s="11"/>
      <c r="L74" s="10"/>
      <c r="M74" s="10"/>
      <c r="N74" s="10"/>
      <c r="P74" s="10"/>
      <c r="Q74" s="10"/>
      <c r="R74" s="10"/>
      <c r="S74" s="1"/>
      <c r="T74" s="10"/>
      <c r="U74" s="10"/>
      <c r="V74" s="10"/>
      <c r="AA74" s="1"/>
      <c r="AB74" s="1"/>
    </row>
    <row r="75" spans="2:28" ht="15.6" x14ac:dyDescent="0.3">
      <c r="B75" s="1">
        <v>31</v>
      </c>
      <c r="C75" s="1" t="s">
        <v>95</v>
      </c>
      <c r="D75" s="1" t="s">
        <v>20</v>
      </c>
      <c r="E75" s="1" t="s">
        <v>9</v>
      </c>
      <c r="G75" s="12">
        <f t="shared" si="6"/>
        <v>90.54016</v>
      </c>
      <c r="H75" s="16">
        <f t="shared" si="11"/>
        <v>-90.54016</v>
      </c>
      <c r="I75" s="17">
        <f t="shared" si="1"/>
        <v>2E-3</v>
      </c>
      <c r="J75" s="16" t="str">
        <f t="shared" si="12"/>
        <v>Fail</v>
      </c>
      <c r="K75" s="11"/>
      <c r="L75" s="10"/>
      <c r="M75" s="10"/>
      <c r="N75" s="10"/>
      <c r="P75" s="10"/>
      <c r="Q75" s="10"/>
      <c r="R75" s="10"/>
      <c r="S75" s="1"/>
      <c r="T75" s="10"/>
      <c r="U75" s="10"/>
      <c r="V75" s="10"/>
      <c r="AA75" s="1"/>
      <c r="AB75" s="1"/>
    </row>
    <row r="76" spans="2:28" ht="15.6" x14ac:dyDescent="0.3">
      <c r="B76" s="1">
        <v>32</v>
      </c>
      <c r="C76" s="1" t="s">
        <v>96</v>
      </c>
      <c r="D76" s="1" t="s">
        <v>20</v>
      </c>
      <c r="E76" s="1" t="s">
        <v>9</v>
      </c>
      <c r="G76" s="12">
        <f t="shared" si="6"/>
        <v>90.54016</v>
      </c>
      <c r="H76" s="16">
        <f t="shared" si="11"/>
        <v>-90.54016</v>
      </c>
      <c r="I76" s="17">
        <f t="shared" si="1"/>
        <v>2E-3</v>
      </c>
      <c r="J76" s="16" t="str">
        <f t="shared" si="12"/>
        <v>Fail</v>
      </c>
      <c r="K76" s="11"/>
      <c r="L76" s="10"/>
      <c r="M76" s="10"/>
      <c r="N76" s="10"/>
      <c r="P76" s="10"/>
      <c r="Q76" s="10"/>
      <c r="R76" s="10"/>
      <c r="S76" s="1"/>
      <c r="T76" s="10"/>
      <c r="U76" s="10"/>
      <c r="V76" s="10"/>
      <c r="AA76" s="1"/>
      <c r="AB76" s="1"/>
    </row>
    <row r="77" spans="2:28" ht="15.6" x14ac:dyDescent="0.3">
      <c r="B77" s="1">
        <v>33</v>
      </c>
      <c r="C77" s="1" t="s">
        <v>97</v>
      </c>
      <c r="D77" s="1" t="s">
        <v>20</v>
      </c>
      <c r="E77" s="1" t="s">
        <v>9</v>
      </c>
      <c r="G77" s="12">
        <f t="shared" si="6"/>
        <v>90.54016</v>
      </c>
      <c r="H77" s="16">
        <f t="shared" si="11"/>
        <v>-90.54016</v>
      </c>
      <c r="I77" s="17">
        <f t="shared" si="1"/>
        <v>2E-3</v>
      </c>
      <c r="J77" s="16" t="str">
        <f t="shared" si="12"/>
        <v>Fail</v>
      </c>
      <c r="K77" s="11"/>
      <c r="L77" s="10"/>
      <c r="M77" s="10"/>
      <c r="N77" s="10"/>
      <c r="P77" s="10"/>
      <c r="Q77" s="10"/>
      <c r="R77" s="10"/>
      <c r="S77" s="1"/>
      <c r="T77" s="10"/>
      <c r="U77" s="10"/>
      <c r="V77" s="10"/>
      <c r="AA77" s="1"/>
      <c r="AB77" s="1"/>
    </row>
    <row r="78" spans="2:28" ht="15.6" x14ac:dyDescent="0.3">
      <c r="B78" s="1">
        <v>34</v>
      </c>
      <c r="C78" s="1" t="s">
        <v>98</v>
      </c>
      <c r="D78" s="1" t="s">
        <v>20</v>
      </c>
      <c r="E78" s="1" t="s">
        <v>9</v>
      </c>
      <c r="G78" s="12">
        <f t="shared" si="6"/>
        <v>90.54016</v>
      </c>
      <c r="H78" s="16">
        <f t="shared" si="11"/>
        <v>-90.54016</v>
      </c>
      <c r="I78" s="17">
        <f t="shared" si="1"/>
        <v>2E-3</v>
      </c>
      <c r="J78" s="16" t="str">
        <f t="shared" si="12"/>
        <v>Fail</v>
      </c>
      <c r="K78" s="11"/>
      <c r="L78" s="10"/>
      <c r="M78" s="10"/>
      <c r="N78" s="10"/>
      <c r="P78" s="10"/>
      <c r="Q78" s="10"/>
      <c r="R78" s="10"/>
      <c r="S78" s="1"/>
      <c r="T78" s="10"/>
      <c r="U78" s="10"/>
      <c r="V78" s="10"/>
      <c r="AA78" s="1"/>
      <c r="AB78" s="1"/>
    </row>
    <row r="79" spans="2:28" ht="15.6" x14ac:dyDescent="0.3">
      <c r="B79" s="1">
        <v>35</v>
      </c>
      <c r="C79" s="1" t="s">
        <v>99</v>
      </c>
      <c r="D79" s="1" t="s">
        <v>20</v>
      </c>
      <c r="E79" s="1" t="s">
        <v>9</v>
      </c>
      <c r="G79" s="12">
        <f t="shared" si="6"/>
        <v>90.54016</v>
      </c>
      <c r="H79" s="16">
        <f t="shared" si="11"/>
        <v>-90.54016</v>
      </c>
      <c r="I79" s="17">
        <f t="shared" si="1"/>
        <v>2E-3</v>
      </c>
      <c r="J79" s="16" t="str">
        <f t="shared" si="12"/>
        <v>Fail</v>
      </c>
      <c r="K79" s="11"/>
      <c r="L79" s="10"/>
      <c r="M79" s="10"/>
      <c r="N79" s="10"/>
      <c r="P79" s="10"/>
      <c r="Q79" s="10"/>
      <c r="R79" s="10"/>
      <c r="S79" s="1"/>
      <c r="T79" s="10"/>
      <c r="U79" s="10"/>
      <c r="V79" s="10"/>
      <c r="AA79" s="1"/>
      <c r="AB79" s="1"/>
    </row>
    <row r="80" spans="2:28" ht="15.6" x14ac:dyDescent="0.3">
      <c r="B80" s="1">
        <v>36</v>
      </c>
      <c r="C80" s="1" t="s">
        <v>100</v>
      </c>
      <c r="D80" s="1" t="s">
        <v>20</v>
      </c>
      <c r="E80" s="1" t="s">
        <v>9</v>
      </c>
      <c r="G80" s="12">
        <f t="shared" si="6"/>
        <v>90.54016</v>
      </c>
      <c r="H80" s="16">
        <f t="shared" si="11"/>
        <v>-90.54016</v>
      </c>
      <c r="I80" s="17">
        <f t="shared" si="1"/>
        <v>2E-3</v>
      </c>
      <c r="J80" s="16" t="str">
        <f t="shared" si="12"/>
        <v>Fail</v>
      </c>
      <c r="K80" s="11"/>
      <c r="L80" s="10"/>
      <c r="M80" s="10"/>
      <c r="N80" s="10"/>
      <c r="P80" s="10"/>
      <c r="Q80" s="10"/>
      <c r="R80" s="10"/>
      <c r="S80" s="1"/>
      <c r="T80" s="10"/>
      <c r="U80" s="10"/>
      <c r="V80" s="10"/>
      <c r="AA80" s="1"/>
      <c r="AB80" s="1"/>
    </row>
    <row r="81" spans="2:28" ht="15.6" x14ac:dyDescent="0.3">
      <c r="B81" s="1">
        <v>37</v>
      </c>
      <c r="C81" s="1" t="s">
        <v>95</v>
      </c>
      <c r="D81" s="1" t="s">
        <v>20</v>
      </c>
      <c r="E81" s="1" t="s">
        <v>10</v>
      </c>
      <c r="G81" s="12">
        <f t="shared" si="6"/>
        <v>90.54016</v>
      </c>
      <c r="H81" s="16">
        <f t="shared" si="11"/>
        <v>-90.54016</v>
      </c>
      <c r="I81" s="17">
        <f t="shared" si="1"/>
        <v>2E-3</v>
      </c>
      <c r="J81" s="16" t="str">
        <f t="shared" si="12"/>
        <v>Fail</v>
      </c>
      <c r="K81" s="11"/>
      <c r="L81" s="10"/>
      <c r="M81" s="10"/>
      <c r="N81" s="10"/>
      <c r="P81" s="10"/>
      <c r="Q81" s="10"/>
      <c r="R81" s="10"/>
      <c r="S81" s="1"/>
      <c r="T81" s="10"/>
      <c r="U81" s="10"/>
      <c r="V81" s="10"/>
      <c r="AA81" s="1"/>
      <c r="AB81" s="1"/>
    </row>
    <row r="82" spans="2:28" ht="15.6" x14ac:dyDescent="0.3">
      <c r="B82" s="1">
        <v>38</v>
      </c>
      <c r="C82" s="1" t="s">
        <v>96</v>
      </c>
      <c r="D82" s="1" t="s">
        <v>20</v>
      </c>
      <c r="E82" s="1" t="s">
        <v>10</v>
      </c>
      <c r="G82" s="12">
        <f t="shared" si="6"/>
        <v>90.54016</v>
      </c>
      <c r="H82" s="16">
        <f t="shared" si="11"/>
        <v>-90.54016</v>
      </c>
      <c r="I82" s="17">
        <f t="shared" si="1"/>
        <v>2E-3</v>
      </c>
      <c r="J82" s="16" t="str">
        <f t="shared" si="12"/>
        <v>Fail</v>
      </c>
      <c r="K82" s="11"/>
      <c r="L82" s="10"/>
      <c r="M82" s="10"/>
      <c r="N82" s="10"/>
      <c r="P82" s="10"/>
      <c r="Q82" s="10"/>
      <c r="R82" s="10"/>
      <c r="S82" s="1"/>
      <c r="T82" s="10"/>
      <c r="U82" s="10"/>
      <c r="V82" s="10"/>
      <c r="AA82" s="1"/>
      <c r="AB82" s="1"/>
    </row>
    <row r="83" spans="2:28" ht="15.6" x14ac:dyDescent="0.3">
      <c r="B83" s="1">
        <v>39</v>
      </c>
      <c r="C83" s="1" t="s">
        <v>97</v>
      </c>
      <c r="D83" s="1" t="s">
        <v>20</v>
      </c>
      <c r="E83" s="1" t="s">
        <v>10</v>
      </c>
      <c r="G83" s="12">
        <f t="shared" si="6"/>
        <v>90.54016</v>
      </c>
      <c r="H83" s="16">
        <f t="shared" si="11"/>
        <v>-90.54016</v>
      </c>
      <c r="I83" s="17">
        <f t="shared" si="1"/>
        <v>2E-3</v>
      </c>
      <c r="J83" s="16" t="str">
        <f t="shared" si="12"/>
        <v>Fail</v>
      </c>
      <c r="K83" s="11"/>
      <c r="L83" s="10"/>
      <c r="M83" s="10"/>
      <c r="N83" s="10"/>
      <c r="P83" s="10"/>
      <c r="Q83" s="10"/>
      <c r="R83" s="10"/>
      <c r="S83" s="1"/>
      <c r="T83" s="10"/>
      <c r="U83" s="10"/>
      <c r="V83" s="10"/>
      <c r="AA83" s="1"/>
      <c r="AB83" s="1"/>
    </row>
    <row r="84" spans="2:28" ht="15.6" x14ac:dyDescent="0.3">
      <c r="B84" s="1">
        <v>40</v>
      </c>
      <c r="C84" s="1" t="s">
        <v>98</v>
      </c>
      <c r="D84" s="1" t="s">
        <v>20</v>
      </c>
      <c r="E84" s="1" t="s">
        <v>10</v>
      </c>
      <c r="G84" s="12">
        <f t="shared" si="6"/>
        <v>90.54016</v>
      </c>
      <c r="H84" s="16">
        <f t="shared" si="11"/>
        <v>-90.54016</v>
      </c>
      <c r="I84" s="17">
        <f t="shared" si="1"/>
        <v>2E-3</v>
      </c>
      <c r="J84" s="16" t="str">
        <f t="shared" si="12"/>
        <v>Fail</v>
      </c>
      <c r="K84" s="11"/>
      <c r="L84" s="10"/>
      <c r="M84" s="10"/>
      <c r="N84" s="10"/>
      <c r="P84" s="10"/>
      <c r="Q84" s="10"/>
      <c r="R84" s="10"/>
      <c r="S84" s="1"/>
      <c r="T84" s="10"/>
      <c r="U84" s="10"/>
      <c r="V84" s="10"/>
      <c r="AA84" s="1"/>
      <c r="AB84" s="1"/>
    </row>
    <row r="85" spans="2:28" ht="15.6" x14ac:dyDescent="0.3">
      <c r="B85" s="1">
        <v>41</v>
      </c>
      <c r="C85" s="1" t="s">
        <v>99</v>
      </c>
      <c r="D85" s="1" t="s">
        <v>20</v>
      </c>
      <c r="E85" s="1" t="s">
        <v>10</v>
      </c>
      <c r="G85" s="12">
        <f t="shared" si="6"/>
        <v>90.54016</v>
      </c>
      <c r="H85" s="16">
        <f t="shared" si="11"/>
        <v>-90.54016</v>
      </c>
      <c r="I85" s="17">
        <f t="shared" si="1"/>
        <v>2E-3</v>
      </c>
      <c r="J85" s="16" t="str">
        <f t="shared" si="12"/>
        <v>Fail</v>
      </c>
      <c r="K85" s="11"/>
      <c r="L85" s="10"/>
      <c r="M85" s="10"/>
      <c r="N85" s="10"/>
      <c r="P85" s="10"/>
      <c r="Q85" s="10"/>
      <c r="R85" s="10"/>
      <c r="S85" s="1"/>
      <c r="T85" s="10"/>
      <c r="U85" s="10"/>
      <c r="V85" s="10"/>
      <c r="AA85" s="1"/>
      <c r="AB85" s="1"/>
    </row>
    <row r="86" spans="2:28" ht="15.6" x14ac:dyDescent="0.3">
      <c r="B86" s="1">
        <v>42</v>
      </c>
      <c r="C86" s="1" t="s">
        <v>100</v>
      </c>
      <c r="D86" s="1" t="s">
        <v>20</v>
      </c>
      <c r="E86" s="1" t="s">
        <v>10</v>
      </c>
      <c r="G86" s="12">
        <f t="shared" si="6"/>
        <v>90.54016</v>
      </c>
      <c r="H86" s="16">
        <f t="shared" ref="H86:H109" si="13">MAX(N86-G86,M86-G86,L86-G86)</f>
        <v>-90.54016</v>
      </c>
      <c r="I86" s="17">
        <f t="shared" si="1"/>
        <v>2E-3</v>
      </c>
      <c r="J86" s="16" t="str">
        <f t="shared" ref="J86:J109" si="14">(IF(ABS(H86)&gt;I86,"Fail","Pass"))</f>
        <v>Fail</v>
      </c>
      <c r="K86" s="11"/>
      <c r="L86" s="10"/>
      <c r="M86" s="10"/>
      <c r="N86" s="10"/>
      <c r="P86" s="10"/>
      <c r="Q86" s="10"/>
      <c r="R86" s="10"/>
      <c r="S86" s="1"/>
      <c r="T86" s="10"/>
      <c r="U86" s="10"/>
      <c r="V86" s="10"/>
      <c r="AA86" s="1"/>
      <c r="AB86" s="1"/>
    </row>
    <row r="87" spans="2:28" ht="15.6" x14ac:dyDescent="0.3">
      <c r="B87" s="1">
        <v>43</v>
      </c>
      <c r="C87" s="1" t="s">
        <v>95</v>
      </c>
      <c r="D87" s="1" t="s">
        <v>20</v>
      </c>
      <c r="E87" s="1" t="s">
        <v>11</v>
      </c>
      <c r="G87" s="12">
        <f t="shared" si="6"/>
        <v>90.54016</v>
      </c>
      <c r="H87" s="16">
        <f t="shared" si="13"/>
        <v>-90.54016</v>
      </c>
      <c r="I87" s="17">
        <f t="shared" si="1"/>
        <v>2E-3</v>
      </c>
      <c r="J87" s="16" t="str">
        <f t="shared" si="14"/>
        <v>Fail</v>
      </c>
      <c r="K87" s="11"/>
      <c r="L87" s="10"/>
      <c r="M87" s="10"/>
      <c r="N87" s="10"/>
      <c r="P87" s="10"/>
      <c r="Q87" s="10"/>
      <c r="R87" s="10"/>
      <c r="S87" s="1"/>
      <c r="T87" s="10"/>
      <c r="U87" s="10"/>
      <c r="V87" s="10"/>
      <c r="AA87" s="1"/>
      <c r="AB87" s="1"/>
    </row>
    <row r="88" spans="2:28" ht="15.6" x14ac:dyDescent="0.3">
      <c r="B88" s="1">
        <v>44</v>
      </c>
      <c r="C88" s="1" t="s">
        <v>96</v>
      </c>
      <c r="D88" s="1" t="s">
        <v>20</v>
      </c>
      <c r="E88" s="1" t="s">
        <v>11</v>
      </c>
      <c r="G88" s="12">
        <f t="shared" si="6"/>
        <v>90.54016</v>
      </c>
      <c r="H88" s="16">
        <f t="shared" si="13"/>
        <v>-90.54016</v>
      </c>
      <c r="I88" s="17">
        <f t="shared" si="1"/>
        <v>2E-3</v>
      </c>
      <c r="J88" s="16" t="str">
        <f t="shared" si="14"/>
        <v>Fail</v>
      </c>
      <c r="K88" s="11"/>
      <c r="L88" s="10"/>
      <c r="M88" s="10"/>
      <c r="N88" s="10"/>
      <c r="P88" s="10"/>
      <c r="Q88" s="10"/>
      <c r="R88" s="10"/>
      <c r="S88" s="1"/>
      <c r="T88" s="10"/>
      <c r="U88" s="10"/>
      <c r="V88" s="10"/>
      <c r="AA88" s="1"/>
      <c r="AB88" s="1"/>
    </row>
    <row r="89" spans="2:28" ht="15.6" x14ac:dyDescent="0.3">
      <c r="B89" s="1">
        <v>45</v>
      </c>
      <c r="C89" s="1" t="s">
        <v>97</v>
      </c>
      <c r="D89" s="1" t="s">
        <v>20</v>
      </c>
      <c r="E89" s="1" t="s">
        <v>11</v>
      </c>
      <c r="G89" s="12">
        <f t="shared" si="6"/>
        <v>90.54016</v>
      </c>
      <c r="H89" s="16">
        <f t="shared" si="13"/>
        <v>-90.54016</v>
      </c>
      <c r="I89" s="17">
        <f t="shared" si="1"/>
        <v>2E-3</v>
      </c>
      <c r="J89" s="16" t="str">
        <f t="shared" si="14"/>
        <v>Fail</v>
      </c>
      <c r="K89" s="11"/>
      <c r="L89" s="10"/>
      <c r="M89" s="10"/>
      <c r="N89" s="10"/>
      <c r="P89" s="10"/>
      <c r="Q89" s="10"/>
      <c r="R89" s="10"/>
      <c r="S89" s="1"/>
      <c r="T89" s="10"/>
      <c r="U89" s="10"/>
      <c r="V89" s="10"/>
      <c r="AA89" s="1"/>
      <c r="AB89" s="1"/>
    </row>
    <row r="90" spans="2:28" ht="15.6" x14ac:dyDescent="0.3">
      <c r="B90" s="1">
        <v>46</v>
      </c>
      <c r="C90" s="1" t="s">
        <v>98</v>
      </c>
      <c r="D90" s="1" t="s">
        <v>20</v>
      </c>
      <c r="E90" s="1" t="s">
        <v>11</v>
      </c>
      <c r="G90" s="12">
        <f t="shared" si="6"/>
        <v>90.54016</v>
      </c>
      <c r="H90" s="16">
        <f t="shared" si="13"/>
        <v>-90.54016</v>
      </c>
      <c r="I90" s="17">
        <f t="shared" si="1"/>
        <v>2E-3</v>
      </c>
      <c r="J90" s="16" t="str">
        <f t="shared" si="14"/>
        <v>Fail</v>
      </c>
      <c r="K90" s="11"/>
      <c r="L90" s="10"/>
      <c r="M90" s="10"/>
      <c r="N90" s="10"/>
      <c r="P90" s="10"/>
      <c r="Q90" s="10"/>
      <c r="R90" s="10"/>
      <c r="S90" s="1"/>
      <c r="T90" s="10"/>
      <c r="U90" s="10"/>
      <c r="V90" s="10"/>
      <c r="AA90" s="1"/>
      <c r="AB90" s="1"/>
    </row>
    <row r="91" spans="2:28" ht="15.6" x14ac:dyDescent="0.3">
      <c r="B91" s="1">
        <v>47</v>
      </c>
      <c r="C91" s="1" t="s">
        <v>99</v>
      </c>
      <c r="D91" s="1" t="s">
        <v>20</v>
      </c>
      <c r="E91" s="1" t="s">
        <v>11</v>
      </c>
      <c r="G91" s="12">
        <f t="shared" si="6"/>
        <v>90.54016</v>
      </c>
      <c r="H91" s="16">
        <f t="shared" si="13"/>
        <v>-90.54016</v>
      </c>
      <c r="I91" s="17">
        <f t="shared" si="1"/>
        <v>2E-3</v>
      </c>
      <c r="J91" s="16" t="str">
        <f t="shared" si="14"/>
        <v>Fail</v>
      </c>
      <c r="K91" s="11"/>
      <c r="L91" s="10"/>
      <c r="M91" s="10"/>
      <c r="N91" s="10"/>
      <c r="P91" s="10"/>
      <c r="Q91" s="10"/>
      <c r="R91" s="10"/>
      <c r="S91" s="1"/>
      <c r="T91" s="10"/>
      <c r="U91" s="10"/>
      <c r="V91" s="10"/>
      <c r="AA91" s="1"/>
      <c r="AB91" s="1"/>
    </row>
    <row r="92" spans="2:28" ht="15.6" x14ac:dyDescent="0.3">
      <c r="B92" s="1">
        <v>48</v>
      </c>
      <c r="C92" s="1" t="s">
        <v>100</v>
      </c>
      <c r="D92" s="1" t="s">
        <v>20</v>
      </c>
      <c r="E92" s="1" t="s">
        <v>11</v>
      </c>
      <c r="G92" s="12">
        <f t="shared" si="6"/>
        <v>90.54016</v>
      </c>
      <c r="H92" s="16">
        <f t="shared" si="13"/>
        <v>-90.54016</v>
      </c>
      <c r="I92" s="17">
        <f t="shared" si="1"/>
        <v>2E-3</v>
      </c>
      <c r="J92" s="16" t="str">
        <f t="shared" si="14"/>
        <v>Fail</v>
      </c>
      <c r="K92" s="11"/>
      <c r="L92" s="10"/>
      <c r="M92" s="10"/>
      <c r="N92" s="10"/>
      <c r="P92" s="10"/>
      <c r="Q92" s="10"/>
      <c r="R92" s="10"/>
      <c r="S92" s="1"/>
      <c r="T92" s="10"/>
      <c r="U92" s="10"/>
      <c r="V92" s="10"/>
      <c r="AA92" s="1"/>
      <c r="AB92" s="1"/>
    </row>
    <row r="93" spans="2:28" ht="15.6" x14ac:dyDescent="0.3">
      <c r="B93" s="1">
        <v>49</v>
      </c>
      <c r="C93" s="1" t="s">
        <v>95</v>
      </c>
      <c r="D93" s="1" t="s">
        <v>21</v>
      </c>
      <c r="E93" s="1" t="s">
        <v>6</v>
      </c>
      <c r="G93" s="12">
        <f t="shared" si="6"/>
        <v>90.54016</v>
      </c>
      <c r="H93" s="16">
        <f t="shared" si="13"/>
        <v>-90.54016</v>
      </c>
      <c r="I93" s="17">
        <f t="shared" si="1"/>
        <v>2E-3</v>
      </c>
      <c r="J93" s="16" t="str">
        <f t="shared" si="14"/>
        <v>Fail</v>
      </c>
      <c r="K93" s="11"/>
      <c r="L93" s="10"/>
      <c r="M93" s="10"/>
      <c r="N93" s="10"/>
      <c r="P93" s="10"/>
      <c r="Q93" s="10"/>
      <c r="R93" s="10"/>
      <c r="S93" s="1"/>
      <c r="T93" s="10"/>
      <c r="U93" s="10"/>
      <c r="V93" s="10"/>
      <c r="AA93" s="1"/>
      <c r="AB93" s="1"/>
    </row>
    <row r="94" spans="2:28" ht="15.6" x14ac:dyDescent="0.3">
      <c r="B94" s="1">
        <v>50</v>
      </c>
      <c r="C94" s="1" t="s">
        <v>96</v>
      </c>
      <c r="D94" s="1" t="s">
        <v>21</v>
      </c>
      <c r="E94" s="1" t="s">
        <v>6</v>
      </c>
      <c r="G94" s="12">
        <f t="shared" si="6"/>
        <v>90.54016</v>
      </c>
      <c r="H94" s="16">
        <f t="shared" si="13"/>
        <v>-90.54016</v>
      </c>
      <c r="I94" s="17">
        <f t="shared" si="1"/>
        <v>2E-3</v>
      </c>
      <c r="J94" s="16" t="str">
        <f t="shared" si="14"/>
        <v>Fail</v>
      </c>
      <c r="K94" s="11"/>
      <c r="L94" s="10"/>
      <c r="M94" s="10"/>
      <c r="N94" s="10"/>
      <c r="P94" s="10"/>
      <c r="Q94" s="10"/>
      <c r="R94" s="10"/>
      <c r="S94" s="1"/>
      <c r="T94" s="10"/>
      <c r="U94" s="10"/>
      <c r="V94" s="10"/>
      <c r="AA94" s="1"/>
      <c r="AB94" s="1"/>
    </row>
    <row r="95" spans="2:28" ht="15.6" x14ac:dyDescent="0.3">
      <c r="B95" s="1">
        <v>51</v>
      </c>
      <c r="C95" s="1" t="s">
        <v>97</v>
      </c>
      <c r="D95" s="1" t="s">
        <v>21</v>
      </c>
      <c r="E95" s="1" t="s">
        <v>6</v>
      </c>
      <c r="G95" s="12">
        <f t="shared" si="6"/>
        <v>90.54016</v>
      </c>
      <c r="H95" s="16">
        <f t="shared" si="13"/>
        <v>-90.54016</v>
      </c>
      <c r="I95" s="17">
        <f t="shared" si="1"/>
        <v>2E-3</v>
      </c>
      <c r="J95" s="16" t="str">
        <f t="shared" si="14"/>
        <v>Fail</v>
      </c>
      <c r="K95" s="11"/>
      <c r="L95" s="10"/>
      <c r="M95" s="10"/>
      <c r="N95" s="10"/>
      <c r="P95" s="10"/>
      <c r="Q95" s="10"/>
      <c r="R95" s="10"/>
      <c r="S95" s="1"/>
      <c r="T95" s="10"/>
      <c r="U95" s="10"/>
      <c r="V95" s="10"/>
      <c r="AA95" s="1"/>
      <c r="AB95" s="1"/>
    </row>
    <row r="96" spans="2:28" ht="15.6" x14ac:dyDescent="0.3">
      <c r="B96" s="1">
        <v>52</v>
      </c>
      <c r="C96" s="1" t="s">
        <v>98</v>
      </c>
      <c r="D96" s="1" t="s">
        <v>21</v>
      </c>
      <c r="E96" s="1" t="s">
        <v>6</v>
      </c>
      <c r="G96" s="12">
        <f t="shared" si="6"/>
        <v>90.54016</v>
      </c>
      <c r="H96" s="16">
        <f t="shared" si="13"/>
        <v>-90.54016</v>
      </c>
      <c r="I96" s="17">
        <f t="shared" si="1"/>
        <v>2E-3</v>
      </c>
      <c r="J96" s="16" t="str">
        <f t="shared" si="14"/>
        <v>Fail</v>
      </c>
      <c r="K96" s="11"/>
      <c r="L96" s="10"/>
      <c r="M96" s="10"/>
      <c r="N96" s="10"/>
      <c r="P96" s="10"/>
      <c r="Q96" s="10"/>
      <c r="R96" s="10"/>
      <c r="S96" s="1"/>
      <c r="T96" s="10"/>
      <c r="U96" s="10"/>
      <c r="V96" s="10"/>
      <c r="AA96" s="1"/>
      <c r="AB96" s="1"/>
    </row>
    <row r="97" spans="2:28" ht="15.6" x14ac:dyDescent="0.3">
      <c r="B97" s="1">
        <v>53</v>
      </c>
      <c r="C97" s="1" t="s">
        <v>99</v>
      </c>
      <c r="D97" s="1" t="s">
        <v>21</v>
      </c>
      <c r="E97" s="1" t="s">
        <v>6</v>
      </c>
      <c r="G97" s="12">
        <f t="shared" si="6"/>
        <v>90.54016</v>
      </c>
      <c r="H97" s="16">
        <f t="shared" si="13"/>
        <v>-90.54016</v>
      </c>
      <c r="I97" s="17">
        <f t="shared" si="1"/>
        <v>2E-3</v>
      </c>
      <c r="J97" s="16" t="str">
        <f t="shared" si="14"/>
        <v>Fail</v>
      </c>
      <c r="K97" s="11"/>
      <c r="L97" s="10"/>
      <c r="M97" s="10"/>
      <c r="N97" s="10"/>
      <c r="P97" s="10"/>
      <c r="Q97" s="10"/>
      <c r="R97" s="10"/>
      <c r="S97" s="1"/>
      <c r="T97" s="10"/>
      <c r="U97" s="10"/>
      <c r="V97" s="10"/>
      <c r="AA97" s="1"/>
      <c r="AB97" s="1"/>
    </row>
    <row r="98" spans="2:28" ht="15.6" x14ac:dyDescent="0.3">
      <c r="B98" s="1">
        <v>54</v>
      </c>
      <c r="C98" s="1" t="s">
        <v>100</v>
      </c>
      <c r="D98" s="1" t="s">
        <v>21</v>
      </c>
      <c r="E98" s="1" t="s">
        <v>6</v>
      </c>
      <c r="G98" s="12">
        <f t="shared" si="6"/>
        <v>90.54016</v>
      </c>
      <c r="H98" s="16">
        <f t="shared" si="13"/>
        <v>-90.54016</v>
      </c>
      <c r="I98" s="17">
        <f t="shared" si="1"/>
        <v>2E-3</v>
      </c>
      <c r="J98" s="16" t="str">
        <f t="shared" si="14"/>
        <v>Fail</v>
      </c>
      <c r="K98" s="11"/>
      <c r="L98" s="10"/>
      <c r="M98" s="10"/>
      <c r="N98" s="10"/>
      <c r="P98" s="10"/>
      <c r="Q98" s="10"/>
      <c r="R98" s="10"/>
      <c r="S98" s="1"/>
      <c r="T98" s="10"/>
      <c r="U98" s="10"/>
      <c r="V98" s="10"/>
      <c r="AA98" s="1"/>
      <c r="AB98" s="1"/>
    </row>
    <row r="99" spans="2:28" ht="15.6" x14ac:dyDescent="0.3">
      <c r="B99" s="1">
        <v>55</v>
      </c>
      <c r="C99" s="1" t="s">
        <v>95</v>
      </c>
      <c r="D99" s="1" t="s">
        <v>21</v>
      </c>
      <c r="E99" s="1" t="s">
        <v>9</v>
      </c>
      <c r="G99" s="12">
        <f t="shared" si="6"/>
        <v>90.54016</v>
      </c>
      <c r="H99" s="16">
        <f t="shared" si="13"/>
        <v>-90.54016</v>
      </c>
      <c r="I99" s="17">
        <f t="shared" si="1"/>
        <v>2E-3</v>
      </c>
      <c r="J99" s="16" t="str">
        <f t="shared" si="14"/>
        <v>Fail</v>
      </c>
      <c r="K99" s="11"/>
      <c r="L99" s="10"/>
      <c r="M99" s="10"/>
      <c r="N99" s="10"/>
      <c r="P99" s="10"/>
      <c r="Q99" s="10"/>
      <c r="R99" s="10"/>
      <c r="S99" s="1"/>
      <c r="T99" s="10"/>
      <c r="U99" s="10"/>
      <c r="V99" s="10"/>
      <c r="AA99" s="1"/>
      <c r="AB99" s="1"/>
    </row>
    <row r="100" spans="2:28" ht="15.6" x14ac:dyDescent="0.3">
      <c r="B100" s="1">
        <v>56</v>
      </c>
      <c r="C100" s="1" t="s">
        <v>96</v>
      </c>
      <c r="D100" s="1" t="s">
        <v>21</v>
      </c>
      <c r="E100" s="1" t="s">
        <v>9</v>
      </c>
      <c r="G100" s="12">
        <f t="shared" si="6"/>
        <v>90.54016</v>
      </c>
      <c r="H100" s="16">
        <f t="shared" si="13"/>
        <v>-90.54016</v>
      </c>
      <c r="I100" s="17">
        <f t="shared" si="1"/>
        <v>2E-3</v>
      </c>
      <c r="J100" s="16" t="str">
        <f t="shared" si="14"/>
        <v>Fail</v>
      </c>
      <c r="K100" s="11"/>
      <c r="L100" s="10"/>
      <c r="M100" s="10"/>
      <c r="N100" s="10"/>
      <c r="P100" s="10"/>
      <c r="Q100" s="10"/>
      <c r="R100" s="10"/>
      <c r="S100" s="1"/>
      <c r="T100" s="10"/>
      <c r="U100" s="10"/>
      <c r="V100" s="10"/>
      <c r="AA100" s="1"/>
      <c r="AB100" s="1"/>
    </row>
    <row r="101" spans="2:28" ht="15.6" x14ac:dyDescent="0.3">
      <c r="B101" s="1">
        <v>57</v>
      </c>
      <c r="C101" s="1" t="s">
        <v>97</v>
      </c>
      <c r="D101" s="1" t="s">
        <v>21</v>
      </c>
      <c r="E101" s="1" t="s">
        <v>9</v>
      </c>
      <c r="G101" s="12">
        <f t="shared" si="6"/>
        <v>90.54016</v>
      </c>
      <c r="H101" s="16">
        <f t="shared" si="13"/>
        <v>-90.54016</v>
      </c>
      <c r="I101" s="17">
        <f t="shared" si="1"/>
        <v>2E-3</v>
      </c>
      <c r="J101" s="16" t="str">
        <f t="shared" si="14"/>
        <v>Fail</v>
      </c>
      <c r="K101" s="11"/>
      <c r="L101" s="10"/>
      <c r="M101" s="10"/>
      <c r="N101" s="10"/>
      <c r="P101" s="10"/>
      <c r="Q101" s="10"/>
      <c r="R101" s="10"/>
      <c r="S101" s="1"/>
      <c r="T101" s="10"/>
      <c r="U101" s="10"/>
      <c r="V101" s="10"/>
      <c r="AA101" s="1"/>
      <c r="AB101" s="1"/>
    </row>
    <row r="102" spans="2:28" ht="15.6" x14ac:dyDescent="0.3">
      <c r="B102" s="1">
        <v>58</v>
      </c>
      <c r="C102" s="1" t="s">
        <v>98</v>
      </c>
      <c r="D102" s="1" t="s">
        <v>21</v>
      </c>
      <c r="E102" s="1" t="s">
        <v>9</v>
      </c>
      <c r="G102" s="12">
        <f t="shared" si="6"/>
        <v>90.54016</v>
      </c>
      <c r="H102" s="16">
        <f t="shared" si="13"/>
        <v>-90.54016</v>
      </c>
      <c r="I102" s="17">
        <f t="shared" si="1"/>
        <v>2E-3</v>
      </c>
      <c r="J102" s="16" t="str">
        <f t="shared" si="14"/>
        <v>Fail</v>
      </c>
      <c r="K102" s="11"/>
      <c r="L102" s="10"/>
      <c r="M102" s="10"/>
      <c r="N102" s="10"/>
      <c r="P102" s="10"/>
      <c r="Q102" s="10"/>
      <c r="R102" s="10"/>
      <c r="S102" s="1"/>
      <c r="T102" s="10"/>
      <c r="U102" s="10"/>
      <c r="V102" s="10"/>
      <c r="AA102" s="1"/>
      <c r="AB102" s="1"/>
    </row>
    <row r="103" spans="2:28" ht="15.6" x14ac:dyDescent="0.3">
      <c r="B103" s="1">
        <v>59</v>
      </c>
      <c r="C103" s="1" t="s">
        <v>99</v>
      </c>
      <c r="D103" s="1" t="s">
        <v>21</v>
      </c>
      <c r="E103" s="1" t="s">
        <v>9</v>
      </c>
      <c r="G103" s="12">
        <f t="shared" si="6"/>
        <v>90.54016</v>
      </c>
      <c r="H103" s="16">
        <f t="shared" si="13"/>
        <v>-90.54016</v>
      </c>
      <c r="I103" s="17">
        <f t="shared" si="1"/>
        <v>2E-3</v>
      </c>
      <c r="J103" s="16" t="str">
        <f t="shared" si="14"/>
        <v>Fail</v>
      </c>
      <c r="K103" s="11"/>
      <c r="L103" s="10"/>
      <c r="M103" s="10"/>
      <c r="N103" s="10"/>
      <c r="P103" s="10"/>
      <c r="Q103" s="10"/>
      <c r="R103" s="10"/>
      <c r="S103" s="1"/>
      <c r="T103" s="10"/>
      <c r="U103" s="10"/>
      <c r="V103" s="10"/>
      <c r="AA103" s="1"/>
      <c r="AB103" s="1"/>
    </row>
    <row r="104" spans="2:28" ht="15.6" x14ac:dyDescent="0.3">
      <c r="B104" s="1">
        <v>60</v>
      </c>
      <c r="C104" s="1" t="s">
        <v>100</v>
      </c>
      <c r="D104" s="1" t="s">
        <v>21</v>
      </c>
      <c r="E104" s="1" t="s">
        <v>9</v>
      </c>
      <c r="G104" s="12">
        <f t="shared" si="6"/>
        <v>90.54016</v>
      </c>
      <c r="H104" s="16">
        <f t="shared" si="13"/>
        <v>-90.54016</v>
      </c>
      <c r="I104" s="17">
        <f t="shared" si="1"/>
        <v>2E-3</v>
      </c>
      <c r="J104" s="16" t="str">
        <f t="shared" si="14"/>
        <v>Fail</v>
      </c>
      <c r="K104" s="11"/>
      <c r="L104" s="10"/>
      <c r="M104" s="10"/>
      <c r="N104" s="10"/>
      <c r="P104" s="10"/>
      <c r="Q104" s="10"/>
      <c r="R104" s="10"/>
      <c r="S104" s="1"/>
      <c r="T104" s="10"/>
      <c r="U104" s="10"/>
      <c r="V104" s="10"/>
      <c r="AA104" s="1"/>
      <c r="AB104" s="1"/>
    </row>
    <row r="105" spans="2:28" ht="15.6" x14ac:dyDescent="0.3">
      <c r="B105" s="1">
        <v>61</v>
      </c>
      <c r="C105" s="1" t="s">
        <v>95</v>
      </c>
      <c r="D105" s="1" t="s">
        <v>21</v>
      </c>
      <c r="E105" s="1" t="s">
        <v>10</v>
      </c>
      <c r="G105" s="12">
        <f t="shared" si="6"/>
        <v>90.54016</v>
      </c>
      <c r="H105" s="16">
        <f t="shared" si="13"/>
        <v>-90.54016</v>
      </c>
      <c r="I105" s="17">
        <f t="shared" si="1"/>
        <v>2E-3</v>
      </c>
      <c r="J105" s="16" t="str">
        <f t="shared" si="14"/>
        <v>Fail</v>
      </c>
      <c r="K105" s="11"/>
      <c r="L105" s="10"/>
      <c r="M105" s="10"/>
      <c r="N105" s="10"/>
      <c r="P105" s="10"/>
      <c r="Q105" s="10"/>
      <c r="R105" s="10"/>
      <c r="S105" s="1"/>
      <c r="T105" s="10"/>
      <c r="U105" s="10"/>
      <c r="V105" s="10"/>
      <c r="AA105" s="1"/>
      <c r="AB105" s="1"/>
    </row>
    <row r="106" spans="2:28" ht="15.6" x14ac:dyDescent="0.3">
      <c r="B106" s="1">
        <v>62</v>
      </c>
      <c r="C106" s="1" t="s">
        <v>96</v>
      </c>
      <c r="D106" s="1" t="s">
        <v>21</v>
      </c>
      <c r="E106" s="1" t="s">
        <v>10</v>
      </c>
      <c r="G106" s="12">
        <f t="shared" si="6"/>
        <v>90.54016</v>
      </c>
      <c r="H106" s="16">
        <f t="shared" si="13"/>
        <v>-90.54016</v>
      </c>
      <c r="I106" s="17">
        <f t="shared" si="1"/>
        <v>2E-3</v>
      </c>
      <c r="J106" s="16" t="str">
        <f t="shared" si="14"/>
        <v>Fail</v>
      </c>
      <c r="K106" s="11"/>
      <c r="L106" s="10"/>
      <c r="M106" s="10"/>
      <c r="N106" s="10"/>
      <c r="P106" s="10"/>
      <c r="Q106" s="10"/>
      <c r="R106" s="10"/>
      <c r="S106" s="1"/>
      <c r="T106" s="10"/>
      <c r="U106" s="10"/>
      <c r="V106" s="10"/>
      <c r="AA106" s="1"/>
      <c r="AB106" s="1"/>
    </row>
    <row r="107" spans="2:28" ht="15.6" x14ac:dyDescent="0.3">
      <c r="B107" s="1">
        <v>63</v>
      </c>
      <c r="C107" s="1" t="s">
        <v>97</v>
      </c>
      <c r="D107" s="1" t="s">
        <v>21</v>
      </c>
      <c r="E107" s="1" t="s">
        <v>10</v>
      </c>
      <c r="G107" s="12">
        <f t="shared" si="6"/>
        <v>90.54016</v>
      </c>
      <c r="H107" s="16">
        <f t="shared" si="13"/>
        <v>-90.54016</v>
      </c>
      <c r="I107" s="17">
        <f t="shared" si="1"/>
        <v>2E-3</v>
      </c>
      <c r="J107" s="16" t="str">
        <f t="shared" si="14"/>
        <v>Fail</v>
      </c>
      <c r="K107" s="11"/>
      <c r="L107" s="10"/>
      <c r="M107" s="10"/>
      <c r="N107" s="10"/>
      <c r="P107" s="10"/>
      <c r="Q107" s="10"/>
      <c r="R107" s="10"/>
      <c r="S107" s="1"/>
      <c r="T107" s="10"/>
      <c r="U107" s="10"/>
      <c r="V107" s="10"/>
      <c r="AA107" s="1"/>
      <c r="AB107" s="1"/>
    </row>
    <row r="108" spans="2:28" ht="15.6" x14ac:dyDescent="0.3">
      <c r="B108" s="1">
        <v>64</v>
      </c>
      <c r="C108" s="1" t="s">
        <v>98</v>
      </c>
      <c r="D108" s="1" t="s">
        <v>21</v>
      </c>
      <c r="E108" s="1" t="s">
        <v>10</v>
      </c>
      <c r="G108" s="12">
        <f t="shared" si="6"/>
        <v>90.54016</v>
      </c>
      <c r="H108" s="16">
        <f t="shared" si="13"/>
        <v>-90.54016</v>
      </c>
      <c r="I108" s="17">
        <f t="shared" si="1"/>
        <v>2E-3</v>
      </c>
      <c r="J108" s="16" t="str">
        <f t="shared" si="14"/>
        <v>Fail</v>
      </c>
      <c r="K108" s="11"/>
      <c r="L108" s="10"/>
      <c r="M108" s="10"/>
      <c r="N108" s="10"/>
      <c r="P108" s="10"/>
      <c r="Q108" s="10"/>
      <c r="R108" s="10"/>
      <c r="S108" s="1"/>
      <c r="T108" s="10"/>
      <c r="U108" s="10"/>
      <c r="V108" s="10"/>
      <c r="AA108" s="1"/>
      <c r="AB108" s="1"/>
    </row>
    <row r="109" spans="2:28" ht="15.6" x14ac:dyDescent="0.3">
      <c r="B109" s="1">
        <v>65</v>
      </c>
      <c r="C109" s="1" t="s">
        <v>99</v>
      </c>
      <c r="D109" s="1" t="s">
        <v>21</v>
      </c>
      <c r="E109" s="1" t="s">
        <v>10</v>
      </c>
      <c r="G109" s="12">
        <f t="shared" si="6"/>
        <v>90.54016</v>
      </c>
      <c r="H109" s="16">
        <f t="shared" si="13"/>
        <v>-90.54016</v>
      </c>
      <c r="I109" s="17">
        <f t="shared" si="1"/>
        <v>2E-3</v>
      </c>
      <c r="J109" s="16" t="str">
        <f t="shared" si="14"/>
        <v>Fail</v>
      </c>
      <c r="K109" s="11"/>
      <c r="L109" s="10"/>
      <c r="M109" s="10"/>
      <c r="N109" s="10"/>
      <c r="P109" s="10"/>
      <c r="Q109" s="10"/>
      <c r="R109" s="10"/>
      <c r="S109" s="1"/>
      <c r="T109" s="10"/>
      <c r="U109" s="10"/>
      <c r="V109" s="10"/>
      <c r="AA109" s="1"/>
      <c r="AB109" s="1"/>
    </row>
    <row r="110" spans="2:28" ht="15.6" x14ac:dyDescent="0.3">
      <c r="B110" s="1">
        <v>66</v>
      </c>
      <c r="C110" s="1" t="s">
        <v>100</v>
      </c>
      <c r="D110" s="1" t="s">
        <v>21</v>
      </c>
      <c r="E110" s="1" t="s">
        <v>10</v>
      </c>
      <c r="G110" s="12">
        <f t="shared" si="6"/>
        <v>90.54016</v>
      </c>
      <c r="H110" s="16">
        <f t="shared" ref="H110:H116" si="15">MAX(N110-G110,M110-G110,L110-G110)</f>
        <v>-90.54016</v>
      </c>
      <c r="I110" s="17">
        <f t="shared" si="1"/>
        <v>2E-3</v>
      </c>
      <c r="J110" s="16" t="str">
        <f t="shared" ref="J110:J116" si="16">(IF(ABS(H110)&gt;I110,"Fail","Pass"))</f>
        <v>Fail</v>
      </c>
      <c r="K110" s="11"/>
      <c r="L110" s="10"/>
      <c r="M110" s="10"/>
      <c r="N110" s="10"/>
      <c r="P110" s="10"/>
      <c r="Q110" s="10"/>
      <c r="R110" s="10"/>
      <c r="S110" s="1"/>
      <c r="T110" s="10"/>
      <c r="U110" s="10"/>
      <c r="V110" s="10"/>
      <c r="AA110" s="1"/>
      <c r="AB110" s="1"/>
    </row>
    <row r="111" spans="2:28" ht="15.6" x14ac:dyDescent="0.3">
      <c r="B111" s="1">
        <v>67</v>
      </c>
      <c r="C111" s="1" t="s">
        <v>95</v>
      </c>
      <c r="D111" s="1" t="s">
        <v>21</v>
      </c>
      <c r="E111" s="1" t="s">
        <v>11</v>
      </c>
      <c r="G111" s="12">
        <f t="shared" si="6"/>
        <v>90.54016</v>
      </c>
      <c r="H111" s="16">
        <f t="shared" si="15"/>
        <v>-90.54016</v>
      </c>
      <c r="I111" s="17">
        <f t="shared" si="1"/>
        <v>2E-3</v>
      </c>
      <c r="J111" s="16" t="str">
        <f t="shared" si="16"/>
        <v>Fail</v>
      </c>
      <c r="K111" s="11"/>
      <c r="L111" s="10"/>
      <c r="M111" s="10"/>
      <c r="N111" s="10"/>
      <c r="P111" s="10"/>
      <c r="Q111" s="10"/>
      <c r="R111" s="10"/>
      <c r="S111" s="1"/>
      <c r="T111" s="10"/>
      <c r="U111" s="10"/>
      <c r="V111" s="10"/>
      <c r="AA111" s="1"/>
      <c r="AB111" s="1"/>
    </row>
    <row r="112" spans="2:28" ht="15.6" x14ac:dyDescent="0.3">
      <c r="B112" s="1">
        <v>68</v>
      </c>
      <c r="C112" s="1" t="s">
        <v>96</v>
      </c>
      <c r="D112" s="1" t="s">
        <v>21</v>
      </c>
      <c r="E112" s="1" t="s">
        <v>11</v>
      </c>
      <c r="G112" s="12">
        <f t="shared" si="6"/>
        <v>90.54016</v>
      </c>
      <c r="H112" s="16">
        <f t="shared" si="15"/>
        <v>-90.54016</v>
      </c>
      <c r="I112" s="17">
        <f t="shared" si="1"/>
        <v>2E-3</v>
      </c>
      <c r="J112" s="16" t="str">
        <f t="shared" si="16"/>
        <v>Fail</v>
      </c>
      <c r="K112" s="11"/>
      <c r="L112" s="10"/>
      <c r="M112" s="10"/>
      <c r="N112" s="10"/>
      <c r="P112" s="10"/>
      <c r="Q112" s="10"/>
      <c r="R112" s="10"/>
      <c r="S112" s="1"/>
      <c r="T112" s="10"/>
      <c r="U112" s="10"/>
      <c r="V112" s="10"/>
      <c r="AA112" s="1"/>
      <c r="AB112" s="1"/>
    </row>
    <row r="113" spans="2:28" ht="15.6" x14ac:dyDescent="0.3">
      <c r="B113" s="1">
        <v>69</v>
      </c>
      <c r="C113" s="1" t="s">
        <v>97</v>
      </c>
      <c r="D113" s="1" t="s">
        <v>21</v>
      </c>
      <c r="E113" s="1" t="s">
        <v>11</v>
      </c>
      <c r="G113" s="12">
        <f t="shared" si="6"/>
        <v>90.54016</v>
      </c>
      <c r="H113" s="16">
        <f t="shared" si="15"/>
        <v>-90.54016</v>
      </c>
      <c r="I113" s="17">
        <f t="shared" si="1"/>
        <v>2E-3</v>
      </c>
      <c r="J113" s="16" t="str">
        <f t="shared" si="16"/>
        <v>Fail</v>
      </c>
      <c r="K113" s="11"/>
      <c r="L113" s="10"/>
      <c r="M113" s="10"/>
      <c r="N113" s="10"/>
      <c r="P113" s="10"/>
      <c r="Q113" s="10"/>
      <c r="R113" s="10"/>
      <c r="S113" s="1"/>
      <c r="T113" s="10"/>
      <c r="U113" s="10"/>
      <c r="V113" s="10"/>
      <c r="AA113" s="1"/>
      <c r="AB113" s="1"/>
    </row>
    <row r="114" spans="2:28" ht="15.6" x14ac:dyDescent="0.3">
      <c r="B114" s="1">
        <v>70</v>
      </c>
      <c r="C114" s="1" t="s">
        <v>98</v>
      </c>
      <c r="D114" s="1" t="s">
        <v>21</v>
      </c>
      <c r="E114" s="1" t="s">
        <v>11</v>
      </c>
      <c r="G114" s="12">
        <f t="shared" si="6"/>
        <v>90.54016</v>
      </c>
      <c r="H114" s="16">
        <f t="shared" si="15"/>
        <v>-90.54016</v>
      </c>
      <c r="I114" s="17">
        <f t="shared" si="1"/>
        <v>2E-3</v>
      </c>
      <c r="J114" s="16" t="str">
        <f t="shared" si="16"/>
        <v>Fail</v>
      </c>
      <c r="K114" s="11"/>
      <c r="L114" s="10"/>
      <c r="M114" s="10"/>
      <c r="N114" s="10"/>
      <c r="P114" s="10"/>
      <c r="Q114" s="10"/>
      <c r="R114" s="10"/>
      <c r="S114" s="1"/>
      <c r="T114" s="10"/>
      <c r="U114" s="10"/>
      <c r="V114" s="10"/>
      <c r="AA114" s="1"/>
      <c r="AB114" s="1"/>
    </row>
    <row r="115" spans="2:28" ht="15.6" x14ac:dyDescent="0.3">
      <c r="B115" s="1">
        <v>71</v>
      </c>
      <c r="C115" s="1" t="s">
        <v>99</v>
      </c>
      <c r="D115" s="1" t="s">
        <v>21</v>
      </c>
      <c r="E115" s="1" t="s">
        <v>11</v>
      </c>
      <c r="G115" s="12">
        <f t="shared" si="6"/>
        <v>90.54016</v>
      </c>
      <c r="H115" s="16">
        <f t="shared" si="15"/>
        <v>-90.54016</v>
      </c>
      <c r="I115" s="17">
        <f t="shared" si="1"/>
        <v>2E-3</v>
      </c>
      <c r="J115" s="16" t="str">
        <f t="shared" si="16"/>
        <v>Fail</v>
      </c>
      <c r="K115" s="11"/>
      <c r="L115" s="10"/>
      <c r="M115" s="10"/>
      <c r="N115" s="10"/>
      <c r="P115" s="10"/>
      <c r="Q115" s="10"/>
      <c r="R115" s="10"/>
      <c r="S115" s="1"/>
      <c r="T115" s="10"/>
      <c r="U115" s="10"/>
      <c r="V115" s="10"/>
      <c r="AA115" s="1"/>
      <c r="AB115" s="1"/>
    </row>
    <row r="116" spans="2:28" ht="15.6" x14ac:dyDescent="0.3">
      <c r="B116" s="1">
        <v>72</v>
      </c>
      <c r="C116" s="1" t="s">
        <v>100</v>
      </c>
      <c r="D116" s="1" t="s">
        <v>21</v>
      </c>
      <c r="E116" s="1" t="s">
        <v>11</v>
      </c>
      <c r="G116" s="12">
        <f t="shared" si="6"/>
        <v>90.54016</v>
      </c>
      <c r="H116" s="16">
        <f t="shared" si="15"/>
        <v>-90.54016</v>
      </c>
      <c r="I116" s="17">
        <f t="shared" si="1"/>
        <v>2E-3</v>
      </c>
      <c r="J116" s="16" t="str">
        <f t="shared" si="16"/>
        <v>Fail</v>
      </c>
      <c r="K116" s="11"/>
      <c r="L116" s="10"/>
      <c r="M116" s="10"/>
      <c r="N116" s="10"/>
      <c r="P116" s="10"/>
      <c r="Q116" s="10"/>
      <c r="R116" s="10"/>
      <c r="S116" s="1"/>
      <c r="T116" s="10"/>
      <c r="U116" s="10"/>
      <c r="V116" s="10"/>
      <c r="AA116" s="1"/>
      <c r="AB116" s="1"/>
    </row>
    <row r="117" spans="2:28" x14ac:dyDescent="0.3">
      <c r="P117" s="1"/>
    </row>
    <row r="118" spans="2:28" x14ac:dyDescent="0.3">
      <c r="B118" s="4" t="s">
        <v>19</v>
      </c>
      <c r="G118" s="1"/>
      <c r="H118" s="1"/>
      <c r="I118" s="1"/>
      <c r="J118" s="1"/>
      <c r="K118" s="1"/>
      <c r="P118" s="1"/>
      <c r="Q118" s="1"/>
      <c r="R118" s="1"/>
    </row>
    <row r="119" spans="2:28" x14ac:dyDescent="0.3">
      <c r="G119" s="1"/>
      <c r="H119" s="1"/>
      <c r="I119" s="1"/>
      <c r="J119" s="1"/>
      <c r="K119" s="1"/>
      <c r="P119" s="1"/>
      <c r="Q119" s="1"/>
      <c r="R119" s="1"/>
    </row>
    <row r="120" spans="2:28" ht="15.6" x14ac:dyDescent="0.3">
      <c r="B120" s="340" t="s">
        <v>45</v>
      </c>
      <c r="C120" s="340"/>
      <c r="G120" s="1"/>
      <c r="H120" s="1"/>
      <c r="I120" s="1"/>
      <c r="J120" s="1"/>
      <c r="K120" s="1"/>
      <c r="M120" s="2" t="s">
        <v>51</v>
      </c>
      <c r="N120" s="20"/>
      <c r="O120" t="s">
        <v>34</v>
      </c>
      <c r="P120" s="1"/>
      <c r="Q120" s="1"/>
      <c r="R120" s="1"/>
    </row>
    <row r="121" spans="2:28" x14ac:dyDescent="0.3">
      <c r="C121" s="1" t="s">
        <v>12</v>
      </c>
      <c r="D121" s="1" t="s">
        <v>13</v>
      </c>
      <c r="E121" s="1" t="s">
        <v>7</v>
      </c>
      <c r="G121" s="1"/>
      <c r="H121" s="1"/>
      <c r="I121" s="1"/>
      <c r="J121" s="1"/>
      <c r="K121" s="1"/>
      <c r="O121" s="1" t="s">
        <v>29</v>
      </c>
      <c r="P121" s="1"/>
      <c r="Q121" s="1"/>
      <c r="R121" s="1"/>
    </row>
    <row r="122" spans="2:28" ht="15" thickBot="1" x14ac:dyDescent="0.35">
      <c r="B122" s="3" t="s">
        <v>0</v>
      </c>
      <c r="C122" s="3" t="s">
        <v>2</v>
      </c>
      <c r="D122" s="3" t="s">
        <v>1</v>
      </c>
      <c r="E122" s="3" t="s">
        <v>8</v>
      </c>
      <c r="G122" s="1"/>
      <c r="H122" s="1"/>
      <c r="I122" s="1"/>
      <c r="J122" s="1"/>
      <c r="K122" s="1"/>
      <c r="L122" s="21" t="s">
        <v>24</v>
      </c>
      <c r="M122" s="21" t="s">
        <v>25</v>
      </c>
      <c r="N122" s="21" t="s">
        <v>26</v>
      </c>
      <c r="O122" s="21" t="s">
        <v>36</v>
      </c>
      <c r="P122" s="1"/>
      <c r="Q122" s="1"/>
      <c r="R122" s="1"/>
    </row>
    <row r="123" spans="2:28" ht="15.6" x14ac:dyDescent="0.3">
      <c r="B123" s="1">
        <v>1</v>
      </c>
      <c r="C123" s="1" t="s">
        <v>46</v>
      </c>
      <c r="D123" s="1" t="s">
        <v>47</v>
      </c>
      <c r="E123" s="1" t="s">
        <v>6</v>
      </c>
      <c r="G123" s="12">
        <v>22.625</v>
      </c>
      <c r="H123" s="19">
        <f>MAX(N123-G123,M123-G123,L123-G123)</f>
        <v>-22.625</v>
      </c>
      <c r="I123" s="17">
        <v>5.0000000000000001E-4</v>
      </c>
      <c r="J123" s="16" t="str">
        <f>(IF(ABS(H123)&gt;I123,"Fail","Pass"))</f>
        <v>Fail</v>
      </c>
      <c r="K123" s="11"/>
      <c r="L123" s="7"/>
      <c r="M123" s="7"/>
      <c r="N123" s="7"/>
      <c r="O123" s="18"/>
      <c r="P123">
        <f>IF(O123&lt;&gt;"",Q123*G123*$N$120,0)</f>
        <v>0</v>
      </c>
      <c r="Q123" t="str">
        <f>IF(O123&lt;&gt;"",O123-68,"")</f>
        <v/>
      </c>
    </row>
    <row r="124" spans="2:28" ht="15.6" x14ac:dyDescent="0.3">
      <c r="B124" s="1">
        <v>2</v>
      </c>
      <c r="C124" s="1" t="s">
        <v>46</v>
      </c>
      <c r="D124" s="1" t="s">
        <v>48</v>
      </c>
      <c r="E124" s="1" t="s">
        <v>6</v>
      </c>
      <c r="G124" s="12">
        <v>45</v>
      </c>
      <c r="H124" s="16">
        <f>MAX(N124-G124,M124-G124,L124-G124)</f>
        <v>-45</v>
      </c>
      <c r="I124" s="17">
        <v>5.0000000000000001E-4</v>
      </c>
      <c r="J124" s="16" t="str">
        <f>(IF(ABS(H124)&gt;I124,"Fail","Pass"))</f>
        <v>Fail</v>
      </c>
      <c r="K124" s="11"/>
      <c r="L124" s="10"/>
      <c r="M124" s="10"/>
      <c r="N124" s="10"/>
      <c r="O124" s="18"/>
      <c r="P124">
        <f>IF(O124&lt;&gt;"",Q124*$M$2*$P$4,0)</f>
        <v>0</v>
      </c>
      <c r="Q124" t="str">
        <f>IF(O124&lt;&gt;"",O124-68,"")</f>
        <v/>
      </c>
    </row>
    <row r="125" spans="2:28" ht="15.6" x14ac:dyDescent="0.3">
      <c r="B125" s="1">
        <v>3</v>
      </c>
      <c r="C125" s="1" t="s">
        <v>46</v>
      </c>
      <c r="D125" s="1" t="s">
        <v>49</v>
      </c>
      <c r="E125" s="1" t="s">
        <v>6</v>
      </c>
      <c r="G125" s="12">
        <v>67</v>
      </c>
      <c r="H125" s="16">
        <f>MAX(N125-G125,M125-G125,L125-G125)</f>
        <v>-67</v>
      </c>
      <c r="I125" s="17">
        <v>5.0000000000000001E-4</v>
      </c>
      <c r="J125" s="16" t="str">
        <f>(IF(ABS(H125)&gt;I125,"Fail","Pass"))</f>
        <v>Fail</v>
      </c>
      <c r="K125" s="11"/>
      <c r="L125" s="10"/>
      <c r="M125" s="10"/>
      <c r="N125" s="10"/>
      <c r="O125" s="18"/>
      <c r="P125">
        <f>IF(O125&lt;&gt;"",Q125*$M$2*$P$4,0)</f>
        <v>0</v>
      </c>
      <c r="Q125" t="str">
        <f>IF(O125&lt;&gt;"",O125-68,"")</f>
        <v/>
      </c>
    </row>
    <row r="126" spans="2:28" ht="15.6" x14ac:dyDescent="0.3">
      <c r="B126" s="1">
        <v>4</v>
      </c>
      <c r="C126" s="1" t="s">
        <v>46</v>
      </c>
      <c r="D126" s="1" t="s">
        <v>50</v>
      </c>
      <c r="E126" s="1" t="s">
        <v>6</v>
      </c>
      <c r="G126" s="12">
        <v>90.5</v>
      </c>
      <c r="H126" s="16">
        <f>MAX(N126-G126,M126-G126,L126-G126)</f>
        <v>-90.5</v>
      </c>
      <c r="I126" s="17">
        <v>5.0000000000000001E-4</v>
      </c>
      <c r="J126" s="16" t="str">
        <f>(IF(ABS(H126)&gt;I126,"Fail","Pass"))</f>
        <v>Fail</v>
      </c>
      <c r="K126" s="11"/>
      <c r="L126" s="10"/>
      <c r="M126" s="10"/>
      <c r="N126" s="10"/>
      <c r="O126" s="18"/>
      <c r="P126">
        <f>IF(O126&lt;&gt;"",Q126*$M$2*$P$4,0)</f>
        <v>0</v>
      </c>
      <c r="Q126" t="str">
        <f>IF(O126&lt;&gt;"",O126-68,"")</f>
        <v/>
      </c>
    </row>
    <row r="128" spans="2:28" ht="15.6" x14ac:dyDescent="0.3">
      <c r="B128" s="340" t="s">
        <v>52</v>
      </c>
      <c r="C128" s="340"/>
    </row>
    <row r="129" spans="2:16" x14ac:dyDescent="0.3">
      <c r="C129" s="1" t="s">
        <v>12</v>
      </c>
      <c r="D129" s="1" t="s">
        <v>13</v>
      </c>
      <c r="E129" s="1" t="s">
        <v>7</v>
      </c>
      <c r="G129" s="1"/>
      <c r="H129" s="1"/>
      <c r="I129" s="1"/>
      <c r="J129" s="1"/>
      <c r="K129" s="1"/>
      <c r="O129" s="1" t="s">
        <v>29</v>
      </c>
      <c r="P129" s="1"/>
    </row>
    <row r="130" spans="2:16" ht="15" thickBot="1" x14ac:dyDescent="0.35">
      <c r="B130" s="3" t="s">
        <v>0</v>
      </c>
      <c r="C130" s="3" t="s">
        <v>2</v>
      </c>
      <c r="D130" s="3" t="s">
        <v>1</v>
      </c>
      <c r="E130" s="3" t="s">
        <v>8</v>
      </c>
      <c r="G130" s="1"/>
      <c r="H130" s="1"/>
      <c r="I130" s="1"/>
      <c r="J130" s="1"/>
      <c r="K130" s="1"/>
      <c r="L130" s="21" t="s">
        <v>24</v>
      </c>
      <c r="M130" s="21" t="s">
        <v>25</v>
      </c>
      <c r="N130" s="21" t="s">
        <v>26</v>
      </c>
      <c r="O130" s="21" t="s">
        <v>36</v>
      </c>
      <c r="P130" s="1"/>
    </row>
    <row r="131" spans="2:16" ht="15.6" x14ac:dyDescent="0.3">
      <c r="B131" s="1">
        <v>1</v>
      </c>
      <c r="C131" s="1" t="s">
        <v>46</v>
      </c>
      <c r="D131" s="1" t="s">
        <v>53</v>
      </c>
      <c r="E131" s="1" t="s">
        <v>6</v>
      </c>
      <c r="G131" s="12"/>
      <c r="H131" s="19">
        <f t="shared" ref="H131:H136" si="17">MAX(N131-G131,M131-G131,L131-G131)</f>
        <v>0</v>
      </c>
      <c r="I131" s="17">
        <v>5.0000000000000001E-4</v>
      </c>
      <c r="J131" s="16" t="str">
        <f t="shared" ref="J131:J136" si="18">(IF(ABS(H131)&gt;I131,"Fail","Pass"))</f>
        <v>Pass</v>
      </c>
      <c r="K131" s="11"/>
      <c r="L131" s="7"/>
      <c r="M131" s="7"/>
      <c r="N131" s="7"/>
      <c r="O131" s="18"/>
    </row>
    <row r="132" spans="2:16" ht="15.6" x14ac:dyDescent="0.3">
      <c r="B132" s="1">
        <v>2</v>
      </c>
      <c r="C132" s="1" t="s">
        <v>46</v>
      </c>
      <c r="D132" s="1" t="s">
        <v>54</v>
      </c>
      <c r="E132" s="1" t="s">
        <v>6</v>
      </c>
      <c r="G132" s="12"/>
      <c r="H132" s="16">
        <f t="shared" si="17"/>
        <v>0</v>
      </c>
      <c r="I132" s="17">
        <v>5.0000000000000001E-4</v>
      </c>
      <c r="J132" s="16" t="str">
        <f t="shared" si="18"/>
        <v>Pass</v>
      </c>
      <c r="K132" s="11"/>
      <c r="L132" s="10"/>
      <c r="M132" s="10"/>
      <c r="N132" s="10"/>
      <c r="O132" s="18"/>
    </row>
    <row r="133" spans="2:16" ht="15.6" x14ac:dyDescent="0.3">
      <c r="B133" s="1">
        <v>3</v>
      </c>
      <c r="C133" s="1" t="s">
        <v>46</v>
      </c>
      <c r="D133" s="1" t="s">
        <v>55</v>
      </c>
      <c r="E133" s="1" t="s">
        <v>6</v>
      </c>
      <c r="G133" s="12"/>
      <c r="H133" s="16">
        <f t="shared" si="17"/>
        <v>0</v>
      </c>
      <c r="I133" s="17">
        <v>5.0000000000000001E-4</v>
      </c>
      <c r="J133" s="16" t="str">
        <f t="shared" si="18"/>
        <v>Pass</v>
      </c>
      <c r="K133" s="11"/>
      <c r="L133" s="10"/>
      <c r="M133" s="10"/>
      <c r="N133" s="10"/>
      <c r="O133" s="18"/>
    </row>
    <row r="134" spans="2:16" ht="15.6" x14ac:dyDescent="0.3">
      <c r="B134" s="1">
        <v>4</v>
      </c>
      <c r="C134" s="1" t="s">
        <v>46</v>
      </c>
      <c r="D134" s="1" t="s">
        <v>56</v>
      </c>
      <c r="E134" s="1" t="s">
        <v>6</v>
      </c>
      <c r="G134" s="12"/>
      <c r="H134" s="16">
        <f t="shared" si="17"/>
        <v>0</v>
      </c>
      <c r="I134" s="17">
        <v>5.0000000000000001E-4</v>
      </c>
      <c r="J134" s="16" t="str">
        <f t="shared" si="18"/>
        <v>Pass</v>
      </c>
      <c r="K134" s="11"/>
      <c r="L134" s="10"/>
      <c r="M134" s="10"/>
      <c r="N134" s="10"/>
      <c r="O134" s="18"/>
    </row>
    <row r="135" spans="2:16" ht="15.6" x14ac:dyDescent="0.3">
      <c r="B135" s="1">
        <v>5</v>
      </c>
      <c r="C135" s="1" t="s">
        <v>46</v>
      </c>
      <c r="D135" s="1" t="s">
        <v>57</v>
      </c>
      <c r="E135" s="1" t="s">
        <v>6</v>
      </c>
      <c r="G135" s="12"/>
      <c r="H135" s="16">
        <f t="shared" si="17"/>
        <v>0</v>
      </c>
      <c r="I135" s="17">
        <v>1.0004999999999999</v>
      </c>
      <c r="J135" s="16" t="str">
        <f t="shared" si="18"/>
        <v>Pass</v>
      </c>
      <c r="K135" s="11"/>
      <c r="L135" s="10"/>
      <c r="M135" s="10"/>
      <c r="N135" s="10"/>
      <c r="O135" s="18"/>
    </row>
    <row r="136" spans="2:16" ht="15.6" x14ac:dyDescent="0.3">
      <c r="B136" s="1">
        <v>6</v>
      </c>
      <c r="C136" s="1" t="s">
        <v>46</v>
      </c>
      <c r="D136" s="1" t="s">
        <v>58</v>
      </c>
      <c r="E136" s="1" t="s">
        <v>6</v>
      </c>
      <c r="G136" s="12"/>
      <c r="H136" s="16">
        <f t="shared" si="17"/>
        <v>0</v>
      </c>
      <c r="I136" s="17">
        <v>2.0005000000000002</v>
      </c>
      <c r="J136" s="16" t="str">
        <f t="shared" si="18"/>
        <v>Pass</v>
      </c>
      <c r="K136" s="11"/>
      <c r="L136" s="10"/>
      <c r="M136" s="10"/>
      <c r="N136" s="10"/>
      <c r="O136" s="18"/>
    </row>
    <row r="248" spans="7:18" x14ac:dyDescent="0.3">
      <c r="G248" s="1"/>
      <c r="H248" s="1"/>
      <c r="I248" s="1"/>
      <c r="J248" s="1"/>
      <c r="K248" s="1"/>
      <c r="P248" s="1"/>
      <c r="Q248" s="1"/>
      <c r="R248" s="1"/>
    </row>
  </sheetData>
  <mergeCells count="4">
    <mergeCell ref="B3:C3"/>
    <mergeCell ref="B42:C42"/>
    <mergeCell ref="B120:C120"/>
    <mergeCell ref="B128:C128"/>
  </mergeCells>
  <conditionalFormatting sqref="J1:J116">
    <cfRule type="cellIs" dxfId="1" priority="1" operator="equal">
      <formula>"Fail"</formula>
    </cfRule>
  </conditionalFormatting>
  <conditionalFormatting sqref="J118:J248 J268:J1048576">
    <cfRule type="cellIs" dxfId="0" priority="4" operator="equal">
      <formula>"Fail"</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106659C9D26643AA540CBD094E0397" ma:contentTypeVersion="14" ma:contentTypeDescription="Create a new document." ma:contentTypeScope="" ma:versionID="5018c6155e8e4379c85041cfa1560781">
  <xsd:schema xmlns:xsd="http://www.w3.org/2001/XMLSchema" xmlns:xs="http://www.w3.org/2001/XMLSchema" xmlns:p="http://schemas.microsoft.com/office/2006/metadata/properties" xmlns:ns2="a7c4c7f9-987c-475d-a26a-521e5d0f4dc5" xmlns:ns3="1ed8a9e0-df63-4c43-b0d4-c670c11769ef" targetNamespace="http://schemas.microsoft.com/office/2006/metadata/properties" ma:root="true" ma:fieldsID="e78bda9f13f2b71844c90a831e5f907d" ns2:_="" ns3:_="">
    <xsd:import namespace="a7c4c7f9-987c-475d-a26a-521e5d0f4dc5"/>
    <xsd:import namespace="1ed8a9e0-df63-4c43-b0d4-c670c11769e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c4c7f9-987c-475d-a26a-521e5d0f4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f72c3d0-7fd0-4fbd-ab6b-9c2f7dd1f9d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8a9e0-df63-4c43-b0d4-c670c11769e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0d5f31d-8b80-432c-9f59-750b76e5ea61}" ma:internalName="TaxCatchAll" ma:showField="CatchAllData" ma:web="1ed8a9e0-df63-4c43-b0d4-c670c11769e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LengthInSeconds xmlns="a7c4c7f9-987c-475d-a26a-521e5d0f4dc5" xsi:nil="true"/>
    <lcf76f155ced4ddcb4097134ff3c332f xmlns="a7c4c7f9-987c-475d-a26a-521e5d0f4dc5">
      <Terms xmlns="http://schemas.microsoft.com/office/infopath/2007/PartnerControls"/>
    </lcf76f155ced4ddcb4097134ff3c332f>
    <TaxCatchAll xmlns="1ed8a9e0-df63-4c43-b0d4-c670c11769ef" xsi:nil="true"/>
  </documentManagement>
</p:properties>
</file>

<file path=customXml/itemProps1.xml><?xml version="1.0" encoding="utf-8"?>
<ds:datastoreItem xmlns:ds="http://schemas.openxmlformats.org/officeDocument/2006/customXml" ds:itemID="{BB22CDDA-23C2-498B-9BE1-786ED8B274B3}">
  <ds:schemaRefs>
    <ds:schemaRef ds:uri="http://schemas.microsoft.com/sharepoint/v3/contenttype/forms"/>
  </ds:schemaRefs>
</ds:datastoreItem>
</file>

<file path=customXml/itemProps2.xml><?xml version="1.0" encoding="utf-8"?>
<ds:datastoreItem xmlns:ds="http://schemas.openxmlformats.org/officeDocument/2006/customXml" ds:itemID="{9F7526FD-8353-4080-9F0C-B340E5385C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c4c7f9-987c-475d-a26a-521e5d0f4dc5"/>
    <ds:schemaRef ds:uri="1ed8a9e0-df63-4c43-b0d4-c670c1176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0AB2FE-88F0-4E92-98AD-62F2E6F190DE}">
  <ds:schemaRefs>
    <ds:schemaRef ds:uri="http://schemas.microsoft.com/office/2006/metadata/properties"/>
    <ds:schemaRef ds:uri="http://schemas.microsoft.com/office/infopath/2007/PartnerControls"/>
    <ds:schemaRef ds:uri="a7c4c7f9-987c-475d-a26a-521e5d0f4dc5"/>
    <ds:schemaRef ds:uri="1ed8a9e0-df63-4c43-b0d4-c670c11769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The details</vt:lpstr>
      <vt:lpstr>JGI Method Testing</vt:lpstr>
      <vt:lpstr>SMR Certification</vt:lpstr>
      <vt:lpstr>Cert Page</vt:lpstr>
      <vt:lpstr>Datasheet, JGI Method</vt:lpstr>
      <vt:lpstr>Log</vt:lpstr>
      <vt:lpstr>Software Notes</vt:lpstr>
      <vt:lpstr>tracker specs</vt:lpstr>
      <vt:lpstr>B89.4.19 Testing</vt:lpstr>
      <vt:lpstr>Sheet2</vt:lpstr>
      <vt:lpstr>Logo Page</vt:lpstr>
      <vt:lpstr>Software Validation</vt:lpstr>
      <vt:lpstr>A2LA</vt:lpstr>
      <vt:lpstr>Blank</vt:lpstr>
      <vt:lpstr>'Cert Page'!Print_Area</vt:lpstr>
      <vt:lpstr>'Datasheet, JGI Method'!Print_Area</vt:lpstr>
      <vt:lpstr>'JGI Method Testing'!Print_Area</vt:lpstr>
      <vt:lpstr>'SMR Certification'!Print_Area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Johnny Vogt</dc:creator>
  <cp:lastModifiedBy>Markus Lallement</cp:lastModifiedBy>
  <cp:lastPrinted>2024-08-13T19:12:46Z</cp:lastPrinted>
  <dcterms:created xsi:type="dcterms:W3CDTF">2016-12-01T21:23:19Z</dcterms:created>
  <dcterms:modified xsi:type="dcterms:W3CDTF">2024-08-13T21:31:06Z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0x010100D7106659C9D26643AA540CBD094E0397</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