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2.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4.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5.xml" ContentType="application/vnd.openxmlformats-officedocument.drawing+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drawings/drawing7.xml" ContentType="application/vnd.openxmlformats-officedocument.drawing+xml"/>
  <Override PartName="/xl/ctrlProps/ctrlProp47.xml" ContentType="application/vnd.ms-excel.controlproperties+xml"/>
  <Override PartName="/xl/drawings/drawing8.xml" ContentType="application/vnd.openxmlformats-officedocument.drawing+xml"/>
  <Override PartName="/xl/ctrlProps/ctrlProp48.xml" ContentType="application/vnd.ms-excel.controlproperties+xml"/>
  <Override PartName="/xl/drawings/drawing9.xml" ContentType="application/vnd.openxmlformats-officedocument.drawing+xml"/>
  <Override PartName="/xl/ctrlProps/ctrlProp49.xml" ContentType="application/vnd.ms-excel.controlproperties+xml"/>
  <Override PartName="/xl/drawings/drawing10.xml" ContentType="application/vnd.openxmlformats-officedocument.drawing+xml"/>
  <Override PartName="/xl/ctrlProps/ctrlProp50.xml" ContentType="application/vnd.ms-excel.controlproperties+xml"/>
  <Override PartName="/xl/drawings/drawing11.xml" ContentType="application/vnd.openxmlformats-officedocument.drawing+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drawings/drawing13.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drawings/drawing17.xml" ContentType="application/vnd.openxmlformats-officedocument.drawing+xml"/>
  <Override PartName="/xl/ctrlProps/ctrlProp58.xml" ContentType="application/vnd.ms-excel.controlproperties+xml"/>
  <Override PartName="/xl/drawings/drawing18.xml" ContentType="application/vnd.openxmlformats-officedocument.drawing+xml"/>
  <Override PartName="/xl/ctrlProps/ctrlProp59.xml" ContentType="application/vnd.ms-excel.controlproperties+xml"/>
  <Override PartName="/xl/drawings/drawing19.xml" ContentType="application/vnd.openxmlformats-officedocument.drawing+xml"/>
  <Override PartName="/xl/ctrlProps/ctrlProp60.xml" ContentType="application/vnd.ms-excel.controlproperties+xml"/>
  <Override PartName="/xl/drawings/drawing20.xml" ContentType="application/vnd.openxmlformats-officedocument.drawing+xml"/>
  <Override PartName="/xl/ctrlProps/ctrlProp61.xml" ContentType="application/vnd.ms-excel.controlproperties+xml"/>
  <Override PartName="/xl/drawings/drawing21.xml" ContentType="application/vnd.openxmlformats-officedocument.drawing+xml"/>
  <Override PartName="/xl/ctrlProps/ctrlProp62.xml" ContentType="application/vnd.ms-excel.controlproperties+xml"/>
  <Override PartName="/xl/drawings/drawing22.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3.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4.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25.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6.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7.xml" ContentType="application/vnd.openxmlformats-officedocument.drawing+xml"/>
  <Override PartName="/xl/ctrlProps/ctrlProp77.xml" ContentType="application/vnd.ms-excel.controlproperties+xml"/>
  <Override PartName="/xl/ctrlProps/ctrlProp78.xml" ContentType="application/vnd.ms-excel.controlproperties+xml"/>
  <Override PartName="/xl/drawings/drawing28.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9.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3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31.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32.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33.xml" ContentType="application/vnd.openxmlformats-officedocument.drawing+xml"/>
  <Override PartName="/xl/ctrlProps/ctrlProp103.xml" ContentType="application/vnd.ms-excel.controlproperties+xml"/>
  <Override PartName="/xl/drawings/drawing34.xml" ContentType="application/vnd.openxmlformats-officedocument.drawing+xml"/>
  <Override PartName="/xl/ctrlProps/ctrlProp104.xml" ContentType="application/vnd.ms-excel.controlproperties+xml"/>
  <Override PartName="/xl/ctrlProps/ctrlProp105.xml" ContentType="application/vnd.ms-excel.controlproperties+xml"/>
  <Override PartName="/xl/drawings/drawing35.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6.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37.xml" ContentType="application/vnd.openxmlformats-officedocument.drawing+xml"/>
  <Override PartName="/xl/ctrlProps/ctrlProp118.xml" ContentType="application/vnd.ms-excel.controlproperties+xml"/>
  <Override PartName="/xl/ctrlProps/ctrlProp119.xml" ContentType="application/vnd.ms-excel.controlproperties+xml"/>
  <Override PartName="/xl/drawings/drawing38.xml" ContentType="application/vnd.openxmlformats-officedocument.drawing+xml"/>
  <Override PartName="/xl/ctrlProps/ctrlProp120.xml" ContentType="application/vnd.ms-excel.controlproperties+xml"/>
  <Override PartName="/xl/ctrlProps/ctrlProp121.xml" ContentType="application/vnd.ms-excel.controlproperties+xml"/>
  <Override PartName="/xl/drawings/drawing39.xml" ContentType="application/vnd.openxmlformats-officedocument.drawing+xml"/>
  <Override PartName="/xl/ctrlProps/ctrlProp122.xml" ContentType="application/vnd.ms-excel.controlproperties+xml"/>
  <Override PartName="/xl/drawings/drawing40.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41.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42.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4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44.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drawings/drawing45.xml" ContentType="application/vnd.openxmlformats-officedocument.drawing+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drawings/drawing46.xml" ContentType="application/vnd.openxmlformats-officedocument.drawing+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drawings/drawing47.xml" ContentType="application/vnd.openxmlformats-officedocument.drawing+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drawings/drawing48.xml" ContentType="application/vnd.openxmlformats-officedocument.drawing+xml"/>
  <Override PartName="/xl/ctrlProps/ctrlProp16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showInkAnnotation="0" codeName="ThisWorkbook" defaultThemeVersion="124226"/>
  <mc:AlternateContent xmlns:mc="http://schemas.openxmlformats.org/markup-compatibility/2006">
    <mc:Choice Requires="x15">
      <x15ac:absPath xmlns:x15ac="http://schemas.microsoft.com/office/spreadsheetml/2010/11/ac" url="C:\Users\rhyth\Downloads\"/>
    </mc:Choice>
  </mc:AlternateContent>
  <xr:revisionPtr revIDLastSave="0" documentId="8_{A36D64BE-CD4C-4C5B-86B3-47AC7F28E64A}" xr6:coauthVersionLast="47" xr6:coauthVersionMax="47" xr10:uidLastSave="{00000000-0000-0000-0000-000000000000}"/>
  <bookViews>
    <workbookView xWindow="-120" yWindow="-120" windowWidth="29040" windowHeight="15840" xr2:uid="{00000000-000D-0000-FFFF-FFFF00000000}"/>
  </bookViews>
  <sheets>
    <sheet name="Main Screen" sheetId="34" r:id="rId1"/>
    <sheet name="Table - English Thread Wires" sheetId="61" state="hidden" r:id="rId2"/>
    <sheet name="X600 Block Standard Info" sheetId="63" r:id="rId3"/>
    <sheet name="Metric Thread Plugs" sheetId="20" r:id="rId4"/>
    <sheet name="Metric Thread Plug PDs" sheetId="38" r:id="rId5"/>
    <sheet name="Metric Thread Plug Tolerance X" sheetId="45" r:id="rId6"/>
    <sheet name="Metric Thread Plug Tolerance W" sheetId="46" r:id="rId7"/>
    <sheet name="Metric Plain Plugs" sheetId="37" r:id="rId8"/>
    <sheet name="NPT" sheetId="6" r:id="rId9"/>
    <sheet name="ANPT" sheetId="5" r:id="rId10"/>
    <sheet name="NPTF-NPSF-NPSI" sheetId="7" r:id="rId11"/>
    <sheet name="Plain (6-Step or Crest Check)" sheetId="8" r:id="rId12"/>
    <sheet name="NPT Pictures" sheetId="10" r:id="rId13"/>
    <sheet name=" BSPT &amp; ISO 7" sheetId="4" r:id="rId14"/>
    <sheet name="BSPP - ISO228" sheetId="49" r:id="rId15"/>
    <sheet name="ACME Multi-Start Calculator" sheetId="12" r:id="rId16"/>
    <sheet name="Buttress Threads" sheetId="60" r:id="rId17"/>
    <sheet name="ACME Single Start Calculator" sheetId="13" r:id="rId18"/>
    <sheet name="Non-ACME Multi Start Threads" sheetId="2" r:id="rId19"/>
    <sheet name="JGI Thread Wire Sizes-Constants" sheetId="36" r:id="rId20"/>
    <sheet name="Best Wire Size Calculator" sheetId="1" r:id="rId21"/>
    <sheet name="Two-Wire Method" sheetId="54" r:id="rId22"/>
    <sheet name="Threaded Setting" sheetId="9" r:id="rId23"/>
    <sheet name="Metric-English Conversion" sheetId="19" r:id="rId24"/>
    <sheet name="English Thread Wires" sheetId="28" r:id="rId25"/>
    <sheet name="Thread Wires Datasheet" sheetId="55" r:id="rId26"/>
    <sheet name="Metric Thread Wires" sheetId="29" r:id="rId27"/>
    <sheet name="Metric Thread Wires Datasheet" sheetId="56" r:id="rId28"/>
    <sheet name="Table - Metric Thread Wires" sheetId="62" state="hidden" r:id="rId29"/>
    <sheet name="PeeDee Wires" sheetId="30" r:id="rId30"/>
    <sheet name="PeeDee Wires Datasheet" sheetId="57" r:id="rId31"/>
    <sheet name="Gear Wires" sheetId="32" r:id="rId32"/>
    <sheet name="Gear Wires Datasheet" sheetId="58" r:id="rId33"/>
    <sheet name="Thread Wire Nominal Sizes" sheetId="31" r:id="rId34"/>
    <sheet name="Gear Wire Nominal Sizes" sheetId="33" r:id="rId35"/>
    <sheet name="Steel Spheres" sheetId="25" r:id="rId36"/>
    <sheet name="Coating Thickness Meters" sheetId="14" r:id="rId37"/>
    <sheet name="Fischer Probe Chart" sheetId="15" r:id="rId38"/>
    <sheet name="DeFelsko Probe Chart" sheetId="16" r:id="rId39"/>
    <sheet name="Coating Thickness Calculator" sheetId="17" r:id="rId40"/>
    <sheet name="JGI Thickness Foil Min_Max" sheetId="18" r:id="rId41"/>
    <sheet name="Coating Thickness Stds NIST" sheetId="47" r:id="rId42"/>
    <sheet name="Roughness Gages" sheetId="26" r:id="rId43"/>
    <sheet name="Roughness Standards" sheetId="51" r:id="rId44"/>
    <sheet name="Roughness Gage Technical Data" sheetId="52" r:id="rId45"/>
    <sheet name="Roughness NIST Info" sheetId="27" r:id="rId46"/>
    <sheet name="Surface Finish, Multi-Surface" sheetId="41" r:id="rId47"/>
    <sheet name="Ultrasonic Calculators" sheetId="24" r:id="rId48"/>
    <sheet name="Ultrasonic Meter Specs" sheetId="21" r:id="rId49"/>
    <sheet name="Ultrasonic Dakota Info" sheetId="22" r:id="rId50"/>
    <sheet name="JGI Ultrasonic Std NIST Info" sheetId="23" r:id="rId51"/>
    <sheet name="Conductivity Meters" sheetId="42" r:id="rId52"/>
    <sheet name="Conductivity Manufacturer Info" sheetId="43" r:id="rId53"/>
    <sheet name="Conductivity Guard Banding Info" sheetId="50" r:id="rId54"/>
    <sheet name="JGI Conductivity Standards" sheetId="40" r:id="rId55"/>
    <sheet name="Degrees Min Sec Conversion" sheetId="59" r:id="rId56"/>
    <sheet name="Software Validation" sheetId="48" r:id="rId57"/>
  </sheets>
  <externalReferences>
    <externalReference r:id="rId58"/>
    <externalReference r:id="rId59"/>
  </externalReferences>
  <definedNames>
    <definedName name="AutosigmaTips">'Conductivity Manufacturer Info'!$L$69:$L$74</definedName>
    <definedName name="BAC5651_2">'Conductivity Meters'!$Q$70:$Q$71</definedName>
    <definedName name="BAC5651Notes">'Conductivity Meters'!$Q$70:$Q$74</definedName>
    <definedName name="Centurion140XLTips">'Conductivity Manufacturer Info'!$L$85:$L$90</definedName>
    <definedName name="CenturionFMTips">'Conductivity Manufacturer Info'!$I$75:$I$80</definedName>
    <definedName name="CenturionFMTips2">'Conductivity Manufacturer Info'!$L$84:$L$90</definedName>
    <definedName name="CessnaNotes">'Conductivity Meters'!$Q$81:$Q$82</definedName>
    <definedName name="DisplayTips">'Conductivity Manufacturer Info'!$C$16:$C$39</definedName>
    <definedName name="English_Thread_Types">'Thread Wire Nominal Sizes'!$H$25:$H$26</definedName>
    <definedName name="Fischer_SigmascopeSMP350_Tips">'Conductivity Manufacturer Info'!$L$92:$L$98</definedName>
    <definedName name="FischerTips">'Conductivity Manufacturer Info'!$L$53:$L$55</definedName>
    <definedName name="FischerTips2">'Conductivity Manufacturer Info'!$L$53:$L$58</definedName>
    <definedName name="Gage_Types">#REF!</definedName>
    <definedName name="Gages">#REF!</definedName>
    <definedName name="Manufacturer">'Coating Thickness Meters'!$A$2:$A$45</definedName>
    <definedName name="Minus_Constant">'JGI Thread Wire Sizes-Constants'!$C$2:$C$30</definedName>
    <definedName name="NameTest">'Conductivity Manufacturer Info'!$A$22</definedName>
    <definedName name="Series">'Gear Wire Nominal Sizes'!$G$2:$G$6</definedName>
    <definedName name="SigmaCheckTips">'Conductivity Manufacturer Info'!$L$77:$L$82</definedName>
    <definedName name="SMP350_Tips">'Conductivity Manufacturer Info'!$L$93:$L$98</definedName>
    <definedName name="VerimetTips">'Conductivity Manufacturer Info'!$L$61:$L$66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28" l="1"/>
  <c r="W22" i="28"/>
  <c r="K22" i="28"/>
  <c r="E9" i="28"/>
  <c r="C17" i="55"/>
  <c r="H38" i="8"/>
  <c r="H37" i="8"/>
  <c r="H22" i="8"/>
  <c r="H21" i="8"/>
  <c r="H6" i="8"/>
  <c r="H5" i="8"/>
  <c r="G40" i="8"/>
  <c r="G41" i="8"/>
  <c r="G42" i="8"/>
  <c r="G43" i="8"/>
  <c r="G44" i="8"/>
  <c r="G45" i="8"/>
  <c r="G46" i="8"/>
  <c r="G47" i="8"/>
  <c r="G48" i="8"/>
  <c r="G39" i="8"/>
  <c r="G24" i="8"/>
  <c r="G25" i="8"/>
  <c r="G26" i="8"/>
  <c r="G27" i="8"/>
  <c r="G28" i="8"/>
  <c r="G29" i="8"/>
  <c r="G30" i="8"/>
  <c r="G31" i="8"/>
  <c r="G32" i="8"/>
  <c r="G23" i="8"/>
  <c r="G15" i="8"/>
  <c r="G8" i="8"/>
  <c r="G9" i="8"/>
  <c r="G10" i="8"/>
  <c r="G11" i="8"/>
  <c r="G12" i="8"/>
  <c r="G13" i="8"/>
  <c r="G14" i="8"/>
  <c r="G16" i="8"/>
  <c r="G7" i="8"/>
  <c r="I54" i="7"/>
  <c r="I53" i="7"/>
  <c r="I40" i="7"/>
  <c r="I39" i="7"/>
  <c r="H56" i="7"/>
  <c r="H57" i="7"/>
  <c r="H58" i="7"/>
  <c r="H59" i="7"/>
  <c r="H60" i="7"/>
  <c r="H61" i="7"/>
  <c r="H62" i="7"/>
  <c r="H63" i="7"/>
  <c r="H64" i="7"/>
  <c r="H55" i="7"/>
  <c r="H42" i="7"/>
  <c r="H43" i="7"/>
  <c r="H44" i="7"/>
  <c r="H45" i="7"/>
  <c r="H46" i="7"/>
  <c r="H47" i="7"/>
  <c r="H48" i="7"/>
  <c r="H49" i="7"/>
  <c r="H50" i="7"/>
  <c r="H41" i="7"/>
  <c r="I22" i="7"/>
  <c r="I21" i="7"/>
  <c r="I7" i="7"/>
  <c r="I6" i="7"/>
  <c r="H24" i="7"/>
  <c r="H25" i="7"/>
  <c r="H26" i="7"/>
  <c r="H27" i="7"/>
  <c r="H28" i="7"/>
  <c r="H29" i="7"/>
  <c r="H30" i="7"/>
  <c r="H31" i="7"/>
  <c r="H32" i="7"/>
  <c r="H23" i="7"/>
  <c r="H9" i="7"/>
  <c r="H10" i="7"/>
  <c r="H11" i="7"/>
  <c r="H12" i="7"/>
  <c r="H13" i="7"/>
  <c r="H14" i="7"/>
  <c r="H15" i="7"/>
  <c r="H16" i="7"/>
  <c r="H17" i="7"/>
  <c r="H8" i="7"/>
  <c r="I27" i="5"/>
  <c r="I26" i="5"/>
  <c r="I6" i="5"/>
  <c r="I5" i="5"/>
  <c r="H29" i="5"/>
  <c r="H30" i="5"/>
  <c r="H31" i="5"/>
  <c r="H32" i="5"/>
  <c r="H33" i="5"/>
  <c r="H34" i="5"/>
  <c r="H35" i="5"/>
  <c r="H36" i="5"/>
  <c r="H37" i="5"/>
  <c r="H38" i="5"/>
  <c r="H39" i="5"/>
  <c r="H40" i="5"/>
  <c r="H28" i="5"/>
  <c r="H8" i="5"/>
  <c r="H9" i="5"/>
  <c r="H10" i="5"/>
  <c r="H11" i="5"/>
  <c r="H12" i="5"/>
  <c r="H13" i="5"/>
  <c r="H14" i="5"/>
  <c r="H15" i="5"/>
  <c r="H16" i="5"/>
  <c r="H17" i="5"/>
  <c r="H18" i="5"/>
  <c r="H19" i="5"/>
  <c r="H7" i="5"/>
  <c r="J27" i="6"/>
  <c r="J26" i="6"/>
  <c r="I29" i="6"/>
  <c r="I30" i="6"/>
  <c r="I31" i="6"/>
  <c r="I32" i="6"/>
  <c r="I33" i="6"/>
  <c r="I34" i="6"/>
  <c r="I35" i="6"/>
  <c r="I36" i="6"/>
  <c r="I37" i="6"/>
  <c r="I38" i="6"/>
  <c r="I39" i="6"/>
  <c r="I40" i="6"/>
  <c r="I28" i="6"/>
  <c r="I20" i="6"/>
  <c r="J6" i="6"/>
  <c r="J7" i="6"/>
  <c r="I9" i="6"/>
  <c r="I10" i="6"/>
  <c r="I11" i="6"/>
  <c r="I12" i="6"/>
  <c r="I13" i="6"/>
  <c r="I14" i="6"/>
  <c r="I15" i="6"/>
  <c r="I16" i="6"/>
  <c r="I17" i="6"/>
  <c r="I18" i="6"/>
  <c r="I19" i="6"/>
  <c r="I8" i="6"/>
  <c r="C37" i="55"/>
  <c r="K99" i="28"/>
  <c r="H99" i="28"/>
  <c r="E99" i="28"/>
  <c r="B99" i="28"/>
  <c r="W98" i="28"/>
  <c r="W99" i="28" s="1"/>
  <c r="T98" i="28"/>
  <c r="T99" i="28" s="1"/>
  <c r="Q98" i="28"/>
  <c r="Q99" i="28" s="1"/>
  <c r="N98" i="28"/>
  <c r="N99" i="28" s="1"/>
  <c r="K98" i="28"/>
  <c r="H98" i="28"/>
  <c r="E98" i="28"/>
  <c r="B98" i="28"/>
  <c r="K85" i="28"/>
  <c r="H85" i="28"/>
  <c r="E85" i="28"/>
  <c r="B85" i="28"/>
  <c r="W80" i="28"/>
  <c r="F39" i="55" s="1"/>
  <c r="T80" i="28"/>
  <c r="F38" i="55" s="1"/>
  <c r="Q80" i="28"/>
  <c r="F37" i="55" s="1"/>
  <c r="W79" i="28"/>
  <c r="E39" i="55" s="1"/>
  <c r="T79" i="28"/>
  <c r="Q79" i="28"/>
  <c r="E37" i="55" s="1"/>
  <c r="N79" i="28"/>
  <c r="N80" i="28" s="1"/>
  <c r="F36" i="55" s="1"/>
  <c r="K79" i="28"/>
  <c r="K80" i="28" s="1"/>
  <c r="F35" i="55" s="1"/>
  <c r="H79" i="28"/>
  <c r="H80" i="28" s="1"/>
  <c r="F34" i="55" s="1"/>
  <c r="E79" i="28"/>
  <c r="E80" i="28" s="1"/>
  <c r="F33" i="55" s="1"/>
  <c r="B79" i="28"/>
  <c r="B80" i="28" s="1"/>
  <c r="F32" i="55" s="1"/>
  <c r="W66" i="28"/>
  <c r="T66" i="28"/>
  <c r="Q66" i="28"/>
  <c r="N66" i="28"/>
  <c r="D36" i="55" s="1"/>
  <c r="K66" i="28"/>
  <c r="H66" i="28"/>
  <c r="E66" i="28"/>
  <c r="B66" i="28"/>
  <c r="W60" i="28"/>
  <c r="W61" i="28" s="1"/>
  <c r="F31" i="55" s="1"/>
  <c r="T60" i="28"/>
  <c r="T61" i="28" s="1"/>
  <c r="F30" i="55" s="1"/>
  <c r="Q60" i="28"/>
  <c r="Q61" i="28" s="1"/>
  <c r="F29" i="55" s="1"/>
  <c r="N60" i="28"/>
  <c r="N61" i="28" s="1"/>
  <c r="F28" i="55" s="1"/>
  <c r="K60" i="28"/>
  <c r="K61" i="28" s="1"/>
  <c r="F27" i="55" s="1"/>
  <c r="H60" i="28"/>
  <c r="H61" i="28" s="1"/>
  <c r="F26" i="55" s="1"/>
  <c r="E60" i="28"/>
  <c r="E61" i="28" s="1"/>
  <c r="F25" i="55" s="1"/>
  <c r="B60" i="28"/>
  <c r="E24" i="55" s="1"/>
  <c r="W47" i="28"/>
  <c r="D31" i="55" s="1"/>
  <c r="T47" i="28"/>
  <c r="Q47" i="28"/>
  <c r="N47" i="28"/>
  <c r="K47" i="28"/>
  <c r="H47" i="28"/>
  <c r="E47" i="28"/>
  <c r="D25" i="55" s="1"/>
  <c r="B47" i="28"/>
  <c r="W41" i="28"/>
  <c r="W42" i="28" s="1"/>
  <c r="F23" i="55" s="1"/>
  <c r="T41" i="28"/>
  <c r="T42" i="28" s="1"/>
  <c r="F22" i="55" s="1"/>
  <c r="Q41" i="28"/>
  <c r="Q42" i="28" s="1"/>
  <c r="F21" i="55" s="1"/>
  <c r="N41" i="28"/>
  <c r="E20" i="55" s="1"/>
  <c r="K41" i="28"/>
  <c r="K42" i="28" s="1"/>
  <c r="F19" i="55" s="1"/>
  <c r="H41" i="28"/>
  <c r="H42" i="28" s="1"/>
  <c r="F18" i="55" s="1"/>
  <c r="E41" i="28"/>
  <c r="E17" i="55" s="1"/>
  <c r="B42" i="28"/>
  <c r="F16" i="55" s="1"/>
  <c r="W28" i="28"/>
  <c r="T28" i="28"/>
  <c r="Q28" i="28"/>
  <c r="N28" i="28"/>
  <c r="D20" i="55" s="1"/>
  <c r="K28" i="28"/>
  <c r="D19" i="55" s="1"/>
  <c r="H28" i="28"/>
  <c r="E28" i="28"/>
  <c r="D17" i="55" s="1"/>
  <c r="B28" i="28"/>
  <c r="D16" i="55" s="1"/>
  <c r="W23" i="28"/>
  <c r="F15" i="55" s="1"/>
  <c r="T22" i="28"/>
  <c r="T23" i="28" s="1"/>
  <c r="F14" i="55" s="1"/>
  <c r="Q22" i="28"/>
  <c r="Q23" i="28" s="1"/>
  <c r="F13" i="55" s="1"/>
  <c r="N22" i="28"/>
  <c r="E12" i="55" s="1"/>
  <c r="K23" i="28"/>
  <c r="F11" i="55" s="1"/>
  <c r="H22" i="28"/>
  <c r="H23" i="28" s="1"/>
  <c r="F10" i="55" s="1"/>
  <c r="E22" i="28"/>
  <c r="E23" i="28" s="1"/>
  <c r="F9" i="55" s="1"/>
  <c r="B22" i="28"/>
  <c r="B23" i="28" s="1"/>
  <c r="F8" i="55" s="1"/>
  <c r="W9" i="28"/>
  <c r="D15" i="55" s="1"/>
  <c r="T9" i="28"/>
  <c r="Q9" i="28"/>
  <c r="D13" i="55" s="1"/>
  <c r="N9" i="28"/>
  <c r="D12" i="55" s="1"/>
  <c r="K9" i="28"/>
  <c r="D11" i="55" s="1"/>
  <c r="H9" i="28"/>
  <c r="D10" i="55" s="1"/>
  <c r="D9" i="55"/>
  <c r="B9" i="28"/>
  <c r="D8" i="55" s="1"/>
  <c r="I50" i="6"/>
  <c r="I51" i="6"/>
  <c r="I52" i="6"/>
  <c r="I53" i="6"/>
  <c r="I54" i="6"/>
  <c r="I55" i="6"/>
  <c r="I56" i="6"/>
  <c r="I57" i="6"/>
  <c r="I58" i="6"/>
  <c r="I59" i="6"/>
  <c r="I60" i="6"/>
  <c r="I61" i="6"/>
  <c r="I49" i="6"/>
  <c r="J48" i="6"/>
  <c r="J47" i="6"/>
  <c r="B91" i="20"/>
  <c r="B90" i="20"/>
  <c r="B89" i="20"/>
  <c r="C83" i="20"/>
  <c r="C86" i="20"/>
  <c r="B69" i="20"/>
  <c r="B68" i="20"/>
  <c r="B67" i="20"/>
  <c r="C64" i="20"/>
  <c r="C61" i="20"/>
  <c r="B51" i="20"/>
  <c r="B50" i="20"/>
  <c r="B49" i="20"/>
  <c r="D35" i="20"/>
  <c r="C39" i="20"/>
  <c r="C35" i="20"/>
  <c r="C37" i="20"/>
  <c r="B25" i="20"/>
  <c r="B24" i="20"/>
  <c r="B23" i="20"/>
  <c r="C11" i="20"/>
  <c r="C15" i="20" s="1"/>
  <c r="C18" i="20" s="1"/>
  <c r="C20" i="20" s="1"/>
  <c r="D9" i="20"/>
  <c r="C13" i="20" s="1"/>
  <c r="C9" i="20"/>
  <c r="B4" i="60"/>
  <c r="B17" i="60"/>
  <c r="A8" i="60" s="1"/>
  <c r="C13" i="60"/>
  <c r="K22" i="32"/>
  <c r="F11" i="58"/>
  <c r="H22" i="32"/>
  <c r="F10" i="58"/>
  <c r="E8" i="32"/>
  <c r="H5" i="49"/>
  <c r="H6" i="49"/>
  <c r="D38" i="55"/>
  <c r="D22" i="55"/>
  <c r="D21" i="55"/>
  <c r="E38" i="55"/>
  <c r="E35" i="55"/>
  <c r="E31" i="55"/>
  <c r="E3" i="59"/>
  <c r="E22" i="32"/>
  <c r="F9" i="58"/>
  <c r="N22" i="32"/>
  <c r="F12" i="58"/>
  <c r="Q22" i="32"/>
  <c r="F13" i="58"/>
  <c r="T22" i="32"/>
  <c r="F14" i="58"/>
  <c r="W22" i="32"/>
  <c r="F15" i="58"/>
  <c r="W41" i="32"/>
  <c r="T41" i="32"/>
  <c r="Q41" i="32"/>
  <c r="N41" i="32"/>
  <c r="K41" i="32"/>
  <c r="H41" i="32"/>
  <c r="E41" i="32"/>
  <c r="B41" i="32"/>
  <c r="B60" i="32"/>
  <c r="E60" i="32"/>
  <c r="H60" i="32"/>
  <c r="K60" i="32"/>
  <c r="N60" i="32"/>
  <c r="Q60" i="32"/>
  <c r="T60" i="32"/>
  <c r="W60" i="32"/>
  <c r="W79" i="32"/>
  <c r="T79" i="32"/>
  <c r="Q79" i="32"/>
  <c r="N79" i="32"/>
  <c r="K79" i="32"/>
  <c r="H79" i="32"/>
  <c r="E79" i="32"/>
  <c r="B79" i="32"/>
  <c r="W98" i="32"/>
  <c r="T98" i="32"/>
  <c r="Q98" i="32"/>
  <c r="N98" i="32"/>
  <c r="K98" i="32"/>
  <c r="H98" i="32"/>
  <c r="E98" i="32"/>
  <c r="B98" i="32"/>
  <c r="B22" i="32"/>
  <c r="F8" i="58"/>
  <c r="E45" i="58"/>
  <c r="E44" i="58"/>
  <c r="E43" i="58"/>
  <c r="E42" i="58"/>
  <c r="E41" i="58"/>
  <c r="E40" i="58"/>
  <c r="E39" i="58"/>
  <c r="E38" i="58"/>
  <c r="E37" i="58"/>
  <c r="E36" i="58"/>
  <c r="E35" i="58"/>
  <c r="E34" i="58"/>
  <c r="E33" i="58"/>
  <c r="E32" i="58"/>
  <c r="E31" i="58"/>
  <c r="E30" i="58"/>
  <c r="E29" i="58"/>
  <c r="E28" i="58"/>
  <c r="E27" i="58"/>
  <c r="E26" i="58"/>
  <c r="E25" i="58"/>
  <c r="E20" i="58"/>
  <c r="D13" i="57"/>
  <c r="E19" i="56"/>
  <c r="E17" i="56"/>
  <c r="E16" i="56"/>
  <c r="E14" i="56"/>
  <c r="E13" i="56"/>
  <c r="E11" i="56"/>
  <c r="K75" i="29"/>
  <c r="G76" i="29"/>
  <c r="G77" i="29"/>
  <c r="G78" i="29"/>
  <c r="G79" i="29"/>
  <c r="G80" i="29"/>
  <c r="G81" i="29"/>
  <c r="G82" i="29"/>
  <c r="G83" i="29"/>
  <c r="G84" i="29"/>
  <c r="G85" i="29"/>
  <c r="G86" i="29"/>
  <c r="G75" i="29"/>
  <c r="C76" i="29"/>
  <c r="C77" i="29"/>
  <c r="C78" i="29"/>
  <c r="C79" i="29"/>
  <c r="C80" i="29"/>
  <c r="C81" i="29"/>
  <c r="C82" i="29"/>
  <c r="C83" i="29"/>
  <c r="C84" i="29"/>
  <c r="C85" i="29"/>
  <c r="C86" i="29"/>
  <c r="C75" i="29"/>
  <c r="C87" i="29"/>
  <c r="C88" i="29"/>
  <c r="F17" i="56"/>
  <c r="K55" i="29"/>
  <c r="K56" i="29"/>
  <c r="K57" i="29"/>
  <c r="K58" i="29"/>
  <c r="K59" i="29"/>
  <c r="K60" i="29"/>
  <c r="K61" i="29"/>
  <c r="K62" i="29"/>
  <c r="K63" i="29"/>
  <c r="K64" i="29"/>
  <c r="K65" i="29"/>
  <c r="K54" i="29"/>
  <c r="G55" i="29"/>
  <c r="G56" i="29"/>
  <c r="G57" i="29"/>
  <c r="G58" i="29"/>
  <c r="G59" i="29"/>
  <c r="G60" i="29"/>
  <c r="G61" i="29"/>
  <c r="G62" i="29"/>
  <c r="G63" i="29"/>
  <c r="G64" i="29"/>
  <c r="G65" i="29"/>
  <c r="G54" i="29"/>
  <c r="C55" i="29"/>
  <c r="C56" i="29"/>
  <c r="C57" i="29"/>
  <c r="C58" i="29"/>
  <c r="C59" i="29"/>
  <c r="C60" i="29"/>
  <c r="C61" i="29"/>
  <c r="C62" i="29"/>
  <c r="C63" i="29"/>
  <c r="C64" i="29"/>
  <c r="C65" i="29"/>
  <c r="C54" i="29"/>
  <c r="K34" i="29"/>
  <c r="K35" i="29"/>
  <c r="K36" i="29"/>
  <c r="K37" i="29"/>
  <c r="K38" i="29"/>
  <c r="K39" i="29"/>
  <c r="K40" i="29"/>
  <c r="K41" i="29"/>
  <c r="K42" i="29"/>
  <c r="K43" i="29"/>
  <c r="K44" i="29"/>
  <c r="K33" i="29"/>
  <c r="G34" i="29"/>
  <c r="G35" i="29"/>
  <c r="G36" i="29"/>
  <c r="G37" i="29"/>
  <c r="G38" i="29"/>
  <c r="G39" i="29"/>
  <c r="G40" i="29"/>
  <c r="G41" i="29"/>
  <c r="G42" i="29"/>
  <c r="G43" i="29"/>
  <c r="G44" i="29"/>
  <c r="G33" i="29"/>
  <c r="C34" i="29"/>
  <c r="C35" i="29"/>
  <c r="C36" i="29"/>
  <c r="C37" i="29"/>
  <c r="C38" i="29"/>
  <c r="C39" i="29"/>
  <c r="C40" i="29"/>
  <c r="C41" i="29"/>
  <c r="C42" i="29"/>
  <c r="C43" i="29"/>
  <c r="C44" i="29"/>
  <c r="C33" i="29"/>
  <c r="C45" i="29"/>
  <c r="C46" i="29"/>
  <c r="F11" i="56"/>
  <c r="K13" i="29"/>
  <c r="K14" i="29"/>
  <c r="K15" i="29"/>
  <c r="K16" i="29"/>
  <c r="K17" i="29"/>
  <c r="K18" i="29"/>
  <c r="K19" i="29"/>
  <c r="K20" i="29"/>
  <c r="K21" i="29"/>
  <c r="K22" i="29"/>
  <c r="K23" i="29"/>
  <c r="K12" i="29"/>
  <c r="K24" i="29" s="1"/>
  <c r="K25" i="29" s="1"/>
  <c r="F10" i="56" s="1"/>
  <c r="G13" i="29"/>
  <c r="G14" i="29"/>
  <c r="G15" i="29"/>
  <c r="G16" i="29"/>
  <c r="G17" i="29"/>
  <c r="G18" i="29"/>
  <c r="G19" i="29"/>
  <c r="G20" i="29"/>
  <c r="G21" i="29"/>
  <c r="G22" i="29"/>
  <c r="G23" i="29"/>
  <c r="G12" i="29"/>
  <c r="C13" i="29"/>
  <c r="C14" i="29"/>
  <c r="C15" i="29"/>
  <c r="C16" i="29"/>
  <c r="C17" i="29"/>
  <c r="C18" i="29"/>
  <c r="C19" i="29"/>
  <c r="C20" i="29"/>
  <c r="C21" i="29"/>
  <c r="C22" i="29"/>
  <c r="C23" i="29"/>
  <c r="C12" i="29"/>
  <c r="D4" i="36"/>
  <c r="D5" i="36"/>
  <c r="D6" i="36"/>
  <c r="D7" i="36"/>
  <c r="D8" i="36"/>
  <c r="D9" i="36"/>
  <c r="D10" i="36"/>
  <c r="D11" i="36"/>
  <c r="D12" i="36"/>
  <c r="D13" i="36"/>
  <c r="D14" i="36"/>
  <c r="D15" i="36"/>
  <c r="D16" i="36"/>
  <c r="D17" i="36"/>
  <c r="D18" i="36"/>
  <c r="D19" i="36"/>
  <c r="D20" i="36"/>
  <c r="D21" i="36"/>
  <c r="D22" i="36"/>
  <c r="D23" i="36"/>
  <c r="D24" i="36"/>
  <c r="D25" i="36"/>
  <c r="D26" i="36"/>
  <c r="D27" i="36"/>
  <c r="D28" i="36"/>
  <c r="D29" i="36"/>
  <c r="D30" i="36"/>
  <c r="D31" i="36"/>
  <c r="D3" i="36"/>
  <c r="F45" i="58"/>
  <c r="F44" i="58"/>
  <c r="F43" i="58"/>
  <c r="F42" i="58"/>
  <c r="F41" i="58"/>
  <c r="F40" i="58"/>
  <c r="F39" i="58"/>
  <c r="F38" i="58"/>
  <c r="F37" i="58"/>
  <c r="F36" i="58"/>
  <c r="F35" i="58"/>
  <c r="F34" i="58"/>
  <c r="F33" i="58"/>
  <c r="F32" i="58"/>
  <c r="F31" i="58"/>
  <c r="F30" i="58"/>
  <c r="F29" i="58"/>
  <c r="F28" i="58"/>
  <c r="F27" i="58"/>
  <c r="F26" i="58"/>
  <c r="F25" i="58"/>
  <c r="F24" i="58"/>
  <c r="F23" i="58"/>
  <c r="F22" i="58"/>
  <c r="F21" i="58"/>
  <c r="F20" i="58"/>
  <c r="F19" i="58"/>
  <c r="F18" i="58"/>
  <c r="F17" i="58"/>
  <c r="F16" i="58"/>
  <c r="C45" i="58"/>
  <c r="C44" i="58"/>
  <c r="C43" i="58"/>
  <c r="C42" i="58"/>
  <c r="C41" i="58"/>
  <c r="C40" i="58"/>
  <c r="C39" i="58"/>
  <c r="C38" i="58"/>
  <c r="C37" i="58"/>
  <c r="C36" i="58"/>
  <c r="C35" i="58"/>
  <c r="C34" i="58"/>
  <c r="C33" i="58"/>
  <c r="C32" i="58"/>
  <c r="C31" i="58"/>
  <c r="C30" i="58"/>
  <c r="C29" i="58"/>
  <c r="C28" i="58"/>
  <c r="C27" i="58"/>
  <c r="C26" i="58"/>
  <c r="C25" i="58"/>
  <c r="C24" i="58"/>
  <c r="C23" i="58"/>
  <c r="C22" i="58"/>
  <c r="C21" i="58"/>
  <c r="C20" i="58"/>
  <c r="C19" i="58"/>
  <c r="C18" i="58"/>
  <c r="C17" i="58"/>
  <c r="C16" i="58"/>
  <c r="C15" i="58"/>
  <c r="C14" i="58"/>
  <c r="C13" i="58"/>
  <c r="C12" i="58"/>
  <c r="C11" i="58"/>
  <c r="C10" i="58"/>
  <c r="C9" i="58"/>
  <c r="C8" i="58"/>
  <c r="D45" i="58"/>
  <c r="D44" i="58"/>
  <c r="D43" i="58"/>
  <c r="D42" i="58"/>
  <c r="D41" i="58"/>
  <c r="D40" i="58"/>
  <c r="D39" i="58"/>
  <c r="D38" i="58"/>
  <c r="D37" i="58"/>
  <c r="D36" i="58"/>
  <c r="D35" i="58"/>
  <c r="D34" i="58"/>
  <c r="D33" i="58"/>
  <c r="D32" i="58"/>
  <c r="D31" i="58"/>
  <c r="D30" i="58"/>
  <c r="D29" i="58"/>
  <c r="D28" i="58"/>
  <c r="D27" i="58"/>
  <c r="D26" i="58"/>
  <c r="D25" i="58"/>
  <c r="D24" i="58"/>
  <c r="D23" i="58"/>
  <c r="D22" i="58"/>
  <c r="D21" i="58"/>
  <c r="D20" i="58"/>
  <c r="D19" i="58"/>
  <c r="D18" i="58"/>
  <c r="D17" i="58"/>
  <c r="D16" i="58"/>
  <c r="D15" i="58"/>
  <c r="D14" i="58"/>
  <c r="D13" i="58"/>
  <c r="D12" i="58"/>
  <c r="D11" i="58"/>
  <c r="D10" i="58"/>
  <c r="D8" i="58"/>
  <c r="D9" i="58"/>
  <c r="B45" i="58"/>
  <c r="B44" i="58"/>
  <c r="B43" i="58"/>
  <c r="B42" i="58"/>
  <c r="B41" i="58"/>
  <c r="B40" i="58"/>
  <c r="B39" i="58"/>
  <c r="B38" i="58"/>
  <c r="B37" i="58"/>
  <c r="B36" i="58"/>
  <c r="B35" i="58"/>
  <c r="B34" i="58"/>
  <c r="B33" i="58"/>
  <c r="B32" i="58"/>
  <c r="B31" i="58"/>
  <c r="B30" i="58"/>
  <c r="B29" i="58"/>
  <c r="B28" i="58"/>
  <c r="B27" i="58"/>
  <c r="B26" i="58"/>
  <c r="B25" i="58"/>
  <c r="B24" i="58"/>
  <c r="B23" i="58"/>
  <c r="B22" i="58"/>
  <c r="B21" i="58"/>
  <c r="B20" i="58"/>
  <c r="B19" i="58"/>
  <c r="B18" i="58"/>
  <c r="B17" i="58"/>
  <c r="B16" i="58"/>
  <c r="B15" i="58"/>
  <c r="B14" i="58"/>
  <c r="B13" i="58"/>
  <c r="B12" i="58"/>
  <c r="B11" i="58"/>
  <c r="B10" i="58"/>
  <c r="B9" i="58"/>
  <c r="B8" i="58"/>
  <c r="C23" i="57"/>
  <c r="C22" i="57"/>
  <c r="C21" i="57"/>
  <c r="C20" i="57"/>
  <c r="C19" i="57"/>
  <c r="C18" i="57"/>
  <c r="C17" i="57"/>
  <c r="C16" i="57"/>
  <c r="C15" i="57"/>
  <c r="C14" i="57"/>
  <c r="C13" i="57"/>
  <c r="C12" i="57"/>
  <c r="C11" i="57"/>
  <c r="C10" i="57"/>
  <c r="C9" i="57"/>
  <c r="C8" i="57"/>
  <c r="J73" i="29"/>
  <c r="J72" i="29"/>
  <c r="D19" i="56"/>
  <c r="F73" i="29"/>
  <c r="F72" i="29"/>
  <c r="D18" i="56"/>
  <c r="B73" i="29"/>
  <c r="B72" i="29"/>
  <c r="J52" i="29"/>
  <c r="J51" i="29"/>
  <c r="D16" i="56"/>
  <c r="F52" i="29"/>
  <c r="F51" i="29"/>
  <c r="B52" i="29"/>
  <c r="B51" i="29"/>
  <c r="D14" i="56"/>
  <c r="J31" i="29"/>
  <c r="J30" i="29"/>
  <c r="F31" i="29"/>
  <c r="F30" i="29"/>
  <c r="D12" i="56"/>
  <c r="B31" i="29"/>
  <c r="B30" i="29"/>
  <c r="J10" i="29"/>
  <c r="J9" i="29"/>
  <c r="D10" i="56"/>
  <c r="F10" i="29"/>
  <c r="F9" i="29"/>
  <c r="D9" i="56"/>
  <c r="B10" i="29"/>
  <c r="B9" i="29"/>
  <c r="D8" i="56" s="1"/>
  <c r="K86" i="29"/>
  <c r="K85" i="29"/>
  <c r="K84" i="29"/>
  <c r="K83" i="29"/>
  <c r="K82" i="29"/>
  <c r="K81" i="29"/>
  <c r="K80" i="29"/>
  <c r="K79" i="29"/>
  <c r="K78" i="29"/>
  <c r="K77" i="29"/>
  <c r="K76" i="29"/>
  <c r="K87" i="29"/>
  <c r="K88" i="29"/>
  <c r="F19" i="56"/>
  <c r="G87" i="29"/>
  <c r="E18" i="56"/>
  <c r="C66" i="29"/>
  <c r="G66" i="29"/>
  <c r="E15" i="56"/>
  <c r="K66" i="29"/>
  <c r="K67" i="29"/>
  <c r="F16" i="56"/>
  <c r="K45" i="29"/>
  <c r="K46" i="29"/>
  <c r="F13" i="56"/>
  <c r="G45" i="29"/>
  <c r="E12" i="56"/>
  <c r="C19" i="56"/>
  <c r="C18" i="56"/>
  <c r="C17" i="56"/>
  <c r="C16" i="56"/>
  <c r="C15" i="56"/>
  <c r="C14" i="56"/>
  <c r="B19" i="56"/>
  <c r="B18" i="56"/>
  <c r="B17" i="56"/>
  <c r="B16" i="56"/>
  <c r="B15" i="56"/>
  <c r="B14" i="56"/>
  <c r="C13" i="56"/>
  <c r="B13" i="56"/>
  <c r="C12" i="56"/>
  <c r="B12" i="56"/>
  <c r="C11" i="56"/>
  <c r="B11" i="56"/>
  <c r="C10" i="56"/>
  <c r="C9" i="56"/>
  <c r="C8" i="56"/>
  <c r="B10" i="56"/>
  <c r="B9" i="56"/>
  <c r="B8" i="56"/>
  <c r="C39" i="55"/>
  <c r="C38" i="55"/>
  <c r="C36" i="55"/>
  <c r="C35" i="55"/>
  <c r="C34" i="55"/>
  <c r="C33" i="55"/>
  <c r="C32" i="55"/>
  <c r="C31" i="55"/>
  <c r="C30" i="55"/>
  <c r="C29" i="55"/>
  <c r="C28" i="55"/>
  <c r="C27" i="55"/>
  <c r="C26" i="55"/>
  <c r="C25" i="55"/>
  <c r="C24" i="55"/>
  <c r="C23" i="55"/>
  <c r="C22" i="55"/>
  <c r="C21" i="55"/>
  <c r="C20" i="55"/>
  <c r="C19" i="55"/>
  <c r="C18" i="55"/>
  <c r="C16" i="55"/>
  <c r="C15" i="55"/>
  <c r="C14" i="55"/>
  <c r="C13" i="55"/>
  <c r="C12" i="55"/>
  <c r="C11" i="55"/>
  <c r="C10" i="55"/>
  <c r="C9" i="55"/>
  <c r="C8" i="55"/>
  <c r="B39" i="55"/>
  <c r="B38" i="55"/>
  <c r="B37" i="55"/>
  <c r="B36" i="55"/>
  <c r="B35" i="55"/>
  <c r="B34" i="55"/>
  <c r="B33" i="55"/>
  <c r="B32" i="55"/>
  <c r="B31" i="55"/>
  <c r="B30" i="55"/>
  <c r="B29" i="55"/>
  <c r="B28" i="55"/>
  <c r="B27" i="55"/>
  <c r="B26" i="55"/>
  <c r="B25" i="55"/>
  <c r="B24" i="55"/>
  <c r="B23" i="55"/>
  <c r="B22" i="55"/>
  <c r="B21" i="55"/>
  <c r="B20" i="55"/>
  <c r="B19" i="55"/>
  <c r="B18" i="55"/>
  <c r="B17" i="55"/>
  <c r="B16" i="55"/>
  <c r="B15" i="55"/>
  <c r="B14" i="55"/>
  <c r="B13" i="55"/>
  <c r="B12" i="55"/>
  <c r="B11" i="55"/>
  <c r="B10" i="55"/>
  <c r="B9" i="55"/>
  <c r="B8" i="55"/>
  <c r="T8" i="32"/>
  <c r="E14" i="58"/>
  <c r="T4" i="4"/>
  <c r="T5" i="4"/>
  <c r="T6" i="4"/>
  <c r="T7" i="4"/>
  <c r="T8" i="4"/>
  <c r="T9" i="4"/>
  <c r="T10" i="4"/>
  <c r="T11" i="4"/>
  <c r="T12" i="4"/>
  <c r="T13" i="4"/>
  <c r="T14" i="4"/>
  <c r="T15" i="4"/>
  <c r="T16" i="4"/>
  <c r="T17" i="4"/>
  <c r="T3" i="4"/>
  <c r="Q4" i="4"/>
  <c r="Q5" i="4"/>
  <c r="Q6" i="4"/>
  <c r="Q7" i="4"/>
  <c r="Q8" i="4"/>
  <c r="Q9" i="4"/>
  <c r="Q10" i="4"/>
  <c r="Q11" i="4"/>
  <c r="Q12" i="4"/>
  <c r="Q13" i="4"/>
  <c r="Q14" i="4"/>
  <c r="Q15" i="4"/>
  <c r="Q16" i="4"/>
  <c r="Q17" i="4"/>
  <c r="Q3" i="4"/>
  <c r="R3" i="4"/>
  <c r="R4" i="4"/>
  <c r="R5" i="4"/>
  <c r="R6" i="4"/>
  <c r="R7" i="4"/>
  <c r="R8" i="4"/>
  <c r="R9" i="4"/>
  <c r="R10" i="4"/>
  <c r="R11" i="4"/>
  <c r="R12" i="4"/>
  <c r="R13" i="4"/>
  <c r="R14" i="4"/>
  <c r="R15" i="4"/>
  <c r="R16" i="4"/>
  <c r="R17" i="4"/>
  <c r="J43" i="54"/>
  <c r="J45" i="54"/>
  <c r="E28" i="51"/>
  <c r="E29" i="51"/>
  <c r="E30" i="51"/>
  <c r="E31" i="51"/>
  <c r="E32" i="51"/>
  <c r="E33" i="51"/>
  <c r="E34" i="51"/>
  <c r="E35" i="51"/>
  <c r="E27" i="51"/>
  <c r="E8" i="26"/>
  <c r="B16" i="43"/>
  <c r="B14" i="43"/>
  <c r="B12" i="43"/>
  <c r="B10" i="43"/>
  <c r="B7" i="43"/>
  <c r="B5" i="43"/>
  <c r="B3" i="43"/>
  <c r="I64" i="42"/>
  <c r="D30" i="55"/>
  <c r="D29" i="55"/>
  <c r="B8" i="32"/>
  <c r="E8" i="58"/>
  <c r="B39" i="31"/>
  <c r="E12" i="49"/>
  <c r="E13" i="49"/>
  <c r="E14" i="49"/>
  <c r="E15" i="49"/>
  <c r="E16" i="49"/>
  <c r="E17" i="49"/>
  <c r="E18" i="49"/>
  <c r="E19" i="49"/>
  <c r="E20" i="49"/>
  <c r="E21" i="49"/>
  <c r="E22" i="49"/>
  <c r="E23" i="49"/>
  <c r="E24" i="49"/>
  <c r="E25" i="49"/>
  <c r="E26" i="49"/>
  <c r="E11" i="49"/>
  <c r="E8" i="4"/>
  <c r="D8" i="4"/>
  <c r="B38" i="31"/>
  <c r="D39" i="55"/>
  <c r="B16" i="37"/>
  <c r="F6" i="6"/>
  <c r="G6" i="6"/>
  <c r="F7" i="6"/>
  <c r="G7" i="6"/>
  <c r="F8" i="6"/>
  <c r="G8" i="6"/>
  <c r="F9" i="6"/>
  <c r="G9" i="6"/>
  <c r="F10" i="6"/>
  <c r="G10" i="6"/>
  <c r="F11" i="6"/>
  <c r="G11" i="6"/>
  <c r="F12" i="6"/>
  <c r="G12" i="6"/>
  <c r="F13" i="6"/>
  <c r="G13" i="6"/>
  <c r="F14" i="6"/>
  <c r="G14" i="6"/>
  <c r="F15" i="6"/>
  <c r="G15" i="6"/>
  <c r="F16" i="6"/>
  <c r="G16" i="6"/>
  <c r="F17" i="6"/>
  <c r="G17" i="6"/>
  <c r="F18" i="6"/>
  <c r="G18" i="6"/>
  <c r="F19" i="6"/>
  <c r="G19" i="6"/>
  <c r="F20" i="6"/>
  <c r="G20" i="6"/>
  <c r="G26" i="6"/>
  <c r="G27" i="6"/>
  <c r="G28" i="6"/>
  <c r="G29" i="6"/>
  <c r="G30" i="6"/>
  <c r="G31" i="6"/>
  <c r="G32" i="6"/>
  <c r="G33" i="6"/>
  <c r="G34" i="6"/>
  <c r="G35" i="6"/>
  <c r="G36" i="6"/>
  <c r="G37" i="6"/>
  <c r="G38" i="6"/>
  <c r="G39" i="6"/>
  <c r="G40" i="6"/>
  <c r="F47" i="6"/>
  <c r="G47" i="6"/>
  <c r="F48" i="6"/>
  <c r="G48" i="6"/>
  <c r="F49" i="6"/>
  <c r="G49" i="6"/>
  <c r="F50" i="6"/>
  <c r="G50" i="6"/>
  <c r="F51" i="6"/>
  <c r="G51" i="6"/>
  <c r="F52" i="6"/>
  <c r="G52" i="6"/>
  <c r="F53" i="6"/>
  <c r="G53" i="6"/>
  <c r="F54" i="6"/>
  <c r="G54" i="6"/>
  <c r="F55" i="6"/>
  <c r="G55" i="6"/>
  <c r="F56" i="6"/>
  <c r="G56" i="6"/>
  <c r="F57" i="6"/>
  <c r="G57" i="6"/>
  <c r="F58" i="6"/>
  <c r="G58" i="6"/>
  <c r="F59" i="6"/>
  <c r="G59" i="6"/>
  <c r="F60" i="6"/>
  <c r="G60" i="6"/>
  <c r="F61" i="6"/>
  <c r="G61" i="6"/>
  <c r="F5" i="5"/>
  <c r="F6" i="5"/>
  <c r="F7" i="5"/>
  <c r="F8" i="5"/>
  <c r="F9" i="5"/>
  <c r="F10" i="5"/>
  <c r="F11" i="5"/>
  <c r="F12" i="5"/>
  <c r="F13" i="5"/>
  <c r="F14" i="5"/>
  <c r="F15" i="5"/>
  <c r="F16" i="5"/>
  <c r="E26" i="5"/>
  <c r="F26" i="5"/>
  <c r="E27" i="5"/>
  <c r="F27" i="5"/>
  <c r="E28" i="5"/>
  <c r="F28" i="5"/>
  <c r="E29" i="5"/>
  <c r="F29" i="5"/>
  <c r="E30" i="5"/>
  <c r="F30" i="5"/>
  <c r="E31" i="5"/>
  <c r="F31" i="5"/>
  <c r="E32" i="5"/>
  <c r="F32" i="5"/>
  <c r="E33" i="5"/>
  <c r="F33" i="5"/>
  <c r="E34" i="5"/>
  <c r="F34" i="5"/>
  <c r="E35" i="5"/>
  <c r="F35" i="5"/>
  <c r="E36" i="5"/>
  <c r="F36" i="5"/>
  <c r="E37" i="5"/>
  <c r="F37" i="5"/>
  <c r="E6" i="7"/>
  <c r="F6" i="7"/>
  <c r="E7" i="7"/>
  <c r="F7" i="7"/>
  <c r="E8" i="7"/>
  <c r="F8" i="7"/>
  <c r="E9" i="7"/>
  <c r="F9" i="7"/>
  <c r="E10" i="7"/>
  <c r="F10" i="7"/>
  <c r="E11" i="7"/>
  <c r="F11" i="7"/>
  <c r="E12" i="7"/>
  <c r="F12" i="7"/>
  <c r="E13" i="7"/>
  <c r="F13" i="7"/>
  <c r="E14" i="7"/>
  <c r="F14" i="7"/>
  <c r="E15" i="7"/>
  <c r="F15" i="7"/>
  <c r="E16" i="7"/>
  <c r="F16" i="7"/>
  <c r="E17" i="7"/>
  <c r="F17" i="7"/>
  <c r="E21" i="7"/>
  <c r="F21" i="7"/>
  <c r="E22" i="7"/>
  <c r="F22" i="7"/>
  <c r="E23" i="7"/>
  <c r="F23" i="7"/>
  <c r="E24" i="7"/>
  <c r="F24" i="7"/>
  <c r="E25" i="7"/>
  <c r="F25" i="7"/>
  <c r="E26" i="7"/>
  <c r="F26" i="7"/>
  <c r="E27" i="7"/>
  <c r="F27" i="7"/>
  <c r="E28" i="7"/>
  <c r="F28" i="7"/>
  <c r="E29" i="7"/>
  <c r="F29" i="7"/>
  <c r="E30" i="7"/>
  <c r="F30" i="7"/>
  <c r="E31" i="7"/>
  <c r="F31" i="7"/>
  <c r="E32" i="7"/>
  <c r="F32" i="7"/>
  <c r="E39" i="7"/>
  <c r="F39" i="7"/>
  <c r="E40" i="7"/>
  <c r="F40" i="7"/>
  <c r="E41" i="7"/>
  <c r="F41" i="7"/>
  <c r="E42" i="7"/>
  <c r="F42" i="7"/>
  <c r="E43" i="7"/>
  <c r="F43" i="7"/>
  <c r="E44" i="7"/>
  <c r="F44" i="7"/>
  <c r="E45" i="7"/>
  <c r="F45" i="7"/>
  <c r="E46" i="7"/>
  <c r="F46" i="7"/>
  <c r="E47" i="7"/>
  <c r="F47" i="7"/>
  <c r="E48" i="7"/>
  <c r="F48" i="7"/>
  <c r="E49" i="7"/>
  <c r="F49" i="7"/>
  <c r="E50" i="7"/>
  <c r="F50" i="7"/>
  <c r="E53" i="7"/>
  <c r="F53" i="7"/>
  <c r="E54" i="7"/>
  <c r="F54" i="7"/>
  <c r="E55" i="7"/>
  <c r="F55" i="7"/>
  <c r="E56" i="7"/>
  <c r="F56" i="7"/>
  <c r="E57" i="7"/>
  <c r="F57" i="7"/>
  <c r="E58" i="7"/>
  <c r="F58" i="7"/>
  <c r="E59" i="7"/>
  <c r="F59" i="7"/>
  <c r="E60" i="7"/>
  <c r="F60" i="7"/>
  <c r="E61" i="7"/>
  <c r="F61" i="7"/>
  <c r="E62" i="7"/>
  <c r="F62" i="7"/>
  <c r="E63" i="7"/>
  <c r="F63" i="7"/>
  <c r="E64" i="7"/>
  <c r="F64" i="7"/>
  <c r="D5" i="8"/>
  <c r="E5" i="8"/>
  <c r="D6" i="8"/>
  <c r="E6" i="8"/>
  <c r="D7" i="8"/>
  <c r="E7" i="8"/>
  <c r="D8" i="8"/>
  <c r="E8" i="8"/>
  <c r="D9" i="8"/>
  <c r="E9" i="8"/>
  <c r="D10" i="8"/>
  <c r="E10" i="8"/>
  <c r="D11" i="8"/>
  <c r="E11" i="8"/>
  <c r="D12" i="8"/>
  <c r="E12" i="8"/>
  <c r="D13" i="8"/>
  <c r="E13" i="8"/>
  <c r="D14" i="8"/>
  <c r="E14" i="8"/>
  <c r="D15" i="8"/>
  <c r="E15" i="8"/>
  <c r="D16" i="8"/>
  <c r="E16" i="8"/>
  <c r="D21" i="8"/>
  <c r="E21" i="8"/>
  <c r="D22" i="8"/>
  <c r="E22" i="8"/>
  <c r="D23" i="8"/>
  <c r="E23" i="8"/>
  <c r="D24" i="8"/>
  <c r="E24" i="8"/>
  <c r="D25" i="8"/>
  <c r="E25" i="8"/>
  <c r="D26" i="8"/>
  <c r="E26" i="8"/>
  <c r="D27" i="8"/>
  <c r="E27" i="8"/>
  <c r="D28" i="8"/>
  <c r="E28" i="8"/>
  <c r="D29" i="8"/>
  <c r="E29" i="8"/>
  <c r="D30" i="8"/>
  <c r="E30" i="8"/>
  <c r="D31" i="8"/>
  <c r="E31" i="8"/>
  <c r="D32" i="8"/>
  <c r="E32" i="8"/>
  <c r="D37" i="8"/>
  <c r="E37" i="8"/>
  <c r="D38" i="8"/>
  <c r="E38" i="8"/>
  <c r="D39" i="8"/>
  <c r="E39" i="8"/>
  <c r="D40" i="8"/>
  <c r="E40" i="8"/>
  <c r="D41" i="8"/>
  <c r="E41" i="8"/>
  <c r="D42" i="8"/>
  <c r="E42" i="8"/>
  <c r="D43" i="8"/>
  <c r="E43" i="8"/>
  <c r="D44" i="8"/>
  <c r="E44" i="8"/>
  <c r="D45" i="8"/>
  <c r="E45" i="8"/>
  <c r="D46" i="8"/>
  <c r="E46" i="8"/>
  <c r="D47" i="8"/>
  <c r="E47" i="8"/>
  <c r="D48" i="8"/>
  <c r="E48" i="8"/>
  <c r="D12" i="4"/>
  <c r="E12" i="4"/>
  <c r="D13" i="4"/>
  <c r="E13" i="4"/>
  <c r="D3" i="49"/>
  <c r="K3" i="49"/>
  <c r="O3" i="49"/>
  <c r="P3" i="49"/>
  <c r="D4" i="49"/>
  <c r="K4" i="49"/>
  <c r="O4" i="49"/>
  <c r="P4" i="49"/>
  <c r="D5" i="49"/>
  <c r="I5" i="49"/>
  <c r="K5" i="49"/>
  <c r="O5" i="49"/>
  <c r="P5" i="49"/>
  <c r="D6" i="49"/>
  <c r="I6" i="49"/>
  <c r="K6" i="49"/>
  <c r="O6" i="49"/>
  <c r="P6" i="49"/>
  <c r="D7" i="49"/>
  <c r="K7" i="49"/>
  <c r="O7" i="49"/>
  <c r="P7" i="49"/>
  <c r="D8" i="49"/>
  <c r="K8" i="49"/>
  <c r="O8" i="49"/>
  <c r="P8" i="49"/>
  <c r="D9" i="49"/>
  <c r="K9" i="49"/>
  <c r="O9" i="49"/>
  <c r="P9" i="49"/>
  <c r="D10" i="49"/>
  <c r="K10" i="49"/>
  <c r="O10" i="49"/>
  <c r="P10" i="49"/>
  <c r="D11" i="49"/>
  <c r="F11" i="49"/>
  <c r="K11" i="49"/>
  <c r="L11" i="49"/>
  <c r="M11" i="49"/>
  <c r="O11" i="49"/>
  <c r="P11" i="49"/>
  <c r="D12" i="49"/>
  <c r="F12" i="49"/>
  <c r="K12" i="49"/>
  <c r="L12" i="49"/>
  <c r="M12" i="49"/>
  <c r="O12" i="49"/>
  <c r="P12" i="49"/>
  <c r="D13" i="49"/>
  <c r="F13" i="49"/>
  <c r="K13" i="49"/>
  <c r="L13" i="49"/>
  <c r="M13" i="49"/>
  <c r="O13" i="49"/>
  <c r="P13" i="49"/>
  <c r="D14" i="49"/>
  <c r="F14" i="49"/>
  <c r="K14" i="49"/>
  <c r="L14" i="49"/>
  <c r="M14" i="49"/>
  <c r="O14" i="49"/>
  <c r="P14" i="49"/>
  <c r="D15" i="49"/>
  <c r="F15" i="49"/>
  <c r="K15" i="49"/>
  <c r="L15" i="49"/>
  <c r="M15" i="49"/>
  <c r="O15" i="49"/>
  <c r="P15" i="49"/>
  <c r="D16" i="49"/>
  <c r="F16" i="49"/>
  <c r="K16" i="49"/>
  <c r="L16" i="49"/>
  <c r="M16" i="49"/>
  <c r="O16" i="49"/>
  <c r="P16" i="49"/>
  <c r="D17" i="49"/>
  <c r="F17" i="49"/>
  <c r="K17" i="49"/>
  <c r="L17" i="49"/>
  <c r="M17" i="49"/>
  <c r="O17" i="49"/>
  <c r="P17" i="49"/>
  <c r="D18" i="49"/>
  <c r="F18" i="49"/>
  <c r="K18" i="49"/>
  <c r="L18" i="49"/>
  <c r="M18" i="49"/>
  <c r="O18" i="49"/>
  <c r="P18" i="49"/>
  <c r="D19" i="49"/>
  <c r="F19" i="49"/>
  <c r="K19" i="49"/>
  <c r="L19" i="49"/>
  <c r="M19" i="49"/>
  <c r="O19" i="49"/>
  <c r="P19" i="49"/>
  <c r="D20" i="49"/>
  <c r="F20" i="49"/>
  <c r="K20" i="49"/>
  <c r="L20" i="49"/>
  <c r="M20" i="49"/>
  <c r="O20" i="49"/>
  <c r="P20" i="49"/>
  <c r="D21" i="49"/>
  <c r="F21" i="49"/>
  <c r="K21" i="49"/>
  <c r="L21" i="49"/>
  <c r="M21" i="49"/>
  <c r="O21" i="49"/>
  <c r="P21" i="49"/>
  <c r="D22" i="49"/>
  <c r="F22" i="49"/>
  <c r="K22" i="49"/>
  <c r="L22" i="49"/>
  <c r="M22" i="49"/>
  <c r="O22" i="49"/>
  <c r="P22" i="49"/>
  <c r="D23" i="49"/>
  <c r="F23" i="49"/>
  <c r="K23" i="49"/>
  <c r="L23" i="49"/>
  <c r="M23" i="49"/>
  <c r="O23" i="49"/>
  <c r="P23" i="49"/>
  <c r="D24" i="49"/>
  <c r="F24" i="49"/>
  <c r="K24" i="49"/>
  <c r="L24" i="49"/>
  <c r="M24" i="49"/>
  <c r="O24" i="49"/>
  <c r="P24" i="49"/>
  <c r="D25" i="49"/>
  <c r="F25" i="49"/>
  <c r="K25" i="49"/>
  <c r="L25" i="49"/>
  <c r="M25" i="49"/>
  <c r="O25" i="49"/>
  <c r="P25" i="49"/>
  <c r="D26" i="49"/>
  <c r="F26" i="49"/>
  <c r="K26" i="49"/>
  <c r="L26" i="49"/>
  <c r="M26" i="49"/>
  <c r="O26" i="49"/>
  <c r="P26" i="49"/>
  <c r="B4" i="12"/>
  <c r="B6" i="12"/>
  <c r="D4" i="12"/>
  <c r="D6" i="12"/>
  <c r="D8" i="12"/>
  <c r="C17" i="12"/>
  <c r="C21" i="12"/>
  <c r="D21" i="12"/>
  <c r="B6" i="13"/>
  <c r="D6" i="13"/>
  <c r="D8" i="13"/>
  <c r="D10" i="13"/>
  <c r="C17" i="13"/>
  <c r="C21" i="13"/>
  <c r="D21" i="13"/>
  <c r="D37" i="13"/>
  <c r="B38" i="13"/>
  <c r="B40" i="13"/>
  <c r="B42" i="13"/>
  <c r="D39" i="13"/>
  <c r="D41" i="13"/>
  <c r="B5" i="2"/>
  <c r="B7" i="2"/>
  <c r="B9" i="2"/>
  <c r="B11" i="2" s="1"/>
  <c r="C18" i="2"/>
  <c r="C22" i="2"/>
  <c r="D22" i="2"/>
  <c r="H22" i="49"/>
  <c r="G12" i="4"/>
  <c r="I10" i="49"/>
  <c r="H7" i="49"/>
  <c r="I3" i="49"/>
  <c r="B7" i="1"/>
  <c r="B8" i="1"/>
  <c r="E13" i="1"/>
  <c r="B16" i="1"/>
  <c r="E17" i="1"/>
  <c r="B17" i="1"/>
  <c r="I4" i="19"/>
  <c r="C5" i="19"/>
  <c r="D5" i="19"/>
  <c r="E5" i="19"/>
  <c r="F5" i="19"/>
  <c r="I5" i="19"/>
  <c r="I6" i="19"/>
  <c r="C7" i="19"/>
  <c r="E7" i="19"/>
  <c r="D7" i="19"/>
  <c r="F7" i="19"/>
  <c r="I7" i="19"/>
  <c r="I8" i="19"/>
  <c r="I9" i="19"/>
  <c r="I10" i="19"/>
  <c r="C11" i="19"/>
  <c r="D11" i="19"/>
  <c r="E11" i="19"/>
  <c r="I11" i="19"/>
  <c r="I12" i="19"/>
  <c r="C13" i="19"/>
  <c r="D13" i="19"/>
  <c r="E13" i="19"/>
  <c r="I13" i="19"/>
  <c r="I14" i="19"/>
  <c r="C15" i="19"/>
  <c r="D15" i="19"/>
  <c r="E15" i="19"/>
  <c r="I15" i="19"/>
  <c r="I16" i="19"/>
  <c r="I17" i="19"/>
  <c r="I18" i="19"/>
  <c r="I19" i="19"/>
  <c r="C20" i="19"/>
  <c r="I20" i="19"/>
  <c r="I21" i="19"/>
  <c r="I22" i="19"/>
  <c r="C23" i="19"/>
  <c r="I23" i="19"/>
  <c r="I24" i="19"/>
  <c r="I25" i="19"/>
  <c r="I26" i="19"/>
  <c r="I27" i="19"/>
  <c r="I28" i="19"/>
  <c r="I29" i="19"/>
  <c r="I30" i="19"/>
  <c r="I31" i="19"/>
  <c r="I32" i="19"/>
  <c r="I33" i="19"/>
  <c r="I34" i="19"/>
  <c r="I35" i="19"/>
  <c r="I36" i="19"/>
  <c r="I37" i="19"/>
  <c r="I38" i="19"/>
  <c r="I39" i="19"/>
  <c r="I40" i="19"/>
  <c r="I41" i="19"/>
  <c r="I42" i="19"/>
  <c r="I43" i="19"/>
  <c r="I44" i="19"/>
  <c r="E22" i="55"/>
  <c r="E26" i="55"/>
  <c r="E30" i="55"/>
  <c r="N11" i="29"/>
  <c r="B24" i="29"/>
  <c r="F24" i="29"/>
  <c r="J24" i="29"/>
  <c r="B45" i="29"/>
  <c r="F45" i="29"/>
  <c r="J45" i="29"/>
  <c r="B66" i="29"/>
  <c r="F66" i="29"/>
  <c r="J66" i="29"/>
  <c r="B87" i="29"/>
  <c r="F87" i="29"/>
  <c r="J87" i="29"/>
  <c r="B20" i="30"/>
  <c r="D8" i="57" s="1"/>
  <c r="E20" i="30"/>
  <c r="D9" i="57"/>
  <c r="H20" i="30"/>
  <c r="D10" i="57"/>
  <c r="K20" i="30"/>
  <c r="D11" i="57" s="1"/>
  <c r="N20" i="30"/>
  <c r="D12" i="57" s="1"/>
  <c r="Q20" i="30"/>
  <c r="T20" i="30"/>
  <c r="D14" i="57"/>
  <c r="W20" i="30"/>
  <c r="D15" i="57"/>
  <c r="B36" i="30"/>
  <c r="D16" i="57" s="1"/>
  <c r="E36" i="30"/>
  <c r="D17" i="57"/>
  <c r="H36" i="30"/>
  <c r="D18" i="57"/>
  <c r="K36" i="30"/>
  <c r="D19" i="57"/>
  <c r="N36" i="30"/>
  <c r="D20" i="57" s="1"/>
  <c r="Q36" i="30"/>
  <c r="D21" i="57" s="1"/>
  <c r="T36" i="30"/>
  <c r="D22" i="57" s="1"/>
  <c r="W36" i="30"/>
  <c r="D23" i="57"/>
  <c r="B52" i="30"/>
  <c r="E52" i="30"/>
  <c r="H52" i="30"/>
  <c r="K52" i="30"/>
  <c r="N52" i="30"/>
  <c r="Q52" i="30"/>
  <c r="T52" i="30"/>
  <c r="W52" i="30"/>
  <c r="B68" i="30"/>
  <c r="E68" i="30"/>
  <c r="H68" i="30"/>
  <c r="K68" i="30"/>
  <c r="N68" i="30"/>
  <c r="Q68" i="30"/>
  <c r="T68" i="30"/>
  <c r="W68" i="30"/>
  <c r="E9" i="58"/>
  <c r="H8" i="32"/>
  <c r="E10" i="58"/>
  <c r="K8" i="32"/>
  <c r="E11" i="58"/>
  <c r="N8" i="32"/>
  <c r="E12" i="58"/>
  <c r="Q8" i="32"/>
  <c r="E13" i="58"/>
  <c r="W8" i="32"/>
  <c r="E15" i="58"/>
  <c r="B27" i="32"/>
  <c r="E16" i="58"/>
  <c r="E27" i="32"/>
  <c r="E17" i="58"/>
  <c r="H27" i="32"/>
  <c r="E18" i="58"/>
  <c r="K27" i="32"/>
  <c r="E19" i="58"/>
  <c r="N27" i="32"/>
  <c r="Q27" i="32"/>
  <c r="E21" i="58"/>
  <c r="T27" i="32"/>
  <c r="E22" i="58"/>
  <c r="W27" i="32"/>
  <c r="E23" i="58"/>
  <c r="B46" i="32"/>
  <c r="E24" i="58"/>
  <c r="E46" i="32"/>
  <c r="H46" i="32"/>
  <c r="K46" i="32"/>
  <c r="N46" i="32"/>
  <c r="Q46" i="32"/>
  <c r="T46" i="32"/>
  <c r="W46" i="32"/>
  <c r="B65" i="32"/>
  <c r="E65" i="32"/>
  <c r="H65" i="32"/>
  <c r="K65" i="32"/>
  <c r="N65" i="32"/>
  <c r="Q65" i="32"/>
  <c r="T65" i="32"/>
  <c r="W65" i="32"/>
  <c r="B84" i="32"/>
  <c r="E84" i="32"/>
  <c r="H84" i="32"/>
  <c r="K84" i="32"/>
  <c r="N84" i="32"/>
  <c r="Q84" i="32"/>
  <c r="T84" i="32"/>
  <c r="W84" i="32"/>
  <c r="B103" i="32"/>
  <c r="E103" i="32"/>
  <c r="H103" i="32"/>
  <c r="K103" i="32"/>
  <c r="N103" i="32"/>
  <c r="Q103" i="32"/>
  <c r="T103" i="32"/>
  <c r="B117" i="32"/>
  <c r="E117" i="32"/>
  <c r="H117" i="32"/>
  <c r="K117" i="32"/>
  <c r="N117" i="32"/>
  <c r="Q117" i="32"/>
  <c r="T117" i="32"/>
  <c r="W117" i="32"/>
  <c r="H4" i="31"/>
  <c r="I4" i="31"/>
  <c r="B5" i="31"/>
  <c r="D28" i="55"/>
  <c r="H5" i="31"/>
  <c r="B6" i="31"/>
  <c r="H6" i="31"/>
  <c r="I6" i="31"/>
  <c r="B7" i="31"/>
  <c r="H7" i="31"/>
  <c r="B8" i="31"/>
  <c r="D27" i="55"/>
  <c r="H8" i="31"/>
  <c r="I8" i="31"/>
  <c r="B9" i="31"/>
  <c r="H9" i="31"/>
  <c r="I9" i="31"/>
  <c r="B10" i="31"/>
  <c r="H10" i="31"/>
  <c r="D11" i="56"/>
  <c r="B11" i="31"/>
  <c r="H11" i="31"/>
  <c r="I11" i="31"/>
  <c r="B12" i="31"/>
  <c r="E12" i="31"/>
  <c r="H12" i="31"/>
  <c r="I12" i="31"/>
  <c r="B13" i="31"/>
  <c r="H13" i="31"/>
  <c r="I13" i="31"/>
  <c r="B14" i="31"/>
  <c r="H14" i="31"/>
  <c r="I14" i="31"/>
  <c r="B15" i="31"/>
  <c r="H15" i="31"/>
  <c r="B16" i="31"/>
  <c r="D24" i="55"/>
  <c r="E16" i="31"/>
  <c r="H16" i="31"/>
  <c r="I16" i="31"/>
  <c r="B17" i="31"/>
  <c r="H17" i="31"/>
  <c r="I17" i="31"/>
  <c r="B18" i="31"/>
  <c r="E18" i="31"/>
  <c r="H18" i="31"/>
  <c r="I18" i="31"/>
  <c r="D17" i="56"/>
  <c r="B19" i="31"/>
  <c r="H19" i="31"/>
  <c r="B20" i="31"/>
  <c r="D18" i="55"/>
  <c r="H20" i="31"/>
  <c r="I20" i="31"/>
  <c r="B21" i="31"/>
  <c r="E21" i="31"/>
  <c r="H21" i="31"/>
  <c r="I21" i="31"/>
  <c r="E22" i="31"/>
  <c r="H22" i="31"/>
  <c r="I22" i="31"/>
  <c r="B23" i="31"/>
  <c r="E23" i="31"/>
  <c r="H23" i="31"/>
  <c r="I23" i="31"/>
  <c r="B24" i="31"/>
  <c r="B25" i="31"/>
  <c r="B26" i="31"/>
  <c r="B27" i="31"/>
  <c r="B28" i="31"/>
  <c r="B29" i="31"/>
  <c r="D23" i="55"/>
  <c r="B30" i="31"/>
  <c r="B31" i="31"/>
  <c r="B32" i="31"/>
  <c r="D33" i="55"/>
  <c r="B33" i="31"/>
  <c r="D34" i="55"/>
  <c r="B34" i="31"/>
  <c r="B35" i="31"/>
  <c r="B36" i="31"/>
  <c r="D37" i="55"/>
  <c r="B37" i="31"/>
  <c r="S7" i="25"/>
  <c r="S23" i="25"/>
  <c r="S24" i="25"/>
  <c r="T7" i="25"/>
  <c r="T23" i="25"/>
  <c r="T24" i="25"/>
  <c r="U7" i="25"/>
  <c r="U23" i="25"/>
  <c r="U24" i="25"/>
  <c r="V7" i="25"/>
  <c r="V23" i="25"/>
  <c r="V24" i="25"/>
  <c r="W7" i="25"/>
  <c r="W23" i="25"/>
  <c r="W24" i="25"/>
  <c r="X7" i="25"/>
  <c r="X23" i="25"/>
  <c r="X24" i="25"/>
  <c r="Y7" i="25"/>
  <c r="Y23" i="25"/>
  <c r="Y24" i="25"/>
  <c r="Z7" i="25"/>
  <c r="AA7" i="25"/>
  <c r="AA23" i="25"/>
  <c r="AA24" i="25"/>
  <c r="AB7" i="25"/>
  <c r="AC7" i="25"/>
  <c r="AC23" i="25"/>
  <c r="AC24" i="25"/>
  <c r="AD7" i="25"/>
  <c r="AE7" i="25"/>
  <c r="AE23" i="25"/>
  <c r="AE24" i="25"/>
  <c r="AF7" i="25"/>
  <c r="AG7" i="25"/>
  <c r="AG23" i="25"/>
  <c r="AG24" i="25"/>
  <c r="AH7" i="25"/>
  <c r="AI7" i="25"/>
  <c r="AI23" i="25"/>
  <c r="AI24" i="25"/>
  <c r="AJ7" i="25"/>
  <c r="AJ23" i="25"/>
  <c r="AJ24" i="25"/>
  <c r="AK7" i="25"/>
  <c r="AK23" i="25"/>
  <c r="AK24" i="25"/>
  <c r="AL7" i="25"/>
  <c r="AL23" i="25"/>
  <c r="AL24" i="25"/>
  <c r="B11" i="25"/>
  <c r="C11" i="25"/>
  <c r="C18" i="25"/>
  <c r="D11" i="25"/>
  <c r="D14" i="25"/>
  <c r="E11" i="25"/>
  <c r="E14" i="25"/>
  <c r="F11" i="25"/>
  <c r="F14" i="25"/>
  <c r="G11" i="25"/>
  <c r="H11" i="25"/>
  <c r="I11" i="25"/>
  <c r="J11" i="25"/>
  <c r="J16" i="25"/>
  <c r="K11" i="25"/>
  <c r="L11" i="25"/>
  <c r="L17" i="25"/>
  <c r="L13" i="25"/>
  <c r="M11" i="25"/>
  <c r="M16" i="25"/>
  <c r="N11" i="25"/>
  <c r="N17" i="25"/>
  <c r="N14" i="25"/>
  <c r="O11" i="25"/>
  <c r="O18" i="25"/>
  <c r="P11" i="25"/>
  <c r="P15" i="25"/>
  <c r="P14" i="25"/>
  <c r="AP11" i="25"/>
  <c r="AP16" i="25"/>
  <c r="AQ11" i="25"/>
  <c r="AQ16" i="25"/>
  <c r="AQ14" i="25"/>
  <c r="AR11" i="25"/>
  <c r="AS11" i="25"/>
  <c r="AS14" i="25"/>
  <c r="AT11" i="25"/>
  <c r="AT18" i="25"/>
  <c r="AU11" i="25"/>
  <c r="AV11" i="25"/>
  <c r="AV18" i="25"/>
  <c r="AW11" i="25"/>
  <c r="AX11" i="25"/>
  <c r="AY11" i="25"/>
  <c r="AY18" i="25"/>
  <c r="AZ11" i="25"/>
  <c r="AZ15" i="25"/>
  <c r="AZ18" i="25"/>
  <c r="BA11" i="25"/>
  <c r="BA15" i="25"/>
  <c r="BB11" i="25"/>
  <c r="BB18" i="25"/>
  <c r="BC11" i="25"/>
  <c r="BD11" i="25"/>
  <c r="BD17" i="25"/>
  <c r="B12" i="25"/>
  <c r="C12" i="25"/>
  <c r="D12" i="25"/>
  <c r="E12" i="25"/>
  <c r="F12" i="25"/>
  <c r="G12" i="25"/>
  <c r="H12" i="25"/>
  <c r="I12" i="25"/>
  <c r="J12" i="25"/>
  <c r="K12" i="25"/>
  <c r="L12" i="25"/>
  <c r="M12" i="25"/>
  <c r="N12" i="25"/>
  <c r="O12" i="25"/>
  <c r="P12" i="25"/>
  <c r="AP12" i="25"/>
  <c r="AQ12" i="25"/>
  <c r="AR12" i="25"/>
  <c r="AS12" i="25"/>
  <c r="AT12" i="25"/>
  <c r="AU12" i="25"/>
  <c r="AV12" i="25"/>
  <c r="AW12" i="25"/>
  <c r="AX12" i="25"/>
  <c r="AY12" i="25"/>
  <c r="AZ12" i="25"/>
  <c r="BA12" i="25"/>
  <c r="BB12" i="25"/>
  <c r="BC12" i="25"/>
  <c r="BD12" i="25"/>
  <c r="S13" i="25"/>
  <c r="T13" i="25"/>
  <c r="T16" i="25"/>
  <c r="U13" i="25"/>
  <c r="V13" i="25"/>
  <c r="V18" i="25"/>
  <c r="W13" i="25"/>
  <c r="W20" i="25"/>
  <c r="X13" i="25"/>
  <c r="X16" i="25"/>
  <c r="Y13" i="25"/>
  <c r="Y20" i="25"/>
  <c r="Z13" i="25"/>
  <c r="AA13" i="25"/>
  <c r="AA16" i="25"/>
  <c r="AA15" i="25"/>
  <c r="AA32" i="25"/>
  <c r="AB13" i="25"/>
  <c r="AC13" i="25"/>
  <c r="AD13" i="25"/>
  <c r="AD19" i="25"/>
  <c r="AD15" i="25"/>
  <c r="AD32" i="25"/>
  <c r="AE13" i="25"/>
  <c r="AE16" i="25"/>
  <c r="AE15" i="25"/>
  <c r="AE32" i="25"/>
  <c r="AF13" i="25"/>
  <c r="AF20" i="25"/>
  <c r="AG13" i="25"/>
  <c r="AH13" i="25"/>
  <c r="AI13" i="25"/>
  <c r="AJ13" i="25"/>
  <c r="AJ17" i="25"/>
  <c r="AJ15" i="25"/>
  <c r="AJ32" i="25"/>
  <c r="AK13" i="25"/>
  <c r="AK19" i="25"/>
  <c r="AL13" i="25"/>
  <c r="AL18" i="25"/>
  <c r="B14" i="25"/>
  <c r="H14" i="25"/>
  <c r="S14" i="25"/>
  <c r="S31" i="25"/>
  <c r="T14" i="25"/>
  <c r="T31" i="25"/>
  <c r="U14" i="25"/>
  <c r="U31" i="25"/>
  <c r="V14" i="25"/>
  <c r="V31" i="25"/>
  <c r="W14" i="25"/>
  <c r="W31" i="25"/>
  <c r="X14" i="25"/>
  <c r="X31" i="25"/>
  <c r="Y14" i="25"/>
  <c r="Y31" i="25"/>
  <c r="Z14" i="25"/>
  <c r="AA14" i="25"/>
  <c r="AB14" i="25"/>
  <c r="AB31" i="25"/>
  <c r="AC14" i="25"/>
  <c r="AC31" i="25"/>
  <c r="AD14" i="25"/>
  <c r="AD31" i="25"/>
  <c r="AE14" i="25"/>
  <c r="AE31" i="25"/>
  <c r="AF14" i="25"/>
  <c r="AF31" i="25"/>
  <c r="AG14" i="25"/>
  <c r="AG31" i="25"/>
  <c r="AH14" i="25"/>
  <c r="AI14" i="25"/>
  <c r="AJ14" i="25"/>
  <c r="AJ31" i="25"/>
  <c r="AK14" i="25"/>
  <c r="AK31" i="25"/>
  <c r="AL14" i="25"/>
  <c r="AL31" i="25"/>
  <c r="AX14" i="25"/>
  <c r="AX13" i="25"/>
  <c r="AY14" i="25"/>
  <c r="AY13" i="25"/>
  <c r="AZ14" i="25"/>
  <c r="AZ13" i="25"/>
  <c r="BD14" i="25"/>
  <c r="BD13" i="25"/>
  <c r="B15" i="25"/>
  <c r="E15" i="25"/>
  <c r="F15" i="25"/>
  <c r="F13" i="25"/>
  <c r="H15" i="25"/>
  <c r="AQ15" i="25"/>
  <c r="AX15" i="25"/>
  <c r="H16" i="25"/>
  <c r="P16" i="25"/>
  <c r="V16" i="25"/>
  <c r="AL16" i="25"/>
  <c r="AL15" i="25"/>
  <c r="AL32" i="25"/>
  <c r="AX16" i="25"/>
  <c r="AY16" i="25"/>
  <c r="AZ16" i="25"/>
  <c r="B17" i="25"/>
  <c r="E17" i="25"/>
  <c r="H17" i="25"/>
  <c r="V17" i="25"/>
  <c r="Z17" i="25"/>
  <c r="AE17" i="25"/>
  <c r="AL17" i="25"/>
  <c r="AP17" i="25"/>
  <c r="AU17" i="25"/>
  <c r="AX17" i="25"/>
  <c r="AZ17" i="25"/>
  <c r="E18" i="25"/>
  <c r="H18" i="25"/>
  <c r="J18" i="25"/>
  <c r="AB18" i="25"/>
  <c r="AE18" i="25"/>
  <c r="AK18" i="25"/>
  <c r="AP18" i="25"/>
  <c r="AQ18" i="25"/>
  <c r="AU18" i="25"/>
  <c r="AX18" i="25"/>
  <c r="U19" i="25"/>
  <c r="V19" i="25"/>
  <c r="AE19" i="25"/>
  <c r="AG19" i="25"/>
  <c r="AG15" i="25"/>
  <c r="AG32" i="25"/>
  <c r="AI19" i="25"/>
  <c r="AL19" i="25"/>
  <c r="U20" i="25"/>
  <c r="AC20" i="25"/>
  <c r="AE20" i="25"/>
  <c r="AI20" i="25"/>
  <c r="AL20" i="25"/>
  <c r="Z23" i="25"/>
  <c r="Z24" i="25"/>
  <c r="AB23" i="25"/>
  <c r="AB24" i="25"/>
  <c r="AD23" i="25"/>
  <c r="AD24" i="25"/>
  <c r="AF23" i="25"/>
  <c r="AF24" i="25"/>
  <c r="AH23" i="25"/>
  <c r="AH24" i="25"/>
  <c r="S25" i="25"/>
  <c r="T25" i="25"/>
  <c r="U25" i="25"/>
  <c r="V25" i="25"/>
  <c r="W25" i="25"/>
  <c r="X25" i="25"/>
  <c r="Y25" i="25"/>
  <c r="Z25" i="25"/>
  <c r="AA25" i="25"/>
  <c r="AB25" i="25"/>
  <c r="AC25" i="25"/>
  <c r="AD25" i="25"/>
  <c r="AE25" i="25"/>
  <c r="AF25" i="25"/>
  <c r="AG25" i="25"/>
  <c r="AH25" i="25"/>
  <c r="AI25" i="25"/>
  <c r="AJ25" i="25"/>
  <c r="AK25" i="25"/>
  <c r="AL25" i="25"/>
  <c r="S26" i="25"/>
  <c r="T26" i="25"/>
  <c r="U26" i="25"/>
  <c r="V26" i="25"/>
  <c r="W26" i="25"/>
  <c r="X26" i="25"/>
  <c r="Y26" i="25"/>
  <c r="Z26" i="25"/>
  <c r="AA26" i="25"/>
  <c r="AB26" i="25"/>
  <c r="AC26" i="25"/>
  <c r="AD26" i="25"/>
  <c r="AE26" i="25"/>
  <c r="AF26" i="25"/>
  <c r="AG26" i="25"/>
  <c r="AH26" i="25"/>
  <c r="AI26" i="25"/>
  <c r="AJ26" i="25"/>
  <c r="AK26" i="25"/>
  <c r="AL26" i="25"/>
  <c r="S27" i="25"/>
  <c r="T27" i="25"/>
  <c r="U27" i="25"/>
  <c r="V27" i="25"/>
  <c r="W27" i="25"/>
  <c r="X27" i="25"/>
  <c r="Y27" i="25"/>
  <c r="Z27" i="25"/>
  <c r="AA27" i="25"/>
  <c r="AB27" i="25"/>
  <c r="AC27" i="25"/>
  <c r="AD27" i="25"/>
  <c r="AE27" i="25"/>
  <c r="AF27" i="25"/>
  <c r="AG27" i="25"/>
  <c r="AH27" i="25"/>
  <c r="AI27" i="25"/>
  <c r="AJ27" i="25"/>
  <c r="AK27" i="25"/>
  <c r="AL27" i="25"/>
  <c r="S28" i="25"/>
  <c r="T28" i="25"/>
  <c r="U28" i="25"/>
  <c r="V28" i="25"/>
  <c r="W28" i="25"/>
  <c r="X28" i="25"/>
  <c r="Y28" i="25"/>
  <c r="Z28" i="25"/>
  <c r="AA28" i="25"/>
  <c r="AB28" i="25"/>
  <c r="AC28" i="25"/>
  <c r="AD28" i="25"/>
  <c r="AE28" i="25"/>
  <c r="AF28" i="25"/>
  <c r="AG28" i="25"/>
  <c r="AH28" i="25"/>
  <c r="AI28" i="25"/>
  <c r="AJ28" i="25"/>
  <c r="AK28" i="25"/>
  <c r="AL28" i="25"/>
  <c r="S29" i="25"/>
  <c r="T29" i="25"/>
  <c r="U29" i="25"/>
  <c r="V29" i="25"/>
  <c r="W29" i="25"/>
  <c r="X29" i="25"/>
  <c r="Y29" i="25"/>
  <c r="Z29" i="25"/>
  <c r="AA29" i="25"/>
  <c r="AB29" i="25"/>
  <c r="AC29" i="25"/>
  <c r="AD29" i="25"/>
  <c r="AE29" i="25"/>
  <c r="AF29" i="25"/>
  <c r="AG29" i="25"/>
  <c r="AH29" i="25"/>
  <c r="AI29" i="25"/>
  <c r="AJ29" i="25"/>
  <c r="AK29" i="25"/>
  <c r="AL29" i="25"/>
  <c r="U30" i="25"/>
  <c r="AE30" i="25"/>
  <c r="AI30" i="25"/>
  <c r="AL30" i="25"/>
  <c r="Z31" i="25"/>
  <c r="AA31" i="25"/>
  <c r="AH31" i="25"/>
  <c r="AI31" i="25"/>
  <c r="G47" i="14"/>
  <c r="H47" i="14"/>
  <c r="G48" i="14"/>
  <c r="H48" i="14"/>
  <c r="G49" i="14"/>
  <c r="H49" i="14"/>
  <c r="G50" i="14"/>
  <c r="H50" i="14"/>
  <c r="G51" i="14"/>
  <c r="H51" i="14"/>
  <c r="G52" i="14"/>
  <c r="H52" i="14"/>
  <c r="G53" i="14"/>
  <c r="H53" i="14"/>
  <c r="B57" i="14"/>
  <c r="C57" i="14"/>
  <c r="D57" i="14"/>
  <c r="E57" i="14"/>
  <c r="B58" i="14"/>
  <c r="C58" i="14"/>
  <c r="D58" i="14"/>
  <c r="E58" i="14"/>
  <c r="B59" i="14"/>
  <c r="C59" i="14"/>
  <c r="D59" i="14"/>
  <c r="E59" i="14"/>
  <c r="B60" i="14"/>
  <c r="C60" i="14"/>
  <c r="D60" i="14"/>
  <c r="E60" i="14"/>
  <c r="B61" i="14"/>
  <c r="C61" i="14"/>
  <c r="D61" i="14"/>
  <c r="E61" i="14"/>
  <c r="B62" i="14"/>
  <c r="C62" i="14"/>
  <c r="D62" i="14"/>
  <c r="E62" i="14"/>
  <c r="B60" i="16"/>
  <c r="C60" i="16"/>
  <c r="G60" i="16"/>
  <c r="H60" i="16"/>
  <c r="B61" i="16"/>
  <c r="C61" i="16"/>
  <c r="B62" i="16"/>
  <c r="C62" i="16"/>
  <c r="G62" i="16"/>
  <c r="H62" i="16"/>
  <c r="B63" i="16"/>
  <c r="C63" i="16"/>
  <c r="G63" i="16"/>
  <c r="H63" i="16"/>
  <c r="B64" i="16"/>
  <c r="C64" i="16"/>
  <c r="G64" i="16"/>
  <c r="H64" i="16"/>
  <c r="B65" i="16"/>
  <c r="C65" i="16"/>
  <c r="G65" i="16"/>
  <c r="H65" i="16"/>
  <c r="B66" i="16"/>
  <c r="C66" i="16"/>
  <c r="G66" i="16"/>
  <c r="H66" i="16"/>
  <c r="G67" i="16"/>
  <c r="H67" i="16"/>
  <c r="G68" i="16"/>
  <c r="H68" i="16"/>
  <c r="A5" i="17"/>
  <c r="C5" i="17"/>
  <c r="D5" i="17"/>
  <c r="J5" i="17"/>
  <c r="K5" i="17"/>
  <c r="L5" i="17"/>
  <c r="A6" i="17"/>
  <c r="D6" i="17"/>
  <c r="C6" i="17"/>
  <c r="J6" i="17"/>
  <c r="K6" i="17"/>
  <c r="L6" i="17"/>
  <c r="A7" i="17"/>
  <c r="D7" i="17"/>
  <c r="J7" i="17"/>
  <c r="K7" i="17"/>
  <c r="L7" i="17" s="1"/>
  <c r="A8" i="17"/>
  <c r="J8" i="17"/>
  <c r="K8" i="17"/>
  <c r="L8" i="17"/>
  <c r="A9" i="17"/>
  <c r="C9" i="17"/>
  <c r="J9" i="17"/>
  <c r="K9" i="17"/>
  <c r="L9" i="17"/>
  <c r="A10" i="17"/>
  <c r="C10" i="17"/>
  <c r="J10" i="17"/>
  <c r="K10" i="17"/>
  <c r="L10" i="17" s="1"/>
  <c r="D11" i="17"/>
  <c r="J11" i="17"/>
  <c r="D12" i="17"/>
  <c r="J12" i="17"/>
  <c r="K12" i="17"/>
  <c r="L12" i="17" s="1"/>
  <c r="C13" i="17"/>
  <c r="J13" i="17"/>
  <c r="K13" i="17"/>
  <c r="L13" i="17"/>
  <c r="A14" i="17"/>
  <c r="D14" i="17"/>
  <c r="J14" i="17"/>
  <c r="K14" i="17"/>
  <c r="L14" i="17"/>
  <c r="A15" i="17"/>
  <c r="C15" i="17"/>
  <c r="J15" i="17"/>
  <c r="K15" i="17"/>
  <c r="L15" i="17"/>
  <c r="J16" i="17"/>
  <c r="M19" i="17"/>
  <c r="N19" i="17" s="1"/>
  <c r="C22" i="17"/>
  <c r="F22" i="17" s="1"/>
  <c r="D22" i="17"/>
  <c r="G22" i="17"/>
  <c r="M22" i="17"/>
  <c r="C23" i="17"/>
  <c r="F23" i="17" s="1"/>
  <c r="D23" i="17"/>
  <c r="G23" i="17"/>
  <c r="C24" i="17"/>
  <c r="D24" i="17"/>
  <c r="G24" i="17"/>
  <c r="C25" i="17"/>
  <c r="F25" i="17" s="1"/>
  <c r="D25" i="17"/>
  <c r="G25" i="17"/>
  <c r="M25" i="17"/>
  <c r="C26" i="17"/>
  <c r="F26" i="17" s="1"/>
  <c r="D26" i="17"/>
  <c r="G26" i="17"/>
  <c r="C27" i="17"/>
  <c r="D27" i="17"/>
  <c r="G27" i="17"/>
  <c r="C28" i="17"/>
  <c r="F28" i="17" s="1"/>
  <c r="D28" i="17"/>
  <c r="G28" i="17"/>
  <c r="C29" i="17"/>
  <c r="F29" i="17"/>
  <c r="D29" i="17"/>
  <c r="G29" i="17"/>
  <c r="L30" i="17"/>
  <c r="H4" i="18"/>
  <c r="I4" i="18"/>
  <c r="H5" i="18"/>
  <c r="I5" i="18"/>
  <c r="H6" i="18"/>
  <c r="I6" i="18"/>
  <c r="H7" i="18"/>
  <c r="I7" i="18"/>
  <c r="H8" i="18"/>
  <c r="I8" i="18"/>
  <c r="H9" i="18"/>
  <c r="I9" i="18"/>
  <c r="H10" i="18"/>
  <c r="I10" i="18"/>
  <c r="H11" i="18"/>
  <c r="I11" i="18"/>
  <c r="H12" i="18"/>
  <c r="I12" i="18"/>
  <c r="H13" i="18"/>
  <c r="I13" i="18"/>
  <c r="H14" i="18"/>
  <c r="I14" i="18"/>
  <c r="B18" i="18"/>
  <c r="H18" i="18"/>
  <c r="B19" i="18"/>
  <c r="H19" i="18"/>
  <c r="B20" i="18"/>
  <c r="H20" i="18"/>
  <c r="I20" i="18"/>
  <c r="B21" i="18"/>
  <c r="H21" i="18"/>
  <c r="B22" i="18"/>
  <c r="I22" i="18"/>
  <c r="B23" i="18"/>
  <c r="H23" i="18"/>
  <c r="B24" i="18"/>
  <c r="H24" i="18"/>
  <c r="B25" i="18"/>
  <c r="H25" i="18"/>
  <c r="B26" i="18"/>
  <c r="H26" i="18"/>
  <c r="I26" i="18"/>
  <c r="B27" i="18"/>
  <c r="I27" i="18"/>
  <c r="B28" i="18"/>
  <c r="I28" i="18"/>
  <c r="I4" i="26"/>
  <c r="D5" i="26"/>
  <c r="E11" i="26"/>
  <c r="E5" i="26"/>
  <c r="E6" i="26"/>
  <c r="E7" i="26"/>
  <c r="E10" i="26"/>
  <c r="I7" i="26"/>
  <c r="E9" i="26"/>
  <c r="B10" i="26"/>
  <c r="B11" i="26"/>
  <c r="D18" i="26"/>
  <c r="E18" i="26"/>
  <c r="E19" i="26"/>
  <c r="E20" i="26"/>
  <c r="E21" i="26"/>
  <c r="E22" i="26"/>
  <c r="B23" i="26"/>
  <c r="Y4" i="51"/>
  <c r="B6" i="51"/>
  <c r="H6" i="51"/>
  <c r="H7" i="51"/>
  <c r="U6" i="51"/>
  <c r="U7" i="51"/>
  <c r="Y5" i="51"/>
  <c r="U10" i="51"/>
  <c r="U11" i="51"/>
  <c r="Y6" i="51"/>
  <c r="D19" i="51"/>
  <c r="D20" i="51" s="1"/>
  <c r="D21" i="51" s="1"/>
  <c r="D22" i="51" s="1"/>
  <c r="P21" i="51"/>
  <c r="D23" i="51"/>
  <c r="G23" i="51"/>
  <c r="P25" i="51"/>
  <c r="G26" i="51"/>
  <c r="C27" i="51"/>
  <c r="D27" i="51"/>
  <c r="S27" i="51"/>
  <c r="D28" i="51"/>
  <c r="D29" i="51"/>
  <c r="O29" i="51"/>
  <c r="P29" i="51"/>
  <c r="D30" i="51"/>
  <c r="P30" i="51"/>
  <c r="S30" i="51"/>
  <c r="D31" i="51"/>
  <c r="P31" i="51"/>
  <c r="D32" i="51"/>
  <c r="P32" i="51"/>
  <c r="D33" i="51"/>
  <c r="P33" i="51"/>
  <c r="P38" i="51"/>
  <c r="D34" i="51"/>
  <c r="P34" i="51"/>
  <c r="D35" i="51"/>
  <c r="P35" i="51"/>
  <c r="P36" i="51"/>
  <c r="P37" i="51"/>
  <c r="D5" i="41"/>
  <c r="E5" i="41"/>
  <c r="D6" i="41"/>
  <c r="E6" i="41"/>
  <c r="D7" i="41"/>
  <c r="E7" i="41"/>
  <c r="D8" i="41"/>
  <c r="E8" i="41"/>
  <c r="D9" i="41"/>
  <c r="E9" i="41"/>
  <c r="D10" i="41"/>
  <c r="E10" i="41"/>
  <c r="D11" i="41"/>
  <c r="E11" i="41"/>
  <c r="D12" i="41"/>
  <c r="E12" i="41"/>
  <c r="D13" i="41"/>
  <c r="E13" i="41"/>
  <c r="D14" i="41"/>
  <c r="E14" i="41"/>
  <c r="D15" i="41"/>
  <c r="E15" i="41"/>
  <c r="D16" i="41"/>
  <c r="E16" i="41"/>
  <c r="C5" i="24"/>
  <c r="D5" i="24"/>
  <c r="F5" i="24"/>
  <c r="C6" i="24"/>
  <c r="D6" i="24"/>
  <c r="F6" i="24"/>
  <c r="C7" i="24"/>
  <c r="D7" i="24"/>
  <c r="F7" i="24"/>
  <c r="C8" i="24"/>
  <c r="D8" i="24"/>
  <c r="F8" i="24"/>
  <c r="C9" i="24"/>
  <c r="D9" i="24"/>
  <c r="F9" i="24"/>
  <c r="C10" i="24"/>
  <c r="D10" i="24"/>
  <c r="F10" i="24"/>
  <c r="C11" i="24"/>
  <c r="D11" i="24"/>
  <c r="F11" i="24"/>
  <c r="C12" i="24"/>
  <c r="D12" i="24"/>
  <c r="F12" i="24"/>
  <c r="C13" i="24"/>
  <c r="D13" i="24"/>
  <c r="F13" i="24"/>
  <c r="C14" i="24"/>
  <c r="D14" i="24"/>
  <c r="F14" i="24"/>
  <c r="C15" i="24"/>
  <c r="D15" i="24"/>
  <c r="F15" i="24"/>
  <c r="B22" i="24"/>
  <c r="B26" i="24"/>
  <c r="B27" i="24"/>
  <c r="B31" i="24"/>
  <c r="C31" i="24"/>
  <c r="B32" i="24"/>
  <c r="C32" i="24"/>
  <c r="B33" i="24"/>
  <c r="C33" i="24"/>
  <c r="B34" i="24"/>
  <c r="C34" i="24"/>
  <c r="B35" i="24"/>
  <c r="C35" i="24"/>
  <c r="B36" i="24"/>
  <c r="C36" i="24"/>
  <c r="B37" i="24"/>
  <c r="C37" i="24"/>
  <c r="B43" i="21"/>
  <c r="B81" i="21"/>
  <c r="C81" i="21"/>
  <c r="B82" i="21"/>
  <c r="C82" i="21"/>
  <c r="B83" i="21"/>
  <c r="C83" i="21"/>
  <c r="B84" i="21"/>
  <c r="C84" i="21"/>
  <c r="B85" i="21"/>
  <c r="C85" i="21"/>
  <c r="B86" i="21"/>
  <c r="C86" i="21"/>
  <c r="B87" i="21"/>
  <c r="C87" i="21"/>
  <c r="B90" i="21"/>
  <c r="C90" i="21"/>
  <c r="B91" i="21"/>
  <c r="C91" i="21"/>
  <c r="B92" i="21"/>
  <c r="C92" i="21"/>
  <c r="B93" i="21"/>
  <c r="C93" i="21"/>
  <c r="B94" i="21"/>
  <c r="C94" i="21"/>
  <c r="B95" i="21"/>
  <c r="C95" i="21"/>
  <c r="B96" i="21"/>
  <c r="C96" i="21"/>
  <c r="B97" i="21"/>
  <c r="C97" i="21"/>
  <c r="B98" i="21"/>
  <c r="C98" i="21"/>
  <c r="B107" i="21"/>
  <c r="C107" i="21"/>
  <c r="B108" i="21"/>
  <c r="C108" i="21"/>
  <c r="B109" i="21"/>
  <c r="C109" i="21"/>
  <c r="B110" i="21"/>
  <c r="C110" i="21"/>
  <c r="B111" i="21"/>
  <c r="C111" i="21"/>
  <c r="B112" i="21"/>
  <c r="C112" i="21"/>
  <c r="B113" i="21"/>
  <c r="C113" i="21"/>
  <c r="B114" i="21"/>
  <c r="C114" i="21"/>
  <c r="D6" i="42"/>
  <c r="D10" i="42"/>
  <c r="D16" i="42"/>
  <c r="D18" i="42"/>
  <c r="E16" i="42"/>
  <c r="E18" i="42"/>
  <c r="F16" i="42"/>
  <c r="F18" i="42"/>
  <c r="G16" i="42"/>
  <c r="G18" i="42"/>
  <c r="H16" i="42"/>
  <c r="H18" i="42"/>
  <c r="I16" i="42"/>
  <c r="I18" i="42"/>
  <c r="J16" i="42"/>
  <c r="J18" i="42"/>
  <c r="D24" i="42"/>
  <c r="S26" i="42"/>
  <c r="U26" i="42"/>
  <c r="S27" i="42"/>
  <c r="U27" i="42"/>
  <c r="S28" i="42"/>
  <c r="U28" i="42"/>
  <c r="D29" i="42"/>
  <c r="S29" i="42"/>
  <c r="U29" i="42"/>
  <c r="S30" i="42"/>
  <c r="U30" i="42"/>
  <c r="S31" i="42"/>
  <c r="U31" i="42"/>
  <c r="C32" i="42"/>
  <c r="S32" i="42"/>
  <c r="U32" i="42"/>
  <c r="C33" i="42"/>
  <c r="C34" i="42"/>
  <c r="C35" i="42"/>
  <c r="C36" i="42"/>
  <c r="C37" i="42"/>
  <c r="C38" i="42"/>
  <c r="C40" i="42"/>
  <c r="C42" i="42"/>
  <c r="C43" i="42"/>
  <c r="I63" i="42"/>
  <c r="I65" i="42"/>
  <c r="B18" i="43" a="1"/>
  <c r="B22" i="43"/>
  <c r="B20" i="43"/>
  <c r="F4" i="40"/>
  <c r="I4" i="40"/>
  <c r="F5" i="40"/>
  <c r="I5" i="40"/>
  <c r="F6" i="40"/>
  <c r="I6" i="40"/>
  <c r="F7" i="40"/>
  <c r="I7" i="40"/>
  <c r="F8" i="40"/>
  <c r="I8" i="40"/>
  <c r="F9" i="40"/>
  <c r="I9" i="40"/>
  <c r="F10" i="40"/>
  <c r="I10" i="40"/>
  <c r="F11" i="40"/>
  <c r="I11" i="40"/>
  <c r="F12" i="40"/>
  <c r="I12" i="40"/>
  <c r="F13" i="40"/>
  <c r="I13" i="40"/>
  <c r="F14" i="40"/>
  <c r="I14" i="40"/>
  <c r="F15" i="40"/>
  <c r="I15" i="40"/>
  <c r="F16" i="40"/>
  <c r="I16" i="40"/>
  <c r="F17" i="40"/>
  <c r="I17" i="40"/>
  <c r="D13" i="17"/>
  <c r="C12" i="17"/>
  <c r="I15" i="31"/>
  <c r="H27" i="18"/>
  <c r="D10" i="17"/>
  <c r="H13" i="25"/>
  <c r="C11" i="17"/>
  <c r="I16" i="25"/>
  <c r="E16" i="25"/>
  <c r="O15" i="25"/>
  <c r="K15" i="25"/>
  <c r="C15" i="25"/>
  <c r="AS17" i="25"/>
  <c r="AS16" i="25"/>
  <c r="O14" i="25"/>
  <c r="O16" i="25"/>
  <c r="L14" i="25"/>
  <c r="L15" i="25"/>
  <c r="D16" i="25"/>
  <c r="L18" i="25"/>
  <c r="O17" i="25"/>
  <c r="G17" i="25"/>
  <c r="I7" i="31"/>
  <c r="I10" i="31"/>
  <c r="H9" i="49"/>
  <c r="D9" i="17"/>
  <c r="AJ16" i="25"/>
  <c r="AJ20" i="25"/>
  <c r="AF16" i="25"/>
  <c r="AF18" i="25"/>
  <c r="AF30" i="25"/>
  <c r="AW14" i="25"/>
  <c r="AW13" i="25"/>
  <c r="AW17" i="25"/>
  <c r="AW15" i="25"/>
  <c r="AW18" i="25"/>
  <c r="AT16" i="25"/>
  <c r="AT17" i="25"/>
  <c r="I15" i="25"/>
  <c r="I18" i="25"/>
  <c r="I17" i="25"/>
  <c r="C16" i="25"/>
  <c r="C17" i="25"/>
  <c r="L16" i="25"/>
  <c r="D15" i="17"/>
  <c r="H28" i="18"/>
  <c r="I18" i="18"/>
  <c r="C14" i="17"/>
  <c r="T20" i="25"/>
  <c r="AJ19" i="25"/>
  <c r="AF19" i="25"/>
  <c r="AD16" i="25"/>
  <c r="BC17" i="25"/>
  <c r="BC14" i="25"/>
  <c r="BC13" i="25"/>
  <c r="BC16" i="25"/>
  <c r="N16" i="25"/>
  <c r="H22" i="18"/>
  <c r="I19" i="18"/>
  <c r="X18" i="25"/>
  <c r="X15" i="25"/>
  <c r="X32" i="25"/>
  <c r="X30" i="25"/>
  <c r="X17" i="25"/>
  <c r="T18" i="25"/>
  <c r="T30" i="25"/>
  <c r="T17" i="25"/>
  <c r="T15" i="25"/>
  <c r="T32" i="25"/>
  <c r="BB17" i="25"/>
  <c r="BB15" i="25"/>
  <c r="AP14" i="25"/>
  <c r="AP13" i="25"/>
  <c r="AP15" i="25"/>
  <c r="I19" i="31"/>
  <c r="AJ18" i="25"/>
  <c r="AF17" i="25"/>
  <c r="AF15" i="25"/>
  <c r="AF32" i="25"/>
  <c r="AW16" i="25"/>
  <c r="AT15" i="25"/>
  <c r="AK17" i="25"/>
  <c r="AK16" i="25"/>
  <c r="AK15" i="25"/>
  <c r="AK32" i="25"/>
  <c r="AK20" i="25"/>
  <c r="AK30" i="25"/>
  <c r="AG17" i="25"/>
  <c r="AG16" i="25"/>
  <c r="AG18" i="25"/>
  <c r="AG20" i="25"/>
  <c r="AG30" i="25"/>
  <c r="AU14" i="25"/>
  <c r="AU13" i="25"/>
  <c r="AU15" i="25"/>
  <c r="AU16" i="25"/>
  <c r="I14" i="25"/>
  <c r="I13" i="25"/>
  <c r="F16" i="25"/>
  <c r="C14" i="25"/>
  <c r="C13" i="25"/>
  <c r="I20" i="49"/>
  <c r="H14" i="49"/>
  <c r="I26" i="49"/>
  <c r="H18" i="49"/>
  <c r="H10" i="49"/>
  <c r="I8" i="49"/>
  <c r="H3" i="49"/>
  <c r="I23" i="18"/>
  <c r="W30" i="25"/>
  <c r="AR15" i="25"/>
  <c r="AR18" i="25"/>
  <c r="AR17" i="25"/>
  <c r="AR16" i="25"/>
  <c r="G18" i="25"/>
  <c r="G15" i="25"/>
  <c r="G16" i="25"/>
  <c r="G13" i="25"/>
  <c r="G14" i="25"/>
  <c r="I5" i="31"/>
  <c r="H26" i="49"/>
  <c r="O13" i="25"/>
  <c r="AA18" i="25"/>
  <c r="AA17" i="25"/>
  <c r="AA20" i="25"/>
  <c r="S18" i="25"/>
  <c r="S16" i="25"/>
  <c r="S20" i="25"/>
  <c r="S19" i="25"/>
  <c r="S17" i="25"/>
  <c r="S15" i="25"/>
  <c r="S32" i="25"/>
  <c r="S30" i="25"/>
  <c r="AV14" i="25"/>
  <c r="AV15" i="25"/>
  <c r="AV16" i="25"/>
  <c r="AV13" i="25"/>
  <c r="AV17" i="25"/>
  <c r="K14" i="25"/>
  <c r="K16" i="25"/>
  <c r="K13" i="25"/>
  <c r="K18" i="25"/>
  <c r="K17" i="25"/>
  <c r="D17" i="25"/>
  <c r="D15" i="25"/>
  <c r="H23" i="49"/>
  <c r="I17" i="49"/>
  <c r="I14" i="49"/>
  <c r="I23" i="49"/>
  <c r="I18" i="49"/>
  <c r="I15" i="49"/>
  <c r="H12" i="49"/>
  <c r="I25" i="49"/>
  <c r="H17" i="49"/>
  <c r="H13" i="49"/>
  <c r="H11" i="49"/>
  <c r="I13" i="49"/>
  <c r="H20" i="49"/>
  <c r="H24" i="49"/>
  <c r="H19" i="49"/>
  <c r="I19" i="49"/>
  <c r="H21" i="49"/>
  <c r="H25" i="49"/>
  <c r="I11" i="49"/>
  <c r="H16" i="49"/>
  <c r="I24" i="49"/>
  <c r="I16" i="49"/>
  <c r="I22" i="49"/>
  <c r="I21" i="49"/>
  <c r="AA19" i="25"/>
  <c r="H15" i="49"/>
  <c r="AR14" i="25"/>
  <c r="I12" i="49"/>
  <c r="P42" i="51"/>
  <c r="P43" i="51"/>
  <c r="E13" i="25"/>
  <c r="N18" i="25"/>
  <c r="N13" i="25"/>
  <c r="BB14" i="25"/>
  <c r="BB13" i="25"/>
  <c r="Y18" i="25"/>
  <c r="Y19" i="25"/>
  <c r="Y16" i="25"/>
  <c r="Y17" i="25"/>
  <c r="Y15" i="25"/>
  <c r="Y32" i="25"/>
  <c r="U16" i="25"/>
  <c r="U17" i="25"/>
  <c r="U15" i="25"/>
  <c r="U32" i="25"/>
  <c r="BA17" i="25"/>
  <c r="M14" i="25"/>
  <c r="M13" i="25"/>
  <c r="M17" i="25"/>
  <c r="M18" i="25"/>
  <c r="B18" i="25"/>
  <c r="B16" i="25"/>
  <c r="D13" i="56"/>
  <c r="AI16" i="25"/>
  <c r="AI18" i="25"/>
  <c r="H4" i="49"/>
  <c r="BB16" i="25"/>
  <c r="I4" i="49"/>
  <c r="Y30" i="25"/>
  <c r="BA18" i="25"/>
  <c r="U18" i="25"/>
  <c r="AY17" i="25"/>
  <c r="AI17" i="25"/>
  <c r="AI15" i="25"/>
  <c r="AI32" i="25"/>
  <c r="BA16" i="25"/>
  <c r="AY15" i="25"/>
  <c r="N15" i="25"/>
  <c r="BA14" i="25"/>
  <c r="BA13" i="25"/>
  <c r="AT14" i="25"/>
  <c r="AT13" i="25"/>
  <c r="AB16" i="25"/>
  <c r="AB17" i="25"/>
  <c r="AB15" i="25"/>
  <c r="AB32" i="25"/>
  <c r="AB20" i="25"/>
  <c r="AB30" i="25"/>
  <c r="AB19" i="25"/>
  <c r="T19" i="25"/>
  <c r="BD15" i="25"/>
  <c r="BD18" i="25"/>
  <c r="AS15" i="25"/>
  <c r="K11" i="17"/>
  <c r="L11" i="17" s="1"/>
  <c r="B18" i="43"/>
  <c r="B21" i="43"/>
  <c r="B19" i="43"/>
  <c r="B23" i="43"/>
  <c r="I25" i="18"/>
  <c r="Y7" i="51"/>
  <c r="P22" i="51"/>
  <c r="I24" i="18"/>
  <c r="AD20" i="25"/>
  <c r="AS18" i="25"/>
  <c r="AS13" i="25"/>
  <c r="AD17" i="25"/>
  <c r="F17" i="25"/>
  <c r="J14" i="25"/>
  <c r="D14" i="55"/>
  <c r="BD16" i="25"/>
  <c r="M15" i="25"/>
  <c r="D15" i="56"/>
  <c r="AA30" i="25"/>
  <c r="F18" i="25"/>
  <c r="X20" i="25"/>
  <c r="AJ30" i="25"/>
  <c r="AD30" i="25"/>
  <c r="AD18" i="25"/>
  <c r="J15" i="25"/>
  <c r="J13" i="25"/>
  <c r="X19" i="25"/>
  <c r="J17" i="25"/>
  <c r="P39" i="51"/>
  <c r="P40" i="51"/>
  <c r="P41" i="51"/>
  <c r="H8" i="49"/>
  <c r="I7" i="49"/>
  <c r="I9" i="49"/>
  <c r="B8" i="12"/>
  <c r="A12" i="12" s="1"/>
  <c r="G4" i="4"/>
  <c r="G13" i="4"/>
  <c r="G5" i="4"/>
  <c r="G8" i="4"/>
  <c r="C7" i="17"/>
  <c r="C67" i="29"/>
  <c r="F14" i="56"/>
  <c r="G67" i="29"/>
  <c r="F15" i="56"/>
  <c r="G46" i="29"/>
  <c r="F12" i="56"/>
  <c r="P26" i="51"/>
  <c r="P23" i="51"/>
  <c r="P24" i="51"/>
  <c r="W18" i="25"/>
  <c r="W16" i="25"/>
  <c r="E23" i="26"/>
  <c r="E24" i="26"/>
  <c r="B24" i="26"/>
  <c r="B13" i="25"/>
  <c r="Z30" i="25"/>
  <c r="Z18" i="25"/>
  <c r="Z20" i="25"/>
  <c r="Z16" i="25"/>
  <c r="Z15" i="25"/>
  <c r="Z32" i="25"/>
  <c r="Z19" i="25"/>
  <c r="AR13" i="25"/>
  <c r="W19" i="25"/>
  <c r="C8" i="17"/>
  <c r="D8" i="17"/>
  <c r="AC19" i="25"/>
  <c r="AC30" i="25"/>
  <c r="AC16" i="25"/>
  <c r="AC15" i="25"/>
  <c r="AC32" i="25"/>
  <c r="AC17" i="25"/>
  <c r="AC18" i="25"/>
  <c r="BC18" i="25"/>
  <c r="BC15" i="25"/>
  <c r="A44" i="13"/>
  <c r="I21" i="18"/>
  <c r="W17" i="25"/>
  <c r="AH20" i="25"/>
  <c r="AH17" i="25"/>
  <c r="AH18" i="25"/>
  <c r="AH16" i="25"/>
  <c r="AH15" i="25"/>
  <c r="AH32" i="25"/>
  <c r="AH19" i="25"/>
  <c r="AH30" i="25"/>
  <c r="D18" i="25"/>
  <c r="D13" i="25"/>
  <c r="V30" i="25"/>
  <c r="V20" i="25"/>
  <c r="V15" i="25"/>
  <c r="V32" i="25"/>
  <c r="P18" i="25"/>
  <c r="AQ17" i="25"/>
  <c r="AQ13" i="25"/>
  <c r="P17" i="25"/>
  <c r="P13" i="25"/>
  <c r="W15" i="25"/>
  <c r="W32" i="25"/>
  <c r="D66" i="42"/>
  <c r="G88" i="29"/>
  <c r="F18" i="56"/>
  <c r="D26" i="55"/>
  <c r="D35" i="55"/>
  <c r="D32" i="55"/>
  <c r="G24" i="29"/>
  <c r="E9" i="56"/>
  <c r="E10" i="56"/>
  <c r="G25" i="29"/>
  <c r="F9" i="56"/>
  <c r="C17" i="60"/>
  <c r="C41" i="20"/>
  <c r="C44" i="20"/>
  <c r="C46" i="20"/>
  <c r="B8" i="13" l="1"/>
  <c r="B10" i="13" s="1"/>
  <c r="E13" i="55"/>
  <c r="C24" i="29"/>
  <c r="E8" i="56" s="1"/>
  <c r="D36" i="51"/>
  <c r="D37" i="51" s="1"/>
  <c r="D38" i="51" s="1"/>
  <c r="D39" i="51" s="1"/>
  <c r="D40" i="51"/>
  <c r="D24" i="51"/>
  <c r="E19" i="55"/>
  <c r="E18" i="55"/>
  <c r="E14" i="55"/>
  <c r="E10" i="55"/>
  <c r="E36" i="55"/>
  <c r="E34" i="55"/>
  <c r="E33" i="55"/>
  <c r="E32" i="55"/>
  <c r="E29" i="55"/>
  <c r="E28" i="55"/>
  <c r="E25" i="55"/>
  <c r="E21" i="55"/>
  <c r="E16" i="55"/>
  <c r="E9" i="55"/>
  <c r="E8" i="55"/>
  <c r="N23" i="28"/>
  <c r="N42" i="28"/>
  <c r="B61" i="28"/>
  <c r="E27" i="55"/>
  <c r="E42" i="28"/>
  <c r="E11" i="55"/>
  <c r="E15" i="55"/>
  <c r="E23" i="55"/>
  <c r="A13" i="2"/>
  <c r="C13" i="2" s="1"/>
  <c r="F27" i="17"/>
  <c r="F24" i="17"/>
  <c r="A12" i="13" l="1"/>
  <c r="C25" i="29"/>
  <c r="F8" i="56" s="1"/>
  <c r="A1" i="62" s="1" a="1"/>
  <c r="A1" i="62" s="1"/>
  <c r="D41" i="51"/>
  <c r="F24" i="55"/>
  <c r="F20" i="55"/>
  <c r="F17" i="55"/>
  <c r="F12" i="55"/>
  <c r="C7" i="61"/>
  <c r="G9" i="61"/>
  <c r="F24" i="61"/>
  <c r="E27" i="61"/>
  <c r="G8" i="61"/>
  <c r="F27" i="61"/>
  <c r="F3" i="61"/>
  <c r="F8" i="61"/>
  <c r="G26" i="61"/>
  <c r="C15" i="61"/>
  <c r="C31" i="61"/>
  <c r="C8" i="61"/>
  <c r="G20" i="61"/>
  <c r="F25" i="61"/>
  <c r="B28" i="61"/>
  <c r="C17" i="61"/>
  <c r="E15" i="61"/>
  <c r="C28" i="61"/>
  <c r="E28" i="61"/>
  <c r="G6" i="61"/>
  <c r="G11" i="61"/>
  <c r="E36" i="61"/>
  <c r="F10" i="61"/>
  <c r="G13" i="61"/>
  <c r="C36" i="61"/>
  <c r="B30" i="61"/>
  <c r="E17" i="61"/>
  <c r="B9" i="61"/>
  <c r="E13" i="61"/>
  <c r="B33" i="61"/>
  <c r="B35" i="61"/>
  <c r="C14" i="61"/>
  <c r="F35" i="61"/>
  <c r="C33" i="61"/>
  <c r="E37" i="61"/>
  <c r="F40" i="61"/>
  <c r="G31" i="61"/>
  <c r="F22" i="61"/>
  <c r="B21" i="61"/>
  <c r="C18" i="61"/>
  <c r="E29" i="61"/>
  <c r="G27" i="61"/>
  <c r="E7" i="61"/>
  <c r="B10" i="61"/>
  <c r="F37" i="61"/>
  <c r="C34" i="61"/>
  <c r="E38" i="61"/>
  <c r="C24" i="61"/>
  <c r="C30" i="61"/>
  <c r="C27" i="61"/>
  <c r="F32" i="61"/>
  <c r="G10" i="61"/>
  <c r="E6" i="61"/>
  <c r="B27" i="61"/>
  <c r="C10" i="61"/>
  <c r="E20" i="61"/>
  <c r="B6" i="61"/>
  <c r="B23" i="61"/>
  <c r="F2" i="61"/>
  <c r="B12" i="61"/>
  <c r="C23" i="61"/>
  <c r="F4" i="61"/>
  <c r="G33" i="61"/>
  <c r="B26" i="61"/>
  <c r="C32" i="61"/>
  <c r="E31" i="61"/>
  <c r="F21" i="61"/>
  <c r="G39" i="61"/>
  <c r="C3" i="61"/>
  <c r="B16" i="61"/>
  <c r="B22" i="61"/>
  <c r="C22" i="61"/>
  <c r="G41" i="61"/>
  <c r="E25" i="61"/>
  <c r="C12" i="61"/>
  <c r="C39" i="61"/>
  <c r="C20" i="61"/>
  <c r="F39" i="61"/>
  <c r="F11" i="61"/>
  <c r="B40" i="61"/>
  <c r="B38" i="61"/>
  <c r="G12" i="61"/>
  <c r="E12" i="61"/>
  <c r="F41" i="61"/>
  <c r="F13" i="61"/>
  <c r="B36" i="61"/>
  <c r="E41" i="61"/>
  <c r="B8" i="61"/>
  <c r="F9" i="61"/>
  <c r="E4" i="61"/>
  <c r="F28" i="61"/>
  <c r="G40" i="61"/>
  <c r="B3" i="61"/>
  <c r="E30" i="61"/>
  <c r="G37" i="61"/>
  <c r="E33" i="61"/>
  <c r="B13" i="61"/>
  <c r="G24" i="61"/>
  <c r="F34" i="61"/>
  <c r="F20" i="61"/>
  <c r="G17" i="61"/>
  <c r="G38" i="61"/>
  <c r="B37" i="61"/>
  <c r="E39" i="61"/>
  <c r="E21" i="61"/>
  <c r="C2" i="61"/>
  <c r="E40" i="61"/>
  <c r="E16" i="61"/>
  <c r="E35" i="61"/>
  <c r="B11" i="61"/>
  <c r="G28" i="61"/>
  <c r="F12" i="61"/>
  <c r="B20" i="61"/>
  <c r="E2" i="61"/>
  <c r="G25" i="61"/>
  <c r="B39" i="61"/>
  <c r="G4" i="61"/>
  <c r="B32" i="61"/>
  <c r="G5" i="61"/>
  <c r="C37" i="61"/>
  <c r="G16" i="61"/>
  <c r="E24" i="61"/>
  <c r="F26" i="61"/>
  <c r="F33" i="61"/>
  <c r="G35" i="61"/>
  <c r="E8" i="61"/>
  <c r="F31" i="61"/>
  <c r="B15" i="61"/>
  <c r="G36" i="61"/>
  <c r="B41" i="61"/>
  <c r="B2" i="61"/>
  <c r="F16" i="61"/>
  <c r="C25" i="61"/>
  <c r="B7" i="61"/>
  <c r="B31" i="61"/>
  <c r="F15" i="61"/>
  <c r="C4" i="61"/>
  <c r="E23" i="61"/>
  <c r="F5" i="61"/>
  <c r="E3" i="61"/>
  <c r="C5" i="61"/>
  <c r="B25" i="61"/>
  <c r="B4" i="61"/>
  <c r="G19" i="61"/>
  <c r="G22" i="61"/>
  <c r="G34" i="61"/>
  <c r="F23" i="61"/>
  <c r="E22" i="61"/>
  <c r="G7" i="61"/>
  <c r="F38" i="61"/>
  <c r="C29" i="61"/>
  <c r="B24" i="61"/>
  <c r="C16" i="61"/>
  <c r="E5" i="61"/>
  <c r="E26" i="61"/>
  <c r="F19" i="61"/>
  <c r="G2" i="61"/>
  <c r="E11" i="61"/>
  <c r="E18" i="61"/>
  <c r="C38" i="61"/>
  <c r="G32" i="61"/>
  <c r="F36" i="61"/>
  <c r="G30" i="61"/>
  <c r="F18" i="61"/>
  <c r="G23" i="61"/>
  <c r="B5" i="61"/>
  <c r="G14" i="61"/>
  <c r="C13" i="61"/>
  <c r="G18" i="61"/>
  <c r="B14" i="61"/>
  <c r="F30" i="61"/>
  <c r="F29" i="61"/>
  <c r="C41" i="61"/>
  <c r="C26" i="61"/>
  <c r="B18" i="61"/>
  <c r="B19" i="61"/>
  <c r="F7" i="61"/>
  <c r="C21" i="61"/>
  <c r="B29" i="61"/>
  <c r="C9" i="61"/>
  <c r="C35" i="61"/>
  <c r="C6" i="61"/>
  <c r="G3" i="61"/>
  <c r="G29" i="61"/>
  <c r="E10" i="61"/>
  <c r="C19" i="61"/>
  <c r="B34" i="61"/>
  <c r="C11" i="61"/>
  <c r="E9" i="61"/>
  <c r="C40" i="61"/>
  <c r="E34" i="61"/>
  <c r="E19" i="61"/>
  <c r="E14" i="61"/>
  <c r="E32" i="61"/>
  <c r="F6" i="61"/>
  <c r="F14" i="61"/>
  <c r="F17" i="61"/>
  <c r="B17" i="61"/>
  <c r="G15" i="61"/>
  <c r="G21" i="61"/>
  <c r="D40" i="61"/>
  <c r="D35" i="61"/>
  <c r="D41" i="61"/>
  <c r="D29" i="61"/>
  <c r="D37" i="61"/>
  <c r="D12" i="61"/>
  <c r="D23" i="61"/>
  <c r="D24" i="61"/>
  <c r="D14" i="61"/>
  <c r="D8" i="61"/>
  <c r="D11" i="61"/>
  <c r="D9" i="61"/>
  <c r="D13" i="61"/>
  <c r="D5" i="61"/>
  <c r="D2" i="61"/>
  <c r="D22" i="61"/>
  <c r="D10" i="61"/>
  <c r="D34" i="61"/>
  <c r="D36" i="61"/>
  <c r="D31" i="61"/>
  <c r="D19" i="61"/>
  <c r="D21" i="61"/>
  <c r="D38" i="61"/>
  <c r="D4" i="61"/>
  <c r="D20" i="61"/>
  <c r="D3" i="61"/>
  <c r="D27" i="61"/>
  <c r="D18" i="61"/>
  <c r="D28" i="61"/>
  <c r="D15" i="61"/>
  <c r="D6" i="61"/>
  <c r="D26" i="61"/>
  <c r="D16" i="61"/>
  <c r="D25" i="61"/>
  <c r="D39" i="61"/>
  <c r="D32" i="61"/>
  <c r="D30" i="61"/>
  <c r="D33" i="61"/>
  <c r="D17" i="61"/>
  <c r="D7" i="6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<sst xmlns="http://schemas.openxmlformats.org/spreadsheetml/2006/main" count="5029" uniqueCount="1570">
  <si>
    <t>Click on the type of gage you are checking:</t>
  </si>
  <si>
    <t>Or, for more info on a type of gage click on one below:</t>
  </si>
  <si>
    <t>NIST Information for JGI's gages:</t>
  </si>
  <si>
    <t>Other Info:</t>
  </si>
  <si>
    <t>Supermic Items:</t>
  </si>
  <si>
    <t>Metric Thread Plug (English Readings, English Wires)</t>
  </si>
  <si>
    <t>Metric Thread Plug PDs</t>
  </si>
  <si>
    <t>JGI Coating Thickness Standards</t>
  </si>
  <si>
    <t>Metric/English Conversions</t>
  </si>
  <si>
    <t>Metric Thread Plug (Metric Readings, English Wires)</t>
  </si>
  <si>
    <t>Metric Thread Plug Tolerances - X</t>
  </si>
  <si>
    <t>Amplifier on Pink Surface Plate</t>
  </si>
  <si>
    <t>Supermicrometer Setup</t>
  </si>
  <si>
    <t>Metric Thread Plug (Metric Readings, Metric Wires)</t>
  </si>
  <si>
    <t>Metric Thread Plug Tolerances - W</t>
  </si>
  <si>
    <t>Roughness Gages and Standards</t>
  </si>
  <si>
    <t>Best Wire Size Calculator</t>
  </si>
  <si>
    <t>Metric Thread Plug (English Readings, Metric Wires)</t>
  </si>
  <si>
    <t>NPT Pictures</t>
  </si>
  <si>
    <t>JGI Ultrasonic Standards - Steel</t>
  </si>
  <si>
    <t>Two-wire Method</t>
  </si>
  <si>
    <t>Metric Plain Plugs</t>
  </si>
  <si>
    <t>Threaded Setting Plugs Tolerances</t>
  </si>
  <si>
    <t>JGI Ultrasonic Standards - Aluminum</t>
  </si>
  <si>
    <t>JGI Thread Wire Sizes and Constants</t>
  </si>
  <si>
    <t>NPT</t>
  </si>
  <si>
    <t>Thread Wire Nominal Sizes</t>
  </si>
  <si>
    <t>Gage Blocks - Set 4</t>
  </si>
  <si>
    <t>JGI Coating Thickness Foils Min/Max</t>
  </si>
  <si>
    <t>ANPT</t>
  </si>
  <si>
    <t>Gear Wire Nominal Sizes</t>
  </si>
  <si>
    <t>Gage Blocks - Set 9</t>
  </si>
  <si>
    <t>JGI Conductivity Standards Values IACS &amp; MS/m</t>
  </si>
  <si>
    <t>NPTF</t>
  </si>
  <si>
    <t>Surface Finish: VDI to Ra in µ"</t>
  </si>
  <si>
    <t>BSPT</t>
  </si>
  <si>
    <t>Meters:</t>
  </si>
  <si>
    <t>Ultrasonic Measuring Range and Tolerance Calculator</t>
  </si>
  <si>
    <t>BSPP Calculator</t>
  </si>
  <si>
    <t>Coating Thickness Meter - Manufacturer Info</t>
  </si>
  <si>
    <t>Perthometer Data</t>
  </si>
  <si>
    <t>6-Step, Crest Check, Plain NPTs</t>
  </si>
  <si>
    <t>Fischer Coating Thickness Probes</t>
  </si>
  <si>
    <t>Degrees Minutes Seconds Converter</t>
  </si>
  <si>
    <t>ACME Single Start Thread Plug</t>
  </si>
  <si>
    <t>DeFelsko Coating Thickness Probes</t>
  </si>
  <si>
    <t>ACME Multi-Start Thread Plug</t>
  </si>
  <si>
    <t>Dakota Ultrasonic Transducer Ranges and Tolerances</t>
  </si>
  <si>
    <t>Multi-Start Thread Plug (Non-ACME)</t>
  </si>
  <si>
    <t>Ultrasonic Thickness Testers - Manufacturer Info</t>
  </si>
  <si>
    <t>Buttress Threads</t>
  </si>
  <si>
    <t>Roughness Gages</t>
  </si>
  <si>
    <t>Thread Wires - English</t>
  </si>
  <si>
    <t>Thread Wires - Metric</t>
  </si>
  <si>
    <t>PeeDee Wires</t>
  </si>
  <si>
    <t>Gear Wires</t>
  </si>
  <si>
    <t>Steel Sphere - English</t>
  </si>
  <si>
    <t>Steel Sphere - Metric, Metric Readings</t>
  </si>
  <si>
    <t>Steel Sphere - Metric, English Readings</t>
  </si>
  <si>
    <t>Coating Thickness Calculator - Meter and Standards</t>
  </si>
  <si>
    <t>Roughness Gage - English</t>
  </si>
  <si>
    <t>Roughness Gage - Metric</t>
  </si>
  <si>
    <t>Roughness Standard - English</t>
  </si>
  <si>
    <t>Roughness Standard - Metric</t>
  </si>
  <si>
    <t>Ultrasonic Thickness Testers - Calculator</t>
  </si>
  <si>
    <t>Conductivity Meters by Specification</t>
  </si>
  <si>
    <t>Conductivity Meters by Manufacturer</t>
  </si>
  <si>
    <t>Conductivity Meters - Guard Banding</t>
  </si>
  <si>
    <t>Reference</t>
  </si>
  <si>
    <t>S/N</t>
  </si>
  <si>
    <t>Pitch</t>
  </si>
  <si>
    <t>TPI</t>
  </si>
  <si>
    <t>Nominal Size</t>
  </si>
  <si>
    <t>AVERAGE</t>
  </si>
  <si>
    <t>CONST</t>
  </si>
  <si>
    <t>A6:B23</t>
  </si>
  <si>
    <t>D6:E23</t>
  </si>
  <si>
    <t>G6:H23</t>
  </si>
  <si>
    <t>J6:K23</t>
  </si>
  <si>
    <t>M6:N23</t>
  </si>
  <si>
    <t>P6:Q23</t>
  </si>
  <si>
    <t>S6:T23</t>
  </si>
  <si>
    <t>V6:W23</t>
  </si>
  <si>
    <t>A25:B42</t>
  </si>
  <si>
    <t>D25:E42</t>
  </si>
  <si>
    <t>G25:H42</t>
  </si>
  <si>
    <t>J25:K42</t>
  </si>
  <si>
    <t>M25:N42</t>
  </si>
  <si>
    <t>P25:Q42</t>
  </si>
  <si>
    <t>S25:T42</t>
  </si>
  <si>
    <t>V25:W42</t>
  </si>
  <si>
    <t>A44:B61</t>
  </si>
  <si>
    <t>D44:E61</t>
  </si>
  <si>
    <t>G44:H61</t>
  </si>
  <si>
    <t>J44:K61</t>
  </si>
  <si>
    <t>M44:N61</t>
  </si>
  <si>
    <t>P44:Q61</t>
  </si>
  <si>
    <t>S44:T61</t>
  </si>
  <si>
    <t>V44:W61</t>
  </si>
  <si>
    <t>A63:B80</t>
  </si>
  <si>
    <t>D63:E80</t>
  </si>
  <si>
    <t>G63:H80</t>
  </si>
  <si>
    <t>J63:K80</t>
  </si>
  <si>
    <t>M63:N80</t>
  </si>
  <si>
    <t>P63:Q80</t>
  </si>
  <si>
    <t>S63:T80</t>
  </si>
  <si>
    <t>V63:W80</t>
  </si>
  <si>
    <t>A82:B99</t>
  </si>
  <si>
    <t>D82:E99</t>
  </si>
  <si>
    <t>G82:H99</t>
  </si>
  <si>
    <t>J82:K99</t>
  </si>
  <si>
    <t>M82:N99</t>
  </si>
  <si>
    <t>P82:Q99</t>
  </si>
  <si>
    <t>S82:T99</t>
  </si>
  <si>
    <t>V82:W99</t>
  </si>
  <si>
    <t>X600 Standard Block Info</t>
  </si>
  <si>
    <t>Certification Date:</t>
  </si>
  <si>
    <t>X</t>
  </si>
  <si>
    <t>@ 16 ozf</t>
  </si>
  <si>
    <t>@40 ozf</t>
  </si>
  <si>
    <t>English Readings, English Wires</t>
  </si>
  <si>
    <t>On handle: M#x#.# #G or #H</t>
  </si>
  <si>
    <t>MMPT</t>
  </si>
  <si>
    <t>English Equivalent Wire Size</t>
  </si>
  <si>
    <t>Constant</t>
  </si>
  <si>
    <t>M#</t>
  </si>
  <si>
    <t>x#.#</t>
  </si>
  <si>
    <t>Enter numbers from handle  --&gt;</t>
  </si>
  <si>
    <t>Wire Size</t>
  </si>
  <si>
    <t>Closest that we have</t>
  </si>
  <si>
    <t>Constant to add</t>
  </si>
  <si>
    <t>Constant to subtract</t>
  </si>
  <si>
    <t>Total Constant to subtract</t>
  </si>
  <si>
    <t>Enter English Reading (MOW) --&gt;</t>
  </si>
  <si>
    <t>MOW - Total Constant</t>
  </si>
  <si>
    <t>Metric Conversion (Number for logs)</t>
  </si>
  <si>
    <t>English Tolerance</t>
  </si>
  <si>
    <t>Metric Tolerance</t>
  </si>
  <si>
    <t>Metric Readings, English Wires</t>
  </si>
  <si>
    <t>Enter Metric Reading (MOW) --&gt;</t>
  </si>
  <si>
    <t>Metric Readings, Metric Wires</t>
  </si>
  <si>
    <t>Minus Constant (metric)</t>
  </si>
  <si>
    <t>PD (Number for logs)</t>
  </si>
  <si>
    <t>English Readings, Metric Wires</t>
  </si>
  <si>
    <t>.</t>
  </si>
  <si>
    <t>Go 6H (mm)</t>
  </si>
  <si>
    <t>No Go 6H (mm)</t>
  </si>
  <si>
    <t>Go 6H (")</t>
  </si>
  <si>
    <t>No Go 6H (")</t>
  </si>
  <si>
    <t>Go 6G (mm)</t>
  </si>
  <si>
    <t>No Go 6G (mm)</t>
  </si>
  <si>
    <t>Go 6G (")</t>
  </si>
  <si>
    <t>No Go 6G (")</t>
  </si>
  <si>
    <t>1.6 x .35</t>
  </si>
  <si>
    <t>1.8 x .35</t>
  </si>
  <si>
    <t>2 x .4</t>
  </si>
  <si>
    <t>2.2 x .45</t>
  </si>
  <si>
    <t>2.5 x .45</t>
  </si>
  <si>
    <t>3 x .5</t>
  </si>
  <si>
    <t>3.5 x .6</t>
  </si>
  <si>
    <t>4 x .7</t>
  </si>
  <si>
    <t>4.5 x .75</t>
  </si>
  <si>
    <t>5 x .8</t>
  </si>
  <si>
    <t>5.5 x .75</t>
  </si>
  <si>
    <t>6 x 1.0</t>
  </si>
  <si>
    <t>6.3 x 1.0</t>
  </si>
  <si>
    <t>7 x 1.0</t>
  </si>
  <si>
    <t>8 x 1.25</t>
  </si>
  <si>
    <t>8 x 1.0</t>
  </si>
  <si>
    <t>9 x 1.25</t>
  </si>
  <si>
    <t>10 x .75</t>
  </si>
  <si>
    <t>10 x 1.5</t>
  </si>
  <si>
    <t>10 x 1.25</t>
  </si>
  <si>
    <t>11 x 1.5</t>
  </si>
  <si>
    <t>12 x 1.0</t>
  </si>
  <si>
    <t>12 x 1.50</t>
  </si>
  <si>
    <t>12 x 1.75</t>
  </si>
  <si>
    <t>12 x 1.25</t>
  </si>
  <si>
    <t>14 x 2.0</t>
  </si>
  <si>
    <t>14 x 1.5</t>
  </si>
  <si>
    <t>15 x 1.5</t>
  </si>
  <si>
    <t>15 x 1.0</t>
  </si>
  <si>
    <t>16 x 2.0</t>
  </si>
  <si>
    <t>16 x 1.5</t>
  </si>
  <si>
    <t>17 x 1.0</t>
  </si>
  <si>
    <t>17 x 1.5</t>
  </si>
  <si>
    <t>18 x 2.5</t>
  </si>
  <si>
    <t>18 x 1.5</t>
  </si>
  <si>
    <t>20 x 1.0</t>
  </si>
  <si>
    <t>20 x 2.5</t>
  </si>
  <si>
    <t>20 x 1.5</t>
  </si>
  <si>
    <t>22 x 2.5</t>
  </si>
  <si>
    <t>22 x 1.5</t>
  </si>
  <si>
    <t>24 x 3.0</t>
  </si>
  <si>
    <t>21 .803</t>
  </si>
  <si>
    <t>24 x 2.0</t>
  </si>
  <si>
    <t>25 x 2.0</t>
  </si>
  <si>
    <t>25 x 1.5</t>
  </si>
  <si>
    <t>26 x 1.5</t>
  </si>
  <si>
    <t>26 x 1.0</t>
  </si>
  <si>
    <t>27 x 3.0</t>
  </si>
  <si>
    <t>27 x 2.0</t>
  </si>
  <si>
    <t>28 x 2.0</t>
  </si>
  <si>
    <t>28 x 1.5</t>
  </si>
  <si>
    <t>28 x 1.0</t>
  </si>
  <si>
    <t>30 x 1.5</t>
  </si>
  <si>
    <t>30 x 3.5</t>
  </si>
  <si>
    <t>30 x 2.0</t>
  </si>
  <si>
    <t>32 x 2.0</t>
  </si>
  <si>
    <t>32 x 1.5</t>
  </si>
  <si>
    <t>33 x 3.5</t>
  </si>
  <si>
    <t>33 x 2.0</t>
  </si>
  <si>
    <t>35 x 1.5</t>
  </si>
  <si>
    <t>36 x 2.0</t>
  </si>
  <si>
    <t>34.701,</t>
  </si>
  <si>
    <t>36 x 4.0</t>
  </si>
  <si>
    <t>36 x 3.0</t>
  </si>
  <si>
    <t>38 x 1.5</t>
  </si>
  <si>
    <t>39 x 2.0</t>
  </si>
  <si>
    <t>If you have trouble reading the chart below, click here</t>
  </si>
  <si>
    <t>Pitch, MM</t>
  </si>
  <si>
    <t>X PD Tolerance - Metric Thread Plugs</t>
  </si>
  <si>
    <t>To and including 39mm</t>
  </si>
  <si>
    <t>Above 39mm to 100mm</t>
  </si>
  <si>
    <t>Above 100mm to 200 mm</t>
  </si>
  <si>
    <t>Above 200mm to 300 mm</t>
  </si>
  <si>
    <t>…</t>
  </si>
  <si>
    <t>From ANSI/ASME B1.16M-1984</t>
  </si>
  <si>
    <t>PD Tolerance</t>
  </si>
  <si>
    <t>Tolerances:</t>
  </si>
  <si>
    <t>Range</t>
  </si>
  <si>
    <t>XX</t>
  </si>
  <si>
    <t>Y</t>
  </si>
  <si>
    <t>Z</t>
  </si>
  <si>
    <t>ZZ</t>
  </si>
  <si>
    <t>0.010" - 0.825"</t>
  </si>
  <si>
    <t>0.00002"</t>
  </si>
  <si>
    <t>0.00004"</t>
  </si>
  <si>
    <t>0.00006"</t>
  </si>
  <si>
    <t>0.00010"</t>
  </si>
  <si>
    <t>0.00020"</t>
  </si>
  <si>
    <t>0.825" - 1.51"</t>
  </si>
  <si>
    <t>0.00003"</t>
  </si>
  <si>
    <t>0.00009"</t>
  </si>
  <si>
    <t>0.00012"</t>
  </si>
  <si>
    <t>0.00024"</t>
  </si>
  <si>
    <t>1.51" - 2.51"</t>
  </si>
  <si>
    <t>0.00008"</t>
  </si>
  <si>
    <t>0.00016"</t>
  </si>
  <si>
    <t>0.00032"</t>
  </si>
  <si>
    <t>2.51" - 4.51"</t>
  </si>
  <si>
    <t>0.00005"</t>
  </si>
  <si>
    <t>0.00015"</t>
  </si>
  <si>
    <t>0.00040"</t>
  </si>
  <si>
    <t>4.51" - 6.51"</t>
  </si>
  <si>
    <t>0.000065"</t>
  </si>
  <si>
    <t>0.00013"</t>
  </si>
  <si>
    <t>0.00019"</t>
  </si>
  <si>
    <t>0.00025"</t>
  </si>
  <si>
    <t>0.00050"</t>
  </si>
  <si>
    <t>.74 mm - 21 mm</t>
  </si>
  <si>
    <t>0.0005 mm</t>
  </si>
  <si>
    <t>0.0010 mm</t>
  </si>
  <si>
    <t>0.0018 mm</t>
  </si>
  <si>
    <t>0.0025 mm</t>
  </si>
  <si>
    <t>0.0051 mm</t>
  </si>
  <si>
    <t>21.01 mm - 38 mm</t>
  </si>
  <si>
    <t>0.0008 mm</t>
  </si>
  <si>
    <t>0.0015 mm</t>
  </si>
  <si>
    <t>0.0023 mm</t>
  </si>
  <si>
    <t>0.0031 mm</t>
  </si>
  <si>
    <t>0.0061 mm</t>
  </si>
  <si>
    <t>38.01 mm - 64 mm</t>
  </si>
  <si>
    <t>0.0020 mm</t>
  </si>
  <si>
    <t>0.0041 mm</t>
  </si>
  <si>
    <t>0.0081 mm</t>
  </si>
  <si>
    <t>64.01 mm - 115 mm</t>
  </si>
  <si>
    <t>0.0013 mm</t>
  </si>
  <si>
    <t>0.0038 mm</t>
  </si>
  <si>
    <t>0.0102 mm</t>
  </si>
  <si>
    <t>Enter English Reading (")</t>
  </si>
  <si>
    <t>Metric Conversion (mm)</t>
  </si>
  <si>
    <t>Working Gages</t>
  </si>
  <si>
    <t>Add ANSI/ASME B1.20 to specification field on certs</t>
  </si>
  <si>
    <t>L-1 (± tolerance)</t>
  </si>
  <si>
    <t>Nominal Pipe Size</t>
  </si>
  <si>
    <t>OD</t>
  </si>
  <si>
    <t>Threads/Inch</t>
  </si>
  <si>
    <t>PD</t>
  </si>
  <si>
    <t>Tolerance</t>
  </si>
  <si>
    <t>Min</t>
  </si>
  <si>
    <t>Max</t>
  </si>
  <si>
    <t>Reading</t>
  </si>
  <si>
    <t>Calculated (2.5 lbs)</t>
  </si>
  <si>
    <t>Calculated (1 lb)</t>
  </si>
  <si>
    <t>N/A</t>
  </si>
  <si>
    <t>PDs from Table 9 of B1.20.1</t>
  </si>
  <si>
    <t>Tolerances from Table 9</t>
  </si>
  <si>
    <t>L-3 (+ tolerance only)</t>
  </si>
  <si>
    <t>PDs from Tables 17 and 18 B1.20.5</t>
  </si>
  <si>
    <t>Tolerances from __, B1.20.1</t>
  </si>
  <si>
    <t>Masters</t>
  </si>
  <si>
    <t>Tolerances from Section 7.3.1 (L-1) of ASME B1.20.1</t>
  </si>
  <si>
    <t>Add MIL-P-7105 to specification field on certs</t>
  </si>
  <si>
    <t>L-1</t>
  </si>
  <si>
    <t>Tolerance (+ only)</t>
  </si>
  <si>
    <t>PDs from Table III, MIL-P-7105B</t>
  </si>
  <si>
    <t>Tolerances from Table IV, MIL-P7105B</t>
  </si>
  <si>
    <t>L-3</t>
  </si>
  <si>
    <t>PDs from Figure 3, MIL-P-7105B</t>
  </si>
  <si>
    <t>L-1 (±)</t>
  </si>
  <si>
    <t>L-3 (±)</t>
  </si>
  <si>
    <t>Tolerances from Table 3, ASME B1.20.5-91</t>
  </si>
  <si>
    <t>Tolerances from Table 4, ASME B1.20.5-91</t>
  </si>
  <si>
    <t>PDs from Table 19, ANSI B1.20.5</t>
  </si>
  <si>
    <t>Add MIL-P7105B to specification field on certs</t>
  </si>
  <si>
    <t>PDs and tolerances from Figure 5, MIL-P-7105B</t>
  </si>
  <si>
    <t>Tolerance (±)</t>
  </si>
  <si>
    <t>Picture from pmclonestar.com</t>
  </si>
  <si>
    <t>http://www.pmclonestar.com/pdfs/ANPT&amp;NPTFPipeThreadGages.pdf</t>
  </si>
  <si>
    <t>ISO 7, Tables 2,3,6 and Section 7.1.1.1</t>
  </si>
  <si>
    <t>Nominal PD if made after 2000</t>
  </si>
  <si>
    <t>Wear tolerance (-)</t>
  </si>
  <si>
    <t>Designation of Thread</t>
  </si>
  <si>
    <t>D2 (mm)</t>
  </si>
  <si>
    <t>Tpl (µm)</t>
  </si>
  <si>
    <t>Go pd?</t>
  </si>
  <si>
    <t>No Go pd?</t>
  </si>
  <si>
    <t>µm</t>
  </si>
  <si>
    <t>mm</t>
  </si>
  <si>
    <t>1.5-11</t>
  </si>
  <si>
    <t>Calculated PD (2.5 lb)</t>
  </si>
  <si>
    <t>1/16</t>
  </si>
  <si>
    <t>System A</t>
  </si>
  <si>
    <t>±.0003</t>
  </si>
  <si>
    <t>1/8</t>
  </si>
  <si>
    <t>System B</t>
  </si>
  <si>
    <t>Find spec for tolerances</t>
  </si>
  <si>
    <t>1/4</t>
  </si>
  <si>
    <t>3/8</t>
  </si>
  <si>
    <t>1-11 RC</t>
  </si>
  <si>
    <t>1/2</t>
  </si>
  <si>
    <t>3/4</t>
  </si>
  <si>
    <t>1 1/4</t>
  </si>
  <si>
    <t>Size</t>
  </si>
  <si>
    <t>1 1/2</t>
  </si>
  <si>
    <t>1-11 BSPT</t>
  </si>
  <si>
    <t>2-11 BSPT</t>
  </si>
  <si>
    <t>Magic Circle 134060</t>
  </si>
  <si>
    <t>2 1/2</t>
  </si>
  <si>
    <t>Note: Send ISO7-R2, ISO7RC-1 out to GACO. We can't check them here.</t>
  </si>
  <si>
    <t>D2+Tpl-(0.5*Tpl)</t>
  </si>
  <si>
    <t>D2+Tpl+(0.5*Tpl)</t>
  </si>
  <si>
    <t>Class A</t>
  </si>
  <si>
    <t>Go PD (mm)</t>
  </si>
  <si>
    <t>Go PD (")</t>
  </si>
  <si>
    <t>Go Min (mm)</t>
  </si>
  <si>
    <t>Go Max (mm)</t>
  </si>
  <si>
    <t>Go Reading (")</t>
  </si>
  <si>
    <t>Actual Go PD (mm)</t>
  </si>
  <si>
    <t>Actual Go PD (")</t>
  </si>
  <si>
    <t>No Go PD (mm)</t>
  </si>
  <si>
    <t>No Go PD (")</t>
  </si>
  <si>
    <t>No Go Min (mm)</t>
  </si>
  <si>
    <t>No Go Max (mm)</t>
  </si>
  <si>
    <t>No Go Reading (")</t>
  </si>
  <si>
    <t>Actual No Go PD (mm)</t>
  </si>
  <si>
    <t>Actual No Go PD (")</t>
  </si>
  <si>
    <t>19*</t>
  </si>
  <si>
    <t>5/8</t>
  </si>
  <si>
    <t>7/8</t>
  </si>
  <si>
    <t>1</t>
  </si>
  <si>
    <t>1 1/8</t>
  </si>
  <si>
    <t>1 3/4</t>
  </si>
  <si>
    <t>*JGI does not have 19 wires, use 18</t>
  </si>
  <si>
    <t>*Class B pd can be calculated by doubling the difference from Go and Class A No Go; See Table 1 in ISO228</t>
  </si>
  <si>
    <t>Spec: ISO228, Table 1</t>
  </si>
  <si>
    <t>Connie's formula (55° threads):</t>
  </si>
  <si>
    <t>E= MoW + (.86464/TPI) - 3*(Average Wire Diameter)</t>
  </si>
  <si>
    <t>If you know the TPI and what wires to use, Start Here</t>
  </si>
  <si>
    <t>Tolerances, based on class</t>
  </si>
  <si>
    <t>2G &amp; 2C Tolerance</t>
  </si>
  <si>
    <t>Nominal Size* (Major Dia)</t>
  </si>
  <si>
    <t>3G &amp; 3CTolerance</t>
  </si>
  <si>
    <t>Number of Starts</t>
  </si>
  <si>
    <t>Wire Rise</t>
  </si>
  <si>
    <t>4G &amp;4CTolerance</t>
  </si>
  <si>
    <t>Supermic Reading</t>
  </si>
  <si>
    <t>(+ for Go, - for No Go)</t>
  </si>
  <si>
    <t>PD - Wire Rise (use this for logs)</t>
  </si>
  <si>
    <t>*Note: To enter nominal size either enter decimal or enter fraction with = in front</t>
  </si>
  <si>
    <t>If we don't have the right size wires and you know the TPI, use this to find best wire size</t>
  </si>
  <si>
    <t>In case TPI isn't listed,</t>
  </si>
  <si>
    <t>enter pitch here to get TPI --&gt;</t>
  </si>
  <si>
    <t>If we don't have the right size wires and you know the TPI, Start Here</t>
  </si>
  <si>
    <t>In case wire size isn't listed,</t>
  </si>
  <si>
    <t>Best Wires (Diameter)</t>
  </si>
  <si>
    <t>enter TPI here  ---&gt;</t>
  </si>
  <si>
    <t>Look here for how to read those crazy numbers and letters on the handle:</t>
  </si>
  <si>
    <t xml:space="preserve">Example 1 </t>
  </si>
  <si>
    <t>Example 2</t>
  </si>
  <si>
    <t>1.750 4 ACME 2G</t>
  </si>
  <si>
    <t>3/8 .125P .250L ACME 3C</t>
  </si>
  <si>
    <t>1.750 = Nominal Size</t>
  </si>
  <si>
    <t>3/8 = Nominal Size</t>
  </si>
  <si>
    <t>4 = TPI</t>
  </si>
  <si>
    <t>.125P = Pitch</t>
  </si>
  <si>
    <t>2 = Class</t>
  </si>
  <si>
    <t>.250L = Lead</t>
  </si>
  <si>
    <t>G = General Purpose</t>
  </si>
  <si>
    <t>3 = Class</t>
  </si>
  <si>
    <t>C = Centralizing</t>
  </si>
  <si>
    <t>Class 2G</t>
  </si>
  <si>
    <t>Class 3G</t>
  </si>
  <si>
    <t>Class 4G</t>
  </si>
  <si>
    <t>ACME PD 'X' Tolerance</t>
  </si>
  <si>
    <t>From ANSI/ASME B1.5</t>
  </si>
  <si>
    <t>PD - (use this for logs)</t>
  </si>
  <si>
    <t>look here  ---&gt;</t>
  </si>
  <si>
    <t>See Below For Details. Information for the above formula comes from ANSI B1.9-1973</t>
  </si>
  <si>
    <t>Note: Check TPI 1-7ACME on 40oz of pressure, 8-16ACME on 16oz.</t>
  </si>
  <si>
    <t>*To enter nominal size either enter decimal or enter fraction with = in front</t>
  </si>
  <si>
    <t>1.750 = Nominal Size (Major Dia)</t>
  </si>
  <si>
    <t>3/8 = Nominal Size (Major Dia)</t>
  </si>
  <si>
    <t>For ACME Setting Plugs, you may have to use wires that are the next size up for the No Go Full Form. If so, use this:</t>
  </si>
  <si>
    <t>TPI on Handle</t>
  </si>
  <si>
    <t>TPI of Wires being used</t>
  </si>
  <si>
    <t>(- for Go, + for No Go)</t>
  </si>
  <si>
    <t>Wire Constant</t>
  </si>
  <si>
    <t>PD - Wire Rise (use for logs)</t>
  </si>
  <si>
    <t>If you don't know TPI, but you do know the pitch (listed before the P on the handle), Start Here</t>
  </si>
  <si>
    <t>Look here for how to read the crazy numbers and letters on the handle:</t>
  </si>
  <si>
    <t>Avg Diameter</t>
  </si>
  <si>
    <t>Minus Constant</t>
  </si>
  <si>
    <t>55° Constant</t>
  </si>
  <si>
    <t>TPI (ACME)</t>
  </si>
  <si>
    <t>TPMM (mm)</t>
  </si>
  <si>
    <t>Average Diameter</t>
  </si>
  <si>
    <t>Find closest wire size that we do have and get measurement over wires (MoW)</t>
  </si>
  <si>
    <t>Wire size you used</t>
  </si>
  <si>
    <t>&lt;-- enter this #</t>
  </si>
  <si>
    <t>MoW</t>
  </si>
  <si>
    <t>Wire size on handle</t>
  </si>
  <si>
    <t>Avg wire diameter</t>
  </si>
  <si>
    <t>Pitch Diameter</t>
  </si>
  <si>
    <t>&lt;--use this for logs</t>
  </si>
  <si>
    <t>&lt;----------</t>
  </si>
  <si>
    <t>Check to be sure this pitch diameter is calcuated using the correct formula for 60° or 55° threads as needed!</t>
  </si>
  <si>
    <t>Metric Readings</t>
  </si>
  <si>
    <t>Connie's formula (60° threads):</t>
  </si>
  <si>
    <t>E= MoW + (.866033/TPI) - 3*(Average Wire Diameter)</t>
  </si>
  <si>
    <t>"JGI Two Wire Method"</t>
  </si>
  <si>
    <t>For thread plugs with too few threads to use the three wire method, do this.</t>
  </si>
  <si>
    <t>1. Measure the major diameter. (MD)</t>
  </si>
  <si>
    <t>Enter MD</t>
  </si>
  <si>
    <t>2. Place one wire on the right side and take that measurement. (MOW1)</t>
  </si>
  <si>
    <t>Enter MOW1</t>
  </si>
  <si>
    <t>3. Set the force to half of the usual value for this plug and rezero the supermic.</t>
  </si>
  <si>
    <t>4. Move the wire to the left side and take that measurement. (MOW2)</t>
  </si>
  <si>
    <t>Enter MOW2</t>
  </si>
  <si>
    <t>5. Add the results from steps 2 and 4 then subtract the result from step 1. Use that value as the measurement over wires.</t>
  </si>
  <si>
    <t>Final MOW</t>
  </si>
  <si>
    <t>MOW = MOW1 + MOW2 - MD</t>
  </si>
  <si>
    <t>PD for Cert:</t>
  </si>
  <si>
    <t>Threaded Setting Plugs</t>
  </si>
  <si>
    <t>http://www.auto-met.com/gsgage/gaginginfo.pdf</t>
  </si>
  <si>
    <t>Dimensional</t>
  </si>
  <si>
    <t>Temperature</t>
  </si>
  <si>
    <t>Metric to English</t>
  </si>
  <si>
    <t>°F</t>
  </si>
  <si>
    <t>°C</t>
  </si>
  <si>
    <t>1 mm = 0.039"</t>
  </si>
  <si>
    <t>Enter Reading in mm</t>
  </si>
  <si>
    <t>Reading in "</t>
  </si>
  <si>
    <t>Reading in mils</t>
  </si>
  <si>
    <t>Reading in µ"</t>
  </si>
  <si>
    <t>Reading in µm</t>
  </si>
  <si>
    <t>1 micron = 0.00003937" = 0.001 mm = .03937 mil</t>
  </si>
  <si>
    <t>Enter Reading in µm</t>
  </si>
  <si>
    <t>Reading in mm</t>
  </si>
  <si>
    <t>English to Metric</t>
  </si>
  <si>
    <t>1 mil = 0.001" = .0254 mm</t>
  </si>
  <si>
    <t>Enter Reading in mils</t>
  </si>
  <si>
    <t>1µ" = 0.000001" (1 millionth)</t>
  </si>
  <si>
    <t>Enter Reading in µ"</t>
  </si>
  <si>
    <t>1" = 25.4mm</t>
  </si>
  <si>
    <t>Enter Reading in "</t>
  </si>
  <si>
    <t>Conductivity</t>
  </si>
  <si>
    <t>% IACS*0.58 = MS/m</t>
  </si>
  <si>
    <t>Enter Reading in % IACS</t>
  </si>
  <si>
    <t>Reading in MS/m</t>
  </si>
  <si>
    <t>(MS/m)/.58 = % IACS</t>
  </si>
  <si>
    <t>Enter Reading in MS/m</t>
  </si>
  <si>
    <t>Reading in % IACS</t>
  </si>
  <si>
    <t>*Avg Diameter: ±.00002" of best wire size; Diameter of individual wires: ±.00001" of each other; Taper &amp; roundness ±.00001"*</t>
  </si>
  <si>
    <t>*Per H-28 Sec 3.2</t>
  </si>
  <si>
    <t>Use .75" cylinder to check these unless TPI is above 40*. Select 60° or 29° in Pitch field.</t>
  </si>
  <si>
    <t>*Note: If TPI is above 40, see chart here.</t>
  </si>
  <si>
    <t>For datasheet, start with top left and work your way to the right, before moving down. Type Missing in Wire 1 Front if a wire is missing.</t>
  </si>
  <si>
    <t>Regular - 60°</t>
  </si>
  <si>
    <t>ACME - 29°</t>
  </si>
  <si>
    <t>WIRE 1 FRONT</t>
  </si>
  <si>
    <t>FRONT ROTATED</t>
  </si>
  <si>
    <t>WIRE 1 BACK</t>
  </si>
  <si>
    <t>BACK ROTATED</t>
  </si>
  <si>
    <t>WIRE 2 FRONT</t>
  </si>
  <si>
    <t>WIRE 2 BACK</t>
  </si>
  <si>
    <t>WIRE 3 FRONT</t>
  </si>
  <si>
    <t>WIRE 3 BACK</t>
  </si>
  <si>
    <t>Return to Thread Wires</t>
  </si>
  <si>
    <t>Supermicrometer Setup for Thread Wires (from WP25028W)</t>
  </si>
  <si>
    <t>Threads Per Inch</t>
  </si>
  <si>
    <t>Measuring Force</t>
  </si>
  <si>
    <t>Cylinder Diameter</t>
  </si>
  <si>
    <t>1-7 ACME (29°)</t>
  </si>
  <si>
    <t>40 oz</t>
  </si>
  <si>
    <t>.75"</t>
  </si>
  <si>
    <t>8-16 AMCE (29°)</t>
  </si>
  <si>
    <t>16 oz</t>
  </si>
  <si>
    <t>20 or less (60°)</t>
  </si>
  <si>
    <t>Above 20 thru 40 (60°)</t>
  </si>
  <si>
    <t>Above 40 thru 80 (60°)</t>
  </si>
  <si>
    <t>8 oz</t>
  </si>
  <si>
    <t>.125"</t>
  </si>
  <si>
    <t>Above 80 thru 140 (60°)</t>
  </si>
  <si>
    <t>4 oz</t>
  </si>
  <si>
    <t>.050"</t>
  </si>
  <si>
    <t>Above 140 (60°)</t>
  </si>
  <si>
    <t>2 oz</t>
  </si>
  <si>
    <t>.020"</t>
  </si>
  <si>
    <t>Johnson Gage and Inspection, Inc.</t>
  </si>
  <si>
    <t>Supplementary Data Sheet to Order #</t>
  </si>
  <si>
    <t>Set Serial Number:</t>
  </si>
  <si>
    <t>Date:</t>
  </si>
  <si>
    <t>Temperature:</t>
  </si>
  <si>
    <t xml:space="preserve">Humidity: </t>
  </si>
  <si>
    <t>S/N (if any)</t>
  </si>
  <si>
    <t>Best Wire Size</t>
  </si>
  <si>
    <t>Notes</t>
  </si>
  <si>
    <t>Avg Dia.:±.00051mm of best wire size; Individual Wire Dia.: ±.000254mm of each other; Taper and Roundness: ±.00254mm</t>
  </si>
  <si>
    <t>Use .75" cylinder to check 0.7 MMPT wires up thru 2.5 MMPT. Use .125" pin to check 0.4-0.5 MMPT</t>
  </si>
  <si>
    <t>Use 40 oz for 1.25-3 MMPT. Use 16 oz for 0-1 MMPT.</t>
  </si>
  <si>
    <t>For datasheet, start with top left and work your way left to right, top to bottom. Type Missing in Wire 1 Front if a wire is missing.</t>
  </si>
  <si>
    <t>6-0360</t>
  </si>
  <si>
    <t>Thread Angle</t>
  </si>
  <si>
    <t>Nominal Size (mm)</t>
  </si>
  <si>
    <t>Nom. Size (Eng. Equiv)</t>
  </si>
  <si>
    <t>Metric</t>
  </si>
  <si>
    <t>Page 2 of 2</t>
  </si>
  <si>
    <t>Manufacturer Tolerance: Set average diameter: ±0.0001" of nominal size</t>
  </si>
  <si>
    <t>Check these like thread wires, on a .75" cylinder. If diameter is less than .0289", check on 16 oz of pressure. If greater than .0289", check on 40 oz.</t>
  </si>
  <si>
    <t>Rejected</t>
  </si>
  <si>
    <t>56561-061749-01</t>
  </si>
  <si>
    <t>Marked Size</t>
  </si>
  <si>
    <t>Avg Diameter: ±.00002" of best wire size; Diameter of individual wires: ±.00001" of each other; Taper &amp; roundness ±.00001"</t>
  </si>
  <si>
    <t>Zero on 1" gage block, with 16oz of pressure.</t>
  </si>
  <si>
    <t>For datasheet, start with top left and work your way left to right, top to bottom.</t>
  </si>
  <si>
    <t>Series</t>
  </si>
  <si>
    <t>Special Nominal</t>
  </si>
  <si>
    <t>Special</t>
  </si>
  <si>
    <t>↓↓Datasheet ends here</t>
  </si>
  <si>
    <t>56561-018142-02</t>
  </si>
  <si>
    <t>43-168 (Sets of 2)</t>
  </si>
  <si>
    <t>For 60°</t>
  </si>
  <si>
    <t>For 29° ACME</t>
  </si>
  <si>
    <t>For Metric (60°)</t>
  </si>
  <si>
    <t>TPMM</t>
  </si>
  <si>
    <t>English Equiv.</t>
  </si>
  <si>
    <t>Thread Types:</t>
  </si>
  <si>
    <t>Note:</t>
  </si>
  <si>
    <t>best wire size = 0.577350/TPI</t>
  </si>
  <si>
    <t>Wire Diameter for Enlarged Pinions 1.92"</t>
  </si>
  <si>
    <t>Wire Diameter for External Gears 1.728"</t>
  </si>
  <si>
    <t>Alternate Series 1.68"</t>
  </si>
  <si>
    <t>Wire Diameter for Internal Gears 1.44"</t>
  </si>
  <si>
    <t>English</t>
  </si>
  <si>
    <t>Metric, English Readings Converted</t>
  </si>
  <si>
    <t>Metric, Metric Readings</t>
  </si>
  <si>
    <t>Check on 40oz of pressure. Enter Nominal Size and five readings. Excel will calculate Average diameter, variation, and sphericity. List average, variation, and Sphericity on report.</t>
  </si>
  <si>
    <t>Instructions: Enter the nominal size in metric. Excel will calculate the nominal size in English for you (Row 5). Enter your English readings (Rows 6-10). Excel will calculate average diameter, and sphericty in English (Rows 13-15) and metric (Rows 31-33).</t>
  </si>
  <si>
    <t>Enter Nominal Size and five readings. Excel will calculate Average diameter, variation, and sphericity. List average, variation, and sphericity on report.</t>
  </si>
  <si>
    <t>Sphere 1</t>
  </si>
  <si>
    <t>Sphere 2</t>
  </si>
  <si>
    <t>Sphere 3</t>
  </si>
  <si>
    <t>Sphere 4</t>
  </si>
  <si>
    <t>Sphere 5</t>
  </si>
  <si>
    <t>Sphere 6</t>
  </si>
  <si>
    <t>Sphere 7</t>
  </si>
  <si>
    <t>Sphere 8</t>
  </si>
  <si>
    <t>Sphere 9</t>
  </si>
  <si>
    <t>Sphere 10</t>
  </si>
  <si>
    <t>Sphere 11</t>
  </si>
  <si>
    <t>Sphere 12</t>
  </si>
  <si>
    <t>Sphere 13</t>
  </si>
  <si>
    <t>Sphere 14</t>
  </si>
  <si>
    <t>Sphere 15</t>
  </si>
  <si>
    <t>Sphere 16</t>
  </si>
  <si>
    <t>Sphere 17</t>
  </si>
  <si>
    <t>Sphere 18</t>
  </si>
  <si>
    <t>Sphere 19</t>
  </si>
  <si>
    <t>Sphere 20</t>
  </si>
  <si>
    <t>Average</t>
  </si>
  <si>
    <t>Variation</t>
  </si>
  <si>
    <t>Sphericity</t>
  </si>
  <si>
    <t>Converted</t>
  </si>
  <si>
    <t>Manufacturer</t>
  </si>
  <si>
    <t>Model</t>
  </si>
  <si>
    <t>Range (Steel)</t>
  </si>
  <si>
    <t>Resolution</t>
  </si>
  <si>
    <t>Automation</t>
  </si>
  <si>
    <t>Byko-test 8500</t>
  </si>
  <si>
    <t>0-78.74 mils</t>
  </si>
  <si>
    <t>From 0-78.74 mils: ±(.0394+2% of reading); From 78.75mils &amp; up: ±3.5% of reading</t>
  </si>
  <si>
    <t>Quanix 1500</t>
  </si>
  <si>
    <t>0-200 mils</t>
  </si>
  <si>
    <t>0.01, 0.1, 1</t>
  </si>
  <si>
    <t>From 0-39.0: ±(.04+2%); Above 39-200: ±(.04+3.5%)</t>
  </si>
  <si>
    <t>Byko-Test</t>
  </si>
  <si>
    <t>From 0-80: ±(0.04 mils + 2% of reading); above 80: ±3.5%</t>
  </si>
  <si>
    <t>Check-Line</t>
  </si>
  <si>
    <t>DCF-900</t>
  </si>
  <si>
    <t>0.1-40.0 mils</t>
  </si>
  <si>
    <t>0.1 mils</t>
  </si>
  <si>
    <t>From 0-10 mils: ±0.1 mil; Above 10 mils: ±1% of reading</t>
  </si>
  <si>
    <t>3000Pro</t>
  </si>
  <si>
    <t>0-60 mils</t>
  </si>
  <si>
    <t>.01 mils</t>
  </si>
  <si>
    <t>±(0.04mils + 1% of reading)</t>
  </si>
  <si>
    <t>DeFelsko</t>
  </si>
  <si>
    <t>PosiTest G</t>
  </si>
  <si>
    <t>0-200 microns</t>
  </si>
  <si>
    <t>0-20 µm: ±1µm; 20-200µm: ±5% of reading</t>
  </si>
  <si>
    <t>PosiTest GM</t>
  </si>
  <si>
    <t>0-8 mils</t>
  </si>
  <si>
    <t>0-.8mils: ±.04 mils; .8mils -8 mils: ±5% of reading</t>
  </si>
  <si>
    <t>PosiTest F</t>
  </si>
  <si>
    <t>0-2000 microns</t>
  </si>
  <si>
    <t>0-100 µm: ±5µm; 100-2000µm: ±5% of reading</t>
  </si>
  <si>
    <t>PosiTest FM</t>
  </si>
  <si>
    <t>0-80 mils</t>
  </si>
  <si>
    <t>0-4 mils: ±.2 mils; 4-80 mils: ±5% of reading</t>
  </si>
  <si>
    <t>PosiTector 6000</t>
  </si>
  <si>
    <t>0-60 mils w/F&amp;FS probes,0-25 w/F0S,F45S, &amp;F90S probes, 0-250 FT probes</t>
  </si>
  <si>
    <t>.05 mils</t>
  </si>
  <si>
    <t>±1% for F&amp;FS probes, ±1% to 4 mils, then ±3% for F0S, F45S, &amp; F90S probes, ±0.5mil+1% up to 100 mils for FT; ±0.4 mils + 1% up to 2 mils, then ±0.8 mils + 1% for FNRS probe</t>
  </si>
  <si>
    <t>PosiTector DFT</t>
  </si>
  <si>
    <t>±(0.1 mils + 3%)</t>
  </si>
  <si>
    <t>PosiPen</t>
  </si>
  <si>
    <t>±10% and 0.1 mil</t>
  </si>
  <si>
    <t>Elcometer</t>
  </si>
  <si>
    <t>CTG345</t>
  </si>
  <si>
    <t>0-.04"</t>
  </si>
  <si>
    <t>0.001 mil</t>
  </si>
  <si>
    <t>±5%</t>
  </si>
  <si>
    <t>CTG456 (F1, F12-F1mode, FNF1, N1, N1A)</t>
  </si>
  <si>
    <t>0-59.06mils</t>
  </si>
  <si>
    <t>0.1 or 1</t>
  </si>
  <si>
    <t>±1%-3% or ±0.1 mil, whichever is greater</t>
  </si>
  <si>
    <t>CTG456 (F2, F12-F2mode, N2)</t>
  </si>
  <si>
    <t>±1%-3% or ±1 mil, whichever is greater</t>
  </si>
  <si>
    <t>CTG456 (F3)</t>
  </si>
  <si>
    <t>±1%-3% or ±2 mil, whichever is greater</t>
  </si>
  <si>
    <t>CTG456 (fm3, nm3)</t>
  </si>
  <si>
    <t>ElektroPhysik</t>
  </si>
  <si>
    <t>MiniTest 600</t>
  </si>
  <si>
    <t>0-120 mils</t>
  </si>
  <si>
    <t>0.0001mil</t>
  </si>
  <si>
    <t>±(2% of reading + 0.08mils)</t>
  </si>
  <si>
    <t>MiniTest 650 (Models F, N, FN)</t>
  </si>
  <si>
    <t>F: 0-120mils, N and FN: 80 mils</t>
  </si>
  <si>
    <t>ETG</t>
  </si>
  <si>
    <t>A, I, N, 2</t>
  </si>
  <si>
    <t xml:space="preserve">0.1 mil </t>
  </si>
  <si>
    <t>±1%±1 mil</t>
  </si>
  <si>
    <t xml:space="preserve">Extech </t>
  </si>
  <si>
    <t>CG 204</t>
  </si>
  <si>
    <t>From 0-33.5 mils: ±(3% +0.04 mils); From 33.5 to 49: ±5%</t>
  </si>
  <si>
    <t>Fischer</t>
  </si>
  <si>
    <t>Isocope MP0R</t>
  </si>
  <si>
    <t>0-48 mils</t>
  </si>
  <si>
    <t>up to 0.01 mils</t>
  </si>
  <si>
    <t xml:space="preserve"> 0-4 mils:  0.04 mils,  4-10 mils:  1.5%,  10-48 mils:  3%</t>
  </si>
  <si>
    <t>Isoscope, Dualscope, Deltascope FMP10-40</t>
  </si>
  <si>
    <t>depends on probe</t>
  </si>
  <si>
    <t>0.01 mil</t>
  </si>
  <si>
    <t>FGA2H Probe</t>
  </si>
  <si>
    <t xml:space="preserve">0-60 mils  </t>
  </si>
  <si>
    <t>FTA3.3H Probe</t>
  </si>
  <si>
    <t>0-50 mils</t>
  </si>
  <si>
    <t>FTD3.3 Probe</t>
  </si>
  <si>
    <t>FDX10</t>
  </si>
  <si>
    <t>0-32 mils</t>
  </si>
  <si>
    <t>FD13 Probe</t>
  </si>
  <si>
    <t xml:space="preserve">Flexbar </t>
  </si>
  <si>
    <t>PTG 3500 &amp; 3550</t>
  </si>
  <si>
    <t xml:space="preserve">Highline </t>
  </si>
  <si>
    <t>Fe/NF Refinishing Gage</t>
  </si>
  <si>
    <t>Kocour</t>
  </si>
  <si>
    <t>E10, E10Metric</t>
  </si>
  <si>
    <t>0-25 mils</t>
  </si>
  <si>
    <t>±3%+.04 mils</t>
  </si>
  <si>
    <t>Nordson FM</t>
  </si>
  <si>
    <t>Dry Film Gage</t>
  </si>
  <si>
    <t>0-80</t>
  </si>
  <si>
    <t xml:space="preserve">Analog Dial: varies by thickness </t>
  </si>
  <si>
    <t>Oxford</t>
  </si>
  <si>
    <t>200SMP-1</t>
  </si>
  <si>
    <t>0-50</t>
  </si>
  <si>
    <t>±1% + .04 mils</t>
  </si>
  <si>
    <t>200RSMP-1</t>
  </si>
  <si>
    <t>200SMP-2</t>
  </si>
  <si>
    <t>0-120</t>
  </si>
  <si>
    <t>200RSMP-2</t>
  </si>
  <si>
    <t>200ECP</t>
  </si>
  <si>
    <t>0-40</t>
  </si>
  <si>
    <t>200ECP-M</t>
  </si>
  <si>
    <t>200REP-3</t>
  </si>
  <si>
    <t>200REP-3M</t>
  </si>
  <si>
    <t>200DP-1</t>
  </si>
  <si>
    <t>200DP-2</t>
  </si>
  <si>
    <t>Phase II</t>
  </si>
  <si>
    <t>0-40 mils</t>
  </si>
  <si>
    <t>3.93µ"-39.37µ"</t>
  </si>
  <si>
    <t>±0.1 mil or ±1%-3% - whichever  is greater</t>
  </si>
  <si>
    <t>Qnix</t>
  </si>
  <si>
    <t>±(0.04 mil + 2%) from 0-39 mils; ±(0.04 mil +3.5%) from 39.1-200 mils</t>
  </si>
  <si>
    <t>Standard</t>
  </si>
  <si>
    <t xml:space="preserve">Note: Error 011 indicates that corrective cal and master cal standards are not in same range. </t>
  </si>
  <si>
    <t>Perform master calibration and then corrective calibration with standards within same range.</t>
  </si>
  <si>
    <t>Count Rate:</t>
  </si>
  <si>
    <t>Standard 1 min: .02</t>
  </si>
  <si>
    <t>max: .9</t>
  </si>
  <si>
    <t xml:space="preserve">Standard 2 min: .12  </t>
  </si>
  <si>
    <t>max: .98</t>
  </si>
  <si>
    <t>These equate to:</t>
  </si>
  <si>
    <t>Standard 1 min: .26 mils</t>
  </si>
  <si>
    <t>Standard 2 min: 6.4 mils</t>
  </si>
  <si>
    <t>Countrate</t>
  </si>
  <si>
    <t>Std Thickness</t>
  </si>
  <si>
    <t>.21 mils</t>
  </si>
  <si>
    <t>.43 mils</t>
  </si>
  <si>
    <t>.87 mils</t>
  </si>
  <si>
    <t>3.95 mils</t>
  </si>
  <si>
    <t>9.61 mils</t>
  </si>
  <si>
    <t>See notes on 3P green 144298.</t>
  </si>
  <si>
    <t>From http://www.defelsko.com/p6000/p6000_probe_details.htm#built_in_probes</t>
  </si>
  <si>
    <t>Look here for manuals: http://www.defelsko.com/manuals/download/instruction-manuals.php</t>
  </si>
  <si>
    <t>Defelsko Tolerance Calculators</t>
  </si>
  <si>
    <t>For FT probe: ±(0.5 mils+1%)</t>
  </si>
  <si>
    <t>For F, N, FN, FS, NS, and FNS probes</t>
  </si>
  <si>
    <t>Standard Values</t>
  </si>
  <si>
    <t>(Standard Value) -.5 mils+1%</t>
  </si>
  <si>
    <t>(Standard Value) +.5mils+1%</t>
  </si>
  <si>
    <t>(Standard Value) -.05 mils+1%</t>
  </si>
  <si>
    <t>(Standard Value) +.05 mils+1%</t>
  </si>
  <si>
    <t>(Standard Value) -.1 mils+1%</t>
  </si>
  <si>
    <t>(Standard Value) +.1 mils+1%</t>
  </si>
  <si>
    <t>Meters</t>
  </si>
  <si>
    <t>JGI Standard Size mils or µm</t>
  </si>
  <si>
    <t>Tolerance (±%)</t>
  </si>
  <si>
    <t>Reading 1</t>
  </si>
  <si>
    <t>Reading 2</t>
  </si>
  <si>
    <t>Reading 3</t>
  </si>
  <si>
    <t>Reading 4</t>
  </si>
  <si>
    <t>Reading 5</t>
  </si>
  <si>
    <t>Result</t>
  </si>
  <si>
    <t>Uncertainty</t>
  </si>
  <si>
    <t>Customer Standards</t>
  </si>
  <si>
    <t>Enter µm:</t>
  </si>
  <si>
    <t>mils:</t>
  </si>
  <si>
    <t>inches:</t>
  </si>
  <si>
    <t>Convert µm to mils:</t>
  </si>
  <si>
    <t>↓Enter Size in mils or µm↓</t>
  </si>
  <si>
    <t>↓mils or µm↓</t>
  </si>
  <si>
    <t>↓ " or mm↓</t>
  </si>
  <si>
    <t>Deviation</t>
  </si>
  <si>
    <t>Enter mils:</t>
  </si>
  <si>
    <t>µm:</t>
  </si>
  <si>
    <t>14µ"</t>
  </si>
  <si>
    <t>Convert mils to µm:</t>
  </si>
  <si>
    <t>Enter "</t>
  </si>
  <si>
    <t>Convert inches to µm</t>
  </si>
  <si>
    <t xml:space="preserve">We can do a limited range cert. Based on WP25120, we measure the middle 80% of a unit's range. </t>
  </si>
  <si>
    <t>Enter size of biggest standard used. Excel will calculate maximum the value that the unit can be certified to.</t>
  </si>
  <si>
    <t>Biggest Standard</t>
  </si>
  <si>
    <t>Unit Certified to</t>
  </si>
  <si>
    <t>Std Size (mils)</t>
  </si>
  <si>
    <t>±1%</t>
  </si>
  <si>
    <t>±2%</t>
  </si>
  <si>
    <t>±3%</t>
  </si>
  <si>
    <t>Tolerance (%)</t>
  </si>
  <si>
    <t>0.208-0.212</t>
  </si>
  <si>
    <t>0.206-0.214</t>
  </si>
  <si>
    <t>0.204-0.216</t>
  </si>
  <si>
    <t>0.199-0.221</t>
  </si>
  <si>
    <t>.426-0.434</t>
  </si>
  <si>
    <t>0.421-0.439</t>
  </si>
  <si>
    <t>0.417-0.443</t>
  </si>
  <si>
    <t>0.409-0.452</t>
  </si>
  <si>
    <t>0.861-0.879</t>
  </si>
  <si>
    <t>0.853-0.887</t>
  </si>
  <si>
    <t>0.844-0.896</t>
  </si>
  <si>
    <t>0.826-0.913</t>
  </si>
  <si>
    <t>2.614-2.666</t>
  </si>
  <si>
    <t>2.587-2.693</t>
  </si>
  <si>
    <t>2.561-2.719</t>
  </si>
  <si>
    <t>2.508-2.772</t>
  </si>
  <si>
    <t>2.762-2.818</t>
  </si>
  <si>
    <t>2.734-2.846</t>
  </si>
  <si>
    <t>2.706-2.874</t>
  </si>
  <si>
    <t>2.650-2.930</t>
  </si>
  <si>
    <t>3.911-3.989</t>
  </si>
  <si>
    <t>3.871-4.029</t>
  </si>
  <si>
    <t>3.832-4.069</t>
  </si>
  <si>
    <t>3.753-4.1475</t>
  </si>
  <si>
    <t>9.514-9.706</t>
  </si>
  <si>
    <t>9.418-9.802</t>
  </si>
  <si>
    <t>9.322-9.898</t>
  </si>
  <si>
    <t>9.130-10.091</t>
  </si>
  <si>
    <t>19.711-20.109</t>
  </si>
  <si>
    <t>19.512-20.308</t>
  </si>
  <si>
    <t>19.313-20.507</t>
  </si>
  <si>
    <t>18.915-20.906</t>
  </si>
  <si>
    <t>29.205-29.795</t>
  </si>
  <si>
    <t>28.91-30.09</t>
  </si>
  <si>
    <t>28.615-30.385</t>
  </si>
  <si>
    <t>28.025-30.975</t>
  </si>
  <si>
    <t>47.401-48.359</t>
  </si>
  <si>
    <t>46.922-48.838</t>
  </si>
  <si>
    <t>46.444-49.316</t>
  </si>
  <si>
    <t>45.486-50.274</t>
  </si>
  <si>
    <t>78.547-80.133</t>
  </si>
  <si>
    <t>77.753-80.9027</t>
  </si>
  <si>
    <t>76.960-81.720</t>
  </si>
  <si>
    <t>75.373-83.301</t>
  </si>
  <si>
    <t>JGI Stds (mils)</t>
  </si>
  <si>
    <t>JGI Stds (µm)</t>
  </si>
  <si>
    <t>5.281-5.39</t>
  </si>
  <si>
    <t>5.23-5.44</t>
  </si>
  <si>
    <t>5.170 - 5.490</t>
  </si>
  <si>
    <t>5.06-5.60</t>
  </si>
  <si>
    <t>10.81-11.03</t>
  </si>
  <si>
    <t>10.70-11.14</t>
  </si>
  <si>
    <t>10.59 - 11.24</t>
  </si>
  <si>
    <t>10.38-11.47</t>
  </si>
  <si>
    <t>21.87-22.33</t>
  </si>
  <si>
    <t>21.67-22.53</t>
  </si>
  <si>
    <t>21.43 - 22.76</t>
  </si>
  <si>
    <t>20.98-23.22</t>
  </si>
  <si>
    <t>66.37-67.72</t>
  </si>
  <si>
    <t>65.71 - 68.40</t>
  </si>
  <si>
    <t>65.05-69.07</t>
  </si>
  <si>
    <t>63.70-70.41</t>
  </si>
  <si>
    <t>70.16-71.58</t>
  </si>
  <si>
    <t>69.45-72.28</t>
  </si>
  <si>
    <t>68.74-72.99</t>
  </si>
  <si>
    <t>67.32-74.409</t>
  </si>
  <si>
    <t>99.31-101.34</t>
  </si>
  <si>
    <t>98.32 - 102.34</t>
  </si>
  <si>
    <t>97.32-103.34</t>
  </si>
  <si>
    <t>95.30-105.36</t>
  </si>
  <si>
    <t>241.65-246.53</t>
  </si>
  <si>
    <t>239.21-248.98</t>
  </si>
  <si>
    <t>236.77-251.42</t>
  </si>
  <si>
    <t>231.90-256.30</t>
  </si>
  <si>
    <t>500.66-510.77</t>
  </si>
  <si>
    <t>495.60-515.83</t>
  </si>
  <si>
    <t>490.54-520.89</t>
  </si>
  <si>
    <t>480.43-531.00</t>
  </si>
  <si>
    <t>741.8-756.8</t>
  </si>
  <si>
    <t>734.3-764.3</t>
  </si>
  <si>
    <t>726.8-771.8</t>
  </si>
  <si>
    <t>711.8-786.8</t>
  </si>
  <si>
    <t>1204-1228.3</t>
  </si>
  <si>
    <t>1191.8-1240.5</t>
  </si>
  <si>
    <t>1179.7-1252.7</t>
  </si>
  <si>
    <t>1155.3-1277</t>
  </si>
  <si>
    <t>1995.1-2035.4</t>
  </si>
  <si>
    <t>1974.9-2055.5</t>
  </si>
  <si>
    <t>1954.8-2075.7</t>
  </si>
  <si>
    <t>1914.5-2116</t>
  </si>
  <si>
    <t>Amplifier, S/N: 2458</t>
  </si>
  <si>
    <t>Probes</t>
  </si>
  <si>
    <t>Mfg/Type:</t>
  </si>
  <si>
    <t>Mahr Amp w/probes</t>
  </si>
  <si>
    <t>Lever Probe</t>
  </si>
  <si>
    <t>Use on standards &lt;2.5 mils</t>
  </si>
  <si>
    <t>Date Cert</t>
  </si>
  <si>
    <t>Mahr Amp w/ probe</t>
  </si>
  <si>
    <t>Date Due</t>
  </si>
  <si>
    <t>Model #</t>
  </si>
  <si>
    <t>832F</t>
  </si>
  <si>
    <t>EHE-2056</t>
  </si>
  <si>
    <t>T/N</t>
  </si>
  <si>
    <t>A60415</t>
  </si>
  <si>
    <t>3312-9</t>
  </si>
  <si>
    <t>A60914</t>
  </si>
  <si>
    <t>Plunger Probe</t>
  </si>
  <si>
    <t>Use on standards &gt;2.5 mils</t>
  </si>
  <si>
    <t>P2004F</t>
  </si>
  <si>
    <t>JGI Thickness Standards</t>
  </si>
  <si>
    <t>Mfg/Type</t>
  </si>
  <si>
    <t>Fischer Foils/Shims</t>
  </si>
  <si>
    <t xml:space="preserve">Fischer  </t>
  </si>
  <si>
    <t>Set 19</t>
  </si>
  <si>
    <t>FF11114</t>
  </si>
  <si>
    <t>Amplifier, S/N 816018</t>
  </si>
  <si>
    <t>Mfg</t>
  </si>
  <si>
    <t>Brown and Sharpe</t>
  </si>
  <si>
    <t>A70315</t>
  </si>
  <si>
    <t>English Readings</t>
  </si>
  <si>
    <t>Metric Conversion</t>
  </si>
  <si>
    <t>Tolerance for Type IV &amp;V Roughness Gages</t>
  </si>
  <si>
    <t>Misc Converter (Eng - Metric)</t>
  </si>
  <si>
    <t>Customer Gage</t>
  </si>
  <si>
    <t>Our Standard</t>
  </si>
  <si>
    <t>±10% of specimen</t>
  </si>
  <si>
    <t>Nominal Value</t>
  </si>
  <si>
    <t>Readings</t>
  </si>
  <si>
    <t>Cutoff Length 4µ"-79.99µ"</t>
  </si>
  <si>
    <t>Misc Converter (Metric - Eng)</t>
  </si>
  <si>
    <t>0.03"</t>
  </si>
  <si>
    <t>Cutoff Length 80µ"-399.99µ"</t>
  </si>
  <si>
    <t>0.10"</t>
  </si>
  <si>
    <t>Conversion factor:</t>
  </si>
  <si>
    <t>1µm = 39.37µ"</t>
  </si>
  <si>
    <t>English Conversion</t>
  </si>
  <si>
    <t>Cutoff Length .1µm-2µm</t>
  </si>
  <si>
    <t>Cutoff Length 2.1µm-6µm</t>
  </si>
  <si>
    <t>CALIBRATION FOR SINGLE REFERENCE STANDARD</t>
  </si>
  <si>
    <t>See WP200461, Sec. 10.1.6 to 10.2.7</t>
  </si>
  <si>
    <t>CALIBRATION AGAINST TWO REFERENCE STANDARDS</t>
  </si>
  <si>
    <t>JGI Master Nominal Value:</t>
  </si>
  <si>
    <t>Lower Master Nominal Value:</t>
  </si>
  <si>
    <t>Range Nom. Values:</t>
  </si>
  <si>
    <t>Range CFs:</t>
  </si>
  <si>
    <t>factor:</t>
  </si>
  <si>
    <t>Correction Factor</t>
  </si>
  <si>
    <t>Calculated CF:</t>
  </si>
  <si>
    <t>Higher Master Nominal Value:</t>
  </si>
  <si>
    <t>UUT Nominal Value:</t>
  </si>
  <si>
    <t>Tolerance for Type A &amp;C Reference Standards (12-20µ")</t>
  </si>
  <si>
    <t>% dev from nominal: ±20%</t>
  </si>
  <si>
    <t>% of measured value: ±3%</t>
  </si>
  <si>
    <t>Tolerance for Type A &amp;C Reference Standards (20.1-79µ")</t>
  </si>
  <si>
    <t>% dev from nominal: ±15%</t>
  </si>
  <si>
    <t>% of measured value: ±2%</t>
  </si>
  <si>
    <t>Tolerance for Type A &amp;C Reference Standards (79.1-256µ")</t>
  </si>
  <si>
    <t>% dev from nominal: ±10%</t>
  </si>
  <si>
    <t>Corrected Average Value</t>
  </si>
  <si>
    <t>% Dev of Nominal</t>
  </si>
  <si>
    <t>Standard Deviation</t>
  </si>
  <si>
    <t>% Dev of Measured Value</t>
  </si>
  <si>
    <t>Tolerance for Type A &amp;C Reference Standards (.2-.65µm)</t>
  </si>
  <si>
    <t>Tolerance for Type A &amp;C Reference Standards (.65-2µm)</t>
  </si>
  <si>
    <t>Tolerance for Type A &amp;C Reference Standards (2.1-6.5µm)</t>
  </si>
  <si>
    <t>Roughness Technical Information</t>
  </si>
  <si>
    <t>Measuring Range (µ")</t>
  </si>
  <si>
    <t>Accuracy</t>
  </si>
  <si>
    <t>2 pt Cal?</t>
  </si>
  <si>
    <t>Analog Surfometer</t>
  </si>
  <si>
    <t>System 1</t>
  </si>
  <si>
    <t>1-5000</t>
  </si>
  <si>
    <t>±2.5% full scale</t>
  </si>
  <si>
    <t>no</t>
  </si>
  <si>
    <t>Fowler</t>
  </si>
  <si>
    <t>Pocket Surf III</t>
  </si>
  <si>
    <t>1-250</t>
  </si>
  <si>
    <t>meets ASME B46.1</t>
  </si>
  <si>
    <t>XPRO</t>
  </si>
  <si>
    <t>EDP 16802</t>
  </si>
  <si>
    <t>no info available</t>
  </si>
  <si>
    <t>no specs available</t>
  </si>
  <si>
    <t>Handysurf</t>
  </si>
  <si>
    <t>E-30A</t>
  </si>
  <si>
    <t>6300µ"</t>
  </si>
  <si>
    <t>not listed</t>
  </si>
  <si>
    <t xml:space="preserve">Mahr  </t>
  </si>
  <si>
    <t>Pocket Surf PS1</t>
  </si>
  <si>
    <t>-8000 to +6000</t>
  </si>
  <si>
    <t>Mahr Federal</t>
  </si>
  <si>
    <t xml:space="preserve">Pocket Surf I </t>
  </si>
  <si>
    <t>Mahr Perthometer</t>
  </si>
  <si>
    <t>M2</t>
  </si>
  <si>
    <t>±(2µ" + 2% reading)</t>
  </si>
  <si>
    <t>Mitutoyo</t>
  </si>
  <si>
    <t>SJ-201P/M</t>
  </si>
  <si>
    <t>-7880 to +5900</t>
  </si>
  <si>
    <t>SJ-210</t>
  </si>
  <si>
    <t>-7900 to 6300</t>
  </si>
  <si>
    <t>SJ-400</t>
  </si>
  <si>
    <t>32000µ"</t>
  </si>
  <si>
    <t>Surftest 212</t>
  </si>
  <si>
    <t>2-1600</t>
  </si>
  <si>
    <t>Surftest 211</t>
  </si>
  <si>
    <t>Surftest 402</t>
  </si>
  <si>
    <t>SRG-1000</t>
  </si>
  <si>
    <t>2-394</t>
  </si>
  <si>
    <t>±10%</t>
  </si>
  <si>
    <t>SRG-2000</t>
  </si>
  <si>
    <t>±12%</t>
  </si>
  <si>
    <t>SRG-4000</t>
  </si>
  <si>
    <t>.02-63</t>
  </si>
  <si>
    <t>Qualitest</t>
  </si>
  <si>
    <t>TR200</t>
  </si>
  <si>
    <t>SPI</t>
  </si>
  <si>
    <t>Roughness Tester</t>
  </si>
  <si>
    <t>1-250µ"</t>
  </si>
  <si>
    <t>Starrett</t>
  </si>
  <si>
    <t>SR100</t>
  </si>
  <si>
    <t>8000µ"</t>
  </si>
  <si>
    <t>SR300</t>
  </si>
  <si>
    <t>7874µ"</t>
  </si>
  <si>
    <t>SR400</t>
  </si>
  <si>
    <t>15748µ"</t>
  </si>
  <si>
    <t>Taylor Hobson</t>
  </si>
  <si>
    <t>Surtronic 3+</t>
  </si>
  <si>
    <t>±6000</t>
  </si>
  <si>
    <t>±2% + 1 count</t>
  </si>
  <si>
    <t>Surtronic 25</t>
  </si>
  <si>
    <t>12000, w/stylus 112/1502</t>
  </si>
  <si>
    <t>Surtronic 10</t>
  </si>
  <si>
    <t>1-1600</t>
  </si>
  <si>
    <t>Tesa RugoSurf</t>
  </si>
  <si>
    <t>1-3937</t>
  </si>
  <si>
    <t>Time Group</t>
  </si>
  <si>
    <t>TR100</t>
  </si>
  <si>
    <t>39-393</t>
  </si>
  <si>
    <t>meets ISO Class 3</t>
  </si>
  <si>
    <t>1-492</t>
  </si>
  <si>
    <t>Manufacturer/Type</t>
  </si>
  <si>
    <t>Federal Pocket Surf III</t>
  </si>
  <si>
    <t>Model Number</t>
  </si>
  <si>
    <t>EMD 1500-322</t>
  </si>
  <si>
    <t>Serial Number</t>
  </si>
  <si>
    <t>Date Certified</t>
  </si>
  <si>
    <t>Traceability Number</t>
  </si>
  <si>
    <t>SRG10615</t>
  </si>
  <si>
    <t>SRG20915</t>
  </si>
  <si>
    <t>Mahr Federal Standard</t>
  </si>
  <si>
    <t>Federal Reference Standard</t>
  </si>
  <si>
    <t>PMT-90003</t>
  </si>
  <si>
    <t>EMD-90010</t>
  </si>
  <si>
    <t>J910010.1</t>
  </si>
  <si>
    <t>SRS10915</t>
  </si>
  <si>
    <t>117µ"/2.97µm</t>
  </si>
  <si>
    <t>120 µ"/3.05µm</t>
  </si>
  <si>
    <t>Color:</t>
  </si>
  <si>
    <t>Silver standard</t>
  </si>
  <si>
    <t>Black standard</t>
  </si>
  <si>
    <t>1 µm = .001 mm</t>
  </si>
  <si>
    <t>25.4mm = 1000000µ"</t>
  </si>
  <si>
    <t>1 µ" = .0254µm</t>
  </si>
  <si>
    <t>1µm = 1 micron</t>
  </si>
  <si>
    <t>Nominal</t>
  </si>
  <si>
    <t>VDI</t>
  </si>
  <si>
    <t>Ra (µm)</t>
  </si>
  <si>
    <t>Ra (µ")</t>
  </si>
  <si>
    <t>Notes:</t>
  </si>
  <si>
    <t>VDI = Verein Deutscher Ingenieure (Society of German Engineers)</t>
  </si>
  <si>
    <t>VDI uses CH scale: CH = 20*log(10*(Ra reading in µm))</t>
  </si>
  <si>
    <t>For more info: http://highperformancemachinery.com/yahoo_site_admin/assets/docs/EDM_Surface_Finish_Charts_12-09.36214442.pdf</t>
  </si>
  <si>
    <t>Also, see Cox Machine Report 154419 in Misc 4 Col for example</t>
  </si>
  <si>
    <t>Ultrasonic Testers</t>
  </si>
  <si>
    <t>Enter Gage Block Size</t>
  </si>
  <si>
    <t xml:space="preserve">We can do a limited range on a cert. Based on WP25120, we measure the middle 80% of a unit's range. </t>
  </si>
  <si>
    <t>Biggest Standard Used</t>
  </si>
  <si>
    <t>Phase II Min, Max Calculator given tolerance ±(0.5%+.002)</t>
  </si>
  <si>
    <t>Standard Value</t>
  </si>
  <si>
    <t>+</t>
  </si>
  <si>
    <t>ULTRASONIC THICKNESS GAGE INFO</t>
  </si>
  <si>
    <t>BRAND</t>
  </si>
  <si>
    <t>MODEL</t>
  </si>
  <si>
    <t>UNIT RANGE (steel)</t>
  </si>
  <si>
    <t>RESOLUTION</t>
  </si>
  <si>
    <t>ACCURACY</t>
  </si>
  <si>
    <t>TOLERANCE</t>
  </si>
  <si>
    <t>TRANSDUCER TYPE</t>
  </si>
  <si>
    <t>TRANSDUCER RANGE</t>
  </si>
  <si>
    <t>FREQ  (MHz)</t>
  </si>
  <si>
    <t>NOTES</t>
  </si>
  <si>
    <t>CENTURION</t>
  </si>
  <si>
    <t>MX-10</t>
  </si>
  <si>
    <t xml:space="preserve">.05" - 6" </t>
  </si>
  <si>
    <t>±.001"</t>
  </si>
  <si>
    <t>Check Line</t>
  </si>
  <si>
    <t>TI-25M</t>
  </si>
  <si>
    <t>.025"-6"</t>
  </si>
  <si>
    <t>±2 counts of least sig digit, per Tony, see Dakota Info Tab for more details</t>
  </si>
  <si>
    <t>.25"</t>
  </si>
  <si>
    <t>.025"-5"</t>
  </si>
  <si>
    <t>7.5MHz</t>
  </si>
  <si>
    <t>.187"</t>
  </si>
  <si>
    <t>.025-2"</t>
  </si>
  <si>
    <t>5 MHz</t>
  </si>
  <si>
    <t>.5"</t>
  </si>
  <si>
    <t>0-20"</t>
  </si>
  <si>
    <t>DAKOTA</t>
  </si>
  <si>
    <t>PX-7</t>
  </si>
  <si>
    <t>.006" - 1"</t>
  </si>
  <si>
    <t>0.0001"</t>
  </si>
  <si>
    <t>±.0001"</t>
  </si>
  <si>
    <t>.25", .5"</t>
  </si>
  <si>
    <t>15, 20</t>
  </si>
  <si>
    <t>PR-8</t>
  </si>
  <si>
    <t>.025" - 19.99"</t>
  </si>
  <si>
    <t>.500"</t>
  </si>
  <si>
    <t>.05" - 6"</t>
  </si>
  <si>
    <t>PVX</t>
  </si>
  <si>
    <t>I-E: .05-1"; E-E: .006-.5";P-E .04-10"</t>
  </si>
  <si>
    <t>CMX</t>
  </si>
  <si>
    <t>E-EV: .05-1"; E-E: .1-4";P-E .025-20"</t>
  </si>
  <si>
    <t>MX1</t>
  </si>
  <si>
    <t>±0.0001</t>
  </si>
  <si>
    <t>DEFELSKO</t>
  </si>
  <si>
    <t>POSITECTOR UTG</t>
  </si>
  <si>
    <t>.004" - 5"</t>
  </si>
  <si>
    <t>.001"</t>
  </si>
  <si>
    <t>ELCOMETER</t>
  </si>
  <si>
    <t>205, 206, 206DL</t>
  </si>
  <si>
    <t>±2 counts of least significant digit when measuring more than &gt;.04"</t>
  </si>
  <si>
    <t>T92015641, T92015642, T92015644</t>
  </si>
  <si>
    <t>0.06" - 2"</t>
  </si>
  <si>
    <t>T92015645 - T92015648
T92015655 - T92015656</t>
  </si>
  <si>
    <t>.04" - 6"</t>
  </si>
  <si>
    <t>T90215657 - T92015662</t>
  </si>
  <si>
    <t>.05" - 19.99"</t>
  </si>
  <si>
    <t>T90215663 - T90215666</t>
  </si>
  <si>
    <t>T90215667 - T2015670</t>
  </si>
  <si>
    <t>.025" - 6"</t>
  </si>
  <si>
    <t>T90215671 - T92015674</t>
  </si>
  <si>
    <t>T92015676 - T92015679</t>
  </si>
  <si>
    <t>.06" - 10"</t>
  </si>
  <si>
    <t>GE Inspection Techonlogies</t>
  </si>
  <si>
    <t>CL5</t>
  </si>
  <si>
    <t>.006"-20"</t>
  </si>
  <si>
    <t>Alpha 2 DFR</t>
  </si>
  <si>
    <t>.01" - 1.0"</t>
  </si>
  <si>
    <t>DM5E</t>
  </si>
  <si>
    <t>.025" - 20"</t>
  </si>
  <si>
    <t>±2 counts of least significant digit (JGI recommended)</t>
  </si>
  <si>
    <t>ISU-T06 (thin material)</t>
  </si>
  <si>
    <t>0-1.96" (0-50mm)</t>
  </si>
  <si>
    <t>ISU-T12 (casting steel)</t>
  </si>
  <si>
    <t>0-13.78" (0-350mm)</t>
  </si>
  <si>
    <t>ISU-T13 (High Temp)</t>
  </si>
  <si>
    <t>0-3.94" (0-100mm)</t>
  </si>
  <si>
    <t>KRAUTKRAMER</t>
  </si>
  <si>
    <t>CL3 DL</t>
  </si>
  <si>
    <t>.01" - 1"</t>
  </si>
  <si>
    <t>Standard Delay</t>
  </si>
  <si>
    <t>Alpha 2 F / CLF5</t>
  </si>
  <si>
    <t>Fingertip Contact</t>
  </si>
  <si>
    <t>Alpha DFR-P</t>
  </si>
  <si>
    <t>.005" -.15"</t>
  </si>
  <si>
    <t>Delay Line Plastics</t>
  </si>
  <si>
    <t>K-Pen</t>
  </si>
  <si>
    <t>.008" - 0.175"</t>
  </si>
  <si>
    <t>Delay Line Pencil</t>
  </si>
  <si>
    <t>CA211A</t>
  </si>
  <si>
    <t>.06" - 20"</t>
  </si>
  <si>
    <t>Standard Contact</t>
  </si>
  <si>
    <t>DM4E, DM4, DM4DL</t>
  </si>
  <si>
    <t>.02" - 20"</t>
  </si>
  <si>
    <t>.001" up to 9.99"</t>
  </si>
  <si>
    <t>Alpha 2 Mini DFR</t>
  </si>
  <si>
    <t>.01" - .2"</t>
  </si>
  <si>
    <t>Thin Range Delay</t>
  </si>
  <si>
    <t>.08" - 15"</t>
  </si>
  <si>
    <t>.08" - 2"</t>
  </si>
  <si>
    <t>MU-GAGE</t>
  </si>
  <si>
    <t>.08" - 10"</t>
  </si>
  <si>
    <t>Mu-Gage Plus</t>
  </si>
  <si>
    <t>0.010"-1.00"</t>
  </si>
  <si>
    <t>±.002" (recommended)</t>
  </si>
  <si>
    <t>FH2E</t>
  </si>
  <si>
    <t>.03" - 2"</t>
  </si>
  <si>
    <t>NDT</t>
  </si>
  <si>
    <t>NOVA-810, 900 series</t>
  </si>
  <si>
    <t>.003" - 200"</t>
  </si>
  <si>
    <t>.0001" up to 2"</t>
  </si>
  <si>
    <t>±.0001 up to 2"; ±.001 2"-20"</t>
  </si>
  <si>
    <t>KBA560</t>
  </si>
  <si>
    <t>.06" - 8"</t>
  </si>
  <si>
    <t>http://www.ndtsystems.com/Transducers/Nova_Series/Contact_-_Delay/contact_-_delay.html</t>
  </si>
  <si>
    <t>HT400</t>
  </si>
  <si>
    <t>.03" - 10"</t>
  </si>
  <si>
    <t>BD-25</t>
  </si>
  <si>
    <t>.04" - 8"</t>
  </si>
  <si>
    <t>Alpha 2</t>
  </si>
  <si>
    <t>0-1"</t>
  </si>
  <si>
    <t>D11, D11TC, D11R</t>
  </si>
  <si>
    <t>.005" - .7"</t>
  </si>
  <si>
    <t>0.001"</t>
  </si>
  <si>
    <t>±2 counts of least sig digit</t>
  </si>
  <si>
    <t>D13R</t>
  </si>
  <si>
    <t>.4" - .9999"</t>
  </si>
  <si>
    <t>OLYPMUS</t>
  </si>
  <si>
    <t>45MG</t>
  </si>
  <si>
    <t>depends on transducer</t>
  </si>
  <si>
    <t>D15</t>
  </si>
  <si>
    <t>measurement mode: 2</t>
  </si>
  <si>
    <t>D17</t>
  </si>
  <si>
    <t>.25" - 1.1"</t>
  </si>
  <si>
    <t>measurement mode: 3</t>
  </si>
  <si>
    <t>.250"</t>
  </si>
  <si>
    <t>1.025"-19.99"</t>
  </si>
  <si>
    <t>0.125"</t>
  </si>
  <si>
    <t>.010" - 0.400"</t>
  </si>
  <si>
    <t>0.008" - .200"</t>
  </si>
  <si>
    <t>0.25"</t>
  </si>
  <si>
    <t>0.02" - 0.75"</t>
  </si>
  <si>
    <t>0.020" - 0.500"</t>
  </si>
  <si>
    <t>PANAMETRICS</t>
  </si>
  <si>
    <t>.001" OR .01"</t>
  </si>
  <si>
    <t>±0.004"</t>
  </si>
  <si>
    <t>0.5"</t>
  </si>
  <si>
    <t>.050" - 1.00"</t>
  </si>
  <si>
    <t>.003"-20"</t>
  </si>
  <si>
    <t>±0.001" or ±0.7%</t>
  </si>
  <si>
    <t>0.050" - 0.500"</t>
  </si>
  <si>
    <t>0.08" - 1.00"</t>
  </si>
  <si>
    <t>0.060" - 0.500"</t>
  </si>
  <si>
    <t>ALL D790 Types and D791</t>
  </si>
  <si>
    <t>.04" - 20"</t>
  </si>
  <si>
    <t>D792</t>
  </si>
  <si>
    <t>.02" - 1"</t>
  </si>
  <si>
    <t>PANAMETRICS NDT</t>
  </si>
  <si>
    <t>35, 35DL, 35 HP, 35 DLHP</t>
  </si>
  <si>
    <t>.003" - 25"</t>
  </si>
  <si>
    <t>D794</t>
  </si>
  <si>
    <t>D796</t>
  </si>
  <si>
    <t>.04" - 2"</t>
  </si>
  <si>
    <t>D798</t>
  </si>
  <si>
    <t>.028" - 4"</t>
  </si>
  <si>
    <t>D799</t>
  </si>
  <si>
    <t>D7908</t>
  </si>
  <si>
    <t>0.04" - 1.5"</t>
  </si>
  <si>
    <t>M116</t>
  </si>
  <si>
    <t>.02" - 1.5"</t>
  </si>
  <si>
    <t>M112</t>
  </si>
  <si>
    <t>M110</t>
  </si>
  <si>
    <t>.04 - 15"</t>
  </si>
  <si>
    <t>M109</t>
  </si>
  <si>
    <t>.05" - 20"</t>
  </si>
  <si>
    <t>M106</t>
  </si>
  <si>
    <t>.08" - 20"</t>
  </si>
  <si>
    <t>M1016</t>
  </si>
  <si>
    <t>.03" - 1.5"</t>
  </si>
  <si>
    <t>M1036</t>
  </si>
  <si>
    <t>.08" - 25"</t>
  </si>
  <si>
    <t>M208 (V208) Steel</t>
  </si>
  <si>
    <t>.008" - .2"</t>
  </si>
  <si>
    <t>M202 (DEFM3) Steel</t>
  </si>
  <si>
    <t>.01" - .5"</t>
  </si>
  <si>
    <t>M202 (DEFM2) Steel</t>
  </si>
  <si>
    <t>.02" - .75"</t>
  </si>
  <si>
    <t>V260 (DEFM3) Steel</t>
  </si>
  <si>
    <t>.01"- .2"</t>
  </si>
  <si>
    <t>Starret (Phase II)</t>
  </si>
  <si>
    <t>.04" - 12"</t>
  </si>
  <si>
    <t>±(0.5%+.001")</t>
  </si>
  <si>
    <t>V260 (DEFM2) Steel</t>
  </si>
  <si>
    <t>.02" - .4"</t>
  </si>
  <si>
    <t>Use P-05 setting</t>
  </si>
  <si>
    <t>0-7.87"</t>
  </si>
  <si>
    <t>±(1%*H)±0.0007</t>
  </si>
  <si>
    <t>PT-08</t>
  </si>
  <si>
    <t>5M</t>
  </si>
  <si>
    <t>Echo-Echo probe</t>
  </si>
  <si>
    <t>.03-11.7"</t>
  </si>
  <si>
    <t>±(0.5%+.002")</t>
  </si>
  <si>
    <t>M201 (DEFM2) Steel</t>
  </si>
  <si>
    <t>.03" - .75"</t>
  </si>
  <si>
    <t>0-8"</t>
  </si>
  <si>
    <t>±(0.5%+.008")</t>
  </si>
  <si>
    <t>0-8</t>
  </si>
  <si>
    <t xml:space="preserve">Stress-Tel </t>
  </si>
  <si>
    <t>T-Mike E</t>
  </si>
  <si>
    <t>0-20</t>
  </si>
  <si>
    <t>±0.5% of reading</t>
  </si>
  <si>
    <t>M206</t>
  </si>
  <si>
    <t>.05" - 1"</t>
  </si>
  <si>
    <t>M2017</t>
  </si>
  <si>
    <t>.02" - .5"</t>
  </si>
  <si>
    <t>PocketMike</t>
  </si>
  <si>
    <t>.04-10"</t>
  </si>
  <si>
    <t>±0.5% (steel); ±2% (Aluminum)</t>
  </si>
  <si>
    <t>SPI Ultra Thickness Gage</t>
  </si>
  <si>
    <t>15-145-6</t>
  </si>
  <si>
    <t>.05" - 8"</t>
  </si>
  <si>
    <t>±(0.5% + .008")</t>
  </si>
  <si>
    <t>7P (33639)</t>
  </si>
  <si>
    <t>Aluminum Blocks</t>
  </si>
  <si>
    <t>Minimum</t>
  </si>
  <si>
    <t>Maximum</t>
  </si>
  <si>
    <t>Steel Blocks</t>
  </si>
  <si>
    <t>Insize Tolerance Calculator</t>
  </si>
  <si>
    <t>±0.002" up to 0.4"; ±(0.04+H/1000) mm from 0.4-4"; ±H/333mm above 4"</t>
  </si>
  <si>
    <t>For Dakota PX-7 Transducer .5" 5MHz</t>
  </si>
  <si>
    <t>4340 STEEL BLOCK</t>
  </si>
  <si>
    <t>TOLERANCE (+/-)</t>
  </si>
  <si>
    <t>#3 FBH @0.300</t>
  </si>
  <si>
    <t xml:space="preserve">T-104-2000 Spec per Lela Virgallito, lela@dakotainst.com,  Date: Mon, 30 Jan 2012 16:46:34
</t>
  </si>
  <si>
    <t>For all other transducers, use ±2 counts of least sig digit per Tony at Radiatronics 10/31/12</t>
  </si>
  <si>
    <t>Step Blocks</t>
  </si>
  <si>
    <t>Rectanglar Gage Blocks</t>
  </si>
  <si>
    <t>Steel</t>
  </si>
  <si>
    <t>Set 4 - North Lab</t>
  </si>
  <si>
    <t>Manufacturer/type</t>
  </si>
  <si>
    <t>Ultrasonic Thickness Standard</t>
  </si>
  <si>
    <t>Rectangular Gage Blocks</t>
  </si>
  <si>
    <t>Cal Date</t>
  </si>
  <si>
    <t>Due Date</t>
  </si>
  <si>
    <t>Misc</t>
  </si>
  <si>
    <t>JUS-1-STEEL</t>
  </si>
  <si>
    <t>Set 4</t>
  </si>
  <si>
    <t>USG1S0615</t>
  </si>
  <si>
    <t>GBS40714</t>
  </si>
  <si>
    <t>Aluminum</t>
  </si>
  <si>
    <t>Set #15 - South Lab</t>
  </si>
  <si>
    <t>JUS-2-ALUM</t>
  </si>
  <si>
    <t>Set 15</t>
  </si>
  <si>
    <t>USG1A0615</t>
  </si>
  <si>
    <t>94-8000</t>
  </si>
  <si>
    <t>GB12152013</t>
  </si>
  <si>
    <t>Aluminum Standard Calibration Information</t>
  </si>
  <si>
    <t>Set 313</t>
  </si>
  <si>
    <t>Aluminum Thickness Standards</t>
  </si>
  <si>
    <t>6061 Alloy</t>
  </si>
  <si>
    <t>TS3130315</t>
  </si>
  <si>
    <t>Set 413</t>
  </si>
  <si>
    <t>TS4130414</t>
  </si>
  <si>
    <t>Below is an overview of steps to checking a conductivity meter. See WP300000 for detailed procedure.</t>
  </si>
  <si>
    <t>What spec are you certifying the meter to?</t>
  </si>
  <si>
    <t>BAC5651D</t>
  </si>
  <si>
    <t>Step 1: Make sure all required components are present, functional, and clean.</t>
  </si>
  <si>
    <t>Minimum standard requirements for each spec:</t>
  </si>
  <si>
    <t>CSTI-008</t>
  </si>
  <si>
    <t>Standard Requirements</t>
  </si>
  <si>
    <t>For Type II: 3 - one within 7% IACS of range to be measured, the other 2 ±3%-25 IACS of the first</t>
  </si>
  <si>
    <t>MIL-STD-1537C</t>
  </si>
  <si>
    <t>ASTM E 1004</t>
  </si>
  <si>
    <t>2 - one within 25-32% IACS, one within 38-62% IACS</t>
  </si>
  <si>
    <t>AITM6-6004</t>
  </si>
  <si>
    <t>Step 2: Use the roughness gage to check the surface roughness of the customer's standards.</t>
  </si>
  <si>
    <t>BPS4453B</t>
  </si>
  <si>
    <t>Maximum Surface Roughness</t>
  </si>
  <si>
    <t>ATM E 1004</t>
  </si>
  <si>
    <t>None.</t>
  </si>
  <si>
    <t>3 - that cover ranges of inspection parts</t>
  </si>
  <si>
    <t xml:space="preserve">Step 3: Compare customer standards to JGI standards using JGI's meter and its offsets on each of JGI's standards. </t>
  </si>
  <si>
    <t>2 - above max and below min of range to measured</t>
  </si>
  <si>
    <t>Note: Marked values of JGI and customer standards must be within 3.5%IACS. Otherwise, click here:</t>
  </si>
  <si>
    <t>Interpolation Formula</t>
  </si>
  <si>
    <t>JGI Standard</t>
  </si>
  <si>
    <t>Reading on JGI Standard</t>
  </si>
  <si>
    <t>Step 2: Use the Mahr Perthometer to check the surface roughness of the customer's standards.</t>
  </si>
  <si>
    <t>Surface Roughness Maximum Value for each spec:</t>
  </si>
  <si>
    <t>Reading on Customer Standard</t>
  </si>
  <si>
    <t>63µ", Ra</t>
  </si>
  <si>
    <t>Customer Standard Value*</t>
  </si>
  <si>
    <t>165 RMS (150µ", Ra)</t>
  </si>
  <si>
    <t>*If this value is not within ~0.1% IACS of the stickered value, you should update the sticker.</t>
  </si>
  <si>
    <t>None. Recommend 63µ, Ra</t>
  </si>
  <si>
    <t>Step 4: Use values from Step 3 to set up customer's meter. (Calibrate/Normalize/Standardize it). Note time and temp.</t>
  </si>
  <si>
    <t>125 RMS (113µ", Ra)</t>
  </si>
  <si>
    <t>Step 5: Check meter on each of JGI's standards - once on bare standards, once with shim. Record these 10 values for report.</t>
  </si>
  <si>
    <t>Accuracy Tolerance</t>
  </si>
  <si>
    <t>Step 3: Compare customer standards to JGI standards using JGI's meter and its offsets on each of JGI's standards.</t>
  </si>
  <si>
    <t>JGI Standard Marked</t>
  </si>
  <si>
    <t>Reading on JGI's standard w/JGI's Meter</t>
  </si>
  <si>
    <t>Reading on customer standards w/JGI's Meter</t>
  </si>
  <si>
    <t>Customer Standard Value* (including offset)</t>
  </si>
  <si>
    <t>Step 6: Drift Test: Wait 15 minutes after the beginning of Step 4 and repeat Step 4. These values do not go on the report.</t>
  </si>
  <si>
    <t>Step 7: Type report and make stickers. Note what kHz the meter is set in (if adjustable).</t>
  </si>
  <si>
    <t>Recall Requirements</t>
  </si>
  <si>
    <t>Check all that apply:</t>
  </si>
  <si>
    <t>Possible "Notes" for Comments section. Be sure to list "Accepted as noted" under Results.</t>
  </si>
  <si>
    <t>Step 4: Use confirmed (or new) customer standard values to set up customer's meter. (Calibrate/Normalize/Standardize it). Note time and temp.</t>
  </si>
  <si>
    <t>Step 5: Once customer's meter is set up, check it on each of JGI's standards - once on bare standards, once with shim. Record these 10 values for report.</t>
  </si>
  <si>
    <t>Meter Accuracy tolerance for each spec:</t>
  </si>
  <si>
    <t>Other things to remember:</t>
  </si>
  <si>
    <t>±0.5% IACS</t>
  </si>
  <si>
    <t>±1% IACS</t>
  </si>
  <si>
    <t>Sticker setup standards w/Functional Test sticker unless PO says to certify them.</t>
  </si>
  <si>
    <t>None. Recommend ±0.5%IACS or use manufacturer's</t>
  </si>
  <si>
    <t>One last thing:</t>
  </si>
  <si>
    <t>If you get a meter in that doesn't require (or meet) any specifications, list "M" for Manufacturer or "R" for Recommended as the tolerance source.</t>
  </si>
  <si>
    <t>Step 6: Wait 15 minutes after the beginning of Step 3 and repeat Step 3. These values do not go on the report. They are just to see if the customer's meter drifts.</t>
  </si>
  <si>
    <t>JGI's recommendation, by default, is ±0.5% IACS. If meter doesn't meet this get customer approval to list ±1% IACS.</t>
  </si>
  <si>
    <t>Difference between bare and lift-off (shim) readings shall be less than 0.5% IACS.</t>
  </si>
  <si>
    <t>Manufacuter's tolerances:</t>
  </si>
  <si>
    <t>Sigmascopes</t>
  </si>
  <si>
    <t>Verimets</t>
  </si>
  <si>
    <t>Recall requirements for each spec:</t>
  </si>
  <si>
    <t>Autosigma 3000 and 3000DL</t>
  </si>
  <si>
    <t>Based on historical reliability w/data; otherwise SA</t>
  </si>
  <si>
    <t>SigmaCheck NDE</t>
  </si>
  <si>
    <t>No longer than A with supporting historical data; otherwise 4 months</t>
  </si>
  <si>
    <t>Centurion FM-140XL</t>
  </si>
  <si>
    <t xml:space="preserve">List this in the Comments: Found capable of meeting accuracy and sensitivity requirements after standardization with JGI standard set listed above. </t>
  </si>
  <si>
    <t>None. Recommend Q.</t>
  </si>
  <si>
    <t>No more than A</t>
  </si>
  <si>
    <t>No more than 120 days</t>
  </si>
  <si>
    <t>Conversion factor: IACS*0.58 = MS/m</t>
  </si>
  <si>
    <t>Other Notes from Specs</t>
  </si>
  <si>
    <t>Interpolation Fun</t>
  </si>
  <si>
    <t>List calibration frequency on sticker (e.g. 60 kHz)</t>
  </si>
  <si>
    <t>Enter Value of next lower JGI standard</t>
  </si>
  <si>
    <t>Probe diameter must be 0.5" or smaller</t>
  </si>
  <si>
    <t>Enter Value of next higher JGI standard</t>
  </si>
  <si>
    <t>See Step 5.</t>
  </si>
  <si>
    <t>Enter 5 readings of next lower JGI standard</t>
  </si>
  <si>
    <t>None</t>
  </si>
  <si>
    <t>Enter 5 readings of next higher JGI standard</t>
  </si>
  <si>
    <t>Traceability to NPL. Ask customer if ok to use NIST instead of NPL</t>
  </si>
  <si>
    <t>Enter 5 readings of customer standard</t>
  </si>
  <si>
    <t>Interpolated customer standard value*</t>
  </si>
  <si>
    <t>All</t>
  </si>
  <si>
    <t>Possible "Notes". To ensure consistency, just copy/paste the relevant notes into the comments section. Be sure to list "Accepted as noted" on the cert.</t>
  </si>
  <si>
    <t>Notes in Italics are only necessary if BAC5651D is listed on the cert.</t>
  </si>
  <si>
    <t>A low-range standard in addition to those named above may be necessary to satisfy requirements of BAC5651D, Section 11.2.</t>
  </si>
  <si>
    <t>This meter is certified for use at 60 kHz only.</t>
  </si>
  <si>
    <t xml:space="preserve">Meter, probe, and standards are certified as a system. Visual inspection of system components was performed prior to testing. Conductivity standards conform to surface finish requirements.
</t>
  </si>
  <si>
    <r>
      <t xml:space="preserve">If any standard has been resurfaced to meet surface finish requirements. </t>
    </r>
    <r>
      <rPr>
        <i/>
        <sz val="12"/>
        <rFont val="Times New Roman"/>
        <family val="1"/>
      </rPr>
      <t xml:space="preserve">Standard S/N </t>
    </r>
    <r>
      <rPr>
        <b/>
        <i/>
        <sz val="12"/>
        <rFont val="Times New Roman"/>
        <family val="1"/>
      </rPr>
      <t>[List standard S/N]</t>
    </r>
    <r>
      <rPr>
        <i/>
        <sz val="12"/>
        <rFont val="Times New Roman"/>
        <family val="1"/>
      </rPr>
      <t xml:space="preserve"> was resurfaced. Meter, probe, and standards are certified as a system. Visual inspection of system components was performed prior to testing. Conductivity standards conform to surface finish requirements as left.</t>
    </r>
  </si>
  <si>
    <t>Probe surface shows signs of wear but does not affect readings at this time.</t>
  </si>
  <si>
    <t>Other Notes for all Specs:</t>
  </si>
  <si>
    <t xml:space="preserve">Setup standards attached to this unit were functionally tested in accordance with BSS7351E and found acceptable.
</t>
  </si>
  <si>
    <t>The 100% setup standard accompanying this unit was functionally tested and found acceptable.</t>
  </si>
  <si>
    <r>
      <t xml:space="preserve">Unit S/N </t>
    </r>
    <r>
      <rPr>
        <b/>
        <sz val="10"/>
        <rFont val="Arial"/>
        <family val="2"/>
      </rPr>
      <t>[meter serial number</t>
    </r>
    <r>
      <rPr>
        <sz val="10"/>
        <rFont val="Arial"/>
        <family val="2"/>
      </rPr>
      <t xml:space="preserve">] is certified for use with probe S/N </t>
    </r>
    <r>
      <rPr>
        <b/>
        <sz val="10"/>
        <rFont val="Arial"/>
        <family val="2"/>
      </rPr>
      <t>[probe serial number]</t>
    </r>
    <r>
      <rPr>
        <sz val="10"/>
        <rFont val="Arial"/>
        <family val="2"/>
      </rPr>
      <t xml:space="preserve"> only. Unit will need to be recertified if probe is replaced. 
</t>
    </r>
  </si>
  <si>
    <t xml:space="preserve">The overall uncertainty of this calibration is less than the range of the tolerance specified for the unit under test.  The acceptance or rejection of the item(s) is based on the actual test values shown, without adjustment for measurement uncertainty.   </t>
  </si>
  <si>
    <t>Probe complies with CSTI 008 Sec 3.2.3.</t>
  </si>
  <si>
    <t>Instruments, probes, standards, and ambient temperature maintained within 2°F of each other.</t>
  </si>
  <si>
    <t>See attached acceptance limits datasheet for compliance with ANSI/NCSL Z540.3</t>
  </si>
  <si>
    <t>One last note:</t>
  </si>
  <si>
    <t>Occasionally, we'll get a meter in that doesn't require (or meet) any specifications. In this case, you can either list "M" for Manufacturer or "R" for Recommended as the tolerance source.</t>
  </si>
  <si>
    <t>JGI's recommendation, by default, is ±0.5% IACS unless the meter can't meet that. If it can't, contact the customer to see if ±1% IACS is acceptable.</t>
  </si>
  <si>
    <t>For CECO, Guard Banding is required.</t>
  </si>
  <si>
    <t>For Capps, sticker probes as well as meters and standards. Probe sticker should read, "Probe S/N [serial number] certified with unit S/N [serial number] and its set of standards. See Certificate for complete details."</t>
  </si>
  <si>
    <t>For readings 17%-62% = ±0.3%; Tolerance for all other readings = ±0.5%</t>
  </si>
  <si>
    <t xml:space="preserve">Either way, list this in the comments: Found capable of meeting accuracy and sensitivity requirements after standardization with JGI standard set listed above. </t>
  </si>
  <si>
    <t>What kind of meter are you certifying?</t>
  </si>
  <si>
    <t>Frequency (kHz)</t>
  </si>
  <si>
    <t>Normalization/Standardization/Calibration</t>
  </si>
  <si>
    <t>Fischer Sigmascope SMP10</t>
  </si>
  <si>
    <t>Verimet</t>
  </si>
  <si>
    <t>Stickers</t>
  </si>
  <si>
    <t>SigmaCheck</t>
  </si>
  <si>
    <t>Cal Sticker</t>
  </si>
  <si>
    <t>Centurion FM140XL</t>
  </si>
  <si>
    <t>60,120, 240, or 480</t>
  </si>
  <si>
    <t>Fischer Sigmascope SMP350</t>
  </si>
  <si>
    <t>Standards Sticker(s)</t>
  </si>
  <si>
    <t>Variable</t>
  </si>
  <si>
    <t>60 or 500</t>
  </si>
  <si>
    <t>Void if Broken</t>
  </si>
  <si>
    <t>60,120, 240, 480, or 960</t>
  </si>
  <si>
    <t>Batteries</t>
  </si>
  <si>
    <t>Tips and Tricks</t>
  </si>
  <si>
    <t>Press CAL button. Follow instructions on screen. Take at least 3 readings on each standard, pressing OK to move to next standard. Make sure value for each standard is accurate according to its stickered value.</t>
  </si>
  <si>
    <t>Place probe on highest of customer standards and turn black dial until display matches standard value.</t>
  </si>
  <si>
    <t>Press and hold "Set" button. Follow instructions on screen to set up with Std 1 and Std 2 attached to top of meter</t>
  </si>
  <si>
    <t>Select calibrate from menu. Follow instructions on screen to set up with Std 1 and Std 2 attached to top of meter</t>
  </si>
  <si>
    <t>Allow unit to warm up for 5 minutes. Press "High" and place probe on high setup standard. Use arrows to match display with value of high standard. Press "Low" and place probe on low standard. Use arrows to match display with value of low standard. Press "Low" again.</t>
  </si>
  <si>
    <t>Use stylus to tap Cal, then tap "Corrective Cal". Follow instructions on screen. Take 3 readings on each standard, pressing Next to move to next standard. Make sure standard values are input in meter according to stickered value.</t>
  </si>
  <si>
    <t>Standards</t>
  </si>
  <si>
    <t>Probe</t>
  </si>
  <si>
    <t>Just below display</t>
  </si>
  <si>
    <t>Sticker individuals with Cert/Due/Initials on back and IACS value on front. For sets, one Cert/Due/Initial sticker is fine. Each standard should have sticker for IACS value.</t>
  </si>
  <si>
    <t>Right edge of meter</t>
  </si>
  <si>
    <t>NA</t>
  </si>
  <si>
    <t>Sometimes attached. If attached, only sticker needed is IACS value. If not attached see Sigmascope.</t>
  </si>
  <si>
    <t>Preferrably on right edge of meter</t>
  </si>
  <si>
    <t>List S/N of probe and meter. Certification void if probe is replaced</t>
  </si>
  <si>
    <t>Left of On/Off button</t>
  </si>
  <si>
    <t>Sticker individuals with Cert/Due/Initials on back and IACS value on front. For sets,one Cert/Due/Initial sticker is fine. Each standard should have sticker for IACS value.</t>
  </si>
  <si>
    <t>On edge or back of meter</t>
  </si>
  <si>
    <t>On top</t>
  </si>
  <si>
    <t>Back of meter</t>
  </si>
  <si>
    <t>On bottom edge or left side</t>
  </si>
  <si>
    <t>Rechargeable with AC charger. Replacement batteries/chargers need to go through Fischer</t>
  </si>
  <si>
    <t>Rechargeable with AC charger. Replacement batteries can be purchased from All-Pak and installed. Replacement chargers need to go through JBJ</t>
  </si>
  <si>
    <t>AA batteries</t>
  </si>
  <si>
    <t>Rechargeable with AC charger. Replacement batteries/chargers need to go through JBJ</t>
  </si>
  <si>
    <t>1. Supervisor password is 159</t>
  </si>
  <si>
    <t>2. Many are set to Auto shut-off of 5 mins. To change this for drift test, press Menu, Select 7 (System Options), Select 5 (Autom. Switch-off), enter password, and enter desired shut-off. Change it back before returing to customer.</t>
  </si>
  <si>
    <t>3. Make sure Ta and Tc on main display (lower left) are within a degree of each other. If not, recalibrate the meter.</t>
  </si>
  <si>
    <t xml:space="preserve">1. Use only in COMP mode. </t>
  </si>
  <si>
    <t>2. M4900B will not read in 16% range - A's and C's will.</t>
  </si>
  <si>
    <t>3. The letter at the end of the probe S/N specifies which model it will work with (e.g. A, B, C).</t>
  </si>
  <si>
    <t>4. If there are extra decimals on the display, the batteries are low. Readings may be inaccurate. Charge batteries for at least 1 hour and try again.</t>
  </si>
  <si>
    <t>5. If probe is replaced, meter will need to be recertified/recalibrated.</t>
  </si>
  <si>
    <t>6. If you run out of travel on the calibration dial, unit can be calibrated from inside by adjusting appropriate knobs.</t>
  </si>
  <si>
    <t>1. If readings are inaccurate, double-check Std 1 and Std 2 values. Adjust them if necessary and recalibrate meter.</t>
  </si>
  <si>
    <t>2. If readings are inaccurate, double-check frequency (most accurate at 60kHz) and that the P Code matches the P code printed on the probe.</t>
  </si>
  <si>
    <t>3. If readings are unstable, check to be sure that the collar around the probe connection to the meter is tight. These often come loose.</t>
  </si>
  <si>
    <t>4. If readings are unstable, wiggle various parts of the cable while taking readings. If the readings change by more than 0.5%, the cable has a short and should be replaced.</t>
  </si>
  <si>
    <t>See Diagram Knob Deviations.</t>
  </si>
  <si>
    <t>1. Must be calibrated before use. The two standards on the top of the meter don't always work best for this. Try them first, but don't be surprised if your readings are inaccurate.</t>
  </si>
  <si>
    <t>2. When making a selection in the menu, if the button with a check mark doesn't make a selection for you, try the right arrow button.</t>
  </si>
  <si>
    <t>3. These tend to drift and run through batteries quickly unless plugged into a USB. There is a USB cable in the blue basket by the PocketSurf that you can use.</t>
  </si>
  <si>
    <t>4. Manufacturer says not to use SigmaCheck 2's if unit is plugged in, but must warm up for 5-10 minutes before calibrating.</t>
  </si>
  <si>
    <t>1. I'm sorry that you have to do one of these. :-)</t>
  </si>
  <si>
    <t>2. These drift when the battery is low. If a power supply came in with it, be sure to use it.</t>
  </si>
  <si>
    <t>3. These can sometimes give readings that don't make any sense after giving you 3 readings in a row that are fine. Just remove the standard from the probe and wait a few seconds before trying again. Sometimes you have to move on to a different standard and then come back.</t>
  </si>
  <si>
    <t>4. There is a small hole on the back side of the meter (smaller than a pencil eraser). Inside there is a magic reset button. Feel free to use this when the meter is on the fritz.</t>
  </si>
  <si>
    <t>5. If unit flashes 10.0 or 110.0 press the following buttons in sequence: "On", "High", "Low", "Low" again, and "Reset". Dashes will appear on the screen. Try to calibrate again.</t>
  </si>
  <si>
    <t>1. To change auto shut-off: tap File, Supervisor, Control Panel, Power &amp; Light and select desired shut-off time.</t>
  </si>
  <si>
    <t>Since there is no tolerance for conductivity standards, guard banding does not apply to them.</t>
  </si>
  <si>
    <t>The stated uncertainty for the customer's conductivity standards is &lt;0.40% IACS.</t>
  </si>
  <si>
    <t xml:space="preserve">It does apply, however, to the meters. Complete steps 1-3 below to document information for guard banding requirements. </t>
  </si>
  <si>
    <t>1. Using the specified tolerance (usually 0.5%), JGI's standard values (below), the meter's readings on JGI's standards, and uncertainty values (below), fill out the Acceptance Limits Datasheet found in the Guard Banding folder in Access.</t>
  </si>
  <si>
    <t>Uncertainty Values for JGI's Conductivity Meter</t>
  </si>
  <si>
    <t>Open Acceptance Limits Datasheet</t>
  </si>
  <si>
    <t>Standard Set S/N 27689</t>
  </si>
  <si>
    <t>Standard Set S/N 14053</t>
  </si>
  <si>
    <t>Standard Value (Bare Standard)</t>
  </si>
  <si>
    <t>Standard Value (Thru 0.003" Shim)</t>
  </si>
  <si>
    <t>2. Print data sheet into Data Sheets folder in M-Files with order number</t>
  </si>
  <si>
    <t>3. Add the following note to the comments section on the cert:</t>
  </si>
  <si>
    <t>See order 00179680 in M-Files for an example</t>
  </si>
  <si>
    <t xml:space="preserve">JGI Conductivity Standards </t>
  </si>
  <si>
    <t>Set 27689 &amp; JBJ6112</t>
  </si>
  <si>
    <t>IACS Reading</t>
  </si>
  <si>
    <t>MS/m</t>
  </si>
  <si>
    <t>MS/m Reading</t>
  </si>
  <si>
    <t>IACS</t>
  </si>
  <si>
    <t>Set 14053 &amp; JBJ6112</t>
  </si>
  <si>
    <t>±0.5%</t>
  </si>
  <si>
    <t>±0.29</t>
  </si>
  <si>
    <t>±0.58</t>
  </si>
  <si>
    <t>degrees</t>
  </si>
  <si>
    <t>min</t>
  </si>
  <si>
    <t>sec</t>
  </si>
  <si>
    <t>Decimal Degrees</t>
  </si>
  <si>
    <t>Date</t>
  </si>
  <si>
    <t>Action</t>
  </si>
  <si>
    <t>Calculator functions verified independently, Constants checked and updated where necessary, validation log and revision history established, password protection added.</t>
  </si>
  <si>
    <t>Added amplifier traceability info to "Coating Thickness Stds NIST"</t>
  </si>
  <si>
    <t>Fixed navigation buttons</t>
  </si>
  <si>
    <t>Updated thread wire sizes and constants</t>
  </si>
  <si>
    <t>Added Guard Banding and customer requests for conductivity meters</t>
  </si>
  <si>
    <t>Add 55° calculation to JGI wire constants and update BSPP calculations with these</t>
  </si>
  <si>
    <t>Add Roughness Standard and Perthometer Data tabs to accommodate WP revisions</t>
  </si>
  <si>
    <t>Updated conductivity tab to accommodate WP revisions</t>
  </si>
  <si>
    <t>Added thread wire set TPI 7</t>
  </si>
  <si>
    <t>Updated Conductivity info for BSS7531E.</t>
  </si>
  <si>
    <t>Update Set 16 thread wire sizes and constants</t>
  </si>
  <si>
    <t>Updated Conductivity info for BAC5651D</t>
  </si>
  <si>
    <t>Added notes for tapered thread gages</t>
  </si>
  <si>
    <t>Added Two Wire Method tab</t>
  </si>
  <si>
    <t>Added uncertainty to Coating Thickness Meters</t>
  </si>
  <si>
    <t>Added Datasheets for Thread Wires, Gear Wires, and PeeDee Wires</t>
  </si>
  <si>
    <t>Updated Datasheets for Thread Wires, Gear Wires, and PeeDee Wires</t>
  </si>
  <si>
    <t>Added notes to clarify when sheet is calculating 60° threads or 55° threads</t>
  </si>
  <si>
    <t>added a place to update X600 block cal value for pipe threads</t>
  </si>
  <si>
    <t>6-0185</t>
  </si>
  <si>
    <t>6-0195</t>
  </si>
  <si>
    <t>6-0202</t>
  </si>
  <si>
    <t>6-0162</t>
  </si>
  <si>
    <t>6-0135</t>
  </si>
  <si>
    <t>6-0055</t>
  </si>
  <si>
    <t>6-0111</t>
  </si>
  <si>
    <t>6-0065</t>
  </si>
  <si>
    <t>6-0015</t>
  </si>
  <si>
    <t>6-0380</t>
  </si>
  <si>
    <t>6-0070</t>
  </si>
  <si>
    <t>6-0092</t>
  </si>
  <si>
    <t>6-0350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</si>
</sst>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00000"/>
    <numFmt numFmtId="165" formatCode="0.00000"/>
    <numFmt numFmtId="166" formatCode="0.0000"/>
    <numFmt numFmtId="167" formatCode="#\ ???/???"/>
    <numFmt numFmtId="168" formatCode="0.000"/>
    <numFmt numFmtId="169" formatCode="0.0"/>
    <numFmt numFmtId="170" formatCode="#,##0.00000"/>
    <numFmt numFmtId="171" formatCode="[$-409]mmmm\ d\,\ yyyy;@"/>
    <numFmt numFmtId="172" formatCode="0.00000\'\'"/>
    <numFmt numFmtId="173" formatCode="0.0\ \°\F"/>
    <numFmt numFmtId="174" formatCode="00%"/>
    <numFmt numFmtId="175" formatCode="0.0000\ &quot; mm&quot;"/>
  </numFmts>
  <fonts count="46" x14ac:knownFonts="1">
    <font>
      <sz val="10"/>
      <name val="Arial"/>
    </font>
    <font>
      <sz val="10"/>
      <name val="Arial"/>
      <family val="2"/>
    </font>
    <font>
      <b/>
      <sz val="12"/>
      <name val="Arial"/>
      <family val="2"/>
    </font>
    <font>
      <b/>
      <sz val="10"/>
      <name val="Arial"/>
      <family val="2"/>
    </font>
    <font>
      <sz val="10"/>
      <name val="Arial"/>
      <family val="2"/>
    </font>
    <font>
      <u/>
      <sz val="10"/>
      <color indexed="12"/>
      <name val="Arial"/>
      <family val="2"/>
    </font>
    <font>
      <b/>
      <sz val="10"/>
      <color indexed="9"/>
      <name val="Arial"/>
      <family val="2"/>
    </font>
    <font>
      <sz val="12"/>
      <name val="Arial"/>
      <family val="2"/>
    </font>
    <font>
      <b/>
      <sz val="11"/>
      <color indexed="8"/>
      <name val="Calibri"/>
      <family val="2"/>
    </font>
    <font>
      <sz val="14"/>
      <name val="Arial"/>
      <family val="2"/>
    </font>
    <font>
      <sz val="10"/>
      <color indexed="16"/>
      <name val="Arial"/>
      <family val="2"/>
    </font>
    <font>
      <sz val="12"/>
      <name val="Times New Roman"/>
      <family val="1"/>
    </font>
    <font>
      <b/>
      <u/>
      <sz val="11"/>
      <color indexed="8"/>
      <name val="Calibri"/>
      <family val="2"/>
    </font>
    <font>
      <sz val="8"/>
      <name val="Arial"/>
      <family val="2"/>
    </font>
    <font>
      <b/>
      <sz val="16"/>
      <name val="Arial"/>
      <family val="2"/>
    </font>
    <font>
      <b/>
      <sz val="11"/>
      <name val="Arial"/>
      <family val="2"/>
    </font>
    <font>
      <sz val="10"/>
      <color indexed="22"/>
      <name val="Arial"/>
      <family val="2"/>
    </font>
    <font>
      <b/>
      <u/>
      <sz val="10"/>
      <color indexed="12"/>
      <name val="Arial"/>
      <family val="2"/>
    </font>
    <font>
      <sz val="8"/>
      <color indexed="8"/>
      <name val="Arial"/>
      <family val="2"/>
    </font>
    <font>
      <b/>
      <i/>
      <sz val="10"/>
      <name val="Arial"/>
      <family val="2"/>
    </font>
    <font>
      <sz val="10"/>
      <color indexed="9"/>
      <name val="Arial"/>
      <family val="2"/>
    </font>
    <font>
      <sz val="10"/>
      <color indexed="44"/>
      <name val="Arial"/>
      <family val="2"/>
    </font>
    <font>
      <sz val="10"/>
      <color indexed="43"/>
      <name val="Arial"/>
      <family val="2"/>
    </font>
    <font>
      <b/>
      <sz val="14"/>
      <name val="Arial"/>
      <family val="2"/>
    </font>
    <font>
      <sz val="10"/>
      <color indexed="10"/>
      <name val="Arial"/>
      <family val="2"/>
    </font>
    <font>
      <sz val="8"/>
      <name val="Arial"/>
      <family val="2"/>
    </font>
    <font>
      <i/>
      <sz val="12"/>
      <name val="Times New Roman"/>
      <family val="1"/>
    </font>
    <font>
      <b/>
      <i/>
      <sz val="12"/>
      <name val="Times New Roman"/>
      <family val="1"/>
    </font>
    <font>
      <sz val="10"/>
      <color indexed="55"/>
      <name val="Arial"/>
      <family val="2"/>
    </font>
    <font>
      <b/>
      <sz val="14"/>
      <color indexed="8"/>
      <name val="Calibri"/>
      <family val="2"/>
    </font>
    <font>
      <b/>
      <sz val="10"/>
      <color theme="0"/>
      <name val="Arial"/>
      <family val="2"/>
    </font>
    <font>
      <sz val="10"/>
      <color theme="0" tint="-0.14999847407452621"/>
      <name val="Arial"/>
      <family val="2"/>
    </font>
    <font>
      <sz val="11"/>
      <color theme="1"/>
      <name val="Calibri"/>
      <family val="2"/>
    </font>
    <font>
      <b/>
      <sz val="12"/>
      <color theme="1"/>
      <name val="Calibri"/>
      <family val="2"/>
    </font>
    <font>
      <sz val="10"/>
      <color rgb="FF000000"/>
      <name val="Calibri"/>
      <family val="2"/>
    </font>
    <font>
      <sz val="12"/>
      <color theme="1"/>
      <name val="Calibri"/>
      <family val="2"/>
    </font>
    <font>
      <b/>
      <sz val="11"/>
      <color theme="1"/>
      <name val="Arial"/>
      <family val="2"/>
    </font>
    <font>
      <sz val="12"/>
      <color theme="1"/>
      <name val="Calibri"/>
      <family val="2"/>
      <scheme val="minor"/>
    </font>
    <font>
      <sz val="10"/>
      <color theme="0"/>
      <name val="Arial"/>
      <family val="2"/>
    </font>
    <font>
      <b/>
      <sz val="10"/>
      <color rgb="FFFF0000"/>
      <name val="Arial"/>
      <family val="2"/>
    </font>
    <font>
      <b/>
      <sz val="14"/>
      <color rgb="FFFF0000"/>
      <name val="Arial"/>
      <family val="2"/>
    </font>
    <font>
      <sz val="24"/>
      <color theme="1"/>
      <name val="Calibri"/>
      <family val="2"/>
      <scheme val="minor"/>
    </font>
    <font>
      <b/>
      <sz val="11"/>
      <color theme="1"/>
      <name val="Calibri"/>
      <family val="2"/>
      <scheme val="minor"/>
    </font>
    <font>
      <sz val="10"/>
      <color rgb="FF000000"/>
      <name val="Arial"/>
      <family val="2"/>
    </font>
    <font>
      <sz val="8"/>
      <color rgb="FF000000"/>
      <name val="Tahoma"/>
      <family val="2"/>
    </font>
    <font>
      <b/>
      <sz val="11"/>
      <color rgb="FF000000"/>
      <name val="Arial"/>
      <family val="2"/>
    </font>
  </fonts>
  <fills count="39">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55"/>
        <bgColor indexed="64"/>
      </patternFill>
    </fill>
    <fill>
      <patternFill patternType="solid">
        <fgColor indexed="42"/>
        <bgColor indexed="64"/>
      </patternFill>
    </fill>
    <fill>
      <patternFill patternType="solid">
        <fgColor indexed="23"/>
        <bgColor indexed="64"/>
      </patternFill>
    </fill>
    <fill>
      <patternFill patternType="solid">
        <fgColor indexed="9"/>
        <bgColor indexed="64"/>
      </patternFill>
    </fill>
    <fill>
      <patternFill patternType="solid">
        <fgColor indexed="41"/>
        <bgColor indexed="64"/>
      </patternFill>
    </fill>
    <fill>
      <patternFill patternType="solid">
        <fgColor indexed="53"/>
        <bgColor indexed="64"/>
      </patternFill>
    </fill>
    <fill>
      <patternFill patternType="solid">
        <fgColor indexed="47"/>
        <bgColor indexed="64"/>
      </patternFill>
    </fill>
    <fill>
      <patternFill patternType="solid">
        <fgColor indexed="63"/>
        <bgColor indexed="64"/>
      </patternFill>
    </fill>
    <fill>
      <patternFill patternType="solid">
        <fgColor indexed="44"/>
        <bgColor indexed="64"/>
      </patternFill>
    </fill>
    <fill>
      <patternFill patternType="solid">
        <fgColor indexed="43"/>
        <bgColor indexed="64"/>
      </patternFill>
    </fill>
    <fill>
      <patternFill patternType="solid">
        <fgColor indexed="51"/>
        <bgColor indexed="64"/>
      </patternFill>
    </fill>
    <fill>
      <patternFill patternType="solid">
        <fgColor indexed="11"/>
        <bgColor indexed="64"/>
      </patternFill>
    </fill>
    <fill>
      <patternFill patternType="solid">
        <fgColor indexed="52"/>
        <bgColor indexed="64"/>
      </patternFill>
    </fill>
    <fill>
      <patternFill patternType="solid">
        <fgColor indexed="48"/>
        <bgColor indexed="64"/>
      </patternFill>
    </fill>
    <fill>
      <patternFill patternType="solid">
        <fgColor indexed="26"/>
        <bgColor indexed="64"/>
      </patternFill>
    </fill>
    <fill>
      <patternFill patternType="solid">
        <fgColor indexed="49"/>
        <bgColor indexed="64"/>
      </patternFill>
    </fill>
    <fill>
      <patternFill patternType="solid">
        <fgColor indexed="40"/>
        <bgColor indexed="64"/>
      </patternFill>
    </fill>
    <fill>
      <patternFill patternType="solid">
        <fgColor indexed="15"/>
        <bgColor indexed="64"/>
      </patternFill>
    </fill>
    <fill>
      <patternFill patternType="solid">
        <fgColor indexed="57"/>
        <bgColor indexed="64"/>
      </patternFill>
    </fill>
    <fill>
      <patternFill patternType="solid">
        <fgColor indexed="27"/>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rgb="FFFFFF66"/>
        <bgColor indexed="64"/>
      </patternFill>
    </fill>
    <fill>
      <patternFill patternType="solid">
        <fgColor rgb="FF00FF99"/>
        <bgColor indexed="64"/>
      </patternFill>
    </fill>
    <fill>
      <patternFill patternType="solid">
        <fgColor rgb="FF993366"/>
        <bgColor indexed="64"/>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
      <patternFill patternType="solid">
        <fgColor rgb="FFFFFFFF"/>
        <bgColor rgb="FF000000"/>
      </patternFill>
    </fill>
    <fill>
      <patternFill patternType="solid">
        <fgColor theme="0" tint="-0.499984740745262"/>
        <bgColor indexed="64"/>
      </patternFill>
    </fill>
    <fill>
      <patternFill patternType="solid">
        <fgColor theme="0" tint="-0.34998626667073579"/>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top/>
      <bottom/>
      <diagonal/>
    </border>
    <border>
      <left style="medium">
        <color indexed="64"/>
      </left>
      <right/>
      <top style="medium">
        <color indexed="64"/>
      </top>
      <bottom style="medium">
        <color indexed="64"/>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diagonal/>
    </border>
    <border>
      <left/>
      <right style="medium">
        <color indexed="64"/>
      </right>
      <top/>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right/>
      <top style="medium">
        <color indexed="64"/>
      </top>
      <bottom/>
      <diagonal/>
    </border>
    <border>
      <left style="double">
        <color indexed="64"/>
      </left>
      <right style="medium">
        <color indexed="64"/>
      </right>
      <top style="double">
        <color indexed="64"/>
      </top>
      <bottom style="medium">
        <color indexed="64"/>
      </bottom>
      <diagonal/>
    </border>
    <border>
      <left/>
      <right style="double">
        <color indexed="64"/>
      </right>
      <top style="double">
        <color indexed="64"/>
      </top>
      <bottom style="medium">
        <color indexed="64"/>
      </bottom>
      <diagonal/>
    </border>
    <border>
      <left style="double">
        <color indexed="64"/>
      </left>
      <right style="medium">
        <color indexed="64"/>
      </right>
      <top/>
      <bottom style="medium">
        <color indexed="64"/>
      </bottom>
      <diagonal/>
    </border>
    <border>
      <left/>
      <right style="double">
        <color indexed="64"/>
      </right>
      <top/>
      <bottom style="medium">
        <color indexed="64"/>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bottom/>
      <diagonal/>
    </border>
    <border>
      <left/>
      <right/>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medium">
        <color indexed="64"/>
      </top>
      <bottom style="thin">
        <color indexed="64"/>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bottom/>
      <diagonal/>
    </border>
    <border>
      <left style="thin">
        <color indexed="8"/>
      </left>
      <right style="thin">
        <color indexed="8"/>
      </right>
      <top style="thin">
        <color indexed="8"/>
      </top>
      <bottom style="thin">
        <color indexed="8"/>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indexed="64"/>
      </top>
      <bottom style="double">
        <color indexed="64"/>
      </bottom>
      <diagonal/>
    </border>
    <border>
      <left/>
      <right/>
      <top style="thin">
        <color indexed="64"/>
      </top>
      <bottom style="medium">
        <color indexed="64"/>
      </bottom>
      <diagonal/>
    </border>
    <border>
      <left style="thin">
        <color indexed="64"/>
      </left>
      <right style="medium">
        <color indexed="64"/>
      </right>
      <top/>
      <bottom/>
      <diagonal/>
    </border>
    <border>
      <left/>
      <right style="thin">
        <color indexed="64"/>
      </right>
      <top style="thin">
        <color indexed="64"/>
      </top>
      <bottom/>
      <diagonal/>
    </border>
    <border>
      <left/>
      <right/>
      <top style="thin">
        <color indexed="64"/>
      </top>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thin">
        <color indexed="64"/>
      </left>
      <right/>
      <top style="medium">
        <color indexed="64"/>
      </top>
      <bottom/>
      <diagonal/>
    </border>
  </borders>
  <cellStyleXfs count="2">
    <xf numFmtId="0" fontId="0" fillId="0" borderId="0"/>
    <xf numFmtId="0" fontId="5" fillId="0" borderId="0" applyNumberFormat="0" applyFill="0" applyBorder="0" applyAlignment="0" applyProtection="0">
      <alignment vertical="top"/>
      <protection locked="0"/>
    </xf>
  </cellStyleXfs>
  <cellXfs count="1354">
    <xf numFmtId="0" fontId="0" fillId="0" borderId="0" xfId="0"/>
    <xf numFmtId="0" fontId="3" fillId="2" borderId="1" xfId="0" applyFont="1" applyFill="1" applyBorder="1"/>
    <xf numFmtId="0" fontId="0" fillId="0" borderId="1" xfId="0" applyBorder="1" applyProtection="1">
      <protection locked="0"/>
    </xf>
    <xf numFmtId="0" fontId="0" fillId="2" borderId="1" xfId="0" applyFill="1" applyBorder="1"/>
    <xf numFmtId="0" fontId="0" fillId="3" borderId="0" xfId="0" applyFill="1"/>
    <xf numFmtId="0" fontId="0" fillId="0" borderId="1" xfId="0" applyBorder="1"/>
    <xf numFmtId="0" fontId="3" fillId="2" borderId="2" xfId="0" applyFont="1" applyFill="1" applyBorder="1"/>
    <xf numFmtId="0" fontId="0" fillId="0" borderId="3" xfId="0" applyBorder="1" applyProtection="1">
      <protection locked="0"/>
    </xf>
    <xf numFmtId="0" fontId="0" fillId="0" borderId="4" xfId="0" applyBorder="1" applyProtection="1">
      <protection locked="0"/>
    </xf>
    <xf numFmtId="0" fontId="0" fillId="0" borderId="4" xfId="0" applyBorder="1"/>
    <xf numFmtId="0" fontId="0" fillId="4" borderId="0" xfId="0" applyFill="1"/>
    <xf numFmtId="0" fontId="0" fillId="2" borderId="5" xfId="0" applyFill="1" applyBorder="1"/>
    <xf numFmtId="2" fontId="0" fillId="0" borderId="6" xfId="0" applyNumberFormat="1" applyBorder="1"/>
    <xf numFmtId="0" fontId="0" fillId="2" borderId="7" xfId="0" applyFill="1" applyBorder="1" applyAlignment="1">
      <alignment horizontal="left"/>
    </xf>
    <xf numFmtId="166" fontId="0" fillId="0" borderId="4" xfId="0" applyNumberFormat="1" applyBorder="1"/>
    <xf numFmtId="164" fontId="0" fillId="0" borderId="6" xfId="0" applyNumberFormat="1" applyBorder="1"/>
    <xf numFmtId="0" fontId="3" fillId="0" borderId="8" xfId="0" applyFont="1" applyBorder="1"/>
    <xf numFmtId="0" fontId="3" fillId="0" borderId="9" xfId="0" applyFont="1" applyBorder="1"/>
    <xf numFmtId="0" fontId="0" fillId="5" borderId="10" xfId="0" applyFill="1" applyBorder="1"/>
    <xf numFmtId="0" fontId="0" fillId="5" borderId="11" xfId="0" applyFill="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13" fontId="2" fillId="0" borderId="17" xfId="0" applyNumberFormat="1" applyFont="1" applyBorder="1"/>
    <xf numFmtId="0" fontId="2" fillId="0" borderId="17" xfId="0" applyFont="1" applyBorder="1"/>
    <xf numFmtId="0" fontId="2" fillId="2" borderId="17" xfId="0" applyFont="1" applyFill="1" applyBorder="1"/>
    <xf numFmtId="13" fontId="0" fillId="0" borderId="18" xfId="0" applyNumberFormat="1" applyBorder="1" applyAlignment="1">
      <alignment horizontal="center"/>
    </xf>
    <xf numFmtId="0" fontId="0" fillId="0" borderId="18" xfId="0" applyBorder="1" applyAlignment="1">
      <alignment horizontal="right"/>
    </xf>
    <xf numFmtId="0" fontId="0" fillId="0" borderId="18" xfId="0" applyBorder="1" applyAlignment="1">
      <alignment horizontal="center"/>
    </xf>
    <xf numFmtId="0" fontId="0" fillId="0" borderId="18" xfId="0" applyBorder="1"/>
    <xf numFmtId="0" fontId="0" fillId="0" borderId="18" xfId="0" applyBorder="1" applyProtection="1">
      <protection locked="0"/>
    </xf>
    <xf numFmtId="0" fontId="0" fillId="6" borderId="18" xfId="0" applyFill="1" applyBorder="1" applyAlignment="1">
      <alignment horizontal="right"/>
    </xf>
    <xf numFmtId="13" fontId="0" fillId="3" borderId="1" xfId="0" applyNumberFormat="1" applyFill="1" applyBorder="1" applyAlignment="1">
      <alignment horizontal="center"/>
    </xf>
    <xf numFmtId="0" fontId="0" fillId="3" borderId="1" xfId="0" applyFill="1" applyBorder="1" applyAlignment="1">
      <alignment horizontal="right"/>
    </xf>
    <xf numFmtId="0" fontId="0" fillId="3" borderId="1" xfId="0" applyFill="1" applyBorder="1" applyAlignment="1">
      <alignment horizontal="center"/>
    </xf>
    <xf numFmtId="0" fontId="0" fillId="3" borderId="1" xfId="0" applyFill="1" applyBorder="1"/>
    <xf numFmtId="0" fontId="0" fillId="6" borderId="1" xfId="0" applyFill="1" applyBorder="1" applyAlignment="1">
      <alignment horizontal="right"/>
    </xf>
    <xf numFmtId="13" fontId="0" fillId="0" borderId="1" xfId="0" applyNumberFormat="1" applyBorder="1" applyAlignment="1">
      <alignment horizontal="center"/>
    </xf>
    <xf numFmtId="0" fontId="0" fillId="0" borderId="1" xfId="0" applyBorder="1" applyAlignment="1">
      <alignment horizontal="right"/>
    </xf>
    <xf numFmtId="0" fontId="0" fillId="0" borderId="1" xfId="0" applyBorder="1" applyAlignment="1">
      <alignment horizontal="center"/>
    </xf>
    <xf numFmtId="0" fontId="0" fillId="3" borderId="1" xfId="0" applyFill="1" applyBorder="1" applyProtection="1">
      <protection locked="0"/>
    </xf>
    <xf numFmtId="13" fontId="2" fillId="0" borderId="19" xfId="0" applyNumberFormat="1" applyFont="1" applyBorder="1"/>
    <xf numFmtId="0" fontId="2" fillId="0" borderId="20" xfId="0" applyFont="1" applyBorder="1"/>
    <xf numFmtId="164" fontId="0" fillId="0" borderId="21" xfId="0" applyNumberFormat="1" applyBorder="1"/>
    <xf numFmtId="164" fontId="0" fillId="0" borderId="1" xfId="0" applyNumberFormat="1" applyBorder="1"/>
    <xf numFmtId="0" fontId="0" fillId="6" borderId="0" xfId="0" applyFill="1"/>
    <xf numFmtId="164" fontId="0" fillId="0" borderId="18" xfId="0" applyNumberFormat="1" applyBorder="1"/>
    <xf numFmtId="0" fontId="0" fillId="3" borderId="18" xfId="0" applyFill="1" applyBorder="1"/>
    <xf numFmtId="13" fontId="0" fillId="7" borderId="1" xfId="0" applyNumberFormat="1" applyFill="1" applyBorder="1" applyAlignment="1">
      <alignment horizontal="center"/>
    </xf>
    <xf numFmtId="0" fontId="0" fillId="7" borderId="1" xfId="0" applyFill="1" applyBorder="1" applyAlignment="1">
      <alignment horizontal="center"/>
    </xf>
    <xf numFmtId="0" fontId="0" fillId="7" borderId="1" xfId="0" applyFill="1" applyBorder="1"/>
    <xf numFmtId="0" fontId="2" fillId="0" borderId="19" xfId="0" applyFont="1" applyBorder="1"/>
    <xf numFmtId="0" fontId="0" fillId="0" borderId="21" xfId="0" applyBorder="1" applyAlignment="1">
      <alignment horizontal="center"/>
    </xf>
    <xf numFmtId="0" fontId="0" fillId="0" borderId="22" xfId="0" applyBorder="1"/>
    <xf numFmtId="166" fontId="0" fillId="0" borderId="18" xfId="0" applyNumberFormat="1" applyBorder="1"/>
    <xf numFmtId="167" fontId="0" fillId="0" borderId="18" xfId="0" applyNumberFormat="1" applyBorder="1"/>
    <xf numFmtId="167" fontId="0" fillId="3" borderId="1" xfId="0" applyNumberFormat="1" applyFill="1" applyBorder="1"/>
    <xf numFmtId="167" fontId="0" fillId="0" borderId="1" xfId="0" applyNumberFormat="1" applyBorder="1"/>
    <xf numFmtId="0" fontId="0" fillId="0" borderId="0" xfId="0" applyProtection="1">
      <protection locked="0"/>
    </xf>
    <xf numFmtId="0" fontId="5" fillId="0" borderId="0" xfId="1" applyAlignment="1" applyProtection="1"/>
    <xf numFmtId="1" fontId="0" fillId="0" borderId="6" xfId="0" applyNumberFormat="1" applyBorder="1"/>
    <xf numFmtId="1" fontId="0" fillId="0" borderId="4" xfId="0" applyNumberFormat="1" applyBorder="1"/>
    <xf numFmtId="0" fontId="0" fillId="8" borderId="10" xfId="0" applyFill="1" applyBorder="1"/>
    <xf numFmtId="0" fontId="0" fillId="8" borderId="11" xfId="0" applyFill="1" applyBorder="1"/>
    <xf numFmtId="0" fontId="0" fillId="8" borderId="1" xfId="0" applyFill="1" applyBorder="1"/>
    <xf numFmtId="0" fontId="0" fillId="8" borderId="3" xfId="0" applyFill="1" applyBorder="1"/>
    <xf numFmtId="0" fontId="0" fillId="0" borderId="26" xfId="0" applyBorder="1"/>
    <xf numFmtId="0" fontId="0" fillId="0" borderId="27" xfId="0" applyBorder="1"/>
    <xf numFmtId="0" fontId="0" fillId="0" borderId="17" xfId="0" applyBorder="1"/>
    <xf numFmtId="0" fontId="0" fillId="0" borderId="28" xfId="0" applyBorder="1"/>
    <xf numFmtId="0" fontId="0" fillId="0" borderId="29" xfId="0" applyBorder="1"/>
    <xf numFmtId="0" fontId="0" fillId="0" borderId="23" xfId="0" applyBorder="1"/>
    <xf numFmtId="0" fontId="0" fillId="0" borderId="24" xfId="0" applyBorder="1"/>
    <xf numFmtId="0" fontId="0" fillId="0" borderId="25"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3" xfId="0" applyBorder="1"/>
    <xf numFmtId="0" fontId="0" fillId="0" borderId="6" xfId="0" applyBorder="1"/>
    <xf numFmtId="0" fontId="0" fillId="0" borderId="34" xfId="0" applyBorder="1"/>
    <xf numFmtId="0" fontId="0" fillId="0" borderId="35" xfId="0" applyBorder="1"/>
    <xf numFmtId="0" fontId="3" fillId="0" borderId="0" xfId="0" applyFont="1"/>
    <xf numFmtId="168" fontId="3" fillId="0" borderId="0" xfId="0" applyNumberFormat="1" applyFont="1"/>
    <xf numFmtId="0" fontId="0" fillId="0" borderId="0" xfId="0" applyAlignment="1">
      <alignment horizontal="right"/>
    </xf>
    <xf numFmtId="49" fontId="0" fillId="0" borderId="0" xfId="0" applyNumberFormat="1"/>
    <xf numFmtId="0" fontId="3" fillId="9" borderId="11" xfId="0" applyFont="1" applyFill="1" applyBorder="1"/>
    <xf numFmtId="0" fontId="0" fillId="2" borderId="21" xfId="0" applyFill="1" applyBorder="1"/>
    <xf numFmtId="0" fontId="3" fillId="0" borderId="15" xfId="0" applyFont="1" applyBorder="1"/>
    <xf numFmtId="0" fontId="0" fillId="0" borderId="32" xfId="0" applyBorder="1" applyProtection="1">
      <protection locked="0"/>
    </xf>
    <xf numFmtId="0" fontId="3" fillId="0" borderId="32" xfId="0" applyFont="1" applyBorder="1"/>
    <xf numFmtId="2" fontId="0" fillId="0" borderId="1" xfId="0" applyNumberFormat="1" applyBorder="1"/>
    <xf numFmtId="2" fontId="0" fillId="0" borderId="33" xfId="0" applyNumberFormat="1" applyBorder="1"/>
    <xf numFmtId="2" fontId="6" fillId="0" borderId="0" xfId="0" applyNumberFormat="1" applyFont="1"/>
    <xf numFmtId="0" fontId="0" fillId="0" borderId="36" xfId="0" applyBorder="1" applyProtection="1">
      <protection locked="0"/>
    </xf>
    <xf numFmtId="2" fontId="0" fillId="0" borderId="36" xfId="0" applyNumberFormat="1" applyBorder="1"/>
    <xf numFmtId="0" fontId="3" fillId="0" borderId="0" xfId="0" applyFont="1" applyAlignment="1">
      <alignment horizontal="center"/>
    </xf>
    <xf numFmtId="0" fontId="0" fillId="9" borderId="21" xfId="0" applyFill="1" applyBorder="1"/>
    <xf numFmtId="0" fontId="0" fillId="2" borderId="30" xfId="0" applyFill="1" applyBorder="1"/>
    <xf numFmtId="0" fontId="0" fillId="0" borderId="31" xfId="0" applyBorder="1" applyProtection="1">
      <protection locked="0"/>
    </xf>
    <xf numFmtId="0" fontId="0" fillId="6" borderId="37" xfId="0" applyFill="1" applyBorder="1"/>
    <xf numFmtId="2" fontId="0" fillId="0" borderId="0" xfId="0" applyNumberFormat="1"/>
    <xf numFmtId="0" fontId="0" fillId="10" borderId="3" xfId="0" applyFill="1" applyBorder="1"/>
    <xf numFmtId="2" fontId="0" fillId="0" borderId="18" xfId="0" applyNumberFormat="1" applyBorder="1"/>
    <xf numFmtId="0" fontId="0" fillId="6" borderId="20" xfId="0" applyFill="1" applyBorder="1"/>
    <xf numFmtId="0" fontId="0" fillId="6" borderId="38" xfId="0" applyFill="1" applyBorder="1"/>
    <xf numFmtId="0" fontId="0" fillId="0" borderId="5" xfId="0" applyBorder="1"/>
    <xf numFmtId="0" fontId="0" fillId="6" borderId="5" xfId="0" applyFill="1" applyBorder="1"/>
    <xf numFmtId="0" fontId="2" fillId="0" borderId="0" xfId="0" applyFont="1" applyAlignment="1">
      <alignment horizontal="center"/>
    </xf>
    <xf numFmtId="0" fontId="7" fillId="0" borderId="0" xfId="0" applyFont="1"/>
    <xf numFmtId="0" fontId="2" fillId="0" borderId="1" xfId="0" applyFont="1" applyBorder="1"/>
    <xf numFmtId="0" fontId="2" fillId="0" borderId="1" xfId="0" applyFont="1" applyBorder="1" applyAlignment="1">
      <alignment horizontal="center"/>
    </xf>
    <xf numFmtId="0" fontId="7" fillId="0" borderId="39" xfId="0" applyFont="1" applyBorder="1"/>
    <xf numFmtId="0" fontId="7" fillId="3" borderId="1" xfId="0" applyFont="1" applyFill="1" applyBorder="1"/>
    <xf numFmtId="0" fontId="7" fillId="0" borderId="40"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0" fontId="7" fillId="0" borderId="1" xfId="0" applyFont="1" applyBorder="1"/>
    <xf numFmtId="0" fontId="7" fillId="3" borderId="40" xfId="0" applyFont="1" applyFill="1" applyBorder="1" applyAlignment="1">
      <alignment horizontal="center"/>
    </xf>
    <xf numFmtId="0" fontId="7" fillId="3" borderId="1" xfId="0" applyFont="1" applyFill="1" applyBorder="1" applyAlignment="1">
      <alignment horizontal="center"/>
    </xf>
    <xf numFmtId="2" fontId="7" fillId="0" borderId="1" xfId="0" applyNumberFormat="1" applyFont="1" applyBorder="1" applyAlignment="1">
      <alignment horizontal="center"/>
    </xf>
    <xf numFmtId="2" fontId="7" fillId="3" borderId="1" xfId="0" applyNumberFormat="1" applyFont="1" applyFill="1" applyBorder="1" applyAlignment="1">
      <alignment horizontal="center"/>
    </xf>
    <xf numFmtId="166" fontId="0" fillId="0" borderId="1" xfId="0" applyNumberFormat="1" applyBorder="1"/>
    <xf numFmtId="0" fontId="0" fillId="11" borderId="7" xfId="0" applyFill="1" applyBorder="1"/>
    <xf numFmtId="0" fontId="0" fillId="11" borderId="20" xfId="0" applyFill="1" applyBorder="1"/>
    <xf numFmtId="0" fontId="0" fillId="11" borderId="38" xfId="0" applyFill="1" applyBorder="1"/>
    <xf numFmtId="165" fontId="0" fillId="0" borderId="1" xfId="0" applyNumberFormat="1" applyBorder="1"/>
    <xf numFmtId="0" fontId="0" fillId="0" borderId="40" xfId="0" applyBorder="1" applyProtection="1">
      <protection locked="0"/>
    </xf>
    <xf numFmtId="0" fontId="2" fillId="0" borderId="4" xfId="0" applyFont="1" applyBorder="1"/>
    <xf numFmtId="0" fontId="10" fillId="12" borderId="18" xfId="0" applyFont="1" applyFill="1" applyBorder="1"/>
    <xf numFmtId="0" fontId="0" fillId="12" borderId="18" xfId="0" applyFill="1" applyBorder="1"/>
    <xf numFmtId="0" fontId="10" fillId="12" borderId="16" xfId="0" applyFont="1" applyFill="1" applyBorder="1"/>
    <xf numFmtId="0" fontId="0" fillId="12" borderId="0" xfId="0" applyFill="1"/>
    <xf numFmtId="0" fontId="10" fillId="0" borderId="18" xfId="0" applyFont="1" applyBorder="1"/>
    <xf numFmtId="0" fontId="10" fillId="12" borderId="1" xfId="0" applyFont="1" applyFill="1" applyBorder="1"/>
    <xf numFmtId="0" fontId="0" fillId="12" borderId="1" xfId="0" applyFill="1" applyBorder="1"/>
    <xf numFmtId="0" fontId="10" fillId="0" borderId="36" xfId="0" applyFont="1" applyBorder="1"/>
    <xf numFmtId="0" fontId="0" fillId="0" borderId="36" xfId="0" applyBorder="1"/>
    <xf numFmtId="0" fontId="10" fillId="12" borderId="36" xfId="0" applyFont="1" applyFill="1" applyBorder="1"/>
    <xf numFmtId="0" fontId="0" fillId="12" borderId="36" xfId="0" applyFill="1" applyBorder="1"/>
    <xf numFmtId="0" fontId="0" fillId="12" borderId="23" xfId="0" applyFill="1" applyBorder="1"/>
    <xf numFmtId="0" fontId="0" fillId="12" borderId="24" xfId="0" applyFill="1" applyBorder="1"/>
    <xf numFmtId="0" fontId="0" fillId="12" borderId="25" xfId="0" applyFill="1" applyBorder="1"/>
    <xf numFmtId="0" fontId="10" fillId="12" borderId="41" xfId="0" applyFont="1" applyFill="1" applyBorder="1"/>
    <xf numFmtId="0" fontId="0" fillId="12" borderId="23" xfId="0" applyFill="1" applyBorder="1" applyAlignment="1">
      <alignment wrapText="1"/>
    </xf>
    <xf numFmtId="0" fontId="0" fillId="0" borderId="2" xfId="0" applyBorder="1" applyAlignment="1">
      <alignment wrapText="1"/>
    </xf>
    <xf numFmtId="0" fontId="0" fillId="0" borderId="21" xfId="0" applyBorder="1"/>
    <xf numFmtId="0" fontId="0" fillId="0" borderId="42" xfId="0" applyBorder="1"/>
    <xf numFmtId="0" fontId="0" fillId="12" borderId="32" xfId="0" applyFill="1" applyBorder="1"/>
    <xf numFmtId="0" fontId="0" fillId="12" borderId="33" xfId="0" applyFill="1" applyBorder="1"/>
    <xf numFmtId="0" fontId="0" fillId="12" borderId="43" xfId="0" applyFill="1" applyBorder="1"/>
    <xf numFmtId="0" fontId="0" fillId="12" borderId="44" xfId="0" applyFill="1" applyBorder="1"/>
    <xf numFmtId="0" fontId="0" fillId="0" borderId="41" xfId="0" applyBorder="1"/>
    <xf numFmtId="0" fontId="10" fillId="0" borderId="41" xfId="0" applyFont="1" applyBorder="1"/>
    <xf numFmtId="0" fontId="0" fillId="0" borderId="2" xfId="0" applyBorder="1"/>
    <xf numFmtId="0" fontId="0" fillId="12" borderId="3" xfId="0" applyFill="1" applyBorder="1"/>
    <xf numFmtId="0" fontId="0" fillId="12" borderId="4" xfId="0" applyFill="1" applyBorder="1"/>
    <xf numFmtId="0" fontId="0" fillId="12" borderId="6" xfId="0" applyFill="1" applyBorder="1"/>
    <xf numFmtId="0" fontId="0" fillId="12" borderId="41" xfId="0" applyFill="1" applyBorder="1"/>
    <xf numFmtId="0" fontId="1" fillId="12" borderId="41" xfId="0" applyFont="1" applyFill="1" applyBorder="1"/>
    <xf numFmtId="0" fontId="0" fillId="0" borderId="45" xfId="0" applyBorder="1"/>
    <xf numFmtId="0" fontId="0" fillId="0" borderId="46" xfId="0" applyBorder="1"/>
    <xf numFmtId="0" fontId="0" fillId="0" borderId="20" xfId="0" applyBorder="1"/>
    <xf numFmtId="0" fontId="0" fillId="0" borderId="47" xfId="0" applyBorder="1"/>
    <xf numFmtId="0" fontId="0" fillId="0" borderId="9" xfId="0" applyBorder="1"/>
    <xf numFmtId="0" fontId="0" fillId="12" borderId="37" xfId="0" applyFill="1" applyBorder="1"/>
    <xf numFmtId="0" fontId="0" fillId="0" borderId="37" xfId="0" applyBorder="1"/>
    <xf numFmtId="0" fontId="0" fillId="12" borderId="38" xfId="0" applyFill="1" applyBorder="1"/>
    <xf numFmtId="0" fontId="1" fillId="0" borderId="2" xfId="0" applyFont="1" applyBorder="1"/>
    <xf numFmtId="0" fontId="1" fillId="0" borderId="21" xfId="0" applyFont="1" applyBorder="1"/>
    <xf numFmtId="0" fontId="10" fillId="0" borderId="42" xfId="0" applyFont="1" applyBorder="1"/>
    <xf numFmtId="0" fontId="10" fillId="0" borderId="28" xfId="0" applyFont="1" applyBorder="1"/>
    <xf numFmtId="0" fontId="0" fillId="0" borderId="43" xfId="0" applyBorder="1"/>
    <xf numFmtId="0" fontId="0" fillId="0" borderId="44" xfId="0" applyBorder="1"/>
    <xf numFmtId="0" fontId="0" fillId="12" borderId="24" xfId="0" applyFill="1" applyBorder="1" applyAlignment="1">
      <alignment wrapText="1"/>
    </xf>
    <xf numFmtId="0" fontId="0" fillId="12" borderId="28" xfId="0" applyFill="1" applyBorder="1"/>
    <xf numFmtId="0" fontId="0" fillId="12" borderId="48" xfId="0" applyFill="1" applyBorder="1"/>
    <xf numFmtId="0" fontId="0" fillId="12" borderId="49" xfId="0" applyFill="1" applyBorder="1"/>
    <xf numFmtId="0" fontId="11" fillId="0" borderId="50" xfId="0" applyFont="1" applyBorder="1" applyAlignment="1">
      <alignment horizontal="center" vertical="top" wrapText="1"/>
    </xf>
    <xf numFmtId="0" fontId="11" fillId="0" borderId="51" xfId="0" applyFont="1" applyBorder="1" applyAlignment="1">
      <alignment horizontal="center" vertical="top" wrapText="1"/>
    </xf>
    <xf numFmtId="0" fontId="11" fillId="0" borderId="52" xfId="0" applyFont="1" applyBorder="1" applyAlignment="1">
      <alignment horizontal="center" vertical="top" wrapText="1"/>
    </xf>
    <xf numFmtId="0" fontId="11" fillId="0" borderId="53" xfId="0" applyFont="1" applyBorder="1" applyAlignment="1">
      <alignment horizontal="center" vertical="top" wrapText="1"/>
    </xf>
    <xf numFmtId="0" fontId="11" fillId="0" borderId="54" xfId="0" applyFont="1" applyBorder="1" applyAlignment="1">
      <alignment horizontal="center" vertical="top" wrapText="1"/>
    </xf>
    <xf numFmtId="0" fontId="11" fillId="0" borderId="55" xfId="0" applyFont="1" applyBorder="1" applyAlignment="1">
      <alignment horizontal="center" vertical="top" wrapText="1"/>
    </xf>
    <xf numFmtId="0" fontId="3" fillId="13" borderId="32" xfId="0" applyFont="1" applyFill="1" applyBorder="1"/>
    <xf numFmtId="0" fontId="0" fillId="0" borderId="33" xfId="0" applyBorder="1" applyAlignment="1">
      <alignment horizontal="right"/>
    </xf>
    <xf numFmtId="14" fontId="0" fillId="0" borderId="33" xfId="0" applyNumberFormat="1" applyBorder="1" applyAlignment="1">
      <alignment horizontal="right"/>
    </xf>
    <xf numFmtId="0" fontId="0" fillId="3" borderId="32" xfId="0" applyFill="1" applyBorder="1"/>
    <xf numFmtId="0" fontId="0" fillId="3" borderId="33" xfId="0" applyFill="1" applyBorder="1"/>
    <xf numFmtId="0" fontId="0" fillId="0" borderId="6" xfId="0" applyBorder="1" applyAlignment="1">
      <alignment horizontal="right"/>
    </xf>
    <xf numFmtId="0" fontId="3" fillId="0" borderId="0" xfId="0" applyFont="1" applyAlignment="1">
      <alignment vertical="top" wrapText="1"/>
    </xf>
    <xf numFmtId="0" fontId="3" fillId="2" borderId="32" xfId="0" applyFont="1" applyFill="1" applyBorder="1"/>
    <xf numFmtId="0" fontId="0" fillId="0" borderId="33" xfId="0" applyBorder="1" applyProtection="1">
      <protection locked="0"/>
    </xf>
    <xf numFmtId="168" fontId="0" fillId="0" borderId="33" xfId="0" applyNumberFormat="1" applyBorder="1" applyAlignment="1">
      <alignment wrapText="1"/>
    </xf>
    <xf numFmtId="168" fontId="0" fillId="0" borderId="6" xfId="0" applyNumberFormat="1" applyBorder="1" applyAlignment="1">
      <alignment wrapText="1"/>
    </xf>
    <xf numFmtId="0" fontId="8" fillId="0" borderId="11" xfId="0" applyFont="1" applyBorder="1" applyAlignment="1">
      <alignment horizontal="center"/>
    </xf>
    <xf numFmtId="0" fontId="8" fillId="0" borderId="10" xfId="0" applyFont="1" applyBorder="1" applyAlignment="1">
      <alignment horizontal="center"/>
    </xf>
    <xf numFmtId="0" fontId="8" fillId="0" borderId="56" xfId="0" applyFont="1" applyBorder="1" applyAlignment="1">
      <alignment horizontal="center"/>
    </xf>
    <xf numFmtId="0" fontId="12" fillId="2" borderId="1" xfId="0" applyFont="1" applyFill="1" applyBorder="1" applyAlignment="1">
      <alignment horizontal="center"/>
    </xf>
    <xf numFmtId="166" fontId="0" fillId="2" borderId="57" xfId="0" applyNumberFormat="1" applyFill="1" applyBorder="1" applyProtection="1">
      <protection locked="0"/>
    </xf>
    <xf numFmtId="166" fontId="0" fillId="2" borderId="13" xfId="0" applyNumberFormat="1" applyFill="1" applyBorder="1" applyProtection="1">
      <protection locked="0"/>
    </xf>
    <xf numFmtId="166" fontId="0" fillId="2" borderId="12" xfId="0" applyNumberFormat="1" applyFill="1" applyBorder="1" applyProtection="1">
      <protection locked="0"/>
    </xf>
    <xf numFmtId="165" fontId="0" fillId="4" borderId="57" xfId="0" applyNumberFormat="1" applyFill="1" applyBorder="1" applyProtection="1">
      <protection locked="0"/>
    </xf>
    <xf numFmtId="165" fontId="0" fillId="4" borderId="13" xfId="0" applyNumberFormat="1" applyFill="1" applyBorder="1" applyProtection="1">
      <protection locked="0"/>
    </xf>
    <xf numFmtId="165" fontId="0" fillId="4" borderId="12" xfId="0" applyNumberFormat="1" applyFill="1" applyBorder="1" applyProtection="1">
      <protection locked="0"/>
    </xf>
    <xf numFmtId="0" fontId="0" fillId="4" borderId="57" xfId="0" applyFill="1" applyBorder="1" applyProtection="1">
      <protection locked="0"/>
    </xf>
    <xf numFmtId="165" fontId="0" fillId="0" borderId="57" xfId="0" applyNumberFormat="1" applyBorder="1" applyProtection="1">
      <protection locked="0"/>
    </xf>
    <xf numFmtId="165" fontId="0" fillId="0" borderId="13" xfId="0" applyNumberFormat="1" applyBorder="1" applyProtection="1">
      <protection locked="0"/>
    </xf>
    <xf numFmtId="165" fontId="0" fillId="0" borderId="12" xfId="0" applyNumberFormat="1" applyBorder="1" applyProtection="1">
      <protection locked="0"/>
    </xf>
    <xf numFmtId="0" fontId="0" fillId="0" borderId="57" xfId="0" applyBorder="1" applyProtection="1">
      <protection locked="0"/>
    </xf>
    <xf numFmtId="165" fontId="0" fillId="6" borderId="0" xfId="0" applyNumberFormat="1" applyFill="1"/>
    <xf numFmtId="0" fontId="3" fillId="6" borderId="0" xfId="0" applyFont="1" applyFill="1" applyAlignment="1">
      <alignment horizontal="center"/>
    </xf>
    <xf numFmtId="2" fontId="0" fillId="0" borderId="15" xfId="0" applyNumberFormat="1" applyBorder="1"/>
    <xf numFmtId="0" fontId="0" fillId="0" borderId="13" xfId="0" applyBorder="1" applyProtection="1">
      <protection locked="0"/>
    </xf>
    <xf numFmtId="168" fontId="3" fillId="0" borderId="58" xfId="0" applyNumberFormat="1" applyFont="1" applyBorder="1"/>
    <xf numFmtId="2" fontId="3" fillId="0" borderId="15" xfId="0" applyNumberFormat="1" applyFont="1" applyBorder="1"/>
    <xf numFmtId="0" fontId="3" fillId="0" borderId="11" xfId="0" applyFont="1" applyBorder="1"/>
    <xf numFmtId="0" fontId="0" fillId="8" borderId="11" xfId="0" applyFill="1" applyBorder="1" applyAlignment="1">
      <alignment horizontal="center"/>
    </xf>
    <xf numFmtId="0" fontId="0" fillId="12" borderId="11" xfId="0" applyFill="1" applyBorder="1" applyAlignment="1">
      <alignment horizontal="center"/>
    </xf>
    <xf numFmtId="0" fontId="3" fillId="0" borderId="13" xfId="0" applyFont="1" applyBorder="1"/>
    <xf numFmtId="0" fontId="0" fillId="8" borderId="13" xfId="0" applyFill="1" applyBorder="1" applyAlignment="1">
      <alignment horizontal="center"/>
    </xf>
    <xf numFmtId="0" fontId="0" fillId="12" borderId="13" xfId="0" applyFill="1" applyBorder="1" applyAlignment="1">
      <alignment horizontal="center"/>
    </xf>
    <xf numFmtId="14" fontId="0" fillId="8" borderId="13" xfId="0" applyNumberFormat="1" applyFill="1" applyBorder="1" applyAlignment="1">
      <alignment horizontal="center"/>
    </xf>
    <xf numFmtId="14" fontId="0" fillId="12" borderId="13" xfId="0" applyNumberFormat="1" applyFill="1" applyBorder="1" applyAlignment="1">
      <alignment horizontal="center"/>
    </xf>
    <xf numFmtId="0" fontId="0" fillId="8" borderId="15" xfId="0" applyFill="1" applyBorder="1" applyAlignment="1">
      <alignment horizontal="center"/>
    </xf>
    <xf numFmtId="0" fontId="0" fillId="12" borderId="15" xfId="0" applyFill="1" applyBorder="1" applyAlignment="1">
      <alignment horizontal="center"/>
    </xf>
    <xf numFmtId="0" fontId="3" fillId="0" borderId="58" xfId="0" applyFont="1" applyBorder="1"/>
    <xf numFmtId="0" fontId="0" fillId="8" borderId="58" xfId="0" applyFill="1" applyBorder="1" applyAlignment="1">
      <alignment horizontal="center"/>
    </xf>
    <xf numFmtId="0" fontId="0" fillId="12" borderId="58" xfId="0" applyFill="1" applyBorder="1" applyAlignment="1">
      <alignment horizontal="center"/>
    </xf>
    <xf numFmtId="0" fontId="3" fillId="0" borderId="17" xfId="0" applyFont="1" applyBorder="1"/>
    <xf numFmtId="0" fontId="0" fillId="8" borderId="17" xfId="0" applyFill="1" applyBorder="1" applyAlignment="1">
      <alignment horizontal="center"/>
    </xf>
    <xf numFmtId="0" fontId="0" fillId="12" borderId="17" xfId="0" applyFill="1" applyBorder="1" applyAlignment="1">
      <alignment horizontal="center"/>
    </xf>
    <xf numFmtId="0" fontId="15" fillId="0" borderId="0" xfId="0" applyFont="1"/>
    <xf numFmtId="0" fontId="15" fillId="13" borderId="23" xfId="0" applyFont="1" applyFill="1" applyBorder="1" applyAlignment="1">
      <alignment horizontal="left"/>
    </xf>
    <xf numFmtId="0" fontId="15" fillId="0" borderId="59" xfId="0" applyFont="1" applyBorder="1" applyAlignment="1" applyProtection="1">
      <alignment horizontal="center"/>
      <protection locked="0"/>
    </xf>
    <xf numFmtId="0" fontId="15" fillId="6" borderId="0" xfId="0" applyFont="1" applyFill="1" applyAlignment="1">
      <alignment horizontal="center"/>
    </xf>
    <xf numFmtId="0" fontId="15" fillId="0" borderId="25" xfId="0" applyFont="1" applyBorder="1" applyAlignment="1" applyProtection="1">
      <alignment horizontal="center"/>
      <protection locked="0"/>
    </xf>
    <xf numFmtId="0" fontId="3" fillId="13" borderId="2" xfId="0" applyFont="1" applyFill="1" applyBorder="1" applyAlignment="1">
      <alignment horizontal="left"/>
    </xf>
    <xf numFmtId="0" fontId="3" fillId="13" borderId="30" xfId="0" applyFont="1" applyFill="1" applyBorder="1" applyAlignment="1">
      <alignment horizontal="left"/>
    </xf>
    <xf numFmtId="0" fontId="3" fillId="13" borderId="60" xfId="0" applyFont="1" applyFill="1" applyBorder="1"/>
    <xf numFmtId="165" fontId="0" fillId="0" borderId="61" xfId="0" applyNumberFormat="1" applyBorder="1"/>
    <xf numFmtId="0" fontId="3" fillId="0" borderId="30" xfId="0" applyFont="1" applyBorder="1"/>
    <xf numFmtId="0" fontId="3" fillId="14" borderId="32" xfId="0" applyFont="1" applyFill="1" applyBorder="1"/>
    <xf numFmtId="0" fontId="3" fillId="14" borderId="3" xfId="0" applyFont="1" applyFill="1" applyBorder="1"/>
    <xf numFmtId="0" fontId="3" fillId="6" borderId="45" xfId="0" applyFont="1" applyFill="1" applyBorder="1"/>
    <xf numFmtId="0" fontId="3" fillId="6" borderId="38" xfId="0" applyFont="1" applyFill="1" applyBorder="1"/>
    <xf numFmtId="0" fontId="3" fillId="6" borderId="62" xfId="0" applyFont="1" applyFill="1" applyBorder="1"/>
    <xf numFmtId="0" fontId="15" fillId="0" borderId="0" xfId="0" applyFont="1" applyAlignment="1">
      <alignment horizontal="center"/>
    </xf>
    <xf numFmtId="0" fontId="3" fillId="13" borderId="11" xfId="0" applyFont="1" applyFill="1" applyBorder="1" applyAlignment="1">
      <alignment horizontal="left"/>
    </xf>
    <xf numFmtId="0" fontId="3" fillId="0" borderId="0" xfId="0" applyFont="1" applyAlignment="1">
      <alignment horizontal="left"/>
    </xf>
    <xf numFmtId="0" fontId="3" fillId="13" borderId="13" xfId="0" applyFont="1" applyFill="1" applyBorder="1"/>
    <xf numFmtId="0" fontId="3" fillId="13" borderId="63" xfId="0" applyFont="1" applyFill="1" applyBorder="1"/>
    <xf numFmtId="0" fontId="3" fillId="6" borderId="64" xfId="0" applyFont="1" applyFill="1" applyBorder="1"/>
    <xf numFmtId="0" fontId="3" fillId="13" borderId="65" xfId="0" applyFont="1" applyFill="1" applyBorder="1"/>
    <xf numFmtId="0" fontId="3" fillId="13" borderId="66" xfId="0" applyFont="1" applyFill="1" applyBorder="1"/>
    <xf numFmtId="0" fontId="0" fillId="0" borderId="65" xfId="0" applyBorder="1" applyProtection="1">
      <protection locked="0"/>
    </xf>
    <xf numFmtId="0" fontId="3" fillId="0" borderId="66" xfId="0" applyFont="1" applyBorder="1"/>
    <xf numFmtId="0" fontId="4" fillId="0" borderId="0" xfId="0" applyFont="1"/>
    <xf numFmtId="0" fontId="3" fillId="6" borderId="0" xfId="0" applyFont="1" applyFill="1"/>
    <xf numFmtId="0" fontId="3" fillId="13" borderId="67" xfId="0" applyFont="1" applyFill="1" applyBorder="1"/>
    <xf numFmtId="0" fontId="0" fillId="0" borderId="67" xfId="0" applyBorder="1" applyProtection="1">
      <protection locked="0"/>
    </xf>
    <xf numFmtId="0" fontId="3" fillId="6" borderId="5" xfId="0" applyFont="1" applyFill="1" applyBorder="1"/>
    <xf numFmtId="170" fontId="0" fillId="0" borderId="0" xfId="0" applyNumberFormat="1"/>
    <xf numFmtId="165" fontId="3" fillId="0" borderId="0" xfId="0" applyNumberFormat="1" applyFont="1"/>
    <xf numFmtId="0" fontId="3" fillId="13" borderId="22" xfId="0" applyFont="1" applyFill="1" applyBorder="1" applyAlignment="1">
      <alignment horizontal="left"/>
    </xf>
    <xf numFmtId="0" fontId="3" fillId="13" borderId="68" xfId="0" applyFont="1" applyFill="1" applyBorder="1"/>
    <xf numFmtId="0" fontId="3" fillId="0" borderId="69" xfId="0" applyFont="1" applyBorder="1"/>
    <xf numFmtId="0" fontId="3" fillId="0" borderId="39" xfId="0" applyFont="1" applyBorder="1"/>
    <xf numFmtId="165" fontId="3" fillId="6" borderId="0" xfId="0" applyNumberFormat="1" applyFont="1" applyFill="1"/>
    <xf numFmtId="0" fontId="3" fillId="5" borderId="2" xfId="0" applyFont="1" applyFill="1" applyBorder="1"/>
    <xf numFmtId="0" fontId="3" fillId="5" borderId="42" xfId="0" applyFont="1" applyFill="1" applyBorder="1"/>
    <xf numFmtId="0" fontId="3" fillId="15" borderId="18" xfId="0" applyFont="1" applyFill="1" applyBorder="1"/>
    <xf numFmtId="0" fontId="3" fillId="15" borderId="1" xfId="0" applyFont="1" applyFill="1" applyBorder="1"/>
    <xf numFmtId="166" fontId="0" fillId="3" borderId="1" xfId="0" applyNumberFormat="1" applyFill="1" applyBorder="1"/>
    <xf numFmtId="165" fontId="0" fillId="3" borderId="1" xfId="0" applyNumberFormat="1" applyFill="1" applyBorder="1"/>
    <xf numFmtId="49" fontId="15" fillId="13" borderId="23" xfId="0" applyNumberFormat="1" applyFont="1" applyFill="1" applyBorder="1" applyAlignment="1">
      <alignment horizontal="left"/>
    </xf>
    <xf numFmtId="49" fontId="15" fillId="0" borderId="59" xfId="0" applyNumberFormat="1" applyFont="1" applyBorder="1" applyAlignment="1" applyProtection="1">
      <alignment horizontal="center"/>
      <protection locked="0"/>
    </xf>
    <xf numFmtId="49" fontId="15" fillId="6" borderId="0" xfId="0" applyNumberFormat="1" applyFont="1" applyFill="1" applyAlignment="1">
      <alignment horizontal="center"/>
    </xf>
    <xf numFmtId="49" fontId="0" fillId="6" borderId="0" xfId="0" applyNumberFormat="1" applyFill="1"/>
    <xf numFmtId="0" fontId="0" fillId="0" borderId="42" xfId="0" applyBorder="1" applyProtection="1">
      <protection locked="0"/>
    </xf>
    <xf numFmtId="0" fontId="0" fillId="0" borderId="61" xfId="0" applyBorder="1"/>
    <xf numFmtId="165" fontId="0" fillId="0" borderId="18" xfId="0" applyNumberFormat="1" applyBorder="1"/>
    <xf numFmtId="165" fontId="0" fillId="0" borderId="70" xfId="0" applyNumberFormat="1" applyBorder="1"/>
    <xf numFmtId="165" fontId="0" fillId="3" borderId="40" xfId="0" applyNumberFormat="1" applyFill="1" applyBorder="1"/>
    <xf numFmtId="165" fontId="0" fillId="0" borderId="40" xfId="0" applyNumberFormat="1" applyBorder="1"/>
    <xf numFmtId="165" fontId="0" fillId="0" borderId="0" xfId="0" applyNumberFormat="1"/>
    <xf numFmtId="0" fontId="8" fillId="0" borderId="0" xfId="0" applyFont="1" applyAlignment="1">
      <alignment horizontal="left" vertical="top" wrapText="1"/>
    </xf>
    <xf numFmtId="0" fontId="0" fillId="0" borderId="0" xfId="0" applyAlignment="1">
      <alignment horizontal="center"/>
    </xf>
    <xf numFmtId="0" fontId="3" fillId="0" borderId="8" xfId="0" applyFont="1" applyBorder="1" applyAlignment="1">
      <alignment horizontal="center"/>
    </xf>
    <xf numFmtId="165" fontId="0" fillId="0" borderId="33" xfId="0" applyNumberFormat="1" applyBorder="1"/>
    <xf numFmtId="0" fontId="0" fillId="2" borderId="7" xfId="0" applyFill="1" applyBorder="1"/>
    <xf numFmtId="0" fontId="0" fillId="3" borderId="37" xfId="0" applyFill="1" applyBorder="1"/>
    <xf numFmtId="165" fontId="3" fillId="0" borderId="1" xfId="0" applyNumberFormat="1" applyFont="1" applyBorder="1"/>
    <xf numFmtId="0" fontId="0" fillId="3" borderId="7" xfId="0" applyFill="1" applyBorder="1"/>
    <xf numFmtId="0" fontId="3" fillId="0" borderId="38" xfId="0" applyFont="1" applyBorder="1"/>
    <xf numFmtId="0" fontId="0" fillId="3" borderId="33" xfId="0" applyFill="1" applyBorder="1" applyProtection="1">
      <protection locked="0"/>
    </xf>
    <xf numFmtId="164" fontId="0" fillId="0" borderId="33" xfId="0" applyNumberFormat="1" applyBorder="1"/>
    <xf numFmtId="165" fontId="3" fillId="0" borderId="32" xfId="0" applyNumberFormat="1" applyFont="1" applyBorder="1"/>
    <xf numFmtId="165" fontId="0" fillId="0" borderId="13" xfId="0" applyNumberFormat="1" applyBorder="1"/>
    <xf numFmtId="165" fontId="0" fillId="0" borderId="15" xfId="0" applyNumberFormat="1" applyBorder="1"/>
    <xf numFmtId="165" fontId="0" fillId="0" borderId="13" xfId="0" applyNumberFormat="1" applyBorder="1" applyAlignment="1">
      <alignment horizontal="right"/>
    </xf>
    <xf numFmtId="0" fontId="0" fillId="0" borderId="71" xfId="0" applyBorder="1"/>
    <xf numFmtId="0" fontId="16" fillId="0" borderId="2" xfId="0" applyFont="1" applyBorder="1"/>
    <xf numFmtId="0" fontId="16" fillId="0" borderId="42" xfId="0" applyFont="1" applyBorder="1"/>
    <xf numFmtId="0" fontId="16" fillId="0" borderId="32" xfId="0" applyFont="1" applyBorder="1"/>
    <xf numFmtId="0" fontId="16" fillId="0" borderId="33" xfId="0" applyFont="1" applyBorder="1"/>
    <xf numFmtId="0" fontId="16" fillId="0" borderId="3" xfId="0" applyFont="1" applyBorder="1"/>
    <xf numFmtId="0" fontId="16" fillId="0" borderId="6" xfId="0" applyFont="1" applyBorder="1"/>
    <xf numFmtId="0" fontId="2" fillId="8" borderId="1" xfId="0" applyFont="1" applyFill="1" applyBorder="1"/>
    <xf numFmtId="0" fontId="3" fillId="8" borderId="32" xfId="0" applyFont="1" applyFill="1" applyBorder="1"/>
    <xf numFmtId="0" fontId="3" fillId="8" borderId="72" xfId="0" applyFont="1" applyFill="1" applyBorder="1"/>
    <xf numFmtId="0" fontId="3" fillId="3" borderId="1" xfId="0" applyFont="1" applyFill="1" applyBorder="1"/>
    <xf numFmtId="0" fontId="3" fillId="3" borderId="18" xfId="0" applyFont="1" applyFill="1" applyBorder="1"/>
    <xf numFmtId="0" fontId="0" fillId="3" borderId="19" xfId="0" applyFill="1" applyBorder="1" applyProtection="1">
      <protection locked="0"/>
    </xf>
    <xf numFmtId="1" fontId="0" fillId="0" borderId="0" xfId="0" applyNumberFormat="1"/>
    <xf numFmtId="0" fontId="0" fillId="0" borderId="0" xfId="0" applyAlignment="1">
      <alignment horizontal="left"/>
    </xf>
    <xf numFmtId="1" fontId="0" fillId="0" borderId="0" xfId="0" applyNumberFormat="1" applyProtection="1">
      <protection locked="0"/>
    </xf>
    <xf numFmtId="164" fontId="0" fillId="0" borderId="0" xfId="0" applyNumberFormat="1"/>
    <xf numFmtId="0" fontId="0" fillId="0" borderId="7" xfId="0" applyBorder="1"/>
    <xf numFmtId="0" fontId="3" fillId="0" borderId="37" xfId="0" applyFont="1" applyBorder="1"/>
    <xf numFmtId="0" fontId="3" fillId="8" borderId="11" xfId="0" applyFont="1" applyFill="1" applyBorder="1" applyAlignment="1">
      <alignment horizontal="center"/>
    </xf>
    <xf numFmtId="0" fontId="3" fillId="3" borderId="15" xfId="0" applyFont="1" applyFill="1" applyBorder="1" applyAlignment="1">
      <alignment horizontal="center"/>
    </xf>
    <xf numFmtId="0" fontId="3" fillId="8" borderId="11" xfId="0" applyFont="1" applyFill="1" applyBorder="1"/>
    <xf numFmtId="0" fontId="3" fillId="3" borderId="3" xfId="0" applyFont="1" applyFill="1" applyBorder="1"/>
    <xf numFmtId="0" fontId="3" fillId="3" borderId="32" xfId="0" applyFont="1" applyFill="1" applyBorder="1"/>
    <xf numFmtId="0" fontId="8" fillId="8" borderId="0" xfId="0" applyFont="1" applyFill="1" applyAlignment="1">
      <alignment horizontal="left"/>
    </xf>
    <xf numFmtId="0" fontId="8" fillId="8" borderId="0" xfId="0" applyFont="1" applyFill="1" applyAlignment="1">
      <alignment horizontal="center"/>
    </xf>
    <xf numFmtId="0" fontId="0" fillId="8" borderId="0" xfId="0" applyFill="1" applyAlignment="1">
      <alignment horizontal="center"/>
    </xf>
    <xf numFmtId="165" fontId="0" fillId="8" borderId="57" xfId="0" applyNumberFormat="1" applyFill="1" applyBorder="1"/>
    <xf numFmtId="165" fontId="0" fillId="8" borderId="13" xfId="0" applyNumberFormat="1" applyFill="1" applyBorder="1"/>
    <xf numFmtId="0" fontId="3" fillId="3" borderId="30" xfId="0" applyFont="1" applyFill="1" applyBorder="1"/>
    <xf numFmtId="0" fontId="0" fillId="3" borderId="31" xfId="0" applyFill="1" applyBorder="1" applyProtection="1">
      <protection locked="0"/>
    </xf>
    <xf numFmtId="0" fontId="3" fillId="9" borderId="1" xfId="0" applyFont="1" applyFill="1" applyBorder="1"/>
    <xf numFmtId="2" fontId="16" fillId="0" borderId="0" xfId="0" applyNumberFormat="1" applyFont="1"/>
    <xf numFmtId="2" fontId="0" fillId="0" borderId="32" xfId="0" applyNumberFormat="1" applyBorder="1"/>
    <xf numFmtId="0" fontId="0" fillId="0" borderId="61" xfId="0" applyBorder="1" applyProtection="1">
      <protection locked="0"/>
    </xf>
    <xf numFmtId="170" fontId="0" fillId="0" borderId="61" xfId="0" applyNumberFormat="1" applyBorder="1" applyProtection="1">
      <protection locked="0"/>
    </xf>
    <xf numFmtId="0" fontId="0" fillId="6" borderId="0" xfId="0" applyFill="1" applyProtection="1">
      <protection locked="0"/>
    </xf>
    <xf numFmtId="0" fontId="14" fillId="0" borderId="0" xfId="0" applyFont="1"/>
    <xf numFmtId="166" fontId="0" fillId="4" borderId="57" xfId="0" applyNumberFormat="1" applyFill="1" applyBorder="1" applyProtection="1">
      <protection locked="0"/>
    </xf>
    <xf numFmtId="166" fontId="0" fillId="4" borderId="13" xfId="0" applyNumberFormat="1" applyFill="1" applyBorder="1" applyProtection="1">
      <protection locked="0"/>
    </xf>
    <xf numFmtId="166" fontId="0" fillId="4" borderId="12" xfId="0" applyNumberFormat="1" applyFill="1" applyBorder="1" applyProtection="1">
      <protection locked="0"/>
    </xf>
    <xf numFmtId="166" fontId="0" fillId="0" borderId="57" xfId="0" applyNumberFormat="1" applyBorder="1" applyProtection="1">
      <protection locked="0"/>
    </xf>
    <xf numFmtId="166" fontId="0" fillId="0" borderId="13" xfId="0" applyNumberFormat="1" applyBorder="1" applyProtection="1">
      <protection locked="0"/>
    </xf>
    <xf numFmtId="166" fontId="0" fillId="0" borderId="12" xfId="0" applyNumberFormat="1" applyBorder="1" applyProtection="1">
      <protection locked="0"/>
    </xf>
    <xf numFmtId="166" fontId="0" fillId="8" borderId="57" xfId="0" applyNumberFormat="1" applyFill="1" applyBorder="1"/>
    <xf numFmtId="166" fontId="0" fillId="8" borderId="13" xfId="0" applyNumberFormat="1" applyFill="1" applyBorder="1"/>
    <xf numFmtId="1" fontId="0" fillId="0" borderId="1" xfId="0" applyNumberFormat="1" applyBorder="1"/>
    <xf numFmtId="0" fontId="0" fillId="12" borderId="16" xfId="0" applyFill="1" applyBorder="1"/>
    <xf numFmtId="0" fontId="0" fillId="0" borderId="65" xfId="0" applyBorder="1"/>
    <xf numFmtId="0" fontId="0" fillId="12" borderId="22" xfId="0" applyFill="1" applyBorder="1"/>
    <xf numFmtId="0" fontId="0" fillId="12" borderId="21" xfId="0" applyFill="1" applyBorder="1"/>
    <xf numFmtId="0" fontId="0" fillId="12" borderId="73" xfId="0" applyFill="1" applyBorder="1"/>
    <xf numFmtId="0" fontId="5" fillId="13" borderId="1" xfId="1" applyFill="1" applyBorder="1" applyAlignment="1" applyProtection="1"/>
    <xf numFmtId="0" fontId="0" fillId="5" borderId="1" xfId="0" applyFill="1" applyBorder="1"/>
    <xf numFmtId="0" fontId="5" fillId="5" borderId="1" xfId="1" applyFill="1" applyBorder="1" applyAlignment="1" applyProtection="1"/>
    <xf numFmtId="0" fontId="3" fillId="15" borderId="1" xfId="1" applyFont="1" applyFill="1" applyBorder="1" applyAlignment="1" applyProtection="1"/>
    <xf numFmtId="0" fontId="3" fillId="16" borderId="1" xfId="0" applyFont="1" applyFill="1" applyBorder="1"/>
    <xf numFmtId="0" fontId="0" fillId="10" borderId="1" xfId="0" applyFill="1" applyBorder="1"/>
    <xf numFmtId="0" fontId="5" fillId="10" borderId="1" xfId="1" applyFill="1" applyBorder="1" applyAlignment="1" applyProtection="1"/>
    <xf numFmtId="0" fontId="3" fillId="17" borderId="1" xfId="0" applyFont="1" applyFill="1" applyBorder="1"/>
    <xf numFmtId="0" fontId="5" fillId="12" borderId="1" xfId="1" applyFill="1" applyBorder="1" applyAlignment="1" applyProtection="1"/>
    <xf numFmtId="0" fontId="3" fillId="12" borderId="1" xfId="0" applyFont="1" applyFill="1" applyBorder="1"/>
    <xf numFmtId="0" fontId="3" fillId="12" borderId="40" xfId="0" applyFont="1" applyFill="1" applyBorder="1"/>
    <xf numFmtId="0" fontId="0" fillId="2" borderId="18" xfId="0" applyFill="1" applyBorder="1"/>
    <xf numFmtId="0" fontId="0" fillId="11" borderId="37" xfId="0" applyFill="1" applyBorder="1"/>
    <xf numFmtId="0" fontId="0" fillId="3" borderId="30" xfId="0" applyFill="1" applyBorder="1"/>
    <xf numFmtId="165" fontId="16" fillId="0" borderId="13" xfId="0" applyNumberFormat="1" applyFont="1" applyBorder="1"/>
    <xf numFmtId="165" fontId="16" fillId="0" borderId="12" xfId="0" applyNumberFormat="1" applyFont="1" applyBorder="1"/>
    <xf numFmtId="165" fontId="16" fillId="0" borderId="57" xfId="0" applyNumberFormat="1" applyFont="1" applyBorder="1"/>
    <xf numFmtId="165" fontId="16" fillId="0" borderId="58" xfId="0" applyNumberFormat="1" applyFont="1" applyBorder="1"/>
    <xf numFmtId="165" fontId="16" fillId="0" borderId="74" xfId="0" applyNumberFormat="1" applyFont="1" applyBorder="1"/>
    <xf numFmtId="165" fontId="16" fillId="0" borderId="75" xfId="0" applyNumberFormat="1" applyFont="1" applyBorder="1"/>
    <xf numFmtId="166" fontId="16" fillId="0" borderId="13" xfId="0" applyNumberFormat="1" applyFont="1" applyBorder="1"/>
    <xf numFmtId="166" fontId="16" fillId="0" borderId="12" xfId="0" applyNumberFormat="1" applyFont="1" applyBorder="1"/>
    <xf numFmtId="166" fontId="16" fillId="0" borderId="57" xfId="0" applyNumberFormat="1" applyFont="1" applyBorder="1"/>
    <xf numFmtId="0" fontId="8" fillId="0" borderId="76" xfId="0" applyFont="1" applyBorder="1" applyAlignment="1">
      <alignment horizontal="center"/>
    </xf>
    <xf numFmtId="165" fontId="0" fillId="7" borderId="13" xfId="0" applyNumberFormat="1" applyFill="1" applyBorder="1" applyProtection="1">
      <protection locked="0"/>
    </xf>
    <xf numFmtId="0" fontId="0" fillId="4" borderId="13" xfId="0" applyFill="1" applyBorder="1" applyProtection="1">
      <protection locked="0"/>
    </xf>
    <xf numFmtId="0" fontId="0" fillId="7" borderId="13" xfId="0" applyFill="1" applyBorder="1" applyProtection="1">
      <protection locked="0"/>
    </xf>
    <xf numFmtId="0" fontId="8" fillId="8" borderId="8" xfId="0" applyFont="1" applyFill="1" applyBorder="1" applyAlignment="1">
      <alignment horizontal="left"/>
    </xf>
    <xf numFmtId="0" fontId="8" fillId="8" borderId="49" xfId="0" applyFont="1" applyFill="1" applyBorder="1" applyAlignment="1">
      <alignment horizontal="center"/>
    </xf>
    <xf numFmtId="0" fontId="0" fillId="8" borderId="49" xfId="0" applyFill="1" applyBorder="1" applyAlignment="1">
      <alignment horizontal="center"/>
    </xf>
    <xf numFmtId="0" fontId="0" fillId="8" borderId="9" xfId="0" applyFill="1" applyBorder="1" applyAlignment="1">
      <alignment horizontal="center"/>
    </xf>
    <xf numFmtId="0" fontId="12" fillId="2" borderId="32" xfId="0" applyFont="1" applyFill="1" applyBorder="1" applyAlignment="1">
      <alignment horizontal="center"/>
    </xf>
    <xf numFmtId="0" fontId="0" fillId="6" borderId="7" xfId="0" applyFill="1" applyBorder="1"/>
    <xf numFmtId="165" fontId="0" fillId="6" borderId="20" xfId="0" applyNumberFormat="1" applyFill="1" applyBorder="1"/>
    <xf numFmtId="165" fontId="0" fillId="6" borderId="38" xfId="0" applyNumberFormat="1" applyFill="1" applyBorder="1"/>
    <xf numFmtId="165" fontId="16" fillId="0" borderId="0" xfId="0" applyNumberFormat="1" applyFont="1" applyProtection="1">
      <protection hidden="1"/>
    </xf>
    <xf numFmtId="165" fontId="16" fillId="0" borderId="37" xfId="0" applyNumberFormat="1" applyFont="1" applyBorder="1" applyProtection="1">
      <protection hidden="1"/>
    </xf>
    <xf numFmtId="165" fontId="0" fillId="0" borderId="37" xfId="0" applyNumberFormat="1" applyBorder="1"/>
    <xf numFmtId="165" fontId="0" fillId="7" borderId="57" xfId="0" applyNumberFormat="1" applyFill="1" applyBorder="1" applyProtection="1">
      <protection locked="0"/>
    </xf>
    <xf numFmtId="0" fontId="12" fillId="8" borderId="32" xfId="0" applyFont="1" applyFill="1" applyBorder="1" applyAlignment="1">
      <alignment horizontal="center"/>
    </xf>
    <xf numFmtId="0" fontId="12" fillId="8" borderId="12" xfId="0" applyFont="1" applyFill="1" applyBorder="1" applyAlignment="1">
      <alignment horizontal="center"/>
    </xf>
    <xf numFmtId="165" fontId="0" fillId="4" borderId="13" xfId="0" applyNumberFormat="1" applyFill="1" applyBorder="1"/>
    <xf numFmtId="165" fontId="0" fillId="8" borderId="77" xfId="0" applyNumberFormat="1" applyFill="1" applyBorder="1"/>
    <xf numFmtId="166" fontId="0" fillId="8" borderId="77" xfId="0" applyNumberFormat="1" applyFill="1" applyBorder="1"/>
    <xf numFmtId="165" fontId="0" fillId="4" borderId="77" xfId="0" applyNumberFormat="1" applyFill="1" applyBorder="1"/>
    <xf numFmtId="166" fontId="0" fillId="4" borderId="13" xfId="0" applyNumberFormat="1" applyFill="1" applyBorder="1"/>
    <xf numFmtId="166" fontId="0" fillId="4" borderId="57" xfId="0" applyNumberFormat="1" applyFill="1" applyBorder="1"/>
    <xf numFmtId="14" fontId="0" fillId="0" borderId="33" xfId="0" applyNumberFormat="1" applyBorder="1"/>
    <xf numFmtId="0" fontId="1" fillId="0" borderId="78" xfId="0" applyFont="1" applyBorder="1"/>
    <xf numFmtId="0" fontId="0" fillId="12" borderId="79" xfId="0" applyFill="1" applyBorder="1"/>
    <xf numFmtId="165" fontId="0" fillId="0" borderId="4" xfId="0" applyNumberFormat="1" applyBorder="1"/>
    <xf numFmtId="0" fontId="0" fillId="7" borderId="31" xfId="0" applyFill="1" applyBorder="1" applyProtection="1">
      <protection locked="0"/>
    </xf>
    <xf numFmtId="0" fontId="0" fillId="5" borderId="1" xfId="0" applyFill="1" applyBorder="1" applyAlignment="1">
      <alignment horizontal="right"/>
    </xf>
    <xf numFmtId="168" fontId="0" fillId="0" borderId="27" xfId="0" applyNumberFormat="1" applyBorder="1"/>
    <xf numFmtId="2" fontId="0" fillId="3" borderId="27" xfId="0" applyNumberFormat="1" applyFill="1" applyBorder="1"/>
    <xf numFmtId="2" fontId="0" fillId="0" borderId="27" xfId="0" applyNumberFormat="1" applyBorder="1"/>
    <xf numFmtId="0" fontId="3" fillId="2" borderId="0" xfId="0" applyFont="1" applyFill="1"/>
    <xf numFmtId="0" fontId="0" fillId="0" borderId="5" xfId="0" applyBorder="1" applyAlignment="1">
      <alignment horizontal="center"/>
    </xf>
    <xf numFmtId="0" fontId="0" fillId="0" borderId="37" xfId="0" applyBorder="1" applyAlignment="1">
      <alignment horizontal="center"/>
    </xf>
    <xf numFmtId="0" fontId="3" fillId="0" borderId="49" xfId="0" applyFont="1" applyBorder="1" applyAlignment="1">
      <alignment horizontal="center"/>
    </xf>
    <xf numFmtId="0" fontId="5" fillId="0" borderId="0" xfId="1" applyAlignment="1" applyProtection="1">
      <protection locked="0"/>
    </xf>
    <xf numFmtId="0" fontId="17" fillId="0" borderId="0" xfId="1" applyFont="1" applyFill="1" applyBorder="1" applyAlignment="1" applyProtection="1">
      <protection locked="0"/>
    </xf>
    <xf numFmtId="0" fontId="15" fillId="0" borderId="38" xfId="0" applyFont="1" applyBorder="1" applyAlignment="1" applyProtection="1">
      <alignment horizontal="center"/>
      <protection locked="0"/>
    </xf>
    <xf numFmtId="0" fontId="0" fillId="0" borderId="17" xfId="0" applyBorder="1" applyAlignment="1">
      <alignment horizontal="center"/>
    </xf>
    <xf numFmtId="0" fontId="0" fillId="12" borderId="80" xfId="0" applyFill="1" applyBorder="1"/>
    <xf numFmtId="0" fontId="18" fillId="18" borderId="81" xfId="0" applyFont="1" applyFill="1" applyBorder="1" applyAlignment="1">
      <alignment horizontal="center" wrapText="1"/>
    </xf>
    <xf numFmtId="0" fontId="18" fillId="7" borderId="81" xfId="0" applyFont="1" applyFill="1" applyBorder="1" applyAlignment="1">
      <alignment horizontal="center" wrapText="1"/>
    </xf>
    <xf numFmtId="0" fontId="10" fillId="0" borderId="80" xfId="0" applyFont="1" applyBorder="1"/>
    <xf numFmtId="0" fontId="10" fillId="0" borderId="16" xfId="0" applyFont="1" applyBorder="1"/>
    <xf numFmtId="0" fontId="0" fillId="12" borderId="40" xfId="0" applyFill="1" applyBorder="1"/>
    <xf numFmtId="0" fontId="0" fillId="0" borderId="40" xfId="0" applyBorder="1"/>
    <xf numFmtId="0" fontId="10" fillId="0" borderId="26" xfId="0" applyFont="1" applyBorder="1"/>
    <xf numFmtId="0" fontId="10" fillId="0" borderId="34" xfId="0" applyFont="1" applyBorder="1"/>
    <xf numFmtId="0" fontId="10" fillId="12" borderId="42" xfId="0" applyFont="1" applyFill="1" applyBorder="1"/>
    <xf numFmtId="0" fontId="0" fillId="12" borderId="30" xfId="0" applyFill="1" applyBorder="1"/>
    <xf numFmtId="0" fontId="0" fillId="12" borderId="31" xfId="0" applyFill="1" applyBorder="1"/>
    <xf numFmtId="0" fontId="3" fillId="8" borderId="13" xfId="0" applyFont="1" applyFill="1" applyBorder="1"/>
    <xf numFmtId="0" fontId="0" fillId="0" borderId="13" xfId="0" applyBorder="1" applyAlignment="1">
      <alignment horizontal="right"/>
    </xf>
    <xf numFmtId="0" fontId="0" fillId="0" borderId="15" xfId="0" applyBorder="1" applyAlignment="1">
      <alignment horizontal="right"/>
    </xf>
    <xf numFmtId="0" fontId="3" fillId="8" borderId="1" xfId="0" applyFont="1" applyFill="1" applyBorder="1"/>
    <xf numFmtId="165" fontId="0" fillId="4" borderId="1" xfId="0" applyNumberFormat="1" applyFill="1" applyBorder="1"/>
    <xf numFmtId="0" fontId="0" fillId="4" borderId="1" xfId="0" applyFill="1" applyBorder="1"/>
    <xf numFmtId="1" fontId="0" fillId="0" borderId="1" xfId="0" applyNumberFormat="1" applyBorder="1" applyAlignment="1">
      <alignment horizontal="center"/>
    </xf>
    <xf numFmtId="1" fontId="0" fillId="3" borderId="1" xfId="0" applyNumberFormat="1" applyFill="1" applyBorder="1" applyAlignment="1">
      <alignment horizontal="center"/>
    </xf>
    <xf numFmtId="1" fontId="0" fillId="0" borderId="18" xfId="0" applyNumberFormat="1" applyBorder="1" applyAlignment="1">
      <alignment horizontal="center"/>
    </xf>
    <xf numFmtId="169" fontId="0" fillId="0" borderId="1" xfId="0" applyNumberFormat="1" applyBorder="1" applyAlignment="1">
      <alignment horizontal="center"/>
    </xf>
    <xf numFmtId="169" fontId="0" fillId="3" borderId="1" xfId="0" applyNumberFormat="1" applyFill="1" applyBorder="1" applyAlignment="1">
      <alignment horizontal="center"/>
    </xf>
    <xf numFmtId="0" fontId="0" fillId="0" borderId="0" xfId="0" quotePrefix="1"/>
    <xf numFmtId="10" fontId="0" fillId="0" borderId="1" xfId="0" applyNumberFormat="1" applyBorder="1"/>
    <xf numFmtId="10" fontId="0" fillId="3" borderId="1" xfId="0" applyNumberFormat="1" applyFill="1" applyBorder="1"/>
    <xf numFmtId="0" fontId="3" fillId="0" borderId="1" xfId="0" applyFont="1" applyBorder="1"/>
    <xf numFmtId="0" fontId="0" fillId="8" borderId="0" xfId="0" applyFill="1"/>
    <xf numFmtId="0" fontId="0" fillId="12" borderId="8" xfId="0" applyFill="1" applyBorder="1"/>
    <xf numFmtId="0" fontId="0" fillId="12" borderId="49" xfId="0" applyFill="1" applyBorder="1" applyAlignment="1">
      <alignment wrapText="1"/>
    </xf>
    <xf numFmtId="0" fontId="0" fillId="12" borderId="45" xfId="0" applyFill="1" applyBorder="1"/>
    <xf numFmtId="0" fontId="0" fillId="12" borderId="46" xfId="0" applyFill="1" applyBorder="1"/>
    <xf numFmtId="0" fontId="0" fillId="12" borderId="42" xfId="0" applyFill="1" applyBorder="1"/>
    <xf numFmtId="0" fontId="10" fillId="12" borderId="30" xfId="0" applyFont="1" applyFill="1" applyBorder="1"/>
    <xf numFmtId="0" fontId="10" fillId="12" borderId="70" xfId="0" applyFont="1" applyFill="1" applyBorder="1"/>
    <xf numFmtId="0" fontId="1" fillId="0" borderId="1" xfId="0" applyFont="1" applyBorder="1"/>
    <xf numFmtId="0" fontId="1" fillId="12" borderId="1" xfId="0" applyFont="1" applyFill="1" applyBorder="1"/>
    <xf numFmtId="0" fontId="0" fillId="12" borderId="20" xfId="0" applyFill="1" applyBorder="1"/>
    <xf numFmtId="0" fontId="10" fillId="12" borderId="23" xfId="0" applyFont="1" applyFill="1" applyBorder="1"/>
    <xf numFmtId="0" fontId="10" fillId="12" borderId="24" xfId="0" applyFont="1" applyFill="1" applyBorder="1"/>
    <xf numFmtId="0" fontId="0" fillId="12" borderId="82" xfId="0" applyFill="1" applyBorder="1"/>
    <xf numFmtId="0" fontId="10" fillId="12" borderId="25" xfId="0" applyFont="1" applyFill="1" applyBorder="1"/>
    <xf numFmtId="0" fontId="10" fillId="12" borderId="59" xfId="0" applyFont="1" applyFill="1" applyBorder="1"/>
    <xf numFmtId="0" fontId="0" fillId="0" borderId="76" xfId="0" applyBorder="1"/>
    <xf numFmtId="0" fontId="1" fillId="0" borderId="32" xfId="0" applyFont="1" applyBorder="1"/>
    <xf numFmtId="0" fontId="1" fillId="0" borderId="33" xfId="0" applyFont="1" applyBorder="1"/>
    <xf numFmtId="0" fontId="1" fillId="0" borderId="3" xfId="0" applyFont="1" applyBorder="1"/>
    <xf numFmtId="0" fontId="1" fillId="0" borderId="4" xfId="0" applyFont="1" applyBorder="1"/>
    <xf numFmtId="0" fontId="1" fillId="0" borderId="6" xfId="0" applyFont="1" applyBorder="1"/>
    <xf numFmtId="0" fontId="1" fillId="12" borderId="32" xfId="0" applyFont="1" applyFill="1" applyBorder="1"/>
    <xf numFmtId="0" fontId="1" fillId="12" borderId="33" xfId="0" applyFont="1" applyFill="1" applyBorder="1"/>
    <xf numFmtId="0" fontId="1" fillId="0" borderId="0" xfId="0" applyFont="1"/>
    <xf numFmtId="168" fontId="0" fillId="8" borderId="1" xfId="0" applyNumberFormat="1" applyFill="1" applyBorder="1"/>
    <xf numFmtId="168" fontId="0" fillId="0" borderId="1" xfId="0" applyNumberFormat="1" applyBorder="1"/>
    <xf numFmtId="169" fontId="3" fillId="0" borderId="1" xfId="0" applyNumberFormat="1" applyFont="1" applyBorder="1"/>
    <xf numFmtId="169" fontId="3" fillId="3" borderId="1" xfId="0" applyNumberFormat="1" applyFont="1" applyFill="1" applyBorder="1"/>
    <xf numFmtId="169" fontId="3" fillId="0" borderId="39" xfId="0" applyNumberFormat="1" applyFont="1" applyBorder="1"/>
    <xf numFmtId="169" fontId="3" fillId="3" borderId="39" xfId="0" applyNumberFormat="1" applyFont="1" applyFill="1" applyBorder="1"/>
    <xf numFmtId="0" fontId="0" fillId="3" borderId="3" xfId="0" applyFill="1" applyBorder="1"/>
    <xf numFmtId="0" fontId="0" fillId="3" borderId="4" xfId="0" applyFill="1" applyBorder="1"/>
    <xf numFmtId="0" fontId="0" fillId="3" borderId="6" xfId="0" applyFill="1" applyBorder="1"/>
    <xf numFmtId="169" fontId="3" fillId="0" borderId="69" xfId="0" applyNumberFormat="1" applyFont="1" applyBorder="1"/>
    <xf numFmtId="169" fontId="3" fillId="0" borderId="18" xfId="0" applyNumberFormat="1" applyFont="1" applyBorder="1"/>
    <xf numFmtId="0" fontId="0" fillId="13" borderId="23" xfId="0" applyFill="1" applyBorder="1"/>
    <xf numFmtId="0" fontId="0" fillId="13" borderId="24" xfId="0" applyFill="1" applyBorder="1"/>
    <xf numFmtId="0" fontId="0" fillId="13" borderId="25" xfId="0" applyFill="1" applyBorder="1"/>
    <xf numFmtId="0" fontId="3" fillId="13" borderId="83" xfId="0" applyFont="1" applyFill="1" applyBorder="1"/>
    <xf numFmtId="0" fontId="3" fillId="13" borderId="25" xfId="0" applyFont="1" applyFill="1" applyBorder="1"/>
    <xf numFmtId="14" fontId="15" fillId="0" borderId="59" xfId="0" applyNumberFormat="1" applyFont="1" applyBorder="1" applyAlignment="1" applyProtection="1">
      <alignment horizontal="center"/>
      <protection locked="0"/>
    </xf>
    <xf numFmtId="0" fontId="3" fillId="5" borderId="1" xfId="0" applyFont="1" applyFill="1" applyBorder="1"/>
    <xf numFmtId="0" fontId="3" fillId="8" borderId="3" xfId="0" applyFont="1" applyFill="1" applyBorder="1"/>
    <xf numFmtId="0" fontId="3" fillId="0" borderId="0" xfId="1" applyFont="1" applyFill="1" applyBorder="1" applyAlignment="1" applyProtection="1">
      <protection locked="0"/>
    </xf>
    <xf numFmtId="0" fontId="3" fillId="8" borderId="42" xfId="0" applyFont="1" applyFill="1" applyBorder="1" applyAlignment="1">
      <alignment horizontal="center"/>
    </xf>
    <xf numFmtId="0" fontId="19" fillId="2" borderId="84" xfId="0" applyFont="1" applyFill="1" applyBorder="1"/>
    <xf numFmtId="0" fontId="19" fillId="3" borderId="84" xfId="0" applyFont="1" applyFill="1" applyBorder="1"/>
    <xf numFmtId="0" fontId="3" fillId="9" borderId="32" xfId="0" applyFont="1" applyFill="1" applyBorder="1"/>
    <xf numFmtId="0" fontId="2" fillId="9" borderId="17" xfId="0" applyFont="1" applyFill="1" applyBorder="1"/>
    <xf numFmtId="0" fontId="2" fillId="9" borderId="19" xfId="0" applyFont="1" applyFill="1" applyBorder="1"/>
    <xf numFmtId="0" fontId="0" fillId="9" borderId="18" xfId="0" applyFill="1" applyBorder="1"/>
    <xf numFmtId="0" fontId="0" fillId="9" borderId="31" xfId="0" applyFill="1" applyBorder="1"/>
    <xf numFmtId="0" fontId="0" fillId="9" borderId="1" xfId="0" applyFill="1" applyBorder="1"/>
    <xf numFmtId="0" fontId="0" fillId="9" borderId="33" xfId="0" applyFill="1" applyBorder="1"/>
    <xf numFmtId="0" fontId="3" fillId="9" borderId="3" xfId="0" applyFont="1" applyFill="1" applyBorder="1"/>
    <xf numFmtId="165" fontId="3" fillId="0" borderId="33" xfId="0" applyNumberFormat="1" applyFont="1" applyBorder="1"/>
    <xf numFmtId="165" fontId="3" fillId="0" borderId="6" xfId="0" applyNumberFormat="1" applyFont="1" applyBorder="1"/>
    <xf numFmtId="0" fontId="3" fillId="9" borderId="30" xfId="0" applyFont="1" applyFill="1" applyBorder="1"/>
    <xf numFmtId="165" fontId="3" fillId="0" borderId="31" xfId="0" applyNumberFormat="1" applyFont="1" applyBorder="1"/>
    <xf numFmtId="165" fontId="3" fillId="0" borderId="77" xfId="0" applyNumberFormat="1" applyFont="1" applyBorder="1"/>
    <xf numFmtId="0" fontId="3" fillId="0" borderId="85" xfId="0" applyFont="1" applyBorder="1"/>
    <xf numFmtId="0" fontId="3" fillId="0" borderId="77" xfId="0" applyFont="1" applyBorder="1"/>
    <xf numFmtId="0" fontId="3" fillId="0" borderId="14" xfId="0" applyFont="1" applyBorder="1"/>
    <xf numFmtId="0" fontId="3" fillId="0" borderId="77" xfId="0" applyFont="1" applyBorder="1" applyProtection="1">
      <protection locked="0"/>
    </xf>
    <xf numFmtId="0" fontId="3" fillId="9" borderId="13" xfId="0" applyFont="1" applyFill="1" applyBorder="1"/>
    <xf numFmtId="0" fontId="3" fillId="9" borderId="15" xfId="0" applyFont="1" applyFill="1" applyBorder="1"/>
    <xf numFmtId="165" fontId="3" fillId="0" borderId="6" xfId="0" applyNumberFormat="1" applyFont="1" applyBorder="1" applyProtection="1">
      <protection locked="0"/>
    </xf>
    <xf numFmtId="165" fontId="3" fillId="0" borderId="44" xfId="0" applyNumberFormat="1" applyFont="1" applyBorder="1"/>
    <xf numFmtId="0" fontId="3" fillId="9" borderId="39" xfId="0" applyFont="1" applyFill="1" applyBorder="1"/>
    <xf numFmtId="0" fontId="3" fillId="9" borderId="43" xfId="0" applyFont="1" applyFill="1" applyBorder="1"/>
    <xf numFmtId="165" fontId="0" fillId="0" borderId="6" xfId="0" applyNumberFormat="1" applyBorder="1"/>
    <xf numFmtId="0" fontId="3" fillId="2" borderId="5" xfId="0" applyFont="1" applyFill="1" applyBorder="1"/>
    <xf numFmtId="0" fontId="3" fillId="8" borderId="60" xfId="0" applyFont="1" applyFill="1" applyBorder="1"/>
    <xf numFmtId="0" fontId="3" fillId="2" borderId="74" xfId="0" applyFont="1" applyFill="1" applyBorder="1"/>
    <xf numFmtId="0" fontId="12" fillId="9" borderId="32" xfId="0" applyFont="1" applyFill="1" applyBorder="1" applyAlignment="1">
      <alignment horizontal="center"/>
    </xf>
    <xf numFmtId="165" fontId="3" fillId="0" borderId="57" xfId="0" applyNumberFormat="1" applyFont="1" applyBorder="1"/>
    <xf numFmtId="165" fontId="3" fillId="0" borderId="13" xfId="0" applyNumberFormat="1" applyFont="1" applyBorder="1"/>
    <xf numFmtId="165" fontId="3" fillId="0" borderId="12" xfId="0" applyNumberFormat="1" applyFont="1" applyBorder="1"/>
    <xf numFmtId="165" fontId="3" fillId="3" borderId="57" xfId="0" applyNumberFormat="1" applyFont="1" applyFill="1" applyBorder="1"/>
    <xf numFmtId="165" fontId="3" fillId="3" borderId="13" xfId="0" applyNumberFormat="1" applyFont="1" applyFill="1" applyBorder="1"/>
    <xf numFmtId="165" fontId="3" fillId="3" borderId="12" xfId="0" applyNumberFormat="1" applyFont="1" applyFill="1" applyBorder="1"/>
    <xf numFmtId="0" fontId="12" fillId="9" borderId="12" xfId="0" applyFont="1" applyFill="1" applyBorder="1" applyAlignment="1">
      <alignment horizontal="center"/>
    </xf>
    <xf numFmtId="0" fontId="12" fillId="9" borderId="14" xfId="0" applyFont="1" applyFill="1" applyBorder="1" applyAlignment="1">
      <alignment horizontal="center"/>
    </xf>
    <xf numFmtId="0" fontId="12" fillId="9" borderId="1" xfId="0" applyFont="1" applyFill="1" applyBorder="1" applyAlignment="1">
      <alignment horizontal="center"/>
    </xf>
    <xf numFmtId="0" fontId="3" fillId="19" borderId="36" xfId="0" applyFont="1" applyFill="1" applyBorder="1"/>
    <xf numFmtId="0" fontId="3" fillId="9" borderId="36" xfId="0" applyFont="1" applyFill="1" applyBorder="1"/>
    <xf numFmtId="0" fontId="0" fillId="9" borderId="42" xfId="0" applyFill="1" applyBorder="1"/>
    <xf numFmtId="0" fontId="3" fillId="8" borderId="8" xfId="0" applyFont="1" applyFill="1" applyBorder="1"/>
    <xf numFmtId="0" fontId="0" fillId="8" borderId="49" xfId="0" applyFill="1" applyBorder="1"/>
    <xf numFmtId="0" fontId="0" fillId="8" borderId="9" xfId="0" applyFill="1" applyBorder="1"/>
    <xf numFmtId="0" fontId="3" fillId="8" borderId="7" xfId="0" applyFont="1" applyFill="1" applyBorder="1"/>
    <xf numFmtId="0" fontId="0" fillId="8" borderId="20" xfId="0" applyFill="1" applyBorder="1"/>
    <xf numFmtId="0" fontId="0" fillId="8" borderId="38" xfId="0" applyFill="1" applyBorder="1"/>
    <xf numFmtId="0" fontId="3" fillId="8" borderId="2" xfId="0" applyFont="1" applyFill="1" applyBorder="1" applyAlignment="1">
      <alignment horizontal="left"/>
    </xf>
    <xf numFmtId="0" fontId="3" fillId="8" borderId="42" xfId="0" applyFont="1" applyFill="1" applyBorder="1"/>
    <xf numFmtId="0" fontId="2" fillId="9" borderId="4" xfId="0" applyFont="1" applyFill="1" applyBorder="1"/>
    <xf numFmtId="0" fontId="3" fillId="8" borderId="23" xfId="0" applyFont="1" applyFill="1" applyBorder="1"/>
    <xf numFmtId="165" fontId="3" fillId="8" borderId="41" xfId="0" applyNumberFormat="1" applyFont="1" applyFill="1" applyBorder="1"/>
    <xf numFmtId="165" fontId="3" fillId="8" borderId="82" xfId="0" applyNumberFormat="1" applyFont="1" applyFill="1" applyBorder="1"/>
    <xf numFmtId="165" fontId="3" fillId="8" borderId="24" xfId="0" applyNumberFormat="1" applyFont="1" applyFill="1" applyBorder="1"/>
    <xf numFmtId="165" fontId="3" fillId="8" borderId="25" xfId="0" applyNumberFormat="1" applyFont="1" applyFill="1" applyBorder="1"/>
    <xf numFmtId="0" fontId="2" fillId="12" borderId="0" xfId="0" applyFont="1" applyFill="1"/>
    <xf numFmtId="0" fontId="0" fillId="11" borderId="0" xfId="0" applyFill="1"/>
    <xf numFmtId="0" fontId="3" fillId="13" borderId="1" xfId="0" applyFont="1" applyFill="1" applyBorder="1"/>
    <xf numFmtId="0" fontId="3" fillId="13" borderId="18" xfId="1" applyFont="1" applyFill="1" applyBorder="1" applyAlignment="1" applyProtection="1"/>
    <xf numFmtId="0" fontId="5" fillId="13" borderId="84" xfId="1" applyFill="1" applyBorder="1" applyAlignment="1" applyProtection="1"/>
    <xf numFmtId="0" fontId="3" fillId="5" borderId="1" xfId="1" applyFont="1" applyFill="1" applyBorder="1" applyAlignment="1" applyProtection="1"/>
    <xf numFmtId="0" fontId="0" fillId="6" borderId="0" xfId="0" applyFill="1" applyAlignment="1">
      <alignment horizontal="right"/>
    </xf>
    <xf numFmtId="0" fontId="3" fillId="8" borderId="22" xfId="0" applyFont="1" applyFill="1" applyBorder="1"/>
    <xf numFmtId="0" fontId="3" fillId="6" borderId="7" xfId="0" applyFont="1" applyFill="1" applyBorder="1"/>
    <xf numFmtId="0" fontId="0" fillId="6" borderId="20" xfId="0" applyFill="1" applyBorder="1" applyAlignment="1">
      <alignment horizontal="right"/>
    </xf>
    <xf numFmtId="14" fontId="0" fillId="0" borderId="31" xfId="0" applyNumberFormat="1" applyBorder="1"/>
    <xf numFmtId="2" fontId="0" fillId="0" borderId="1" xfId="0" applyNumberFormat="1" applyBorder="1" applyProtection="1">
      <protection locked="0"/>
    </xf>
    <xf numFmtId="2" fontId="0" fillId="3" borderId="32" xfId="0" applyNumberFormat="1" applyFill="1" applyBorder="1"/>
    <xf numFmtId="0" fontId="0" fillId="0" borderId="38" xfId="0" applyBorder="1"/>
    <xf numFmtId="0" fontId="0" fillId="2" borderId="32" xfId="0" applyFill="1" applyBorder="1"/>
    <xf numFmtId="164" fontId="3" fillId="0" borderId="3" xfId="0" applyNumberFormat="1" applyFont="1" applyBorder="1"/>
    <xf numFmtId="0" fontId="3" fillId="8" borderId="66" xfId="0" applyFont="1" applyFill="1" applyBorder="1" applyAlignment="1">
      <alignment horizontal="center"/>
    </xf>
    <xf numFmtId="0" fontId="0" fillId="8" borderId="76" xfId="0" applyFill="1" applyBorder="1"/>
    <xf numFmtId="0" fontId="0" fillId="8" borderId="56" xfId="0" applyFill="1" applyBorder="1"/>
    <xf numFmtId="0" fontId="0" fillId="10" borderId="32" xfId="0" applyFill="1" applyBorder="1"/>
    <xf numFmtId="0" fontId="0" fillId="13" borderId="32" xfId="0" applyFill="1" applyBorder="1"/>
    <xf numFmtId="0" fontId="0" fillId="13" borderId="1" xfId="0" applyFill="1" applyBorder="1"/>
    <xf numFmtId="0" fontId="0" fillId="5" borderId="3" xfId="0" applyFill="1" applyBorder="1"/>
    <xf numFmtId="0" fontId="0" fillId="13" borderId="33" xfId="0" applyFill="1" applyBorder="1"/>
    <xf numFmtId="0" fontId="0" fillId="10" borderId="33" xfId="0" applyFill="1" applyBorder="1"/>
    <xf numFmtId="0" fontId="3" fillId="0" borderId="33" xfId="0" applyFont="1" applyBorder="1"/>
    <xf numFmtId="0" fontId="0" fillId="5" borderId="4" xfId="0" applyFill="1" applyBorder="1"/>
    <xf numFmtId="0" fontId="0" fillId="5" borderId="6" xfId="0" applyFill="1" applyBorder="1"/>
    <xf numFmtId="0" fontId="0" fillId="5" borderId="0" xfId="0" applyFill="1"/>
    <xf numFmtId="0" fontId="0" fillId="5" borderId="79" xfId="0" applyFill="1" applyBorder="1"/>
    <xf numFmtId="0" fontId="21" fillId="12" borderId="33" xfId="0" applyFont="1" applyFill="1" applyBorder="1"/>
    <xf numFmtId="0" fontId="0" fillId="10" borderId="40" xfId="0" applyFill="1" applyBorder="1"/>
    <xf numFmtId="0" fontId="0" fillId="3" borderId="40" xfId="0" applyFill="1" applyBorder="1"/>
    <xf numFmtId="0" fontId="0" fillId="13" borderId="40" xfId="0" applyFill="1" applyBorder="1"/>
    <xf numFmtId="0" fontId="0" fillId="0" borderId="86" xfId="0" applyBorder="1"/>
    <xf numFmtId="0" fontId="3" fillId="0" borderId="0" xfId="0" applyFont="1" applyAlignment="1">
      <alignment horizontal="left" vertical="top" wrapText="1"/>
    </xf>
    <xf numFmtId="0" fontId="3" fillId="8" borderId="9" xfId="0" applyFont="1" applyFill="1" applyBorder="1" applyAlignment="1">
      <alignment horizontal="center" vertical="top" wrapText="1"/>
    </xf>
    <xf numFmtId="2" fontId="0" fillId="0" borderId="44" xfId="0" applyNumberFormat="1" applyBorder="1"/>
    <xf numFmtId="0" fontId="3" fillId="10" borderId="1" xfId="0" applyFont="1" applyFill="1" applyBorder="1"/>
    <xf numFmtId="14" fontId="0" fillId="0" borderId="0" xfId="0" applyNumberFormat="1"/>
    <xf numFmtId="2" fontId="0" fillId="6" borderId="0" xfId="0" applyNumberFormat="1" applyFill="1"/>
    <xf numFmtId="2" fontId="0" fillId="8" borderId="49" xfId="0" applyNumberFormat="1" applyFill="1" applyBorder="1"/>
    <xf numFmtId="0" fontId="3" fillId="8" borderId="49" xfId="0" applyFont="1" applyFill="1" applyBorder="1"/>
    <xf numFmtId="0" fontId="0" fillId="8" borderId="49" xfId="0" applyFill="1" applyBorder="1" applyAlignment="1">
      <alignment horizontal="right"/>
    </xf>
    <xf numFmtId="0" fontId="3" fillId="8" borderId="9" xfId="0" applyFont="1" applyFill="1" applyBorder="1"/>
    <xf numFmtId="0" fontId="3" fillId="6" borderId="37" xfId="0" applyFont="1" applyFill="1" applyBorder="1"/>
    <xf numFmtId="0" fontId="0" fillId="10" borderId="73" xfId="0" applyFill="1" applyBorder="1"/>
    <xf numFmtId="2" fontId="0" fillId="6" borderId="20" xfId="0" applyNumberFormat="1" applyFill="1" applyBorder="1"/>
    <xf numFmtId="0" fontId="3" fillId="6" borderId="20" xfId="0" applyFont="1" applyFill="1" applyBorder="1"/>
    <xf numFmtId="0" fontId="0" fillId="0" borderId="79" xfId="0" applyBorder="1"/>
    <xf numFmtId="0" fontId="22" fillId="2" borderId="69" xfId="0" applyFont="1" applyFill="1" applyBorder="1"/>
    <xf numFmtId="0" fontId="0" fillId="0" borderId="70" xfId="0" applyBorder="1" applyProtection="1">
      <protection locked="0"/>
    </xf>
    <xf numFmtId="0" fontId="3" fillId="8" borderId="20" xfId="0" applyFont="1" applyFill="1" applyBorder="1" applyAlignment="1">
      <alignment horizontal="center"/>
    </xf>
    <xf numFmtId="2" fontId="0" fillId="8" borderId="20" xfId="0" applyNumberFormat="1" applyFill="1" applyBorder="1"/>
    <xf numFmtId="0" fontId="3" fillId="8" borderId="20" xfId="0" applyFont="1" applyFill="1" applyBorder="1"/>
    <xf numFmtId="0" fontId="0" fillId="8" borderId="20" xfId="0" applyFill="1" applyBorder="1" applyAlignment="1">
      <alignment horizontal="right"/>
    </xf>
    <xf numFmtId="0" fontId="3" fillId="8" borderId="38" xfId="0" applyFont="1" applyFill="1" applyBorder="1"/>
    <xf numFmtId="0" fontId="3" fillId="0" borderId="5" xfId="0" applyFont="1" applyBorder="1" applyAlignment="1">
      <alignment horizontal="left" vertical="top" wrapText="1"/>
    </xf>
    <xf numFmtId="0" fontId="6" fillId="0" borderId="0" xfId="0" applyFont="1" applyAlignment="1">
      <alignment horizontal="left" vertical="top" wrapText="1"/>
    </xf>
    <xf numFmtId="0" fontId="3" fillId="6" borderId="37" xfId="0" applyFont="1" applyFill="1" applyBorder="1" applyAlignment="1">
      <alignment horizontal="left" vertical="top" wrapText="1"/>
    </xf>
    <xf numFmtId="0" fontId="3" fillId="10" borderId="32" xfId="0" applyFont="1" applyFill="1" applyBorder="1"/>
    <xf numFmtId="0" fontId="0" fillId="6" borderId="37" xfId="0" applyFill="1" applyBorder="1" applyAlignment="1">
      <alignment horizontal="right"/>
    </xf>
    <xf numFmtId="0" fontId="3" fillId="6" borderId="38" xfId="0" applyFont="1" applyFill="1" applyBorder="1" applyAlignment="1">
      <alignment horizontal="center"/>
    </xf>
    <xf numFmtId="0" fontId="23" fillId="0" borderId="0" xfId="0" applyFont="1" applyAlignment="1">
      <alignment horizontal="center"/>
    </xf>
    <xf numFmtId="0" fontId="0" fillId="8" borderId="73" xfId="0" applyFill="1" applyBorder="1"/>
    <xf numFmtId="0" fontId="0" fillId="3" borderId="22" xfId="0" applyFill="1" applyBorder="1"/>
    <xf numFmtId="0" fontId="23" fillId="0" borderId="5" xfId="0" applyFont="1" applyBorder="1" applyAlignment="1">
      <alignment horizontal="center"/>
    </xf>
    <xf numFmtId="0" fontId="23" fillId="6" borderId="37" xfId="0" applyFont="1" applyFill="1" applyBorder="1" applyAlignment="1">
      <alignment horizontal="center"/>
    </xf>
    <xf numFmtId="0" fontId="0" fillId="8" borderId="43" xfId="0" applyFill="1" applyBorder="1"/>
    <xf numFmtId="0" fontId="0" fillId="6" borderId="28" xfId="0" applyFill="1" applyBorder="1"/>
    <xf numFmtId="0" fontId="0" fillId="6" borderId="41" xfId="0" applyFill="1" applyBorder="1"/>
    <xf numFmtId="0" fontId="0" fillId="6" borderId="59" xfId="0" applyFill="1" applyBorder="1"/>
    <xf numFmtId="0" fontId="0" fillId="6" borderId="49" xfId="0" applyFill="1" applyBorder="1"/>
    <xf numFmtId="0" fontId="0" fillId="8" borderId="80" xfId="0" applyFill="1" applyBorder="1"/>
    <xf numFmtId="0" fontId="0" fillId="3" borderId="10" xfId="0" applyFill="1" applyBorder="1"/>
    <xf numFmtId="0" fontId="0" fillId="0" borderId="87" xfId="0" applyBorder="1" applyProtection="1">
      <protection locked="0"/>
    </xf>
    <xf numFmtId="0" fontId="0" fillId="8" borderId="87" xfId="0" applyFill="1" applyBorder="1"/>
    <xf numFmtId="0" fontId="0" fillId="6" borderId="22" xfId="0" applyFill="1" applyBorder="1"/>
    <xf numFmtId="0" fontId="0" fillId="3" borderId="5" xfId="0" applyFill="1" applyBorder="1"/>
    <xf numFmtId="0" fontId="0" fillId="6" borderId="10" xfId="0" applyFill="1" applyBorder="1"/>
    <xf numFmtId="2" fontId="0" fillId="6" borderId="37" xfId="0" applyNumberFormat="1" applyFill="1" applyBorder="1"/>
    <xf numFmtId="0" fontId="23" fillId="8" borderId="59" xfId="0" applyFont="1" applyFill="1" applyBorder="1" applyAlignment="1">
      <alignment horizontal="center"/>
    </xf>
    <xf numFmtId="0" fontId="3" fillId="20" borderId="2" xfId="0" applyFont="1" applyFill="1" applyBorder="1" applyAlignment="1">
      <alignment horizontal="center"/>
    </xf>
    <xf numFmtId="0" fontId="3" fillId="20" borderId="21" xfId="0" applyFont="1" applyFill="1" applyBorder="1" applyAlignment="1">
      <alignment horizontal="center"/>
    </xf>
    <xf numFmtId="0" fontId="3" fillId="20" borderId="42" xfId="0" applyFont="1" applyFill="1" applyBorder="1" applyAlignment="1">
      <alignment horizontal="center"/>
    </xf>
    <xf numFmtId="0" fontId="3" fillId="20" borderId="8" xfId="0" applyFont="1" applyFill="1" applyBorder="1" applyAlignment="1">
      <alignment horizontal="center"/>
    </xf>
    <xf numFmtId="0" fontId="3" fillId="20" borderId="49" xfId="0" applyFont="1" applyFill="1" applyBorder="1" applyAlignment="1">
      <alignment horizontal="center"/>
    </xf>
    <xf numFmtId="0" fontId="3" fillId="20" borderId="9" xfId="0" applyFont="1" applyFill="1" applyBorder="1" applyAlignment="1">
      <alignment horizontal="center"/>
    </xf>
    <xf numFmtId="0" fontId="3" fillId="2" borderId="33" xfId="0" applyFont="1" applyFill="1" applyBorder="1"/>
    <xf numFmtId="2" fontId="3" fillId="9" borderId="3" xfId="0" applyNumberFormat="1" applyFont="1" applyFill="1" applyBorder="1"/>
    <xf numFmtId="2" fontId="3" fillId="9" borderId="32" xfId="0" applyNumberFormat="1" applyFont="1" applyFill="1" applyBorder="1"/>
    <xf numFmtId="2" fontId="3" fillId="0" borderId="6" xfId="0" applyNumberFormat="1" applyFont="1" applyBorder="1"/>
    <xf numFmtId="0" fontId="3" fillId="2" borderId="33" xfId="0" applyFont="1" applyFill="1" applyBorder="1" applyProtection="1">
      <protection locked="0"/>
    </xf>
    <xf numFmtId="0" fontId="0" fillId="10" borderId="77" xfId="0" applyFill="1" applyBorder="1"/>
    <xf numFmtId="0" fontId="0" fillId="3" borderId="77" xfId="0" applyFill="1" applyBorder="1"/>
    <xf numFmtId="0" fontId="0" fillId="12" borderId="77" xfId="0" applyFill="1" applyBorder="1"/>
    <xf numFmtId="0" fontId="0" fillId="13" borderId="77" xfId="0" applyFill="1" applyBorder="1"/>
    <xf numFmtId="0" fontId="0" fillId="5" borderId="85" xfId="0" applyFill="1" applyBorder="1"/>
    <xf numFmtId="0" fontId="3" fillId="0" borderId="56" xfId="0" applyFont="1" applyBorder="1" applyAlignment="1">
      <alignment horizontal="center"/>
    </xf>
    <xf numFmtId="0" fontId="0" fillId="0" borderId="77" xfId="0" applyBorder="1"/>
    <xf numFmtId="0" fontId="20" fillId="0" borderId="12" xfId="0" applyFont="1" applyBorder="1"/>
    <xf numFmtId="0" fontId="20" fillId="0" borderId="14" xfId="0" applyFont="1" applyBorder="1"/>
    <xf numFmtId="0" fontId="0" fillId="0" borderId="88" xfId="0" applyBorder="1"/>
    <xf numFmtId="0" fontId="0" fillId="10" borderId="0" xfId="0" applyFill="1"/>
    <xf numFmtId="0" fontId="0" fillId="13" borderId="0" xfId="0" applyFill="1"/>
    <xf numFmtId="0" fontId="0" fillId="13" borderId="5" xfId="0" applyFill="1" applyBorder="1"/>
    <xf numFmtId="0" fontId="0" fillId="12" borderId="5" xfId="0" applyFill="1" applyBorder="1"/>
    <xf numFmtId="0" fontId="0" fillId="10" borderId="5" xfId="0" applyFill="1" applyBorder="1"/>
    <xf numFmtId="0" fontId="20" fillId="0" borderId="0" xfId="0" applyFont="1"/>
    <xf numFmtId="0" fontId="0" fillId="10" borderId="65" xfId="0" applyFill="1" applyBorder="1"/>
    <xf numFmtId="0" fontId="0" fillId="10" borderId="88" xfId="0" applyFill="1" applyBorder="1"/>
    <xf numFmtId="0" fontId="0" fillId="3" borderId="88" xfId="0" applyFill="1" applyBorder="1"/>
    <xf numFmtId="0" fontId="3" fillId="3" borderId="88" xfId="0" applyFont="1" applyFill="1" applyBorder="1" applyAlignment="1">
      <alignment horizontal="center"/>
    </xf>
    <xf numFmtId="0" fontId="0" fillId="3" borderId="65" xfId="0" applyFill="1" applyBorder="1"/>
    <xf numFmtId="0" fontId="5" fillId="12" borderId="0" xfId="1" applyFill="1" applyBorder="1" applyAlignment="1" applyProtection="1"/>
    <xf numFmtId="0" fontId="0" fillId="12" borderId="88" xfId="0" applyFill="1" applyBorder="1"/>
    <xf numFmtId="0" fontId="0" fillId="12" borderId="65" xfId="0" applyFill="1" applyBorder="1"/>
    <xf numFmtId="0" fontId="5" fillId="12" borderId="65" xfId="1" applyFill="1" applyBorder="1" applyAlignment="1" applyProtection="1"/>
    <xf numFmtId="0" fontId="21" fillId="13" borderId="0" xfId="0" applyFont="1" applyFill="1"/>
    <xf numFmtId="0" fontId="0" fillId="13" borderId="88" xfId="0" applyFill="1" applyBorder="1"/>
    <xf numFmtId="0" fontId="21" fillId="13" borderId="88" xfId="0" applyFont="1" applyFill="1" applyBorder="1"/>
    <xf numFmtId="0" fontId="0" fillId="13" borderId="65" xfId="0" applyFill="1" applyBorder="1"/>
    <xf numFmtId="0" fontId="21" fillId="13" borderId="65" xfId="0" applyFont="1" applyFill="1" applyBorder="1"/>
    <xf numFmtId="0" fontId="21" fillId="0" borderId="16" xfId="0" applyFont="1" applyBorder="1"/>
    <xf numFmtId="0" fontId="21" fillId="0" borderId="86" xfId="0" applyFont="1" applyBorder="1"/>
    <xf numFmtId="0" fontId="0" fillId="5" borderId="88" xfId="0" applyFill="1" applyBorder="1"/>
    <xf numFmtId="0" fontId="0" fillId="4" borderId="88" xfId="0" applyFill="1" applyBorder="1"/>
    <xf numFmtId="0" fontId="3" fillId="10" borderId="74" xfId="0" applyFont="1" applyFill="1" applyBorder="1"/>
    <xf numFmtId="0" fontId="0" fillId="10" borderId="75" xfId="0" applyFill="1" applyBorder="1"/>
    <xf numFmtId="0" fontId="0" fillId="10" borderId="37" xfId="0" applyFill="1" applyBorder="1"/>
    <xf numFmtId="0" fontId="0" fillId="10" borderId="67" xfId="0" applyFill="1" applyBorder="1"/>
    <xf numFmtId="0" fontId="0" fillId="10" borderId="89" xfId="0" applyFill="1" applyBorder="1"/>
    <xf numFmtId="0" fontId="3" fillId="3" borderId="74" xfId="0" applyFont="1" applyFill="1" applyBorder="1"/>
    <xf numFmtId="0" fontId="0" fillId="0" borderId="75" xfId="0" applyBorder="1"/>
    <xf numFmtId="0" fontId="0" fillId="3" borderId="67" xfId="0" applyFill="1" applyBorder="1"/>
    <xf numFmtId="0" fontId="0" fillId="0" borderId="89" xfId="0" applyBorder="1"/>
    <xf numFmtId="0" fontId="0" fillId="0" borderId="80" xfId="0" applyBorder="1"/>
    <xf numFmtId="0" fontId="3" fillId="12" borderId="74" xfId="0" applyFont="1" applyFill="1" applyBorder="1"/>
    <xf numFmtId="0" fontId="0" fillId="12" borderId="67" xfId="0" applyFill="1" applyBorder="1"/>
    <xf numFmtId="0" fontId="3" fillId="13" borderId="74" xfId="0" applyFont="1" applyFill="1" applyBorder="1"/>
    <xf numFmtId="0" fontId="0" fillId="13" borderId="67" xfId="0" applyFill="1" applyBorder="1"/>
    <xf numFmtId="0" fontId="3" fillId="5" borderId="74" xfId="0" applyFont="1" applyFill="1" applyBorder="1"/>
    <xf numFmtId="0" fontId="0" fillId="5" borderId="5" xfId="0" applyFill="1" applyBorder="1"/>
    <xf numFmtId="0" fontId="0" fillId="5" borderId="7" xfId="0" applyFill="1" applyBorder="1"/>
    <xf numFmtId="0" fontId="0" fillId="5" borderId="20" xfId="0" applyFill="1" applyBorder="1"/>
    <xf numFmtId="0" fontId="3" fillId="20" borderId="72" xfId="0" applyFont="1" applyFill="1" applyBorder="1" applyAlignment="1">
      <alignment horizontal="center"/>
    </xf>
    <xf numFmtId="0" fontId="0" fillId="10" borderId="13" xfId="0" applyFill="1" applyBorder="1"/>
    <xf numFmtId="0" fontId="0" fillId="3" borderId="13" xfId="0" applyFill="1" applyBorder="1"/>
    <xf numFmtId="0" fontId="0" fillId="12" borderId="13" xfId="0" applyFill="1" applyBorder="1"/>
    <xf numFmtId="0" fontId="0" fillId="13" borderId="13" xfId="0" applyFill="1" applyBorder="1"/>
    <xf numFmtId="0" fontId="0" fillId="5" borderId="15" xfId="0" applyFill="1" applyBorder="1"/>
    <xf numFmtId="0" fontId="3" fillId="12" borderId="11" xfId="0" applyFont="1" applyFill="1" applyBorder="1"/>
    <xf numFmtId="0" fontId="3" fillId="12" borderId="2" xfId="0" applyFont="1" applyFill="1" applyBorder="1" applyAlignment="1">
      <alignment horizontal="left"/>
    </xf>
    <xf numFmtId="0" fontId="0" fillId="12" borderId="9" xfId="0" applyFill="1" applyBorder="1"/>
    <xf numFmtId="0" fontId="20" fillId="0" borderId="0" xfId="0" applyFont="1" applyProtection="1">
      <protection locked="0"/>
    </xf>
    <xf numFmtId="0" fontId="3" fillId="8" borderId="8" xfId="0" applyFont="1" applyFill="1" applyBorder="1" applyAlignment="1">
      <alignment horizontal="left" vertical="top"/>
    </xf>
    <xf numFmtId="0" fontId="20" fillId="0" borderId="0" xfId="0" applyFont="1" applyAlignment="1">
      <alignment horizontal="center"/>
    </xf>
    <xf numFmtId="2" fontId="0" fillId="0" borderId="0" xfId="0" applyNumberFormat="1" applyProtection="1">
      <protection locked="0"/>
    </xf>
    <xf numFmtId="0" fontId="3" fillId="10" borderId="0" xfId="0" applyFont="1" applyFill="1"/>
    <xf numFmtId="0" fontId="3" fillId="10" borderId="0" xfId="0" applyFont="1" applyFill="1" applyAlignment="1">
      <alignment horizontal="left"/>
    </xf>
    <xf numFmtId="0" fontId="0" fillId="10" borderId="0" xfId="0" applyFill="1" applyProtection="1">
      <protection locked="0"/>
    </xf>
    <xf numFmtId="2" fontId="0" fillId="10" borderId="0" xfId="0" applyNumberFormat="1" applyFill="1"/>
    <xf numFmtId="2" fontId="0" fillId="3" borderId="0" xfId="0" applyNumberFormat="1" applyFill="1"/>
    <xf numFmtId="0" fontId="0" fillId="3" borderId="0" xfId="0" applyFill="1" applyProtection="1">
      <protection locked="0"/>
    </xf>
    <xf numFmtId="0" fontId="0" fillId="3" borderId="0" xfId="0" applyFill="1" applyAlignment="1">
      <alignment horizontal="center"/>
    </xf>
    <xf numFmtId="0" fontId="0" fillId="16" borderId="1" xfId="0" applyFill="1" applyBorder="1"/>
    <xf numFmtId="0" fontId="24" fillId="0" borderId="0" xfId="0" applyFont="1"/>
    <xf numFmtId="0" fontId="6" fillId="0" borderId="0" xfId="0" applyFont="1"/>
    <xf numFmtId="0" fontId="20" fillId="0" borderId="0" xfId="0" applyFont="1" applyAlignment="1">
      <alignment wrapText="1"/>
    </xf>
    <xf numFmtId="0" fontId="20" fillId="0" borderId="0" xfId="0" applyFont="1" applyAlignment="1">
      <alignment horizontal="left"/>
    </xf>
    <xf numFmtId="2" fontId="20" fillId="0" borderId="0" xfId="0" applyNumberFormat="1" applyFont="1"/>
    <xf numFmtId="2" fontId="20" fillId="0" borderId="0" xfId="0" applyNumberFormat="1" applyFont="1" applyProtection="1">
      <protection locked="0"/>
    </xf>
    <xf numFmtId="49" fontId="0" fillId="5" borderId="1" xfId="0" applyNumberFormat="1" applyFill="1" applyBorder="1" applyProtection="1">
      <protection locked="0"/>
    </xf>
    <xf numFmtId="2" fontId="0" fillId="5" borderId="1" xfId="0" applyNumberFormat="1" applyFill="1" applyBorder="1" applyProtection="1">
      <protection locked="0"/>
    </xf>
    <xf numFmtId="166" fontId="0" fillId="0" borderId="1" xfId="0" applyNumberFormat="1" applyBorder="1" applyProtection="1">
      <protection locked="0"/>
    </xf>
    <xf numFmtId="0" fontId="0" fillId="6" borderId="20" xfId="0" applyFill="1" applyBorder="1" applyProtection="1">
      <protection locked="0"/>
    </xf>
    <xf numFmtId="0" fontId="3" fillId="7" borderId="0" xfId="0" applyFont="1" applyFill="1"/>
    <xf numFmtId="0" fontId="23" fillId="8" borderId="41" xfId="0" applyFont="1" applyFill="1" applyBorder="1" applyAlignment="1">
      <alignment horizontal="center"/>
    </xf>
    <xf numFmtId="0" fontId="0" fillId="0" borderId="48" xfId="0" applyBorder="1"/>
    <xf numFmtId="0" fontId="3" fillId="13" borderId="1" xfId="0" applyFont="1" applyFill="1" applyBorder="1" applyAlignment="1">
      <alignment horizontal="center"/>
    </xf>
    <xf numFmtId="0" fontId="5" fillId="10" borderId="0" xfId="1" applyFill="1" applyAlignment="1" applyProtection="1"/>
    <xf numFmtId="0" fontId="2" fillId="2" borderId="19" xfId="0" applyFont="1" applyFill="1" applyBorder="1"/>
    <xf numFmtId="13" fontId="0" fillId="0" borderId="2" xfId="0" applyNumberFormat="1" applyBorder="1" applyAlignment="1">
      <alignment horizontal="center"/>
    </xf>
    <xf numFmtId="13" fontId="0" fillId="3" borderId="32" xfId="0" applyNumberFormat="1" applyFill="1" applyBorder="1" applyAlignment="1">
      <alignment horizontal="center"/>
    </xf>
    <xf numFmtId="13" fontId="0" fillId="0" borderId="32" xfId="0" applyNumberFormat="1" applyBorder="1" applyAlignment="1">
      <alignment horizontal="center"/>
    </xf>
    <xf numFmtId="0" fontId="0" fillId="6" borderId="33" xfId="0" applyFill="1" applyBorder="1" applyAlignment="1">
      <alignment horizontal="right"/>
    </xf>
    <xf numFmtId="13" fontId="0" fillId="6" borderId="5" xfId="0" applyNumberFormat="1" applyFill="1" applyBorder="1" applyAlignment="1">
      <alignment horizontal="center"/>
    </xf>
    <xf numFmtId="0" fontId="0" fillId="6" borderId="0" xfId="0" applyFill="1" applyAlignment="1">
      <alignment horizontal="center"/>
    </xf>
    <xf numFmtId="13" fontId="0" fillId="0" borderId="30" xfId="0" applyNumberFormat="1" applyBorder="1" applyAlignment="1">
      <alignment horizontal="center"/>
    </xf>
    <xf numFmtId="13" fontId="0" fillId="3" borderId="5" xfId="0" applyNumberFormat="1" applyFill="1" applyBorder="1"/>
    <xf numFmtId="0" fontId="16" fillId="0" borderId="0" xfId="0" applyFont="1"/>
    <xf numFmtId="168" fontId="0" fillId="0" borderId="0" xfId="0" applyNumberFormat="1"/>
    <xf numFmtId="166" fontId="0" fillId="0" borderId="33" xfId="0" applyNumberFormat="1" applyBorder="1"/>
    <xf numFmtId="12" fontId="0" fillId="0" borderId="1" xfId="0" applyNumberFormat="1" applyBorder="1" applyAlignment="1">
      <alignment horizontal="center"/>
    </xf>
    <xf numFmtId="165" fontId="0" fillId="0" borderId="31" xfId="0" applyNumberFormat="1" applyBorder="1"/>
    <xf numFmtId="165" fontId="0" fillId="3" borderId="31" xfId="0" applyNumberFormat="1" applyFill="1" applyBorder="1"/>
    <xf numFmtId="13" fontId="13" fillId="0" borderId="0" xfId="0" applyNumberFormat="1" applyFont="1" applyAlignment="1">
      <alignment horizontal="left"/>
    </xf>
    <xf numFmtId="167" fontId="13" fillId="0" borderId="0" xfId="0" applyNumberFormat="1" applyFont="1"/>
    <xf numFmtId="0" fontId="13" fillId="0" borderId="0" xfId="0" applyFont="1"/>
    <xf numFmtId="0" fontId="0" fillId="12" borderId="26" xfId="0" applyFill="1" applyBorder="1"/>
    <xf numFmtId="0" fontId="0" fillId="12" borderId="86" xfId="0" applyFill="1" applyBorder="1"/>
    <xf numFmtId="0" fontId="0" fillId="12" borderId="17" xfId="0" applyFill="1" applyBorder="1"/>
    <xf numFmtId="0" fontId="0" fillId="12" borderId="90" xfId="0" applyFill="1" applyBorder="1"/>
    <xf numFmtId="0" fontId="0" fillId="12" borderId="62" xfId="0" applyFill="1" applyBorder="1"/>
    <xf numFmtId="0" fontId="0" fillId="12" borderId="29" xfId="0" applyFill="1" applyBorder="1"/>
    <xf numFmtId="0" fontId="0" fillId="12" borderId="34" xfId="0" applyFill="1" applyBorder="1"/>
    <xf numFmtId="0" fontId="0" fillId="12" borderId="35" xfId="0" applyFill="1" applyBorder="1"/>
    <xf numFmtId="0" fontId="0" fillId="12" borderId="83" xfId="0" applyFill="1" applyBorder="1"/>
    <xf numFmtId="0" fontId="0" fillId="12" borderId="19" xfId="0" applyFill="1" applyBorder="1"/>
    <xf numFmtId="0" fontId="0" fillId="12" borderId="2" xfId="0" applyFill="1" applyBorder="1"/>
    <xf numFmtId="0" fontId="7" fillId="13" borderId="2" xfId="0" applyFont="1" applyFill="1" applyBorder="1"/>
    <xf numFmtId="0" fontId="7" fillId="0" borderId="32" xfId="0" applyFont="1" applyBorder="1"/>
    <xf numFmtId="0" fontId="7" fillId="0" borderId="33" xfId="0" applyFont="1" applyBorder="1"/>
    <xf numFmtId="0" fontId="7" fillId="13" borderId="32" xfId="0" applyFont="1" applyFill="1" applyBorder="1"/>
    <xf numFmtId="0" fontId="7" fillId="13" borderId="33" xfId="0" applyFont="1" applyFill="1" applyBorder="1"/>
    <xf numFmtId="0" fontId="7" fillId="0" borderId="3" xfId="0" applyFont="1" applyBorder="1"/>
    <xf numFmtId="0" fontId="7" fillId="0" borderId="6" xfId="0" applyFont="1" applyBorder="1"/>
    <xf numFmtId="0" fontId="26" fillId="0" borderId="0" xfId="0" applyFont="1"/>
    <xf numFmtId="0" fontId="26" fillId="0" borderId="0" xfId="0" applyFont="1" applyAlignment="1">
      <alignment horizontal="left"/>
    </xf>
    <xf numFmtId="0" fontId="11" fillId="0" borderId="0" xfId="0" applyFont="1"/>
    <xf numFmtId="0" fontId="0" fillId="14" borderId="0" xfId="0" applyFill="1"/>
    <xf numFmtId="0" fontId="3" fillId="14" borderId="0" xfId="0" applyFont="1" applyFill="1"/>
    <xf numFmtId="0" fontId="3" fillId="0" borderId="0" xfId="0" applyFont="1" applyAlignment="1">
      <alignment vertical="center"/>
    </xf>
    <xf numFmtId="0" fontId="16" fillId="4" borderId="0" xfId="0" applyFont="1" applyFill="1" applyProtection="1">
      <protection locked="0" hidden="1"/>
    </xf>
    <xf numFmtId="0" fontId="28" fillId="4" borderId="0" xfId="0" applyFont="1" applyFill="1" applyProtection="1">
      <protection locked="0" hidden="1"/>
    </xf>
    <xf numFmtId="0" fontId="3" fillId="0" borderId="28" xfId="0" applyFont="1" applyBorder="1"/>
    <xf numFmtId="0" fontId="3" fillId="0" borderId="41" xfId="0" applyFont="1" applyBorder="1"/>
    <xf numFmtId="0" fontId="0" fillId="0" borderId="59" xfId="0" applyBorder="1"/>
    <xf numFmtId="0" fontId="5" fillId="4" borderId="0" xfId="1" applyFill="1" applyAlignment="1" applyProtection="1"/>
    <xf numFmtId="0" fontId="5" fillId="0" borderId="0" xfId="1" applyFill="1" applyAlignment="1" applyProtection="1"/>
    <xf numFmtId="0" fontId="0" fillId="4" borderId="18" xfId="0" applyFill="1" applyBorder="1"/>
    <xf numFmtId="0" fontId="0" fillId="2" borderId="84" xfId="0" applyFill="1" applyBorder="1"/>
    <xf numFmtId="0" fontId="0" fillId="4" borderId="84" xfId="0" applyFill="1" applyBorder="1"/>
    <xf numFmtId="0" fontId="0" fillId="2" borderId="0" xfId="0" applyFill="1"/>
    <xf numFmtId="0" fontId="3" fillId="12" borderId="1" xfId="0" applyFont="1" applyFill="1" applyBorder="1" applyAlignment="1">
      <alignment horizontal="center"/>
    </xf>
    <xf numFmtId="0" fontId="29" fillId="0" borderId="0" xfId="0" applyFont="1"/>
    <xf numFmtId="0" fontId="0" fillId="0" borderId="49" xfId="0" applyBorder="1"/>
    <xf numFmtId="0" fontId="0" fillId="4" borderId="37" xfId="0" applyFill="1" applyBorder="1"/>
    <xf numFmtId="0" fontId="0" fillId="4" borderId="0" xfId="0" applyFill="1" applyProtection="1">
      <protection locked="0"/>
    </xf>
    <xf numFmtId="0" fontId="0" fillId="4" borderId="49" xfId="0" applyFill="1" applyBorder="1"/>
    <xf numFmtId="0" fontId="0" fillId="4" borderId="5" xfId="0" applyFill="1" applyBorder="1"/>
    <xf numFmtId="0" fontId="3" fillId="8" borderId="66" xfId="0" applyFont="1" applyFill="1" applyBorder="1"/>
    <xf numFmtId="10" fontId="0" fillId="6" borderId="0" xfId="0" applyNumberFormat="1" applyFill="1"/>
    <xf numFmtId="10" fontId="3" fillId="6" borderId="0" xfId="0" applyNumberFormat="1" applyFont="1" applyFill="1"/>
    <xf numFmtId="0" fontId="3" fillId="6" borderId="49" xfId="0" applyFont="1" applyFill="1" applyBorder="1"/>
    <xf numFmtId="0" fontId="14" fillId="6" borderId="0" xfId="0" applyFont="1" applyFill="1"/>
    <xf numFmtId="2" fontId="0" fillId="6" borderId="0" xfId="0" applyNumberFormat="1" applyFill="1" applyProtection="1">
      <protection locked="0"/>
    </xf>
    <xf numFmtId="168" fontId="3" fillId="6" borderId="0" xfId="0" applyNumberFormat="1" applyFont="1" applyFill="1"/>
    <xf numFmtId="2" fontId="3" fillId="6" borderId="0" xfId="0" applyNumberFormat="1" applyFont="1" applyFill="1"/>
    <xf numFmtId="0" fontId="14" fillId="6" borderId="49" xfId="0" applyFont="1" applyFill="1" applyBorder="1"/>
    <xf numFmtId="0" fontId="0" fillId="4" borderId="20" xfId="0" applyFill="1" applyBorder="1"/>
    <xf numFmtId="0" fontId="0" fillId="4" borderId="9" xfId="0" applyFill="1" applyBorder="1"/>
    <xf numFmtId="0" fontId="0" fillId="4" borderId="38" xfId="0" applyFill="1" applyBorder="1"/>
    <xf numFmtId="0" fontId="0" fillId="4" borderId="0" xfId="0" applyFill="1" applyAlignment="1">
      <alignment horizontal="left"/>
    </xf>
    <xf numFmtId="0" fontId="0" fillId="4" borderId="37" xfId="0" applyFill="1" applyBorder="1" applyAlignment="1">
      <alignment horizontal="left"/>
    </xf>
    <xf numFmtId="2" fontId="3" fillId="4" borderId="0" xfId="0" applyNumberFormat="1" applyFont="1" applyFill="1" applyAlignment="1">
      <alignment horizontal="right"/>
    </xf>
    <xf numFmtId="0" fontId="3" fillId="9" borderId="12" xfId="0" applyFont="1" applyFill="1" applyBorder="1"/>
    <xf numFmtId="0" fontId="3" fillId="9" borderId="77" xfId="0" applyFont="1" applyFill="1" applyBorder="1"/>
    <xf numFmtId="0" fontId="3" fillId="9" borderId="14" xfId="0" applyFont="1" applyFill="1" applyBorder="1"/>
    <xf numFmtId="0" fontId="3" fillId="9" borderId="85" xfId="0" applyFont="1" applyFill="1" applyBorder="1"/>
    <xf numFmtId="2" fontId="0" fillId="0" borderId="13" xfId="0" applyNumberFormat="1" applyBorder="1"/>
    <xf numFmtId="0" fontId="0" fillId="2" borderId="28" xfId="0" applyFill="1" applyBorder="1"/>
    <xf numFmtId="0" fontId="0" fillId="2" borderId="41" xfId="0" applyFill="1" applyBorder="1"/>
    <xf numFmtId="0" fontId="3" fillId="4" borderId="49" xfId="0" applyFont="1" applyFill="1" applyBorder="1" applyAlignment="1">
      <alignment horizontal="center"/>
    </xf>
    <xf numFmtId="165" fontId="0" fillId="4" borderId="33" xfId="0" applyNumberFormat="1" applyFill="1" applyBorder="1"/>
    <xf numFmtId="0" fontId="7" fillId="13" borderId="42" xfId="0" applyFont="1" applyFill="1" applyBorder="1" applyAlignment="1">
      <alignment horizontal="center"/>
    </xf>
    <xf numFmtId="0" fontId="7" fillId="13" borderId="1" xfId="0" applyFont="1" applyFill="1" applyBorder="1" applyAlignment="1">
      <alignment horizontal="center"/>
    </xf>
    <xf numFmtId="0" fontId="7" fillId="13" borderId="1" xfId="0" applyFont="1" applyFill="1" applyBorder="1"/>
    <xf numFmtId="0" fontId="0" fillId="3" borderId="8" xfId="0" applyFill="1" applyBorder="1"/>
    <xf numFmtId="2" fontId="0" fillId="0" borderId="4" xfId="0" applyNumberFormat="1" applyBorder="1"/>
    <xf numFmtId="0" fontId="0" fillId="7" borderId="0" xfId="0" applyFill="1"/>
    <xf numFmtId="0" fontId="0" fillId="7" borderId="37" xfId="0" applyFill="1" applyBorder="1"/>
    <xf numFmtId="0" fontId="0" fillId="7" borderId="49" xfId="0" applyFill="1" applyBorder="1"/>
    <xf numFmtId="0" fontId="0" fillId="7" borderId="9" xfId="0" applyFill="1" applyBorder="1"/>
    <xf numFmtId="0" fontId="0" fillId="7" borderId="20" xfId="0" applyFill="1" applyBorder="1"/>
    <xf numFmtId="0" fontId="0" fillId="7" borderId="38" xfId="0" applyFill="1" applyBorder="1"/>
    <xf numFmtId="165" fontId="0" fillId="0" borderId="18" xfId="0" applyNumberFormat="1" applyBorder="1" applyProtection="1">
      <protection locked="0"/>
    </xf>
    <xf numFmtId="165" fontId="0" fillId="3" borderId="16" xfId="0" applyNumberFormat="1" applyFill="1" applyBorder="1" applyProtection="1">
      <protection locked="0"/>
    </xf>
    <xf numFmtId="165" fontId="0" fillId="0" borderId="1" xfId="0" applyNumberFormat="1" applyBorder="1" applyProtection="1">
      <protection locked="0"/>
    </xf>
    <xf numFmtId="165" fontId="0" fillId="3" borderId="1" xfId="0" applyNumberFormat="1" applyFill="1" applyBorder="1" applyProtection="1">
      <protection locked="0"/>
    </xf>
    <xf numFmtId="165" fontId="0" fillId="7" borderId="1" xfId="0" applyNumberFormat="1" applyFill="1" applyBorder="1" applyProtection="1">
      <protection locked="0"/>
    </xf>
    <xf numFmtId="0" fontId="0" fillId="0" borderId="44" xfId="0" applyBorder="1" applyProtection="1">
      <protection locked="0"/>
    </xf>
    <xf numFmtId="0" fontId="0" fillId="4" borderId="44" xfId="0" applyFill="1" applyBorder="1" applyProtection="1">
      <protection locked="0"/>
    </xf>
    <xf numFmtId="0" fontId="3" fillId="10" borderId="65" xfId="0" applyFont="1" applyFill="1" applyBorder="1" applyAlignment="1">
      <alignment horizontal="left"/>
    </xf>
    <xf numFmtId="0" fontId="5" fillId="10" borderId="0" xfId="1" applyFill="1" applyBorder="1" applyAlignment="1" applyProtection="1">
      <alignment horizontal="left"/>
    </xf>
    <xf numFmtId="0" fontId="1" fillId="14" borderId="32" xfId="0" applyFont="1" applyFill="1" applyBorder="1"/>
    <xf numFmtId="0" fontId="1" fillId="9" borderId="18" xfId="0" applyFont="1" applyFill="1" applyBorder="1"/>
    <xf numFmtId="0" fontId="1" fillId="3" borderId="5" xfId="0" applyFont="1" applyFill="1" applyBorder="1"/>
    <xf numFmtId="0" fontId="1" fillId="14" borderId="3" xfId="0" applyFont="1" applyFill="1" applyBorder="1"/>
    <xf numFmtId="0" fontId="1" fillId="14" borderId="30" xfId="0" applyFont="1" applyFill="1" applyBorder="1"/>
    <xf numFmtId="0" fontId="0" fillId="14" borderId="1" xfId="0" applyFill="1" applyBorder="1"/>
    <xf numFmtId="0" fontId="0" fillId="14" borderId="33" xfId="0" applyFill="1" applyBorder="1"/>
    <xf numFmtId="0" fontId="3" fillId="8" borderId="32" xfId="0" applyFont="1" applyFill="1" applyBorder="1" applyAlignment="1">
      <alignment horizontal="center"/>
    </xf>
    <xf numFmtId="0" fontId="3" fillId="5" borderId="1" xfId="0" applyFont="1" applyFill="1" applyBorder="1" applyAlignment="1">
      <alignment horizontal="center"/>
    </xf>
    <xf numFmtId="0" fontId="3" fillId="5" borderId="33" xfId="0" applyFont="1" applyFill="1" applyBorder="1" applyAlignment="1">
      <alignment horizontal="center"/>
    </xf>
    <xf numFmtId="0" fontId="3" fillId="8" borderId="32" xfId="0" applyFont="1" applyFill="1" applyBorder="1" applyAlignment="1">
      <alignment horizontal="left"/>
    </xf>
    <xf numFmtId="0" fontId="3" fillId="3" borderId="32" xfId="0" applyFont="1" applyFill="1" applyBorder="1" applyAlignment="1">
      <alignment horizontal="left"/>
    </xf>
    <xf numFmtId="0" fontId="1" fillId="0" borderId="1" xfId="0" applyFont="1" applyBorder="1" applyAlignment="1">
      <alignment horizontal="left"/>
    </xf>
    <xf numFmtId="0" fontId="1" fillId="0" borderId="33" xfId="0" applyFont="1" applyBorder="1" applyAlignment="1">
      <alignment horizontal="left"/>
    </xf>
    <xf numFmtId="0" fontId="1" fillId="3" borderId="1" xfId="0" applyFont="1" applyFill="1" applyBorder="1" applyAlignment="1">
      <alignment horizontal="left"/>
    </xf>
    <xf numFmtId="0" fontId="1" fillId="3" borderId="33" xfId="0" applyFont="1" applyFill="1" applyBorder="1" applyAlignment="1">
      <alignment horizontal="left"/>
    </xf>
    <xf numFmtId="0" fontId="1" fillId="3" borderId="4" xfId="0" applyFont="1" applyFill="1" applyBorder="1" applyAlignment="1">
      <alignment horizontal="left"/>
    </xf>
    <xf numFmtId="0" fontId="1" fillId="3" borderId="6" xfId="0" applyFont="1" applyFill="1" applyBorder="1" applyAlignment="1">
      <alignment horizontal="left"/>
    </xf>
    <xf numFmtId="0" fontId="7" fillId="3" borderId="1" xfId="0" quotePrefix="1" applyFont="1" applyFill="1" applyBorder="1"/>
    <xf numFmtId="0" fontId="7" fillId="0" borderId="1" xfId="0" quotePrefix="1" applyFont="1" applyBorder="1"/>
    <xf numFmtId="0" fontId="7" fillId="0" borderId="1" xfId="0" applyFont="1" applyBorder="1" applyAlignment="1">
      <alignment horizontal="left"/>
    </xf>
    <xf numFmtId="0" fontId="7" fillId="3" borderId="1" xfId="0" applyFont="1" applyFill="1" applyBorder="1" applyAlignment="1">
      <alignment horizontal="left"/>
    </xf>
    <xf numFmtId="0" fontId="7" fillId="3" borderId="32" xfId="0" applyFont="1" applyFill="1" applyBorder="1"/>
    <xf numFmtId="0" fontId="7" fillId="3" borderId="33" xfId="0" applyFont="1" applyFill="1" applyBorder="1"/>
    <xf numFmtId="0" fontId="7" fillId="3" borderId="3" xfId="0" applyFont="1" applyFill="1" applyBorder="1"/>
    <xf numFmtId="0" fontId="7" fillId="3" borderId="4" xfId="0" applyFont="1" applyFill="1" applyBorder="1"/>
    <xf numFmtId="0" fontId="7" fillId="3" borderId="6" xfId="0" applyFont="1" applyFill="1" applyBorder="1"/>
    <xf numFmtId="0" fontId="7" fillId="0" borderId="30" xfId="0" applyFont="1" applyBorder="1"/>
    <xf numFmtId="0" fontId="7" fillId="0" borderId="18" xfId="0" applyFont="1" applyBorder="1"/>
    <xf numFmtId="17" fontId="7" fillId="0" borderId="18" xfId="0" quotePrefix="1" applyNumberFormat="1" applyFont="1" applyBorder="1"/>
    <xf numFmtId="0" fontId="7" fillId="0" borderId="31" xfId="0" applyFont="1" applyBorder="1"/>
    <xf numFmtId="0" fontId="23" fillId="0" borderId="23" xfId="0" applyFont="1" applyBorder="1" applyAlignment="1">
      <alignment horizontal="center"/>
    </xf>
    <xf numFmtId="0" fontId="23" fillId="0" borderId="24" xfId="0" applyFont="1" applyBorder="1" applyAlignment="1">
      <alignment horizontal="center"/>
    </xf>
    <xf numFmtId="0" fontId="23" fillId="0" borderId="25" xfId="0" applyFont="1" applyBorder="1"/>
    <xf numFmtId="166" fontId="0" fillId="0" borderId="13" xfId="0" applyNumberFormat="1" applyBorder="1"/>
    <xf numFmtId="166" fontId="3" fillId="0" borderId="15" xfId="0" applyNumberFormat="1" applyFont="1" applyBorder="1"/>
    <xf numFmtId="166" fontId="3" fillId="0" borderId="13" xfId="0" applyNumberFormat="1" applyFont="1" applyBorder="1"/>
    <xf numFmtId="0" fontId="0" fillId="3" borderId="16" xfId="0" applyFill="1" applyBorder="1"/>
    <xf numFmtId="165" fontId="0" fillId="3" borderId="16" xfId="0" applyNumberFormat="1" applyFill="1" applyBorder="1"/>
    <xf numFmtId="0" fontId="1" fillId="0" borderId="42" xfId="0" applyFont="1" applyBorder="1" applyAlignment="1" applyProtection="1">
      <alignment horizontal="right"/>
      <protection locked="0"/>
    </xf>
    <xf numFmtId="14" fontId="15" fillId="0" borderId="59" xfId="0" quotePrefix="1" applyNumberFormat="1" applyFont="1" applyBorder="1" applyAlignment="1" applyProtection="1">
      <alignment horizontal="center"/>
      <protection locked="0"/>
    </xf>
    <xf numFmtId="0" fontId="1" fillId="0" borderId="1" xfId="0" applyFont="1" applyBorder="1" applyProtection="1">
      <protection locked="0"/>
    </xf>
    <xf numFmtId="0" fontId="1" fillId="0" borderId="33" xfId="0" applyFont="1" applyBorder="1" applyProtection="1">
      <protection locked="0"/>
    </xf>
    <xf numFmtId="165" fontId="0" fillId="0" borderId="16" xfId="0" applyNumberFormat="1" applyBorder="1"/>
    <xf numFmtId="0" fontId="1" fillId="13" borderId="5" xfId="0" applyFont="1" applyFill="1" applyBorder="1"/>
    <xf numFmtId="0" fontId="0" fillId="5" borderId="13" xfId="0" applyFill="1" applyBorder="1" applyAlignment="1">
      <alignment horizontal="left"/>
    </xf>
    <xf numFmtId="0" fontId="0" fillId="24" borderId="15" xfId="0" applyFill="1" applyBorder="1"/>
    <xf numFmtId="0" fontId="3" fillId="12" borderId="26" xfId="0" applyFont="1" applyFill="1" applyBorder="1"/>
    <xf numFmtId="0" fontId="3" fillId="12" borderId="35" xfId="0" applyFont="1" applyFill="1" applyBorder="1"/>
    <xf numFmtId="0" fontId="3" fillId="12" borderId="34" xfId="0" applyFont="1" applyFill="1" applyBorder="1"/>
    <xf numFmtId="0" fontId="1" fillId="0" borderId="42" xfId="0" applyFont="1" applyBorder="1"/>
    <xf numFmtId="0" fontId="0" fillId="25" borderId="0" xfId="0" applyFill="1"/>
    <xf numFmtId="0" fontId="3" fillId="26" borderId="1" xfId="0" applyFont="1" applyFill="1" applyBorder="1" applyAlignment="1">
      <alignment horizontal="center"/>
    </xf>
    <xf numFmtId="0" fontId="3" fillId="26" borderId="5" xfId="0" applyFont="1" applyFill="1" applyBorder="1" applyAlignment="1">
      <alignment horizontal="center"/>
    </xf>
    <xf numFmtId="0" fontId="0" fillId="27" borderId="18" xfId="0" applyFill="1" applyBorder="1"/>
    <xf numFmtId="0" fontId="1" fillId="28" borderId="1" xfId="0" applyFont="1" applyFill="1" applyBorder="1"/>
    <xf numFmtId="0" fontId="1" fillId="29" borderId="1" xfId="0" applyFont="1" applyFill="1" applyBorder="1"/>
    <xf numFmtId="0" fontId="1" fillId="32" borderId="0" xfId="0" applyFont="1" applyFill="1"/>
    <xf numFmtId="0" fontId="0" fillId="32" borderId="0" xfId="0" applyFill="1"/>
    <xf numFmtId="0" fontId="1" fillId="10" borderId="1" xfId="0" applyFont="1" applyFill="1" applyBorder="1"/>
    <xf numFmtId="0" fontId="0" fillId="32" borderId="13" xfId="0" applyFill="1" applyBorder="1"/>
    <xf numFmtId="0" fontId="30" fillId="32" borderId="0" xfId="0" applyFont="1" applyFill="1"/>
    <xf numFmtId="0" fontId="1" fillId="25" borderId="0" xfId="0" applyFont="1" applyFill="1"/>
    <xf numFmtId="0" fontId="0" fillId="33" borderId="0" xfId="0" applyFill="1"/>
    <xf numFmtId="0" fontId="0" fillId="33" borderId="32" xfId="0" applyFill="1" applyBorder="1"/>
    <xf numFmtId="0" fontId="0" fillId="33" borderId="33" xfId="0" applyFill="1" applyBorder="1"/>
    <xf numFmtId="0" fontId="10" fillId="33" borderId="32" xfId="0" applyFont="1" applyFill="1" applyBorder="1"/>
    <xf numFmtId="0" fontId="10" fillId="26" borderId="30" xfId="0" applyFont="1" applyFill="1" applyBorder="1"/>
    <xf numFmtId="0" fontId="10" fillId="26" borderId="31" xfId="0" applyFont="1" applyFill="1" applyBorder="1"/>
    <xf numFmtId="0" fontId="10" fillId="26" borderId="32" xfId="0" applyFont="1" applyFill="1" applyBorder="1"/>
    <xf numFmtId="0" fontId="10" fillId="26" borderId="33" xfId="0" applyFont="1" applyFill="1" applyBorder="1"/>
    <xf numFmtId="0" fontId="0" fillId="26" borderId="32" xfId="0" applyFill="1" applyBorder="1"/>
    <xf numFmtId="0" fontId="0" fillId="26" borderId="33" xfId="0" applyFill="1" applyBorder="1"/>
    <xf numFmtId="0" fontId="0" fillId="33" borderId="1" xfId="0" applyFill="1" applyBorder="1"/>
    <xf numFmtId="0" fontId="0" fillId="33" borderId="23" xfId="0" applyFill="1" applyBorder="1"/>
    <xf numFmtId="0" fontId="0" fillId="33" borderId="24" xfId="0" applyFill="1" applyBorder="1"/>
    <xf numFmtId="0" fontId="0" fillId="33" borderId="24" xfId="0" applyFill="1" applyBorder="1" applyAlignment="1">
      <alignment wrapText="1"/>
    </xf>
    <xf numFmtId="0" fontId="0" fillId="33" borderId="28" xfId="0" applyFill="1" applyBorder="1"/>
    <xf numFmtId="0" fontId="0" fillId="33" borderId="41" xfId="0" applyFill="1" applyBorder="1"/>
    <xf numFmtId="0" fontId="3" fillId="34" borderId="11" xfId="0" applyFont="1" applyFill="1" applyBorder="1"/>
    <xf numFmtId="0" fontId="3" fillId="34" borderId="32" xfId="0" applyFont="1" applyFill="1" applyBorder="1"/>
    <xf numFmtId="0" fontId="3" fillId="35" borderId="3" xfId="0" applyFont="1" applyFill="1" applyBorder="1"/>
    <xf numFmtId="0" fontId="31" fillId="0" borderId="0" xfId="0" applyFont="1"/>
    <xf numFmtId="0" fontId="3" fillId="0" borderId="0" xfId="0" quotePrefix="1" applyFont="1" applyAlignment="1">
      <alignment horizontal="center"/>
    </xf>
    <xf numFmtId="0" fontId="3" fillId="27" borderId="37" xfId="0" applyFont="1" applyFill="1" applyBorder="1"/>
    <xf numFmtId="0" fontId="0" fillId="25" borderId="1" xfId="0" applyFill="1" applyBorder="1"/>
    <xf numFmtId="0" fontId="1" fillId="33" borderId="1" xfId="0" applyFont="1" applyFill="1" applyBorder="1"/>
    <xf numFmtId="0" fontId="1" fillId="27" borderId="1" xfId="0" applyFont="1" applyFill="1" applyBorder="1"/>
    <xf numFmtId="0" fontId="1" fillId="25" borderId="1" xfId="0" applyFont="1" applyFill="1" applyBorder="1"/>
    <xf numFmtId="0" fontId="32" fillId="0" borderId="0" xfId="0" applyFont="1" applyAlignment="1">
      <alignment horizontal="center"/>
    </xf>
    <xf numFmtId="0" fontId="32" fillId="0" borderId="0" xfId="0" applyFont="1"/>
    <xf numFmtId="0" fontId="32" fillId="36" borderId="70" xfId="0" applyFont="1" applyFill="1" applyBorder="1" applyAlignment="1">
      <alignment horizontal="center"/>
    </xf>
    <xf numFmtId="0" fontId="3" fillId="0" borderId="4" xfId="0" applyFont="1" applyBorder="1" applyAlignment="1">
      <alignment horizontal="center"/>
    </xf>
    <xf numFmtId="0" fontId="15" fillId="36" borderId="4" xfId="0" applyFont="1" applyFill="1" applyBorder="1" applyAlignment="1">
      <alignment horizontal="center"/>
    </xf>
    <xf numFmtId="0" fontId="17" fillId="33" borderId="0" xfId="1" applyFont="1" applyFill="1" applyBorder="1" applyAlignment="1" applyProtection="1">
      <alignment horizontal="center"/>
      <protection locked="0"/>
    </xf>
    <xf numFmtId="0" fontId="17" fillId="33" borderId="37" xfId="1" applyFont="1" applyFill="1" applyBorder="1" applyAlignment="1" applyProtection="1">
      <alignment horizontal="center"/>
      <protection locked="0"/>
    </xf>
    <xf numFmtId="0" fontId="33" fillId="0" borderId="0" xfId="0" applyFont="1" applyAlignment="1">
      <alignment horizontal="right"/>
    </xf>
    <xf numFmtId="172" fontId="32" fillId="36" borderId="70" xfId="0" applyNumberFormat="1" applyFont="1" applyFill="1" applyBorder="1" applyAlignment="1">
      <alignment horizontal="center"/>
    </xf>
    <xf numFmtId="0" fontId="34" fillId="0" borderId="0" xfId="0" applyFont="1"/>
    <xf numFmtId="0" fontId="2" fillId="0" borderId="0" xfId="0" applyFont="1" applyAlignment="1">
      <alignment horizontal="left"/>
    </xf>
    <xf numFmtId="0" fontId="2" fillId="0" borderId="0" xfId="0" applyFont="1" applyAlignment="1">
      <alignment horizontal="right"/>
    </xf>
    <xf numFmtId="171" fontId="35" fillId="0" borderId="20" xfId="0" applyNumberFormat="1" applyFont="1" applyBorder="1" applyAlignment="1" applyProtection="1">
      <alignment horizontal="center"/>
      <protection locked="0"/>
    </xf>
    <xf numFmtId="0" fontId="0" fillId="0" borderId="40" xfId="0" applyBorder="1" applyAlignment="1">
      <alignment horizontal="center"/>
    </xf>
    <xf numFmtId="0" fontId="36" fillId="0" borderId="79" xfId="0" applyFont="1" applyBorder="1" applyAlignment="1">
      <alignment horizontal="center"/>
    </xf>
    <xf numFmtId="0" fontId="3" fillId="33" borderId="5" xfId="1" applyFont="1" applyFill="1" applyBorder="1" applyAlignment="1" applyProtection="1">
      <alignment horizontal="left"/>
      <protection locked="0"/>
    </xf>
    <xf numFmtId="0" fontId="32" fillId="0" borderId="1" xfId="0" applyFont="1" applyBorder="1" applyProtection="1">
      <protection locked="0"/>
    </xf>
    <xf numFmtId="0" fontId="9" fillId="36" borderId="20" xfId="0" applyFont="1" applyFill="1" applyBorder="1" applyAlignment="1" applyProtection="1">
      <alignment horizontal="center"/>
      <protection locked="0"/>
    </xf>
    <xf numFmtId="174" fontId="32" fillId="0" borderId="20" xfId="0" applyNumberFormat="1" applyFont="1" applyBorder="1" applyAlignment="1" applyProtection="1">
      <alignment horizontal="center"/>
      <protection locked="0"/>
    </xf>
    <xf numFmtId="173" fontId="32" fillId="0" borderId="20" xfId="0" applyNumberFormat="1" applyFont="1" applyBorder="1" applyAlignment="1" applyProtection="1">
      <alignment horizontal="center"/>
      <protection locked="0"/>
    </xf>
    <xf numFmtId="0" fontId="37" fillId="0" borderId="20" xfId="0" applyFont="1" applyBorder="1" applyProtection="1">
      <protection locked="0"/>
    </xf>
    <xf numFmtId="0" fontId="23" fillId="0" borderId="0" xfId="0" applyFont="1"/>
    <xf numFmtId="171" fontId="32" fillId="0" borderId="0" xfId="0" applyNumberFormat="1" applyFont="1"/>
    <xf numFmtId="0" fontId="2" fillId="0" borderId="0" xfId="0" applyFont="1"/>
    <xf numFmtId="0" fontId="3" fillId="13" borderId="66" xfId="0" applyFont="1" applyFill="1" applyBorder="1" applyAlignment="1">
      <alignment horizontal="left"/>
    </xf>
    <xf numFmtId="0" fontId="3" fillId="6" borderId="19" xfId="0" applyFont="1" applyFill="1" applyBorder="1"/>
    <xf numFmtId="0" fontId="15" fillId="30" borderId="11" xfId="0" applyFont="1" applyFill="1" applyBorder="1" applyAlignment="1">
      <alignment horizontal="left" wrapText="1"/>
    </xf>
    <xf numFmtId="0" fontId="3" fillId="13" borderId="15" xfId="0" applyFont="1" applyFill="1" applyBorder="1"/>
    <xf numFmtId="0" fontId="3" fillId="13" borderId="17" xfId="0" applyFont="1" applyFill="1" applyBorder="1"/>
    <xf numFmtId="0" fontId="1" fillId="37" borderId="0" xfId="0" applyFont="1" applyFill="1"/>
    <xf numFmtId="0" fontId="15" fillId="37" borderId="1" xfId="0" applyFont="1" applyFill="1" applyBorder="1" applyAlignment="1">
      <alignment horizontal="center" wrapText="1"/>
    </xf>
    <xf numFmtId="0" fontId="15" fillId="37" borderId="0" xfId="0" applyFont="1" applyFill="1" applyAlignment="1">
      <alignment horizontal="center"/>
    </xf>
    <xf numFmtId="0" fontId="15" fillId="37" borderId="0" xfId="0" applyFont="1" applyFill="1" applyAlignment="1">
      <alignment horizontal="center" wrapText="1"/>
    </xf>
    <xf numFmtId="175" fontId="32" fillId="36" borderId="70" xfId="0" applyNumberFormat="1" applyFont="1" applyFill="1" applyBorder="1" applyAlignment="1">
      <alignment horizontal="center"/>
    </xf>
    <xf numFmtId="0" fontId="32" fillId="0" borderId="0" xfId="0" applyFont="1" applyProtection="1">
      <protection locked="0"/>
    </xf>
    <xf numFmtId="0" fontId="15" fillId="36" borderId="23" xfId="0" applyFont="1" applyFill="1" applyBorder="1" applyAlignment="1">
      <alignment horizontal="center"/>
    </xf>
    <xf numFmtId="0" fontId="15" fillId="36" borderId="24" xfId="0" applyFont="1" applyFill="1" applyBorder="1" applyAlignment="1">
      <alignment horizontal="center"/>
    </xf>
    <xf numFmtId="0" fontId="15" fillId="36" borderId="25" xfId="0" applyFont="1" applyFill="1" applyBorder="1" applyAlignment="1">
      <alignment horizontal="center"/>
    </xf>
    <xf numFmtId="172" fontId="32" fillId="36" borderId="67" xfId="0" applyNumberFormat="1" applyFont="1" applyFill="1" applyBorder="1" applyAlignment="1">
      <alignment horizontal="center"/>
    </xf>
    <xf numFmtId="0" fontId="0" fillId="0" borderId="4" xfId="0" applyBorder="1" applyAlignment="1">
      <alignment horizontal="center"/>
    </xf>
    <xf numFmtId="0" fontId="3" fillId="33" borderId="0" xfId="1" applyFont="1" applyFill="1" applyBorder="1" applyAlignment="1" applyProtection="1">
      <alignment horizontal="left"/>
      <protection locked="0"/>
    </xf>
    <xf numFmtId="0" fontId="15" fillId="37" borderId="21" xfId="0" applyFont="1" applyFill="1" applyBorder="1" applyAlignment="1">
      <alignment horizontal="center" wrapText="1"/>
    </xf>
    <xf numFmtId="0" fontId="1" fillId="37" borderId="20" xfId="0" applyFont="1" applyFill="1" applyBorder="1"/>
    <xf numFmtId="0" fontId="3" fillId="33" borderId="0" xfId="1" applyFont="1" applyFill="1" applyBorder="1" applyAlignment="1" applyProtection="1">
      <alignment horizontal="left" vertical="center"/>
      <protection locked="0"/>
    </xf>
    <xf numFmtId="0" fontId="3" fillId="2" borderId="0" xfId="0" applyFont="1" applyFill="1" applyAlignment="1">
      <alignment vertical="center"/>
    </xf>
    <xf numFmtId="172" fontId="32" fillId="36" borderId="66" xfId="0" applyNumberFormat="1" applyFont="1" applyFill="1" applyBorder="1" applyAlignment="1" applyProtection="1">
      <alignment horizontal="center"/>
      <protection locked="0"/>
    </xf>
    <xf numFmtId="172" fontId="32" fillId="36" borderId="19" xfId="0" applyNumberFormat="1" applyFont="1" applyFill="1" applyBorder="1" applyAlignment="1" applyProtection="1">
      <alignment horizontal="center"/>
      <protection locked="0"/>
    </xf>
    <xf numFmtId="172" fontId="32" fillId="36" borderId="31" xfId="0" applyNumberFormat="1" applyFont="1" applyFill="1" applyBorder="1" applyAlignment="1" applyProtection="1">
      <alignment horizontal="center"/>
      <protection locked="0"/>
    </xf>
    <xf numFmtId="0" fontId="0" fillId="0" borderId="33" xfId="0" applyBorder="1" applyAlignment="1" applyProtection="1">
      <alignment horizontal="center"/>
      <protection locked="0"/>
    </xf>
    <xf numFmtId="0" fontId="0" fillId="0" borderId="6" xfId="0" applyBorder="1" applyAlignment="1" applyProtection="1">
      <alignment horizontal="center"/>
      <protection locked="0"/>
    </xf>
    <xf numFmtId="0" fontId="38" fillId="6" borderId="0" xfId="0" applyFont="1" applyFill="1"/>
    <xf numFmtId="169" fontId="0" fillId="0" borderId="1" xfId="0" applyNumberFormat="1" applyBorder="1"/>
    <xf numFmtId="165" fontId="0" fillId="0" borderId="27" xfId="0" applyNumberFormat="1" applyBorder="1"/>
    <xf numFmtId="0" fontId="1" fillId="0" borderId="31" xfId="0" applyFont="1" applyBorder="1" applyProtection="1">
      <protection locked="0"/>
    </xf>
    <xf numFmtId="0" fontId="0" fillId="37" borderId="0" xfId="0" applyFill="1"/>
    <xf numFmtId="170" fontId="0" fillId="37" borderId="0" xfId="0" applyNumberFormat="1" applyFill="1"/>
    <xf numFmtId="165" fontId="3" fillId="37" borderId="0" xfId="0" applyNumberFormat="1" applyFont="1" applyFill="1"/>
    <xf numFmtId="0" fontId="0" fillId="25" borderId="44" xfId="0" applyFill="1" applyBorder="1" applyProtection="1">
      <protection locked="0"/>
    </xf>
    <xf numFmtId="0" fontId="3" fillId="25" borderId="1" xfId="0" applyFont="1" applyFill="1" applyBorder="1"/>
    <xf numFmtId="0" fontId="3" fillId="8" borderId="43" xfId="0" applyFont="1" applyFill="1" applyBorder="1"/>
    <xf numFmtId="0" fontId="3" fillId="8" borderId="84" xfId="0" applyFont="1" applyFill="1" applyBorder="1"/>
    <xf numFmtId="0" fontId="3" fillId="8" borderId="91" xfId="0" applyFont="1" applyFill="1" applyBorder="1"/>
    <xf numFmtId="0" fontId="0" fillId="0" borderId="92" xfId="0" applyBorder="1" applyProtection="1">
      <protection locked="0"/>
    </xf>
    <xf numFmtId="0" fontId="15" fillId="33" borderId="0" xfId="0" applyFont="1" applyFill="1" applyAlignment="1">
      <alignment horizontal="center"/>
    </xf>
    <xf numFmtId="0" fontId="39" fillId="0" borderId="0" xfId="0" applyFont="1"/>
    <xf numFmtId="0" fontId="3" fillId="8" borderId="10" xfId="0" applyFont="1" applyFill="1" applyBorder="1" applyAlignment="1">
      <alignment horizontal="center"/>
    </xf>
    <xf numFmtId="0" fontId="3" fillId="8" borderId="56" xfId="0" applyFont="1" applyFill="1" applyBorder="1" applyAlignment="1">
      <alignment horizontal="center"/>
    </xf>
    <xf numFmtId="0" fontId="1" fillId="2" borderId="7" xfId="0" applyFont="1" applyFill="1" applyBorder="1" applyAlignment="1">
      <alignment horizontal="left"/>
    </xf>
    <xf numFmtId="0" fontId="1" fillId="2" borderId="13" xfId="0" applyFont="1" applyFill="1" applyBorder="1"/>
    <xf numFmtId="165" fontId="0" fillId="0" borderId="84" xfId="0" applyNumberFormat="1" applyBorder="1"/>
    <xf numFmtId="169" fontId="0" fillId="0" borderId="0" xfId="0" applyNumberFormat="1"/>
    <xf numFmtId="165" fontId="0" fillId="38" borderId="40" xfId="0" applyNumberFormat="1" applyFill="1" applyBorder="1"/>
    <xf numFmtId="0" fontId="0" fillId="38" borderId="0" xfId="0" applyFill="1"/>
    <xf numFmtId="165" fontId="0" fillId="6" borderId="18" xfId="0" applyNumberFormat="1" applyFill="1" applyBorder="1" applyAlignment="1">
      <alignment horizontal="right"/>
    </xf>
    <xf numFmtId="165" fontId="0" fillId="6" borderId="1" xfId="0" applyNumberFormat="1" applyFill="1" applyBorder="1" applyAlignment="1">
      <alignment horizontal="right"/>
    </xf>
    <xf numFmtId="165" fontId="0" fillId="6" borderId="33" xfId="0" applyNumberFormat="1" applyFill="1" applyBorder="1" applyAlignment="1">
      <alignment horizontal="right"/>
    </xf>
    <xf numFmtId="165" fontId="0" fillId="6" borderId="1" xfId="0" applyNumberFormat="1" applyFill="1" applyBorder="1"/>
    <xf numFmtId="0" fontId="1" fillId="0" borderId="0" xfId="0" applyFont="1" applyAlignment="1">
      <alignment horizontal="center"/>
    </xf>
    <xf numFmtId="13" fontId="1" fillId="0" borderId="5" xfId="0" applyNumberFormat="1" applyFont="1" applyBorder="1" applyAlignment="1">
      <alignment horizontal="left"/>
    </xf>
    <xf numFmtId="0" fontId="1" fillId="0" borderId="5" xfId="0" applyFont="1" applyBorder="1"/>
    <xf numFmtId="0" fontId="1" fillId="0" borderId="7" xfId="0" applyFont="1" applyBorder="1"/>
    <xf numFmtId="0" fontId="1" fillId="4" borderId="40" xfId="0" applyFont="1" applyFill="1" applyBorder="1"/>
    <xf numFmtId="0" fontId="1" fillId="4" borderId="2" xfId="0" applyFont="1" applyFill="1" applyBorder="1"/>
    <xf numFmtId="0" fontId="1" fillId="4" borderId="21" xfId="0" applyFont="1" applyFill="1" applyBorder="1"/>
    <xf numFmtId="0" fontId="1" fillId="2" borderId="21" xfId="0" applyFont="1" applyFill="1" applyBorder="1"/>
    <xf numFmtId="0" fontId="1" fillId="14" borderId="42" xfId="0" applyFont="1" applyFill="1" applyBorder="1"/>
    <xf numFmtId="0" fontId="1" fillId="14" borderId="76" xfId="0" applyFont="1" applyFill="1" applyBorder="1"/>
    <xf numFmtId="49" fontId="1" fillId="0" borderId="1" xfId="0" quotePrefix="1" applyNumberFormat="1" applyFont="1" applyBorder="1" applyAlignment="1">
      <alignment horizontal="center"/>
    </xf>
    <xf numFmtId="49" fontId="1" fillId="0" borderId="1" xfId="0" applyNumberFormat="1" applyFont="1" applyBorder="1" applyAlignment="1">
      <alignment horizontal="center"/>
    </xf>
    <xf numFmtId="0" fontId="1" fillId="0" borderId="40" xfId="0" applyFont="1" applyBorder="1" applyAlignment="1">
      <alignment horizontal="right"/>
    </xf>
    <xf numFmtId="12" fontId="20" fillId="0" borderId="0" xfId="0" applyNumberFormat="1" applyFont="1" applyAlignment="1">
      <alignment horizontal="center"/>
    </xf>
    <xf numFmtId="0" fontId="1" fillId="2" borderId="32" xfId="0" applyFont="1" applyFill="1" applyBorder="1"/>
    <xf numFmtId="0" fontId="1" fillId="3" borderId="13" xfId="0" applyFont="1" applyFill="1" applyBorder="1"/>
    <xf numFmtId="0" fontId="1" fillId="0" borderId="32" xfId="0" applyFont="1" applyBorder="1" applyProtection="1">
      <protection locked="0"/>
    </xf>
    <xf numFmtId="0" fontId="1" fillId="3" borderId="33" xfId="0" applyFont="1" applyFill="1" applyBorder="1"/>
    <xf numFmtId="0" fontId="1" fillId="8" borderId="8" xfId="0" applyFont="1" applyFill="1" applyBorder="1" applyAlignment="1">
      <alignment horizontal="center"/>
    </xf>
    <xf numFmtId="0" fontId="1" fillId="8" borderId="49" xfId="0" applyFont="1" applyFill="1" applyBorder="1" applyAlignment="1">
      <alignment horizontal="center"/>
    </xf>
    <xf numFmtId="0" fontId="1" fillId="8" borderId="9" xfId="0" applyFont="1" applyFill="1" applyBorder="1" applyAlignment="1">
      <alignment horizontal="center"/>
    </xf>
    <xf numFmtId="0" fontId="1" fillId="2" borderId="5" xfId="0" applyFont="1" applyFill="1" applyBorder="1"/>
    <xf numFmtId="0" fontId="1" fillId="2" borderId="2" xfId="0" applyFont="1" applyFill="1" applyBorder="1"/>
    <xf numFmtId="0" fontId="1" fillId="3" borderId="42" xfId="0" applyFont="1" applyFill="1" applyBorder="1"/>
    <xf numFmtId="0" fontId="1" fillId="3" borderId="21" xfId="0" applyFont="1" applyFill="1" applyBorder="1"/>
    <xf numFmtId="0" fontId="1" fillId="3" borderId="32" xfId="0" applyFont="1" applyFill="1" applyBorder="1"/>
    <xf numFmtId="0" fontId="1" fillId="3" borderId="3" xfId="0" applyFont="1" applyFill="1" applyBorder="1"/>
    <xf numFmtId="0" fontId="1" fillId="3" borderId="6" xfId="0" applyFont="1" applyFill="1" applyBorder="1"/>
    <xf numFmtId="0" fontId="1" fillId="3" borderId="18" xfId="0" applyFont="1" applyFill="1" applyBorder="1"/>
    <xf numFmtId="0" fontId="1" fillId="3" borderId="31" xfId="0" applyFont="1" applyFill="1" applyBorder="1"/>
    <xf numFmtId="0" fontId="1" fillId="3" borderId="13" xfId="0" applyFont="1" applyFill="1" applyBorder="1" applyAlignment="1">
      <alignment horizontal="right"/>
    </xf>
    <xf numFmtId="0" fontId="1" fillId="8" borderId="8" xfId="0" applyFont="1" applyFill="1" applyBorder="1"/>
    <xf numFmtId="0" fontId="1" fillId="8" borderId="9" xfId="0" applyFont="1" applyFill="1" applyBorder="1"/>
    <xf numFmtId="0" fontId="1" fillId="0" borderId="3" xfId="0" applyFont="1" applyBorder="1" applyProtection="1">
      <protection locked="0"/>
    </xf>
    <xf numFmtId="0" fontId="1" fillId="0" borderId="38" xfId="0" applyFont="1" applyBorder="1"/>
    <xf numFmtId="0" fontId="1" fillId="2" borderId="10" xfId="0" applyFont="1" applyFill="1" applyBorder="1"/>
    <xf numFmtId="0" fontId="1" fillId="3" borderId="11" xfId="0" applyFont="1" applyFill="1" applyBorder="1"/>
    <xf numFmtId="0" fontId="1" fillId="0" borderId="14" xfId="0" applyFont="1" applyBorder="1" applyProtection="1">
      <protection locked="0"/>
    </xf>
    <xf numFmtId="164" fontId="1" fillId="0" borderId="15" xfId="0" applyNumberFormat="1" applyFont="1" applyBorder="1"/>
    <xf numFmtId="165" fontId="1" fillId="0" borderId="6" xfId="0" applyNumberFormat="1" applyFont="1" applyBorder="1"/>
    <xf numFmtId="0" fontId="1" fillId="0" borderId="30" xfId="0" applyFont="1" applyBorder="1"/>
    <xf numFmtId="0" fontId="1" fillId="0" borderId="0" xfId="0" applyFont="1" applyAlignment="1">
      <alignment horizontal="right"/>
    </xf>
    <xf numFmtId="0" fontId="1" fillId="0" borderId="66" xfId="0" applyFont="1" applyBorder="1"/>
    <xf numFmtId="0" fontId="1" fillId="0" borderId="13" xfId="0" applyFont="1" applyBorder="1"/>
    <xf numFmtId="0" fontId="1" fillId="6" borderId="0" xfId="0" applyFont="1" applyFill="1" applyAlignment="1">
      <alignment horizontal="right"/>
    </xf>
    <xf numFmtId="0" fontId="1" fillId="37" borderId="0" xfId="0" applyFont="1" applyFill="1" applyAlignment="1">
      <alignment horizontal="right"/>
    </xf>
    <xf numFmtId="0" fontId="1" fillId="0" borderId="69" xfId="0" applyFont="1" applyBorder="1"/>
    <xf numFmtId="0" fontId="1" fillId="0" borderId="39" xfId="0" applyFont="1" applyBorder="1"/>
    <xf numFmtId="0" fontId="1" fillId="3" borderId="0" xfId="0" applyFont="1" applyFill="1"/>
    <xf numFmtId="165" fontId="1" fillId="3" borderId="18" xfId="0" applyNumberFormat="1" applyFont="1" applyFill="1" applyBorder="1"/>
    <xf numFmtId="165" fontId="1" fillId="0" borderId="1" xfId="0" applyNumberFormat="1" applyFont="1" applyBorder="1"/>
    <xf numFmtId="0" fontId="1" fillId="3" borderId="1" xfId="0" applyFont="1" applyFill="1" applyBorder="1"/>
    <xf numFmtId="165" fontId="1" fillId="3" borderId="1" xfId="0" applyNumberFormat="1" applyFont="1" applyFill="1" applyBorder="1"/>
    <xf numFmtId="166" fontId="3" fillId="0" borderId="57" xfId="0" applyNumberFormat="1" applyFont="1" applyBorder="1"/>
    <xf numFmtId="166" fontId="3" fillId="0" borderId="12" xfId="0" applyNumberFormat="1" applyFont="1" applyBorder="1"/>
    <xf numFmtId="166" fontId="3" fillId="3" borderId="57" xfId="0" applyNumberFormat="1" applyFont="1" applyFill="1" applyBorder="1"/>
    <xf numFmtId="166" fontId="3" fillId="3" borderId="13" xfId="0" applyNumberFormat="1" applyFont="1" applyFill="1" applyBorder="1"/>
    <xf numFmtId="166" fontId="3" fillId="3" borderId="12" xfId="0" applyNumberFormat="1" applyFont="1" applyFill="1" applyBorder="1"/>
    <xf numFmtId="165" fontId="1" fillId="0" borderId="57" xfId="0" applyNumberFormat="1" applyFont="1" applyBorder="1"/>
    <xf numFmtId="165" fontId="1" fillId="0" borderId="13" xfId="0" applyNumberFormat="1" applyFont="1" applyBorder="1"/>
    <xf numFmtId="165" fontId="1" fillId="3" borderId="57" xfId="0" applyNumberFormat="1" applyFont="1" applyFill="1" applyBorder="1"/>
    <xf numFmtId="165" fontId="1" fillId="3" borderId="13" xfId="0" applyNumberFormat="1" applyFont="1" applyFill="1" applyBorder="1"/>
    <xf numFmtId="165" fontId="1" fillId="0" borderId="71" xfId="0" applyNumberFormat="1" applyFont="1" applyBorder="1"/>
    <xf numFmtId="165" fontId="1" fillId="0" borderId="15" xfId="0" applyNumberFormat="1" applyFont="1" applyBorder="1"/>
    <xf numFmtId="166" fontId="3" fillId="0" borderId="77" xfId="0" applyNumberFormat="1" applyFont="1" applyBorder="1"/>
    <xf numFmtId="166" fontId="3" fillId="3" borderId="77" xfId="0" applyNumberFormat="1" applyFont="1" applyFill="1" applyBorder="1"/>
    <xf numFmtId="166" fontId="3" fillId="0" borderId="85" xfId="0" applyNumberFormat="1" applyFont="1" applyBorder="1"/>
    <xf numFmtId="166" fontId="3" fillId="0" borderId="71" xfId="0" applyNumberFormat="1" applyFont="1" applyBorder="1"/>
    <xf numFmtId="0" fontId="1" fillId="0" borderId="23" xfId="0" applyFont="1" applyBorder="1"/>
    <xf numFmtId="0" fontId="1" fillId="0" borderId="24" xfId="0" applyFont="1" applyBorder="1"/>
    <xf numFmtId="0" fontId="1" fillId="0" borderId="25" xfId="0" applyFont="1" applyBorder="1"/>
    <xf numFmtId="0" fontId="1" fillId="12" borderId="17" xfId="0" applyFont="1" applyFill="1" applyBorder="1"/>
    <xf numFmtId="0" fontId="1" fillId="12" borderId="83" xfId="0" applyFont="1" applyFill="1" applyBorder="1"/>
    <xf numFmtId="0" fontId="1" fillId="12" borderId="24" xfId="0" applyFont="1" applyFill="1" applyBorder="1"/>
    <xf numFmtId="0" fontId="1" fillId="0" borderId="17" xfId="0" applyFont="1" applyBorder="1"/>
    <xf numFmtId="0" fontId="1" fillId="0" borderId="48" xfId="0" applyFont="1" applyBorder="1" applyAlignment="1">
      <alignment horizontal="left"/>
    </xf>
    <xf numFmtId="0" fontId="1" fillId="0" borderId="34" xfId="0" applyFont="1" applyBorder="1"/>
    <xf numFmtId="0" fontId="1" fillId="12" borderId="48" xfId="0" applyFont="1" applyFill="1" applyBorder="1"/>
    <xf numFmtId="0" fontId="1" fillId="12" borderId="34" xfId="0" applyFont="1" applyFill="1" applyBorder="1"/>
    <xf numFmtId="0" fontId="1" fillId="12" borderId="35" xfId="0" applyFont="1" applyFill="1" applyBorder="1"/>
    <xf numFmtId="2" fontId="1" fillId="0" borderId="32" xfId="0" applyNumberFormat="1" applyFont="1" applyBorder="1"/>
    <xf numFmtId="2" fontId="1" fillId="0" borderId="1" xfId="0" applyNumberFormat="1" applyFont="1" applyBorder="1" applyProtection="1">
      <protection locked="0"/>
    </xf>
    <xf numFmtId="168" fontId="1" fillId="0" borderId="1" xfId="0" applyNumberFormat="1" applyFont="1" applyBorder="1" applyProtection="1">
      <protection locked="0"/>
    </xf>
    <xf numFmtId="0" fontId="1" fillId="0" borderId="5" xfId="0" applyFont="1" applyBorder="1" applyAlignment="1">
      <alignment horizontal="center"/>
    </xf>
    <xf numFmtId="0" fontId="1" fillId="13" borderId="1" xfId="0" applyFont="1" applyFill="1" applyBorder="1" applyAlignment="1">
      <alignment horizontal="center"/>
    </xf>
    <xf numFmtId="0" fontId="1" fillId="0" borderId="15" xfId="0" applyFont="1" applyBorder="1"/>
    <xf numFmtId="0" fontId="1" fillId="6" borderId="0" xfId="0" applyFont="1" applyFill="1"/>
    <xf numFmtId="0" fontId="8" fillId="0" borderId="8" xfId="0" applyFont="1" applyBorder="1"/>
    <xf numFmtId="0" fontId="8" fillId="0" borderId="49" xfId="0" applyFont="1" applyBorder="1"/>
    <xf numFmtId="0" fontId="1" fillId="4" borderId="49" xfId="0" applyFont="1" applyFill="1" applyBorder="1"/>
    <xf numFmtId="0" fontId="8" fillId="2" borderId="59" xfId="0" applyFont="1" applyFill="1" applyBorder="1" applyAlignment="1">
      <alignment horizontal="right"/>
    </xf>
    <xf numFmtId="0" fontId="8" fillId="0" borderId="23" xfId="0" applyFont="1" applyBorder="1" applyProtection="1">
      <protection locked="0"/>
    </xf>
    <xf numFmtId="0" fontId="8" fillId="0" borderId="18" xfId="0" applyFont="1" applyBorder="1" applyProtection="1">
      <protection locked="0"/>
    </xf>
    <xf numFmtId="14" fontId="28" fillId="4" borderId="0" xfId="0" applyNumberFormat="1" applyFont="1" applyFill="1"/>
    <xf numFmtId="0" fontId="8" fillId="0" borderId="56" xfId="0" applyFont="1" applyBorder="1"/>
    <xf numFmtId="0" fontId="8" fillId="0" borderId="57" xfId="0" applyFont="1" applyBorder="1"/>
    <xf numFmtId="0" fontId="12" fillId="4" borderId="0" xfId="0" applyFont="1" applyFill="1"/>
    <xf numFmtId="0" fontId="8" fillId="0" borderId="71" xfId="0" applyFont="1" applyBorder="1"/>
    <xf numFmtId="0" fontId="8" fillId="0" borderId="75" xfId="0" applyFont="1" applyBorder="1"/>
    <xf numFmtId="0" fontId="8" fillId="0" borderId="1" xfId="0" applyFont="1" applyBorder="1" applyProtection="1">
      <protection locked="0"/>
    </xf>
    <xf numFmtId="0" fontId="12" fillId="4" borderId="5" xfId="0" applyFont="1" applyFill="1" applyBorder="1"/>
    <xf numFmtId="10" fontId="8" fillId="4" borderId="0" xfId="0" applyNumberFormat="1" applyFont="1" applyFill="1"/>
    <xf numFmtId="0" fontId="8" fillId="9" borderId="12" xfId="0" applyFont="1" applyFill="1" applyBorder="1"/>
    <xf numFmtId="0" fontId="8" fillId="9" borderId="77" xfId="0" applyFont="1" applyFill="1" applyBorder="1"/>
    <xf numFmtId="0" fontId="8" fillId="9" borderId="74" xfId="0" applyFont="1" applyFill="1" applyBorder="1"/>
    <xf numFmtId="0" fontId="8" fillId="9" borderId="87" xfId="0" applyFont="1" applyFill="1" applyBorder="1"/>
    <xf numFmtId="0" fontId="8" fillId="4" borderId="0" xfId="0" applyFont="1" applyFill="1"/>
    <xf numFmtId="2" fontId="8" fillId="0" borderId="1" xfId="0" applyNumberFormat="1" applyFont="1" applyBorder="1"/>
    <xf numFmtId="0" fontId="8" fillId="0" borderId="0" xfId="0" applyFont="1"/>
    <xf numFmtId="2" fontId="8" fillId="0" borderId="33" xfId="0" applyNumberFormat="1" applyFont="1" applyBorder="1"/>
    <xf numFmtId="0" fontId="1" fillId="0" borderId="33" xfId="0" applyFont="1" applyBorder="1" applyAlignment="1">
      <alignment horizontal="right"/>
    </xf>
    <xf numFmtId="0" fontId="1" fillId="0" borderId="6" xfId="0" applyFont="1" applyBorder="1" applyAlignment="1">
      <alignment horizontal="right"/>
    </xf>
    <xf numFmtId="2" fontId="1" fillId="0" borderId="0" xfId="0" applyNumberFormat="1" applyFont="1"/>
    <xf numFmtId="0" fontId="1" fillId="30" borderId="1" xfId="0" applyFont="1" applyFill="1" applyBorder="1"/>
    <xf numFmtId="0" fontId="1" fillId="31" borderId="1" xfId="0" applyFont="1" applyFill="1" applyBorder="1"/>
    <xf numFmtId="0" fontId="1" fillId="14" borderId="0" xfId="0" applyFont="1" applyFill="1"/>
    <xf numFmtId="10" fontId="1" fillId="3" borderId="1" xfId="0" applyNumberFormat="1" applyFont="1" applyFill="1" applyBorder="1"/>
    <xf numFmtId="0" fontId="1" fillId="0" borderId="1" xfId="0" applyFont="1" applyBorder="1" applyAlignment="1">
      <alignment horizontal="center"/>
    </xf>
    <xf numFmtId="49" fontId="32" fillId="36" borderId="70" xfId="0" applyNumberFormat="1" applyFont="1" applyFill="1" applyBorder="1" applyAlignment="1">
      <alignment horizontal="center"/>
    </xf>
    <xf numFmtId="49" fontId="1" fillId="0" borderId="40" xfId="0" applyNumberFormat="1" applyFont="1" applyBorder="1" applyAlignment="1">
      <alignment horizontal="center"/>
    </xf>
    <xf numFmtId="0" fontId="7" fillId="36" borderId="20" xfId="0" quotePrefix="1" applyFont="1" applyFill="1" applyBorder="1" applyAlignment="1" applyProtection="1">
      <alignment horizontal="center"/>
      <protection locked="0"/>
    </xf>
    <xf numFmtId="0" fontId="42" fillId="0" borderId="0" xfId="0" applyFont="1"/>
    <xf numFmtId="166" fontId="0" fillId="0" borderId="0" xfId="0" applyNumberFormat="1"/>
    <xf numFmtId="14" fontId="0" fillId="34" borderId="17" xfId="0" applyNumberFormat="1" applyFill="1" applyBorder="1" applyProtection="1">
      <protection locked="0"/>
    </xf>
    <xf numFmtId="165" fontId="0" fillId="34" borderId="17" xfId="0" applyNumberFormat="1" applyFill="1" applyBorder="1" applyAlignment="1" applyProtection="1">
      <alignment horizontal="center"/>
      <protection locked="0"/>
    </xf>
    <xf numFmtId="0" fontId="45" fillId="0" borderId="0" xfId="0" applyFont="1"/>
    <xf numFmtId="0" fontId="3" fillId="0" borderId="0" xfId="0" applyFont="1" applyAlignment="1">
      <alignment horizontal="center"/>
    </xf>
    <xf numFmtId="0" fontId="2" fillId="0" borderId="0" xfId="0" applyFont="1" applyAlignment="1">
      <alignment horizontal="center"/>
    </xf>
    <xf numFmtId="0" fontId="0" fillId="0" borderId="1" xfId="0" applyBorder="1" applyAlignment="1">
      <alignment horizontal="center"/>
    </xf>
    <xf numFmtId="0" fontId="2" fillId="14" borderId="2" xfId="0" applyFont="1" applyFill="1" applyBorder="1" applyAlignment="1">
      <alignment horizontal="center"/>
    </xf>
    <xf numFmtId="0" fontId="2" fillId="14" borderId="21" xfId="0" applyFont="1" applyFill="1" applyBorder="1" applyAlignment="1">
      <alignment horizontal="center"/>
    </xf>
    <xf numFmtId="0" fontId="2" fillId="14" borderId="42" xfId="0" applyFont="1" applyFill="1" applyBorder="1" applyAlignment="1">
      <alignment horizontal="center"/>
    </xf>
    <xf numFmtId="0" fontId="23" fillId="0" borderId="28" xfId="0" applyFont="1" applyBorder="1" applyAlignment="1">
      <alignment horizontal="center"/>
    </xf>
    <xf numFmtId="0" fontId="23" fillId="0" borderId="41" xfId="0" applyFont="1" applyBorder="1" applyAlignment="1">
      <alignment horizontal="center"/>
    </xf>
    <xf numFmtId="0" fontId="23" fillId="0" borderId="59" xfId="0" applyFont="1" applyBorder="1" applyAlignment="1">
      <alignment horizontal="center"/>
    </xf>
    <xf numFmtId="13" fontId="3" fillId="21" borderId="28" xfId="0" applyNumberFormat="1" applyFont="1" applyFill="1" applyBorder="1" applyAlignment="1">
      <alignment horizontal="center"/>
    </xf>
    <xf numFmtId="13" fontId="3" fillId="21" borderId="41" xfId="0" applyNumberFormat="1" applyFont="1" applyFill="1" applyBorder="1" applyAlignment="1">
      <alignment horizontal="center"/>
    </xf>
    <xf numFmtId="13" fontId="3" fillId="21" borderId="59" xfId="0" applyNumberFormat="1" applyFont="1" applyFill="1" applyBorder="1" applyAlignment="1">
      <alignment horizontal="center"/>
    </xf>
    <xf numFmtId="0" fontId="40" fillId="0" borderId="28" xfId="0" applyFont="1" applyBorder="1" applyAlignment="1">
      <alignment horizontal="center"/>
    </xf>
    <xf numFmtId="0" fontId="40" fillId="0" borderId="41" xfId="0" applyFont="1" applyBorder="1" applyAlignment="1">
      <alignment horizontal="center"/>
    </xf>
    <xf numFmtId="0" fontId="40" fillId="0" borderId="59" xfId="0" applyFont="1" applyBorder="1" applyAlignment="1">
      <alignment horizontal="center"/>
    </xf>
    <xf numFmtId="0" fontId="2" fillId="21" borderId="28" xfId="0" applyFont="1" applyFill="1" applyBorder="1" applyAlignment="1">
      <alignment horizontal="center"/>
    </xf>
    <xf numFmtId="0" fontId="2" fillId="21" borderId="41" xfId="0" applyFont="1" applyFill="1" applyBorder="1" applyAlignment="1">
      <alignment horizontal="center"/>
    </xf>
    <xf numFmtId="0" fontId="2" fillId="21" borderId="59" xfId="0" applyFont="1" applyFill="1" applyBorder="1" applyAlignment="1">
      <alignment horizontal="center"/>
    </xf>
    <xf numFmtId="0" fontId="40" fillId="0" borderId="20" xfId="0" applyFont="1" applyBorder="1" applyAlignment="1">
      <alignment horizontal="center"/>
    </xf>
    <xf numFmtId="167" fontId="2" fillId="21" borderId="28" xfId="0" applyNumberFormat="1" applyFont="1" applyFill="1" applyBorder="1" applyAlignment="1">
      <alignment horizontal="center"/>
    </xf>
    <xf numFmtId="167" fontId="2" fillId="21" borderId="41" xfId="0" applyNumberFormat="1" applyFont="1" applyFill="1" applyBorder="1" applyAlignment="1">
      <alignment horizontal="center"/>
    </xf>
    <xf numFmtId="167" fontId="2" fillId="21" borderId="59" xfId="0" applyNumberFormat="1" applyFont="1" applyFill="1" applyBorder="1" applyAlignment="1">
      <alignment horizontal="center"/>
    </xf>
    <xf numFmtId="0" fontId="1" fillId="0" borderId="65" xfId="0" applyFont="1" applyBorder="1" applyAlignment="1">
      <alignment horizontal="center"/>
    </xf>
    <xf numFmtId="0" fontId="0" fillId="0" borderId="65" xfId="0" applyBorder="1" applyAlignment="1">
      <alignment horizontal="center"/>
    </xf>
    <xf numFmtId="0" fontId="1" fillId="0" borderId="0" xfId="0" applyFont="1" applyAlignment="1">
      <alignment horizontal="center"/>
    </xf>
    <xf numFmtId="0" fontId="0" fillId="0" borderId="28" xfId="0" applyBorder="1" applyAlignment="1">
      <alignment horizontal="center"/>
    </xf>
    <xf numFmtId="0" fontId="0" fillId="0" borderId="41" xfId="0" applyBorder="1" applyAlignment="1">
      <alignment horizontal="center"/>
    </xf>
    <xf numFmtId="0" fontId="0" fillId="0" borderId="59" xfId="0" applyBorder="1" applyAlignment="1">
      <alignment horizontal="center"/>
    </xf>
    <xf numFmtId="0" fontId="3" fillId="8" borderId="10" xfId="0" applyFont="1" applyFill="1" applyBorder="1" applyAlignment="1">
      <alignment horizontal="center"/>
    </xf>
    <xf numFmtId="0" fontId="3" fillId="8" borderId="56" xfId="0" applyFont="1" applyFill="1" applyBorder="1" applyAlignment="1">
      <alignment horizontal="center"/>
    </xf>
    <xf numFmtId="0" fontId="1" fillId="8" borderId="8" xfId="0" applyFont="1" applyFill="1" applyBorder="1" applyAlignment="1">
      <alignment horizontal="center"/>
    </xf>
    <xf numFmtId="0" fontId="1" fillId="8" borderId="49" xfId="0" applyFont="1" applyFill="1" applyBorder="1" applyAlignment="1">
      <alignment horizontal="center"/>
    </xf>
    <xf numFmtId="0" fontId="1" fillId="8" borderId="9" xfId="0" applyFont="1" applyFill="1" applyBorder="1" applyAlignment="1">
      <alignment horizontal="center"/>
    </xf>
    <xf numFmtId="0" fontId="1" fillId="8" borderId="28" xfId="0" applyFont="1" applyFill="1" applyBorder="1" applyAlignment="1">
      <alignment horizontal="center"/>
    </xf>
    <xf numFmtId="0" fontId="1" fillId="8" borderId="41" xfId="0" applyFont="1" applyFill="1" applyBorder="1" applyAlignment="1">
      <alignment horizontal="center"/>
    </xf>
    <xf numFmtId="0" fontId="1" fillId="8" borderId="59" xfId="0" applyFont="1" applyFill="1" applyBorder="1" applyAlignment="1">
      <alignment horizontal="center"/>
    </xf>
    <xf numFmtId="0" fontId="0" fillId="2" borderId="28" xfId="0" applyFill="1" applyBorder="1" applyAlignment="1">
      <alignment horizontal="center"/>
    </xf>
    <xf numFmtId="0" fontId="0" fillId="2" borderId="41" xfId="0" applyFill="1" applyBorder="1" applyAlignment="1">
      <alignment horizontal="center"/>
    </xf>
    <xf numFmtId="0" fontId="0" fillId="2" borderId="59" xfId="0" applyFill="1" applyBorder="1" applyAlignment="1">
      <alignment horizontal="center"/>
    </xf>
    <xf numFmtId="0" fontId="1" fillId="0" borderId="7" xfId="0" applyFont="1" applyBorder="1" applyAlignment="1">
      <alignment horizontal="center"/>
    </xf>
    <xf numFmtId="0" fontId="1" fillId="0" borderId="38" xfId="0" applyFont="1" applyBorder="1" applyAlignment="1">
      <alignment horizontal="center"/>
    </xf>
    <xf numFmtId="0" fontId="3" fillId="8" borderId="8" xfId="0" applyFont="1" applyFill="1" applyBorder="1" applyAlignment="1">
      <alignment horizontal="center"/>
    </xf>
    <xf numFmtId="0" fontId="3" fillId="8" borderId="49" xfId="0" applyFont="1" applyFill="1" applyBorder="1" applyAlignment="1">
      <alignment horizontal="center"/>
    </xf>
    <xf numFmtId="0" fontId="3" fillId="8" borderId="9" xfId="0" applyFont="1" applyFill="1" applyBorder="1" applyAlignment="1">
      <alignment horizontal="center"/>
    </xf>
    <xf numFmtId="0" fontId="3" fillId="0" borderId="0" xfId="0" applyFont="1" applyAlignment="1">
      <alignment horizontal="left"/>
    </xf>
    <xf numFmtId="0" fontId="41" fillId="0" borderId="0" xfId="0" applyFont="1" applyAlignment="1">
      <alignment horizontal="center"/>
    </xf>
    <xf numFmtId="0" fontId="3" fillId="10" borderId="8" xfId="0" applyFont="1" applyFill="1" applyBorder="1" applyAlignment="1">
      <alignment horizontal="center"/>
    </xf>
    <xf numFmtId="0" fontId="3" fillId="10" borderId="9" xfId="0" applyFont="1" applyFill="1" applyBorder="1" applyAlignment="1">
      <alignment horizontal="center"/>
    </xf>
    <xf numFmtId="0" fontId="3" fillId="14" borderId="28" xfId="0" applyFont="1" applyFill="1" applyBorder="1" applyAlignment="1">
      <alignment horizontal="center"/>
    </xf>
    <xf numFmtId="0" fontId="3" fillId="14" borderId="41" xfId="0" applyFont="1" applyFill="1" applyBorder="1" applyAlignment="1">
      <alignment horizontal="center"/>
    </xf>
    <xf numFmtId="0" fontId="3" fillId="14" borderId="59" xfId="0" applyFont="1" applyFill="1" applyBorder="1" applyAlignment="1">
      <alignment horizontal="center"/>
    </xf>
    <xf numFmtId="0" fontId="3" fillId="15" borderId="28" xfId="0" applyFont="1" applyFill="1" applyBorder="1" applyAlignment="1">
      <alignment horizontal="center"/>
    </xf>
    <xf numFmtId="0" fontId="3" fillId="15" borderId="41" xfId="0" applyFont="1" applyFill="1" applyBorder="1" applyAlignment="1">
      <alignment horizontal="center"/>
    </xf>
    <xf numFmtId="0" fontId="3" fillId="15" borderId="59" xfId="0" applyFont="1" applyFill="1" applyBorder="1" applyAlignment="1">
      <alignment horizontal="center"/>
    </xf>
    <xf numFmtId="0" fontId="0" fillId="15" borderId="28" xfId="0" applyFill="1" applyBorder="1" applyAlignment="1">
      <alignment horizontal="center"/>
    </xf>
    <xf numFmtId="0" fontId="0" fillId="15" borderId="41" xfId="0" applyFill="1" applyBorder="1" applyAlignment="1">
      <alignment horizontal="center"/>
    </xf>
    <xf numFmtId="0" fontId="0" fillId="15" borderId="59" xfId="0" applyFill="1" applyBorder="1" applyAlignment="1">
      <alignment horizontal="center"/>
    </xf>
    <xf numFmtId="0" fontId="3" fillId="5" borderId="28" xfId="0" applyFont="1" applyFill="1" applyBorder="1" applyAlignment="1">
      <alignment horizontal="center"/>
    </xf>
    <xf numFmtId="0" fontId="3" fillId="5" borderId="41" xfId="0" applyFont="1" applyFill="1" applyBorder="1" applyAlignment="1">
      <alignment horizontal="center"/>
    </xf>
    <xf numFmtId="0" fontId="3" fillId="5" borderId="59" xfId="0" applyFont="1" applyFill="1" applyBorder="1" applyAlignment="1">
      <alignment horizontal="center"/>
    </xf>
    <xf numFmtId="0" fontId="3" fillId="10" borderId="28" xfId="0" applyFont="1" applyFill="1" applyBorder="1" applyAlignment="1">
      <alignment horizontal="center"/>
    </xf>
    <xf numFmtId="0" fontId="3" fillId="10" borderId="41" xfId="0" applyFont="1" applyFill="1" applyBorder="1" applyAlignment="1">
      <alignment horizontal="center"/>
    </xf>
    <xf numFmtId="0" fontId="3" fillId="10" borderId="59" xfId="0" applyFont="1" applyFill="1" applyBorder="1" applyAlignment="1">
      <alignment horizontal="center"/>
    </xf>
    <xf numFmtId="0" fontId="0" fillId="3" borderId="1" xfId="0" applyFill="1" applyBorder="1" applyAlignment="1">
      <alignment horizontal="center"/>
    </xf>
    <xf numFmtId="0" fontId="17" fillId="8" borderId="5" xfId="1" applyFont="1" applyFill="1" applyBorder="1" applyAlignment="1" applyProtection="1">
      <alignment horizontal="center"/>
      <protection locked="0"/>
    </xf>
    <xf numFmtId="0" fontId="17" fillId="8" borderId="0" xfId="1" applyFont="1" applyFill="1" applyBorder="1" applyAlignment="1" applyProtection="1">
      <alignment horizontal="center"/>
      <protection locked="0"/>
    </xf>
    <xf numFmtId="0" fontId="17" fillId="8" borderId="20" xfId="1" applyFont="1" applyFill="1" applyBorder="1" applyAlignment="1" applyProtection="1">
      <alignment horizontal="center"/>
      <protection locked="0"/>
    </xf>
    <xf numFmtId="0" fontId="17" fillId="8" borderId="37" xfId="1" applyFont="1" applyFill="1" applyBorder="1" applyAlignment="1" applyProtection="1">
      <alignment horizontal="center"/>
      <protection locked="0"/>
    </xf>
    <xf numFmtId="0" fontId="1" fillId="0" borderId="1" xfId="0" applyFont="1" applyBorder="1" applyAlignment="1">
      <alignment horizontal="center"/>
    </xf>
    <xf numFmtId="0" fontId="9" fillId="0" borderId="0" xfId="0" applyFont="1" applyAlignment="1">
      <alignment horizontal="center"/>
    </xf>
    <xf numFmtId="166" fontId="0" fillId="0" borderId="0" xfId="0" applyNumberFormat="1" applyAlignment="1">
      <alignment horizontal="center"/>
    </xf>
    <xf numFmtId="165" fontId="0" fillId="0" borderId="0" xfId="0" applyNumberFormat="1" applyAlignment="1">
      <alignment horizontal="center"/>
    </xf>
    <xf numFmtId="0" fontId="1" fillId="0" borderId="69" xfId="0" applyFont="1" applyBorder="1" applyAlignment="1" applyProtection="1">
      <alignment horizontal="center"/>
      <protection locked="0"/>
    </xf>
    <xf numFmtId="0" fontId="1" fillId="0" borderId="31" xfId="0" applyFont="1" applyBorder="1" applyAlignment="1" applyProtection="1">
      <alignment horizontal="center"/>
      <protection locked="0"/>
    </xf>
    <xf numFmtId="0" fontId="0" fillId="0" borderId="39" xfId="0" applyBorder="1" applyAlignment="1" applyProtection="1">
      <alignment horizontal="center"/>
      <protection locked="0"/>
    </xf>
    <xf numFmtId="0" fontId="0" fillId="0" borderId="33" xfId="0" applyBorder="1" applyAlignment="1" applyProtection="1">
      <alignment horizontal="center"/>
      <protection locked="0"/>
    </xf>
    <xf numFmtId="0" fontId="1" fillId="0" borderId="21" xfId="0" applyFont="1" applyBorder="1" applyAlignment="1" applyProtection="1">
      <alignment horizontal="center"/>
      <protection locked="0"/>
    </xf>
    <xf numFmtId="0" fontId="1" fillId="0" borderId="42" xfId="0" applyFont="1" applyBorder="1" applyAlignment="1" applyProtection="1">
      <alignment horizontal="center"/>
      <protection locked="0"/>
    </xf>
    <xf numFmtId="0" fontId="1" fillId="0" borderId="22" xfId="0" applyFont="1" applyBorder="1" applyAlignment="1" applyProtection="1">
      <alignment horizontal="center"/>
      <protection locked="0"/>
    </xf>
    <xf numFmtId="165" fontId="0" fillId="0" borderId="73" xfId="0" applyNumberFormat="1" applyBorder="1" applyAlignment="1">
      <alignment horizontal="center"/>
    </xf>
    <xf numFmtId="165" fontId="0" fillId="0" borderId="6" xfId="0" applyNumberFormat="1" applyBorder="1" applyAlignment="1">
      <alignment horizontal="center"/>
    </xf>
    <xf numFmtId="0" fontId="0" fillId="0" borderId="0" xfId="0" applyAlignment="1">
      <alignment horizontal="center"/>
    </xf>
    <xf numFmtId="166" fontId="0" fillId="0" borderId="39" xfId="0" applyNumberFormat="1" applyBorder="1" applyAlignment="1">
      <alignment horizontal="center"/>
    </xf>
    <xf numFmtId="166" fontId="0" fillId="0" borderId="33" xfId="0" applyNumberFormat="1" applyBorder="1" applyAlignment="1">
      <alignment horizontal="center"/>
    </xf>
    <xf numFmtId="0" fontId="15" fillId="0" borderId="39" xfId="0" applyFont="1" applyBorder="1" applyAlignment="1" applyProtection="1">
      <alignment horizontal="center" wrapText="1"/>
      <protection locked="0"/>
    </xf>
    <xf numFmtId="0" fontId="15" fillId="0" borderId="1" xfId="0" applyFont="1" applyBorder="1" applyAlignment="1" applyProtection="1">
      <alignment horizontal="center" wrapText="1"/>
      <protection locked="0"/>
    </xf>
    <xf numFmtId="165" fontId="0" fillId="0" borderId="68" xfId="0" applyNumberFormat="1" applyBorder="1" applyAlignment="1">
      <alignment horizontal="center"/>
    </xf>
    <xf numFmtId="165" fontId="0" fillId="0" borderId="44" xfId="0" applyNumberFormat="1" applyBorder="1" applyAlignment="1">
      <alignment horizontal="center"/>
    </xf>
    <xf numFmtId="0" fontId="0" fillId="0" borderId="1" xfId="0" applyBorder="1" applyAlignment="1" applyProtection="1">
      <alignment horizontal="center"/>
      <protection locked="0"/>
    </xf>
    <xf numFmtId="0" fontId="15" fillId="2" borderId="7" xfId="0" applyFont="1" applyFill="1" applyBorder="1" applyAlignment="1">
      <alignment horizontal="center" wrapText="1"/>
    </xf>
    <xf numFmtId="0" fontId="15" fillId="2" borderId="20" xfId="0" applyFont="1" applyFill="1" applyBorder="1" applyAlignment="1">
      <alignment horizontal="center" wrapText="1"/>
    </xf>
    <xf numFmtId="0" fontId="15" fillId="2" borderId="38" xfId="0" applyFont="1" applyFill="1" applyBorder="1" applyAlignment="1">
      <alignment horizontal="center" wrapText="1"/>
    </xf>
    <xf numFmtId="0" fontId="15" fillId="2" borderId="8" xfId="0" applyFont="1" applyFill="1" applyBorder="1" applyAlignment="1">
      <alignment horizontal="center" wrapText="1"/>
    </xf>
    <xf numFmtId="0" fontId="15" fillId="2" borderId="49" xfId="0" applyFont="1" applyFill="1" applyBorder="1" applyAlignment="1">
      <alignment horizontal="center" wrapText="1"/>
    </xf>
    <xf numFmtId="0" fontId="15" fillId="2" borderId="9" xfId="0" applyFont="1" applyFill="1" applyBorder="1" applyAlignment="1">
      <alignment horizontal="center" wrapText="1"/>
    </xf>
    <xf numFmtId="0" fontId="15" fillId="0" borderId="0" xfId="0" applyFont="1" applyAlignment="1">
      <alignment horizontal="center"/>
    </xf>
    <xf numFmtId="0" fontId="15" fillId="0" borderId="2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42" xfId="0" applyFont="1" applyBorder="1" applyAlignment="1" applyProtection="1">
      <alignment horizontal="center"/>
      <protection locked="0"/>
    </xf>
    <xf numFmtId="0" fontId="15" fillId="8" borderId="0" xfId="0" applyFont="1" applyFill="1" applyAlignment="1">
      <alignment horizontal="center"/>
    </xf>
    <xf numFmtId="0" fontId="3" fillId="5" borderId="23" xfId="0" applyFont="1" applyFill="1" applyBorder="1" applyAlignment="1">
      <alignment horizontal="center"/>
    </xf>
    <xf numFmtId="0" fontId="3" fillId="5" borderId="25" xfId="0" applyFont="1" applyFill="1" applyBorder="1" applyAlignment="1">
      <alignment horizontal="center"/>
    </xf>
    <xf numFmtId="0" fontId="3" fillId="5" borderId="9" xfId="0" applyFont="1" applyFill="1" applyBorder="1" applyAlignment="1">
      <alignment horizontal="center"/>
    </xf>
    <xf numFmtId="0" fontId="8" fillId="0" borderId="0" xfId="0" applyFont="1" applyAlignment="1">
      <alignment horizontal="left" vertical="top" wrapText="1"/>
    </xf>
    <xf numFmtId="0" fontId="14" fillId="0" borderId="0" xfId="0" applyFont="1" applyAlignment="1">
      <alignment horizontal="center"/>
    </xf>
    <xf numFmtId="0" fontId="8" fillId="8" borderId="8" xfId="0" applyFont="1" applyFill="1" applyBorder="1" applyAlignment="1">
      <alignment horizontal="center" vertical="top" wrapText="1"/>
    </xf>
    <xf numFmtId="0" fontId="8" fillId="8" borderId="49" xfId="0" applyFont="1" applyFill="1" applyBorder="1" applyAlignment="1">
      <alignment horizontal="center" vertical="top" wrapText="1"/>
    </xf>
    <xf numFmtId="0" fontId="8" fillId="8" borderId="9" xfId="0" applyFont="1" applyFill="1" applyBorder="1" applyAlignment="1">
      <alignment horizontal="center" vertical="top" wrapText="1"/>
    </xf>
    <xf numFmtId="0" fontId="8" fillId="8" borderId="5" xfId="0" applyFont="1" applyFill="1" applyBorder="1" applyAlignment="1">
      <alignment horizontal="center" vertical="top" wrapText="1"/>
    </xf>
    <xf numFmtId="0" fontId="8" fillId="8" borderId="0" xfId="0" applyFont="1" applyFill="1" applyAlignment="1">
      <alignment horizontal="center" vertical="top" wrapText="1"/>
    </xf>
    <xf numFmtId="0" fontId="8" fillId="8" borderId="37" xfId="0" applyFont="1" applyFill="1" applyBorder="1" applyAlignment="1">
      <alignment horizontal="center" vertical="top" wrapText="1"/>
    </xf>
    <xf numFmtId="0" fontId="3" fillId="0" borderId="18" xfId="0" applyFont="1" applyBorder="1" applyAlignment="1">
      <alignment horizontal="center"/>
    </xf>
    <xf numFmtId="0" fontId="23" fillId="8" borderId="28" xfId="0" applyFont="1" applyFill="1" applyBorder="1" applyAlignment="1">
      <alignment horizontal="center" vertical="top" wrapText="1"/>
    </xf>
    <xf numFmtId="0" fontId="23" fillId="8" borderId="41" xfId="0" applyFont="1" applyFill="1" applyBorder="1" applyAlignment="1">
      <alignment horizontal="center" vertical="top" wrapText="1"/>
    </xf>
    <xf numFmtId="0" fontId="23" fillId="8" borderId="59" xfId="0" applyFont="1" applyFill="1" applyBorder="1" applyAlignment="1">
      <alignment horizontal="center" vertical="top" wrapText="1"/>
    </xf>
    <xf numFmtId="0" fontId="23" fillId="8" borderId="28" xfId="0" applyFont="1" applyFill="1" applyBorder="1" applyAlignment="1">
      <alignment horizontal="center"/>
    </xf>
    <xf numFmtId="0" fontId="23" fillId="8" borderId="41" xfId="0" applyFont="1" applyFill="1" applyBorder="1" applyAlignment="1">
      <alignment horizontal="center"/>
    </xf>
    <xf numFmtId="0" fontId="2" fillId="0" borderId="65" xfId="0" applyFont="1" applyBorder="1" applyAlignment="1">
      <alignment horizontal="center"/>
    </xf>
    <xf numFmtId="0" fontId="3" fillId="8" borderId="28" xfId="0" applyFont="1" applyFill="1" applyBorder="1" applyAlignment="1">
      <alignment horizontal="center"/>
    </xf>
    <xf numFmtId="0" fontId="3" fillId="8" borderId="59" xfId="0" applyFont="1" applyFill="1" applyBorder="1" applyAlignment="1">
      <alignment horizontal="center"/>
    </xf>
    <xf numFmtId="0" fontId="3" fillId="8" borderId="41" xfId="0" applyFont="1" applyFill="1" applyBorder="1" applyAlignment="1">
      <alignment horizontal="center"/>
    </xf>
    <xf numFmtId="0" fontId="3" fillId="8" borderId="2" xfId="0" applyFont="1" applyFill="1" applyBorder="1" applyAlignment="1">
      <alignment horizontal="center"/>
    </xf>
    <xf numFmtId="0" fontId="3" fillId="8" borderId="42" xfId="0" applyFont="1" applyFill="1" applyBorder="1" applyAlignment="1">
      <alignment horizontal="center"/>
    </xf>
    <xf numFmtId="0" fontId="15" fillId="8" borderId="28" xfId="0" applyFont="1" applyFill="1" applyBorder="1" applyAlignment="1">
      <alignment horizontal="center"/>
    </xf>
    <xf numFmtId="0" fontId="15" fillId="8" borderId="59" xfId="0" applyFont="1" applyFill="1" applyBorder="1" applyAlignment="1">
      <alignment horizontal="center"/>
    </xf>
    <xf numFmtId="0" fontId="3" fillId="22" borderId="5" xfId="0" applyFont="1" applyFill="1" applyBorder="1" applyAlignment="1">
      <alignment horizontal="center"/>
    </xf>
    <xf numFmtId="0" fontId="3" fillId="22" borderId="37" xfId="0" applyFont="1" applyFill="1" applyBorder="1" applyAlignment="1">
      <alignment horizontal="center"/>
    </xf>
    <xf numFmtId="0" fontId="3" fillId="6" borderId="0" xfId="0" applyFont="1" applyFill="1" applyAlignment="1">
      <alignment horizontal="center"/>
    </xf>
    <xf numFmtId="0" fontId="3" fillId="22" borderId="2" xfId="0" applyFont="1" applyFill="1" applyBorder="1" applyAlignment="1">
      <alignment horizontal="center"/>
    </xf>
    <xf numFmtId="0" fontId="3" fillId="22" borderId="42" xfId="0" applyFont="1" applyFill="1" applyBorder="1" applyAlignment="1">
      <alignment horizontal="center"/>
    </xf>
    <xf numFmtId="2" fontId="8" fillId="0" borderId="1" xfId="0" applyNumberFormat="1" applyFont="1" applyBorder="1" applyAlignment="1">
      <alignment horizontal="center"/>
    </xf>
    <xf numFmtId="2" fontId="8" fillId="0" borderId="33" xfId="0" applyNumberFormat="1" applyFont="1" applyBorder="1" applyAlignment="1">
      <alignment horizontal="center"/>
    </xf>
    <xf numFmtId="0" fontId="3" fillId="2" borderId="28" xfId="0" applyFont="1" applyFill="1" applyBorder="1" applyAlignment="1">
      <alignment horizontal="center"/>
    </xf>
    <xf numFmtId="0" fontId="3" fillId="2" borderId="41" xfId="0" applyFont="1" applyFill="1" applyBorder="1" applyAlignment="1">
      <alignment horizontal="center"/>
    </xf>
    <xf numFmtId="0" fontId="3" fillId="2" borderId="59" xfId="0" applyFont="1" applyFill="1" applyBorder="1" applyAlignment="1">
      <alignment horizontal="center"/>
    </xf>
    <xf numFmtId="0" fontId="0" fillId="0" borderId="7" xfId="0" applyBorder="1" applyAlignment="1">
      <alignment horizontal="left"/>
    </xf>
    <xf numFmtId="0" fontId="0" fillId="0" borderId="20" xfId="0" applyBorder="1" applyAlignment="1">
      <alignment horizontal="left"/>
    </xf>
    <xf numFmtId="0" fontId="0" fillId="0" borderId="38" xfId="0" applyBorder="1" applyAlignment="1">
      <alignment horizontal="left"/>
    </xf>
    <xf numFmtId="0" fontId="1" fillId="0" borderId="8" xfId="0" applyFont="1" applyBorder="1" applyAlignment="1">
      <alignment horizontal="left"/>
    </xf>
    <xf numFmtId="0" fontId="1" fillId="0" borderId="49" xfId="0" applyFont="1" applyBorder="1" applyAlignment="1">
      <alignment horizontal="left"/>
    </xf>
    <xf numFmtId="0" fontId="1" fillId="0" borderId="9" xfId="0" applyFont="1"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37" xfId="0" applyBorder="1" applyAlignment="1">
      <alignment horizontal="left"/>
    </xf>
    <xf numFmtId="0" fontId="8" fillId="9" borderId="32" xfId="0" applyFont="1" applyFill="1" applyBorder="1" applyAlignment="1">
      <alignment horizontal="left"/>
    </xf>
    <xf numFmtId="0" fontId="8" fillId="9" borderId="1" xfId="0" applyFont="1" applyFill="1" applyBorder="1" applyAlignment="1">
      <alignment horizontal="left"/>
    </xf>
    <xf numFmtId="0" fontId="3" fillId="9" borderId="32" xfId="0" applyFont="1" applyFill="1" applyBorder="1" applyAlignment="1">
      <alignment horizontal="left"/>
    </xf>
    <xf numFmtId="0" fontId="3" fillId="9" borderId="1" xfId="0" applyFont="1" applyFill="1" applyBorder="1" applyAlignment="1">
      <alignment horizontal="left"/>
    </xf>
    <xf numFmtId="2" fontId="0" fillId="0" borderId="1" xfId="0" applyNumberFormat="1" applyBorder="1" applyAlignment="1">
      <alignment horizontal="center"/>
    </xf>
    <xf numFmtId="2" fontId="0" fillId="0" borderId="33" xfId="0" applyNumberFormat="1" applyBorder="1" applyAlignment="1">
      <alignment horizontal="center"/>
    </xf>
    <xf numFmtId="0" fontId="8" fillId="0" borderId="1" xfId="0" applyFont="1" applyBorder="1" applyAlignment="1" applyProtection="1">
      <alignment horizontal="center"/>
      <protection locked="0"/>
    </xf>
    <xf numFmtId="0" fontId="8" fillId="0" borderId="33" xfId="0" applyFont="1" applyBorder="1" applyAlignment="1" applyProtection="1">
      <alignment horizontal="center"/>
      <protection locked="0"/>
    </xf>
    <xf numFmtId="0" fontId="1" fillId="0" borderId="5" xfId="0" applyFont="1" applyBorder="1" applyAlignment="1">
      <alignment horizontal="left"/>
    </xf>
    <xf numFmtId="0" fontId="1" fillId="0" borderId="0" xfId="0" applyFont="1" applyAlignment="1">
      <alignment horizontal="left"/>
    </xf>
    <xf numFmtId="0" fontId="1" fillId="0" borderId="37" xfId="0" applyFont="1" applyBorder="1" applyAlignment="1">
      <alignment horizontal="left"/>
    </xf>
    <xf numFmtId="0" fontId="8" fillId="2" borderId="23" xfId="0" applyFont="1" applyFill="1" applyBorder="1" applyAlignment="1">
      <alignment horizontal="center"/>
    </xf>
    <xf numFmtId="0" fontId="8" fillId="2" borderId="24" xfId="0" applyFont="1" applyFill="1" applyBorder="1" applyAlignment="1">
      <alignment horizontal="center"/>
    </xf>
    <xf numFmtId="0" fontId="8" fillId="2" borderId="34" xfId="0" applyFont="1" applyFill="1" applyBorder="1" applyAlignment="1">
      <alignment horizontal="center"/>
    </xf>
    <xf numFmtId="0" fontId="3" fillId="23" borderId="10" xfId="0" applyFont="1" applyFill="1" applyBorder="1" applyAlignment="1">
      <alignment horizontal="center"/>
    </xf>
    <xf numFmtId="0" fontId="3" fillId="23" borderId="22" xfId="0" applyFont="1" applyFill="1" applyBorder="1" applyAlignment="1">
      <alignment horizontal="center"/>
    </xf>
    <xf numFmtId="0" fontId="3" fillId="23" borderId="32" xfId="0" applyFont="1" applyFill="1" applyBorder="1" applyAlignment="1">
      <alignment horizontal="center"/>
    </xf>
    <xf numFmtId="0" fontId="3" fillId="23" borderId="1" xfId="0" applyFont="1" applyFill="1" applyBorder="1" applyAlignment="1">
      <alignment horizontal="center"/>
    </xf>
    <xf numFmtId="0" fontId="3" fillId="23" borderId="3" xfId="0" applyFont="1" applyFill="1" applyBorder="1" applyAlignment="1">
      <alignment horizontal="center"/>
    </xf>
    <xf numFmtId="0" fontId="3" fillId="23" borderId="4" xfId="0" applyFont="1" applyFill="1" applyBorder="1" applyAlignment="1">
      <alignment horizontal="center"/>
    </xf>
    <xf numFmtId="0" fontId="8" fillId="2" borderId="8" xfId="0" applyFont="1" applyFill="1" applyBorder="1" applyAlignment="1">
      <alignment horizontal="center"/>
    </xf>
    <xf numFmtId="0" fontId="8" fillId="2" borderId="49" xfId="0" applyFont="1" applyFill="1" applyBorder="1" applyAlignment="1">
      <alignment horizontal="center"/>
    </xf>
    <xf numFmtId="0" fontId="3" fillId="2" borderId="93" xfId="0" applyFont="1" applyFill="1" applyBorder="1" applyAlignment="1">
      <alignment horizontal="center"/>
    </xf>
    <xf numFmtId="0" fontId="3" fillId="2" borderId="9" xfId="0" applyFont="1" applyFill="1" applyBorder="1" applyAlignment="1">
      <alignment horizontal="center"/>
    </xf>
    <xf numFmtId="0" fontId="3" fillId="2" borderId="21" xfId="0" applyFont="1" applyFill="1" applyBorder="1" applyAlignment="1">
      <alignment horizontal="center"/>
    </xf>
    <xf numFmtId="0" fontId="3" fillId="2" borderId="42" xfId="0" applyFont="1" applyFill="1" applyBorder="1" applyAlignment="1">
      <alignment horizontal="center"/>
    </xf>
    <xf numFmtId="0" fontId="8" fillId="9" borderId="10" xfId="0" applyFont="1" applyFill="1" applyBorder="1" applyAlignment="1">
      <alignment horizontal="left"/>
    </xf>
    <xf numFmtId="0" fontId="8" fillId="9" borderId="22" xfId="0" applyFont="1" applyFill="1" applyBorder="1" applyAlignment="1">
      <alignment horizontal="left"/>
    </xf>
    <xf numFmtId="0" fontId="8" fillId="9" borderId="36" xfId="0" applyFont="1" applyFill="1" applyBorder="1" applyAlignment="1">
      <alignment horizontal="left"/>
    </xf>
    <xf numFmtId="0" fontId="8" fillId="9" borderId="14" xfId="0" applyFont="1" applyFill="1" applyBorder="1" applyAlignment="1">
      <alignment horizontal="left"/>
    </xf>
    <xf numFmtId="0" fontId="8" fillId="9" borderId="73" xfId="0" applyFont="1" applyFill="1" applyBorder="1" applyAlignment="1">
      <alignment horizontal="left"/>
    </xf>
    <xf numFmtId="0" fontId="3" fillId="2" borderId="49" xfId="0" applyFont="1" applyFill="1" applyBorder="1" applyAlignment="1">
      <alignment horizontal="center"/>
    </xf>
    <xf numFmtId="0" fontId="8" fillId="9" borderId="4" xfId="0" applyFont="1" applyFill="1" applyBorder="1" applyAlignment="1">
      <alignment horizontal="left"/>
    </xf>
    <xf numFmtId="0" fontId="8" fillId="2" borderId="10" xfId="0" applyFont="1" applyFill="1" applyBorder="1" applyAlignment="1">
      <alignment horizontal="center"/>
    </xf>
    <xf numFmtId="0" fontId="8" fillId="2" borderId="22" xfId="0" applyFont="1" applyFill="1" applyBorder="1" applyAlignment="1">
      <alignment horizontal="center"/>
    </xf>
    <xf numFmtId="0" fontId="0" fillId="0" borderId="8" xfId="0" applyBorder="1" applyAlignment="1">
      <alignment horizontal="left"/>
    </xf>
    <xf numFmtId="0" fontId="0" fillId="0" borderId="49" xfId="0" applyBorder="1" applyAlignment="1">
      <alignment horizontal="left"/>
    </xf>
    <xf numFmtId="0" fontId="0" fillId="0" borderId="9" xfId="0" applyBorder="1" applyAlignment="1">
      <alignment horizontal="left"/>
    </xf>
    <xf numFmtId="0" fontId="0" fillId="0" borderId="5" xfId="0" applyBorder="1" applyAlignment="1" applyProtection="1">
      <alignment horizontal="right"/>
      <protection locked="0"/>
    </xf>
    <xf numFmtId="0" fontId="0" fillId="0" borderId="0" xfId="0" applyAlignment="1" applyProtection="1">
      <alignment horizontal="right"/>
      <protection locked="0"/>
    </xf>
    <xf numFmtId="0" fontId="0" fillId="0" borderId="37" xfId="0" applyBorder="1" applyAlignment="1" applyProtection="1">
      <alignment horizontal="right"/>
      <protection locked="0"/>
    </xf>
    <xf numFmtId="2" fontId="3" fillId="0" borderId="7" xfId="0" applyNumberFormat="1" applyFont="1" applyBorder="1" applyAlignment="1">
      <alignment horizontal="right"/>
    </xf>
    <xf numFmtId="2" fontId="3" fillId="0" borderId="20" xfId="0" applyNumberFormat="1" applyFont="1" applyBorder="1" applyAlignment="1">
      <alignment horizontal="right"/>
    </xf>
    <xf numFmtId="2" fontId="3" fillId="0" borderId="38" xfId="0" applyNumberFormat="1" applyFont="1" applyBorder="1" applyAlignment="1">
      <alignment horizontal="right"/>
    </xf>
    <xf numFmtId="0" fontId="8" fillId="0" borderId="1" xfId="0" applyFont="1" applyBorder="1" applyAlignment="1">
      <alignment horizontal="center"/>
    </xf>
    <xf numFmtId="0" fontId="8" fillId="0" borderId="33" xfId="0" applyFont="1" applyBorder="1" applyAlignment="1">
      <alignment horizontal="center"/>
    </xf>
    <xf numFmtId="10" fontId="8" fillId="0" borderId="36" xfId="0" applyNumberFormat="1" applyFont="1" applyBorder="1" applyAlignment="1">
      <alignment horizontal="center"/>
    </xf>
    <xf numFmtId="10" fontId="8" fillId="0" borderId="44" xfId="0" applyNumberFormat="1" applyFont="1" applyBorder="1" applyAlignment="1">
      <alignment horizontal="center"/>
    </xf>
    <xf numFmtId="168" fontId="3" fillId="0" borderId="5" xfId="0" applyNumberFormat="1" applyFont="1" applyBorder="1" applyAlignment="1">
      <alignment horizontal="right"/>
    </xf>
    <xf numFmtId="168" fontId="3" fillId="0" borderId="0" xfId="0" applyNumberFormat="1" applyFont="1" applyAlignment="1">
      <alignment horizontal="right"/>
    </xf>
    <xf numFmtId="168" fontId="3" fillId="0" borderId="37" xfId="0" applyNumberFormat="1" applyFont="1" applyBorder="1" applyAlignment="1">
      <alignment horizontal="right"/>
    </xf>
    <xf numFmtId="10" fontId="8" fillId="0" borderId="1" xfId="0" applyNumberFormat="1" applyFont="1" applyBorder="1" applyAlignment="1">
      <alignment horizontal="center"/>
    </xf>
    <xf numFmtId="10" fontId="8" fillId="0" borderId="33" xfId="0" applyNumberFormat="1" applyFont="1" applyBorder="1" applyAlignment="1">
      <alignment horizontal="center"/>
    </xf>
    <xf numFmtId="10" fontId="8" fillId="0" borderId="4" xfId="0" applyNumberFormat="1" applyFont="1" applyBorder="1" applyAlignment="1">
      <alignment horizontal="center"/>
    </xf>
    <xf numFmtId="10" fontId="8" fillId="0" borderId="6" xfId="0" applyNumberFormat="1" applyFont="1" applyBorder="1" applyAlignment="1">
      <alignment horizontal="center"/>
    </xf>
    <xf numFmtId="0" fontId="3" fillId="2" borderId="70" xfId="0" applyFont="1" applyFill="1" applyBorder="1" applyAlignment="1">
      <alignment horizontal="center"/>
    </xf>
    <xf numFmtId="0" fontId="3" fillId="2" borderId="89" xfId="0" applyFont="1" applyFill="1" applyBorder="1" applyAlignment="1">
      <alignment horizontal="center"/>
    </xf>
    <xf numFmtId="0" fontId="3" fillId="12" borderId="28" xfId="0" applyFont="1" applyFill="1" applyBorder="1" applyAlignment="1">
      <alignment horizontal="center"/>
    </xf>
    <xf numFmtId="0" fontId="3" fillId="12" borderId="41" xfId="0" applyFont="1" applyFill="1" applyBorder="1" applyAlignment="1">
      <alignment horizontal="center"/>
    </xf>
    <xf numFmtId="0" fontId="3" fillId="12" borderId="59" xfId="0" applyFont="1" applyFill="1" applyBorder="1" applyAlignment="1">
      <alignment horizontal="center"/>
    </xf>
    <xf numFmtId="0" fontId="8" fillId="2" borderId="5" xfId="0" applyFont="1" applyFill="1" applyBorder="1" applyAlignment="1">
      <alignment horizontal="center"/>
    </xf>
    <xf numFmtId="0" fontId="8" fillId="2" borderId="0" xfId="0" applyFont="1" applyFill="1" applyAlignment="1">
      <alignment horizontal="center"/>
    </xf>
    <xf numFmtId="0" fontId="3" fillId="9" borderId="3" xfId="0" applyFont="1" applyFill="1" applyBorder="1" applyAlignment="1">
      <alignment horizontal="left"/>
    </xf>
    <xf numFmtId="0" fontId="3" fillId="9" borderId="4" xfId="0" applyFont="1" applyFill="1" applyBorder="1" applyAlignment="1">
      <alignment horizontal="left"/>
    </xf>
    <xf numFmtId="0" fontId="3" fillId="2" borderId="18" xfId="0" applyFont="1" applyFill="1" applyBorder="1" applyAlignment="1">
      <alignment horizontal="center"/>
    </xf>
    <xf numFmtId="0" fontId="3" fillId="2" borderId="31" xfId="0" applyFont="1" applyFill="1" applyBorder="1" applyAlignment="1">
      <alignment horizontal="center"/>
    </xf>
    <xf numFmtId="0" fontId="8" fillId="2" borderId="29" xfId="0" applyFont="1" applyFill="1" applyBorder="1" applyAlignment="1">
      <alignment horizontal="center"/>
    </xf>
    <xf numFmtId="0" fontId="23" fillId="0" borderId="0" xfId="0" applyFont="1" applyAlignment="1">
      <alignment horizontal="center"/>
    </xf>
    <xf numFmtId="0" fontId="3" fillId="0" borderId="36" xfId="0" applyFont="1" applyBorder="1" applyAlignment="1">
      <alignment horizontal="center"/>
    </xf>
    <xf numFmtId="0" fontId="3" fillId="8" borderId="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7" xfId="0" applyFont="1" applyFill="1" applyBorder="1" applyAlignment="1">
      <alignment horizontal="center" vertical="top" wrapText="1"/>
    </xf>
    <xf numFmtId="0" fontId="3" fillId="8" borderId="38" xfId="0" applyFont="1" applyFill="1" applyBorder="1" applyAlignment="1">
      <alignment horizontal="center" vertical="top" wrapText="1"/>
    </xf>
    <xf numFmtId="0" fontId="9" fillId="0" borderId="65" xfId="0" applyFont="1" applyBorder="1" applyAlignment="1">
      <alignment horizontal="center"/>
    </xf>
    <xf numFmtId="0" fontId="3" fillId="17" borderId="10" xfId="0" applyFont="1" applyFill="1" applyBorder="1" applyAlignment="1">
      <alignment horizontal="center"/>
    </xf>
    <xf numFmtId="0" fontId="3" fillId="17" borderId="56" xfId="0" applyFont="1" applyFill="1" applyBorder="1" applyAlignment="1">
      <alignment horizontal="center"/>
    </xf>
    <xf numFmtId="0" fontId="3" fillId="12" borderId="32" xfId="0" applyFont="1" applyFill="1" applyBorder="1" applyAlignment="1">
      <alignment horizontal="center"/>
    </xf>
    <xf numFmtId="0" fontId="3" fillId="12" borderId="33" xfId="0" applyFont="1" applyFill="1" applyBorder="1" applyAlignment="1">
      <alignment horizontal="center"/>
    </xf>
    <xf numFmtId="0" fontId="6" fillId="0" borderId="0" xfId="0" applyFont="1" applyAlignment="1">
      <alignment horizontal="left"/>
    </xf>
    <xf numFmtId="0" fontId="3" fillId="0" borderId="10" xfId="0" applyFont="1" applyBorder="1" applyAlignment="1">
      <alignment horizontal="center"/>
    </xf>
    <xf numFmtId="0" fontId="3" fillId="0" borderId="76" xfId="0" applyFont="1" applyBorder="1" applyAlignment="1">
      <alignment horizontal="center"/>
    </xf>
    <xf numFmtId="0" fontId="3" fillId="0" borderId="56" xfId="0" applyFont="1" applyBorder="1" applyAlignment="1">
      <alignment horizontal="center"/>
    </xf>
    <xf numFmtId="0" fontId="20" fillId="0" borderId="0" xfId="0" applyFont="1" applyAlignment="1">
      <alignment horizontal="center"/>
    </xf>
    <xf numFmtId="0" fontId="7" fillId="0" borderId="0" xfId="0" applyFont="1" applyAlignment="1">
      <alignment horizontal="left"/>
    </xf>
    <xf numFmtId="0" fontId="0" fillId="3" borderId="84" xfId="0" applyFill="1" applyBorder="1" applyAlignment="1">
      <alignment horizontal="center"/>
    </xf>
  </cellXfs>
  <cellStyles count="2">
    <cellStyle name="Hyperlink" xfId="1" builtinId="8"/>
    <cellStyle name="Normal" xfId="0" builtinId="0"/>
  </cellStyles>
  <dxfs count="124">
    <dxf>
      <fill>
        <patternFill>
          <bgColor indexed="22"/>
        </patternFill>
      </fill>
    </dxf>
    <dxf>
      <fill>
        <patternFill>
          <bgColor indexed="22"/>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ill>
        <patternFill>
          <bgColor theme="0" tint="-0.24994659260841701"/>
        </patternFill>
      </fill>
    </dxf>
    <dxf>
      <fill>
        <patternFill>
          <bgColor rgb="FFFFFF00"/>
        </patternFill>
      </fill>
    </dxf>
    <dxf>
      <fill>
        <patternFill>
          <bgColor rgb="FFFFFF00"/>
        </patternFill>
      </fill>
    </dxf>
    <dxf>
      <fill>
        <patternFill>
          <bgColor indexed="22"/>
        </patternFill>
      </fill>
    </dxf>
    <dxf>
      <fill>
        <patternFill>
          <bgColor indexed="22"/>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condense val="0"/>
        <extend val="0"/>
        <color auto="1"/>
      </font>
      <fill>
        <patternFill>
          <bgColor indexed="55"/>
        </patternFill>
      </fill>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2.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B$3"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Drop" dropStyle="combo" dx="21" fmlaLink="$A$4" fmlaRange="$A$5:$A$10" sel="1" val="0"/>
</file>

<file path=xl/ctrlProps/ctrlProp138.xml><?xml version="1.0" encoding="utf-8"?>
<formControlPr xmlns="http://schemas.microsoft.com/office/spreadsheetml/2009/9/main" objectType="CheckBox" fmlaLink="$A$45" lockText="1"/>
</file>

<file path=xl/ctrlProps/ctrlProp139.xml><?xml version="1.0" encoding="utf-8"?>
<formControlPr xmlns="http://schemas.microsoft.com/office/spreadsheetml/2009/9/main" objectType="CheckBox" fmlaLink="$A$46" lockText="1"/>
</file>

<file path=xl/ctrlProps/ctrlProp140.xml><?xml version="1.0" encoding="utf-8"?>
<formControlPr xmlns="http://schemas.microsoft.com/office/spreadsheetml/2009/9/main" objectType="CheckBox" fmlaLink="$A$51" lockText="1"/>
</file>

<file path=xl/ctrlProps/ctrlProp141.xml><?xml version="1.0" encoding="utf-8"?>
<formControlPr xmlns="http://schemas.microsoft.com/office/spreadsheetml/2009/9/main" objectType="CheckBox" fmlaLink="$A$50" lockText="1"/>
</file>

<file path=xl/ctrlProps/ctrlProp142.xml><?xml version="1.0" encoding="utf-8"?>
<formControlPr xmlns="http://schemas.microsoft.com/office/spreadsheetml/2009/9/main" objectType="CheckBox" fmlaLink="$A$47" lockText="1"/>
</file>

<file path=xl/ctrlProps/ctrlProp143.xml><?xml version="1.0" encoding="utf-8"?>
<formControlPr xmlns="http://schemas.microsoft.com/office/spreadsheetml/2009/9/main" objectType="CheckBox" checked="Checked" fmlaLink="$A$44"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CheckBox" fmlaLink="$A$52" lockText="1"/>
</file>

<file path=xl/ctrlProps/ctrlProp148.xml><?xml version="1.0" encoding="utf-8"?>
<formControlPr xmlns="http://schemas.microsoft.com/office/spreadsheetml/2009/9/main" objectType="CheckBox" fmlaLink="$A$49" lockText="1"/>
</file>

<file path=xl/ctrlProps/ctrlProp149.xml><?xml version="1.0" encoding="utf-8"?>
<formControlPr xmlns="http://schemas.microsoft.com/office/spreadsheetml/2009/9/main" objectType="CheckBox" fmlaLink="$A$53" lockText="1"/>
</file>

<file path=xl/ctrlProps/ctrlProp150.xml><?xml version="1.0" encoding="utf-8"?>
<formControlPr xmlns="http://schemas.microsoft.com/office/spreadsheetml/2009/9/main" objectType="CheckBox" fmlaLink="$A$54" lockText="1"/>
</file>

<file path=xl/ctrlProps/ctrlProp151.xml><?xml version="1.0" encoding="utf-8"?>
<formControlPr xmlns="http://schemas.microsoft.com/office/spreadsheetml/2009/9/main" objectType="CheckBox" fmlaLink="$A$55" lockText="1"/>
</file>

<file path=xl/ctrlProps/ctrlProp152.xml><?xml version="1.0" encoding="utf-8"?>
<formControlPr xmlns="http://schemas.microsoft.com/office/spreadsheetml/2009/9/main" objectType="Drop" dropStyle="combo" dx="21" fmlaLink="$A$5" fmlaRange="$A$6:$A$11" noThreeD="1" sel="3" val="0"/>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png"/></Relationships>
</file>

<file path=xl/drawings/_rels/drawing20.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0.emf"/></Relationships>
</file>

<file path=xl/drawings/_rels/drawing31.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xdr:rowOff>
        </xdr:from>
        <xdr:to>
          <xdr:col>0</xdr:col>
          <xdr:colOff>885825</xdr:colOff>
          <xdr:row>1</xdr:row>
          <xdr:rowOff>66675</xdr:rowOff>
        </xdr:to>
        <xdr:sp macro="" textlink="">
          <xdr:nvSpPr>
            <xdr:cNvPr id="12307" name="Button 19" hidden="1">
              <a:extLst>
                <a:ext uri="{63B3BB69-23CF-44E3-9099-C40C66FF867C}">
                  <a14:compatExt spid="_x0000_s12307"/>
                </a:ext>
                <a:ext uri="{FF2B5EF4-FFF2-40B4-BE49-F238E27FC236}">
                  <a16:creationId xmlns:a16="http://schemas.microsoft.com/office/drawing/2014/main" id="{00000000-0008-0000-0300-00001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962025</xdr:colOff>
          <xdr:row>0</xdr:row>
          <xdr:rowOff>19050</xdr:rowOff>
        </xdr:from>
        <xdr:to>
          <xdr:col>2</xdr:col>
          <xdr:colOff>38100</xdr:colOff>
          <xdr:row>1</xdr:row>
          <xdr:rowOff>66675</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300-000016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PDs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0</xdr:row>
          <xdr:rowOff>19050</xdr:rowOff>
        </xdr:from>
        <xdr:to>
          <xdr:col>3</xdr:col>
          <xdr:colOff>552450</xdr:colOff>
          <xdr:row>1</xdr:row>
          <xdr:rowOff>66675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300-000017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W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0</xdr:row>
          <xdr:rowOff>19050</xdr:rowOff>
        </xdr:from>
        <xdr:to>
          <xdr:col>2</xdr:col>
          <xdr:colOff>876300</xdr:colOff>
          <xdr:row>1</xdr:row>
          <xdr:rowOff>66675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300-000018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X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47625</xdr:rowOff>
        </xdr:from>
        <xdr:to>
          <xdr:col>0</xdr:col>
          <xdr:colOff>790575</xdr:colOff>
          <xdr:row>27</xdr:row>
          <xdr:rowOff>19050</xdr:rowOff>
        </xdr:to>
        <xdr:sp macro="" textlink="">
          <xdr:nvSpPr>
            <xdr:cNvPr id="12313" name="Button 25" hidden="1">
              <a:extLst>
                <a:ext uri="{63B3BB69-23CF-44E3-9099-C40C66FF867C}">
                  <a14:compatExt spid="_x0000_s12313"/>
                </a:ext>
                <a:ext uri="{FF2B5EF4-FFF2-40B4-BE49-F238E27FC236}">
                  <a16:creationId xmlns:a16="http://schemas.microsoft.com/office/drawing/2014/main" id="{00000000-0008-0000-0300-000019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857250</xdr:colOff>
          <xdr:row>25</xdr:row>
          <xdr:rowOff>47625</xdr:rowOff>
        </xdr:from>
        <xdr:to>
          <xdr:col>1</xdr:col>
          <xdr:colOff>609600</xdr:colOff>
          <xdr:row>27</xdr:row>
          <xdr:rowOff>19050</xdr:rowOff>
        </xdr:to>
        <xdr:sp macro="" textlink="">
          <xdr:nvSpPr>
            <xdr:cNvPr id="12314" name="Button 26" hidden="1">
              <a:extLst>
                <a:ext uri="{63B3BB69-23CF-44E3-9099-C40C66FF867C}">
                  <a14:compatExt spid="_x0000_s12314"/>
                </a:ext>
                <a:ext uri="{FF2B5EF4-FFF2-40B4-BE49-F238E27FC236}">
                  <a16:creationId xmlns:a16="http://schemas.microsoft.com/office/drawing/2014/main" id="{00000000-0008-0000-0300-00001A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PDs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847725</xdr:colOff>
          <xdr:row>25</xdr:row>
          <xdr:rowOff>47625</xdr:rowOff>
        </xdr:from>
        <xdr:to>
          <xdr:col>3</xdr:col>
          <xdr:colOff>447675</xdr:colOff>
          <xdr:row>27</xdr:row>
          <xdr:rowOff>19050</xdr:rowOff>
        </xdr:to>
        <xdr:sp macro="" textlink="">
          <xdr:nvSpPr>
            <xdr:cNvPr id="12315" name="Button 27" hidden="1">
              <a:extLst>
                <a:ext uri="{63B3BB69-23CF-44E3-9099-C40C66FF867C}">
                  <a14:compatExt spid="_x0000_s12315"/>
                </a:ext>
                <a:ext uri="{FF2B5EF4-FFF2-40B4-BE49-F238E27FC236}">
                  <a16:creationId xmlns:a16="http://schemas.microsoft.com/office/drawing/2014/main" id="{00000000-0008-0000-0300-00001B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W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25</xdr:row>
          <xdr:rowOff>47625</xdr:rowOff>
        </xdr:from>
        <xdr:to>
          <xdr:col>2</xdr:col>
          <xdr:colOff>781050</xdr:colOff>
          <xdr:row>27</xdr:row>
          <xdr:rowOff>19050</xdr:rowOff>
        </xdr:to>
        <xdr:sp macro="" textlink="">
          <xdr:nvSpPr>
            <xdr:cNvPr id="12316" name="Button 28" hidden="1">
              <a:extLst>
                <a:ext uri="{63B3BB69-23CF-44E3-9099-C40C66FF867C}">
                  <a14:compatExt spid="_x0000_s12316"/>
                </a:ext>
                <a:ext uri="{FF2B5EF4-FFF2-40B4-BE49-F238E27FC236}">
                  <a16:creationId xmlns:a16="http://schemas.microsoft.com/office/drawing/2014/main" id="{00000000-0008-0000-0300-00001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X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790575</xdr:colOff>
          <xdr:row>52</xdr:row>
          <xdr:rowOff>66675</xdr:rowOff>
        </xdr:to>
        <xdr:sp macro="" textlink="">
          <xdr:nvSpPr>
            <xdr:cNvPr id="12317" name="Button 29" hidden="1">
              <a:extLst>
                <a:ext uri="{63B3BB69-23CF-44E3-9099-C40C66FF867C}">
                  <a14:compatExt spid="_x0000_s12317"/>
                </a:ext>
                <a:ext uri="{FF2B5EF4-FFF2-40B4-BE49-F238E27FC236}">
                  <a16:creationId xmlns:a16="http://schemas.microsoft.com/office/drawing/2014/main" id="{00000000-0008-0000-0300-00001D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857250</xdr:colOff>
          <xdr:row>51</xdr:row>
          <xdr:rowOff>19050</xdr:rowOff>
        </xdr:from>
        <xdr:to>
          <xdr:col>1</xdr:col>
          <xdr:colOff>609600</xdr:colOff>
          <xdr:row>52</xdr:row>
          <xdr:rowOff>66675</xdr:rowOff>
        </xdr:to>
        <xdr:sp macro="" textlink="">
          <xdr:nvSpPr>
            <xdr:cNvPr id="12318" name="Button 30" hidden="1">
              <a:extLst>
                <a:ext uri="{63B3BB69-23CF-44E3-9099-C40C66FF867C}">
                  <a14:compatExt spid="_x0000_s12318"/>
                </a:ext>
                <a:ext uri="{FF2B5EF4-FFF2-40B4-BE49-F238E27FC236}">
                  <a16:creationId xmlns:a16="http://schemas.microsoft.com/office/drawing/2014/main" id="{00000000-0008-0000-0300-00001E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PDs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847725</xdr:colOff>
          <xdr:row>51</xdr:row>
          <xdr:rowOff>19050</xdr:rowOff>
        </xdr:from>
        <xdr:to>
          <xdr:col>3</xdr:col>
          <xdr:colOff>447675</xdr:colOff>
          <xdr:row>52</xdr:row>
          <xdr:rowOff>66675</xdr:rowOff>
        </xdr:to>
        <xdr:sp macro="" textlink="">
          <xdr:nvSpPr>
            <xdr:cNvPr id="12319" name="Button 31" hidden="1">
              <a:extLst>
                <a:ext uri="{63B3BB69-23CF-44E3-9099-C40C66FF867C}">
                  <a14:compatExt spid="_x0000_s12319"/>
                </a:ext>
                <a:ext uri="{FF2B5EF4-FFF2-40B4-BE49-F238E27FC236}">
                  <a16:creationId xmlns:a16="http://schemas.microsoft.com/office/drawing/2014/main" id="{00000000-0008-0000-0300-00001F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W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51</xdr:row>
          <xdr:rowOff>19050</xdr:rowOff>
        </xdr:from>
        <xdr:to>
          <xdr:col>2</xdr:col>
          <xdr:colOff>781050</xdr:colOff>
          <xdr:row>52</xdr:row>
          <xdr:rowOff>66675</xdr:rowOff>
        </xdr:to>
        <xdr:sp macro="" textlink="">
          <xdr:nvSpPr>
            <xdr:cNvPr id="12320" name="Button 32" hidden="1">
              <a:extLst>
                <a:ext uri="{63B3BB69-23CF-44E3-9099-C40C66FF867C}">
                  <a14:compatExt spid="_x0000_s12320"/>
                </a:ext>
                <a:ext uri="{FF2B5EF4-FFF2-40B4-BE49-F238E27FC236}">
                  <a16:creationId xmlns:a16="http://schemas.microsoft.com/office/drawing/2014/main" id="{00000000-0008-0000-0300-000020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X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73</xdr:row>
          <xdr:rowOff>47625</xdr:rowOff>
        </xdr:from>
        <xdr:to>
          <xdr:col>0</xdr:col>
          <xdr:colOff>800100</xdr:colOff>
          <xdr:row>75</xdr:row>
          <xdr:rowOff>19050</xdr:rowOff>
        </xdr:to>
        <xdr:sp macro="" textlink="">
          <xdr:nvSpPr>
            <xdr:cNvPr id="12321" name="Button 33" hidden="1">
              <a:extLst>
                <a:ext uri="{63B3BB69-23CF-44E3-9099-C40C66FF867C}">
                  <a14:compatExt spid="_x0000_s12321"/>
                </a:ext>
                <a:ext uri="{FF2B5EF4-FFF2-40B4-BE49-F238E27FC236}">
                  <a16:creationId xmlns:a16="http://schemas.microsoft.com/office/drawing/2014/main" id="{00000000-0008-0000-0300-00002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876300</xdr:colOff>
          <xdr:row>73</xdr:row>
          <xdr:rowOff>47625</xdr:rowOff>
        </xdr:from>
        <xdr:to>
          <xdr:col>1</xdr:col>
          <xdr:colOff>609600</xdr:colOff>
          <xdr:row>75</xdr:row>
          <xdr:rowOff>19050</xdr:rowOff>
        </xdr:to>
        <xdr:sp macro="" textlink="">
          <xdr:nvSpPr>
            <xdr:cNvPr id="12322" name="Button 34" hidden="1">
              <a:extLst>
                <a:ext uri="{63B3BB69-23CF-44E3-9099-C40C66FF867C}">
                  <a14:compatExt spid="_x0000_s12322"/>
                </a:ext>
                <a:ext uri="{FF2B5EF4-FFF2-40B4-BE49-F238E27FC236}">
                  <a16:creationId xmlns:a16="http://schemas.microsoft.com/office/drawing/2014/main" id="{00000000-0008-0000-0300-00002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PDs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847725</xdr:colOff>
          <xdr:row>73</xdr:row>
          <xdr:rowOff>47625</xdr:rowOff>
        </xdr:from>
        <xdr:to>
          <xdr:col>3</xdr:col>
          <xdr:colOff>457200</xdr:colOff>
          <xdr:row>75</xdr:row>
          <xdr:rowOff>19050</xdr:rowOff>
        </xdr:to>
        <xdr:sp macro="" textlink="">
          <xdr:nvSpPr>
            <xdr:cNvPr id="12323" name="Button 35" hidden="1">
              <a:extLst>
                <a:ext uri="{63B3BB69-23CF-44E3-9099-C40C66FF867C}">
                  <a14:compatExt spid="_x0000_s12323"/>
                </a:ext>
                <a:ext uri="{FF2B5EF4-FFF2-40B4-BE49-F238E27FC236}">
                  <a16:creationId xmlns:a16="http://schemas.microsoft.com/office/drawing/2014/main" id="{00000000-0008-0000-0300-00002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W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73</xdr:row>
          <xdr:rowOff>47625</xdr:rowOff>
        </xdr:from>
        <xdr:to>
          <xdr:col>2</xdr:col>
          <xdr:colOff>781050</xdr:colOff>
          <xdr:row>75</xdr:row>
          <xdr:rowOff>19050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300-00002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X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19050</xdr:rowOff>
        </xdr:from>
        <xdr:to>
          <xdr:col>0</xdr:col>
          <xdr:colOff>885825</xdr:colOff>
          <xdr:row>1</xdr:row>
          <xdr:rowOff>66675</xdr:rowOff>
        </xdr:to>
        <xdr:sp macro="" textlink="">
          <xdr:nvSpPr>
            <xdr:cNvPr id="12325" name="Button 37" hidden="1">
              <a:extLst>
                <a:ext uri="{63B3BB69-23CF-44E3-9099-C40C66FF867C}">
                  <a14:compatExt spid="_x0000_s12325"/>
                </a:ext>
                <a:ext uri="{FF2B5EF4-FFF2-40B4-BE49-F238E27FC236}">
                  <a16:creationId xmlns:a16="http://schemas.microsoft.com/office/drawing/2014/main" id="{00000000-0008-0000-0300-000025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962025</xdr:colOff>
          <xdr:row>0</xdr:row>
          <xdr:rowOff>19050</xdr:rowOff>
        </xdr:from>
        <xdr:to>
          <xdr:col>2</xdr:col>
          <xdr:colOff>38100</xdr:colOff>
          <xdr:row>1</xdr:row>
          <xdr:rowOff>66675</xdr:rowOff>
        </xdr:to>
        <xdr:sp macro="" textlink="">
          <xdr:nvSpPr>
            <xdr:cNvPr id="12326" name="Button 38" hidden="1">
              <a:extLst>
                <a:ext uri="{63B3BB69-23CF-44E3-9099-C40C66FF867C}">
                  <a14:compatExt spid="_x0000_s12326"/>
                </a:ext>
                <a:ext uri="{FF2B5EF4-FFF2-40B4-BE49-F238E27FC236}">
                  <a16:creationId xmlns:a16="http://schemas.microsoft.com/office/drawing/2014/main" id="{00000000-0008-0000-0300-000026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PDs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0</xdr:row>
          <xdr:rowOff>19050</xdr:rowOff>
        </xdr:from>
        <xdr:to>
          <xdr:col>3</xdr:col>
          <xdr:colOff>552450</xdr:colOff>
          <xdr:row>1</xdr:row>
          <xdr:rowOff>66675</xdr:rowOff>
        </xdr:to>
        <xdr:sp macro="" textlink="">
          <xdr:nvSpPr>
            <xdr:cNvPr id="12327" name="Button 39" hidden="1">
              <a:extLst>
                <a:ext uri="{63B3BB69-23CF-44E3-9099-C40C66FF867C}">
                  <a14:compatExt spid="_x0000_s12327"/>
                </a:ext>
                <a:ext uri="{FF2B5EF4-FFF2-40B4-BE49-F238E27FC236}">
                  <a16:creationId xmlns:a16="http://schemas.microsoft.com/office/drawing/2014/main" id="{00000000-0008-0000-0300-000027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W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0</xdr:row>
          <xdr:rowOff>19050</xdr:rowOff>
        </xdr:from>
        <xdr:to>
          <xdr:col>2</xdr:col>
          <xdr:colOff>876300</xdr:colOff>
          <xdr:row>1</xdr:row>
          <xdr:rowOff>66675</xdr:rowOff>
        </xdr:to>
        <xdr:sp macro="" textlink="">
          <xdr:nvSpPr>
            <xdr:cNvPr id="12328" name="Button 40" hidden="1">
              <a:extLst>
                <a:ext uri="{63B3BB69-23CF-44E3-9099-C40C66FF867C}">
                  <a14:compatExt spid="_x0000_s12328"/>
                </a:ext>
                <a:ext uri="{FF2B5EF4-FFF2-40B4-BE49-F238E27FC236}">
                  <a16:creationId xmlns:a16="http://schemas.microsoft.com/office/drawing/2014/main" id="{00000000-0008-0000-0300-000028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X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47625</xdr:rowOff>
        </xdr:from>
        <xdr:to>
          <xdr:col>0</xdr:col>
          <xdr:colOff>790575</xdr:colOff>
          <xdr:row>27</xdr:row>
          <xdr:rowOff>19050</xdr:rowOff>
        </xdr:to>
        <xdr:sp macro="" textlink="">
          <xdr:nvSpPr>
            <xdr:cNvPr id="12329" name="Button 41" hidden="1">
              <a:extLst>
                <a:ext uri="{63B3BB69-23CF-44E3-9099-C40C66FF867C}">
                  <a14:compatExt spid="_x0000_s12329"/>
                </a:ext>
                <a:ext uri="{FF2B5EF4-FFF2-40B4-BE49-F238E27FC236}">
                  <a16:creationId xmlns:a16="http://schemas.microsoft.com/office/drawing/2014/main" id="{00000000-0008-0000-0300-000029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857250</xdr:colOff>
          <xdr:row>25</xdr:row>
          <xdr:rowOff>47625</xdr:rowOff>
        </xdr:from>
        <xdr:to>
          <xdr:col>1</xdr:col>
          <xdr:colOff>609600</xdr:colOff>
          <xdr:row>27</xdr:row>
          <xdr:rowOff>19050</xdr:rowOff>
        </xdr:to>
        <xdr:sp macro="" textlink="">
          <xdr:nvSpPr>
            <xdr:cNvPr id="12330" name="Button 42" hidden="1">
              <a:extLst>
                <a:ext uri="{63B3BB69-23CF-44E3-9099-C40C66FF867C}">
                  <a14:compatExt spid="_x0000_s12330"/>
                </a:ext>
                <a:ext uri="{FF2B5EF4-FFF2-40B4-BE49-F238E27FC236}">
                  <a16:creationId xmlns:a16="http://schemas.microsoft.com/office/drawing/2014/main" id="{00000000-0008-0000-0300-00002A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PDs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847725</xdr:colOff>
          <xdr:row>25</xdr:row>
          <xdr:rowOff>47625</xdr:rowOff>
        </xdr:from>
        <xdr:to>
          <xdr:col>3</xdr:col>
          <xdr:colOff>447675</xdr:colOff>
          <xdr:row>27</xdr:row>
          <xdr:rowOff>19050</xdr:rowOff>
        </xdr:to>
        <xdr:sp macro="" textlink="">
          <xdr:nvSpPr>
            <xdr:cNvPr id="12331" name="Button 43" hidden="1">
              <a:extLst>
                <a:ext uri="{63B3BB69-23CF-44E3-9099-C40C66FF867C}">
                  <a14:compatExt spid="_x0000_s12331"/>
                </a:ext>
                <a:ext uri="{FF2B5EF4-FFF2-40B4-BE49-F238E27FC236}">
                  <a16:creationId xmlns:a16="http://schemas.microsoft.com/office/drawing/2014/main" id="{00000000-0008-0000-0300-00002B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W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25</xdr:row>
          <xdr:rowOff>47625</xdr:rowOff>
        </xdr:from>
        <xdr:to>
          <xdr:col>2</xdr:col>
          <xdr:colOff>781050</xdr:colOff>
          <xdr:row>27</xdr:row>
          <xdr:rowOff>19050</xdr:rowOff>
        </xdr:to>
        <xdr:sp macro="" textlink="">
          <xdr:nvSpPr>
            <xdr:cNvPr id="12332" name="Button 44" hidden="1">
              <a:extLst>
                <a:ext uri="{63B3BB69-23CF-44E3-9099-C40C66FF867C}">
                  <a14:compatExt spid="_x0000_s12332"/>
                </a:ext>
                <a:ext uri="{FF2B5EF4-FFF2-40B4-BE49-F238E27FC236}">
                  <a16:creationId xmlns:a16="http://schemas.microsoft.com/office/drawing/2014/main" id="{00000000-0008-0000-0300-00002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X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790575</xdr:colOff>
          <xdr:row>52</xdr:row>
          <xdr:rowOff>66675</xdr:rowOff>
        </xdr:to>
        <xdr:sp macro="" textlink="">
          <xdr:nvSpPr>
            <xdr:cNvPr id="12333" name="Button 45" hidden="1">
              <a:extLst>
                <a:ext uri="{63B3BB69-23CF-44E3-9099-C40C66FF867C}">
                  <a14:compatExt spid="_x0000_s12333"/>
                </a:ext>
                <a:ext uri="{FF2B5EF4-FFF2-40B4-BE49-F238E27FC236}">
                  <a16:creationId xmlns:a16="http://schemas.microsoft.com/office/drawing/2014/main" id="{00000000-0008-0000-0300-00002D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857250</xdr:colOff>
          <xdr:row>51</xdr:row>
          <xdr:rowOff>19050</xdr:rowOff>
        </xdr:from>
        <xdr:to>
          <xdr:col>1</xdr:col>
          <xdr:colOff>609600</xdr:colOff>
          <xdr:row>52</xdr:row>
          <xdr:rowOff>66675</xdr:rowOff>
        </xdr:to>
        <xdr:sp macro="" textlink="">
          <xdr:nvSpPr>
            <xdr:cNvPr id="12334" name="Button 46" hidden="1">
              <a:extLst>
                <a:ext uri="{63B3BB69-23CF-44E3-9099-C40C66FF867C}">
                  <a14:compatExt spid="_x0000_s12334"/>
                </a:ext>
                <a:ext uri="{FF2B5EF4-FFF2-40B4-BE49-F238E27FC236}">
                  <a16:creationId xmlns:a16="http://schemas.microsoft.com/office/drawing/2014/main" id="{00000000-0008-0000-0300-00002E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PDs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847725</xdr:colOff>
          <xdr:row>51</xdr:row>
          <xdr:rowOff>19050</xdr:rowOff>
        </xdr:from>
        <xdr:to>
          <xdr:col>3</xdr:col>
          <xdr:colOff>447675</xdr:colOff>
          <xdr:row>52</xdr:row>
          <xdr:rowOff>66675</xdr:rowOff>
        </xdr:to>
        <xdr:sp macro="" textlink="">
          <xdr:nvSpPr>
            <xdr:cNvPr id="12335" name="Button 47" hidden="1">
              <a:extLst>
                <a:ext uri="{63B3BB69-23CF-44E3-9099-C40C66FF867C}">
                  <a14:compatExt spid="_x0000_s12335"/>
                </a:ext>
                <a:ext uri="{FF2B5EF4-FFF2-40B4-BE49-F238E27FC236}">
                  <a16:creationId xmlns:a16="http://schemas.microsoft.com/office/drawing/2014/main" id="{00000000-0008-0000-0300-00002F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W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51</xdr:row>
          <xdr:rowOff>19050</xdr:rowOff>
        </xdr:from>
        <xdr:to>
          <xdr:col>2</xdr:col>
          <xdr:colOff>781050</xdr:colOff>
          <xdr:row>52</xdr:row>
          <xdr:rowOff>66675</xdr:rowOff>
        </xdr:to>
        <xdr:sp macro="" textlink="">
          <xdr:nvSpPr>
            <xdr:cNvPr id="12336" name="Button 48" hidden="1">
              <a:extLst>
                <a:ext uri="{63B3BB69-23CF-44E3-9099-C40C66FF867C}">
                  <a14:compatExt spid="_x0000_s12336"/>
                </a:ext>
                <a:ext uri="{FF2B5EF4-FFF2-40B4-BE49-F238E27FC236}">
                  <a16:creationId xmlns:a16="http://schemas.microsoft.com/office/drawing/2014/main" id="{00000000-0008-0000-0300-000030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X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73</xdr:row>
          <xdr:rowOff>47625</xdr:rowOff>
        </xdr:from>
        <xdr:to>
          <xdr:col>0</xdr:col>
          <xdr:colOff>800100</xdr:colOff>
          <xdr:row>75</xdr:row>
          <xdr:rowOff>19050</xdr:rowOff>
        </xdr:to>
        <xdr:sp macro="" textlink="">
          <xdr:nvSpPr>
            <xdr:cNvPr id="12337" name="Button 49" hidden="1">
              <a:extLst>
                <a:ext uri="{63B3BB69-23CF-44E3-9099-C40C66FF867C}">
                  <a14:compatExt spid="_x0000_s12337"/>
                </a:ext>
                <a:ext uri="{FF2B5EF4-FFF2-40B4-BE49-F238E27FC236}">
                  <a16:creationId xmlns:a16="http://schemas.microsoft.com/office/drawing/2014/main" id="{00000000-0008-0000-0300-00003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876300</xdr:colOff>
          <xdr:row>73</xdr:row>
          <xdr:rowOff>47625</xdr:rowOff>
        </xdr:from>
        <xdr:to>
          <xdr:col>1</xdr:col>
          <xdr:colOff>609600</xdr:colOff>
          <xdr:row>75</xdr:row>
          <xdr:rowOff>19050</xdr:rowOff>
        </xdr:to>
        <xdr:sp macro="" textlink="">
          <xdr:nvSpPr>
            <xdr:cNvPr id="12338" name="Button 50" hidden="1">
              <a:extLst>
                <a:ext uri="{63B3BB69-23CF-44E3-9099-C40C66FF867C}">
                  <a14:compatExt spid="_x0000_s12338"/>
                </a:ext>
                <a:ext uri="{FF2B5EF4-FFF2-40B4-BE49-F238E27FC236}">
                  <a16:creationId xmlns:a16="http://schemas.microsoft.com/office/drawing/2014/main" id="{00000000-0008-0000-0300-00003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PDs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847725</xdr:colOff>
          <xdr:row>73</xdr:row>
          <xdr:rowOff>47625</xdr:rowOff>
        </xdr:from>
        <xdr:to>
          <xdr:col>3</xdr:col>
          <xdr:colOff>457200</xdr:colOff>
          <xdr:row>75</xdr:row>
          <xdr:rowOff>19050</xdr:rowOff>
        </xdr:to>
        <xdr:sp macro="" textlink="">
          <xdr:nvSpPr>
            <xdr:cNvPr id="12339" name="Button 51" hidden="1">
              <a:extLst>
                <a:ext uri="{63B3BB69-23CF-44E3-9099-C40C66FF867C}">
                  <a14:compatExt spid="_x0000_s12339"/>
                </a:ext>
                <a:ext uri="{FF2B5EF4-FFF2-40B4-BE49-F238E27FC236}">
                  <a16:creationId xmlns:a16="http://schemas.microsoft.com/office/drawing/2014/main" id="{00000000-0008-0000-0300-00003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W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73</xdr:row>
          <xdr:rowOff>47625</xdr:rowOff>
        </xdr:from>
        <xdr:to>
          <xdr:col>2</xdr:col>
          <xdr:colOff>781050</xdr:colOff>
          <xdr:row>75</xdr:row>
          <xdr:rowOff>19050</xdr:rowOff>
        </xdr:to>
        <xdr:sp macro="" textlink="">
          <xdr:nvSpPr>
            <xdr:cNvPr id="12340" name="Button 52" hidden="1">
              <a:extLst>
                <a:ext uri="{63B3BB69-23CF-44E3-9099-C40C66FF867C}">
                  <a14:compatExt spid="_x0000_s12340"/>
                </a:ext>
                <a:ext uri="{FF2B5EF4-FFF2-40B4-BE49-F238E27FC236}">
                  <a16:creationId xmlns:a16="http://schemas.microsoft.com/office/drawing/2014/main" id="{00000000-0008-0000-0300-00003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X Tolerance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72</xdr:row>
      <xdr:rowOff>0</xdr:rowOff>
    </xdr:from>
    <xdr:to>
      <xdr:col>11</xdr:col>
      <xdr:colOff>228600</xdr:colOff>
      <xdr:row>118</xdr:row>
      <xdr:rowOff>47625</xdr:rowOff>
    </xdr:to>
    <xdr:pic>
      <xdr:nvPicPr>
        <xdr:cNvPr id="131117" name="Picture 1">
          <a:extLst>
            <a:ext uri="{FF2B5EF4-FFF2-40B4-BE49-F238E27FC236}">
              <a16:creationId xmlns:a16="http://schemas.microsoft.com/office/drawing/2014/main" id="{00000000-0008-0000-0400-00002D0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1658600"/>
          <a:ext cx="7581900" cy="7496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0</xdr:col>
          <xdr:colOff>47625</xdr:colOff>
          <xdr:row>0</xdr:row>
          <xdr:rowOff>28575</xdr:rowOff>
        </xdr:from>
        <xdr:to>
          <xdr:col>2</xdr:col>
          <xdr:colOff>28575</xdr:colOff>
          <xdr:row>2</xdr:row>
          <xdr:rowOff>0</xdr:rowOff>
        </xdr:to>
        <xdr:sp macro="" textlink="">
          <xdr:nvSpPr>
            <xdr:cNvPr id="36884" name="Button 20" hidden="1">
              <a:extLst>
                <a:ext uri="{63B3BB69-23CF-44E3-9099-C40C66FF867C}">
                  <a14:compatExt spid="_x0000_s36884"/>
                </a:ext>
                <a:ext uri="{FF2B5EF4-FFF2-40B4-BE49-F238E27FC236}">
                  <a16:creationId xmlns:a16="http://schemas.microsoft.com/office/drawing/2014/main" id="{00000000-0008-0000-0400-00001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0</xdr:row>
          <xdr:rowOff>28575</xdr:rowOff>
        </xdr:from>
        <xdr:to>
          <xdr:col>4</xdr:col>
          <xdr:colOff>76200</xdr:colOff>
          <xdr:row>2</xdr:row>
          <xdr:rowOff>0</xdr:rowOff>
        </xdr:to>
        <xdr:sp macro="" textlink="">
          <xdr:nvSpPr>
            <xdr:cNvPr id="36885" name="Button 21" hidden="1">
              <a:extLst>
                <a:ext uri="{63B3BB69-23CF-44E3-9099-C40C66FF867C}">
                  <a14:compatExt spid="_x0000_s36885"/>
                </a:ext>
                <a:ext uri="{FF2B5EF4-FFF2-40B4-BE49-F238E27FC236}">
                  <a16:creationId xmlns:a16="http://schemas.microsoft.com/office/drawing/2014/main" id="{00000000-0008-0000-0400-000015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Metric Thread Plugs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0</xdr:row>
          <xdr:rowOff>28575</xdr:rowOff>
        </xdr:from>
        <xdr:to>
          <xdr:col>9</xdr:col>
          <xdr:colOff>257175</xdr:colOff>
          <xdr:row>2</xdr:row>
          <xdr:rowOff>0</xdr:rowOff>
        </xdr:to>
        <xdr:sp macro="" textlink="">
          <xdr:nvSpPr>
            <xdr:cNvPr id="36886" name="Button 22" hidden="1">
              <a:extLst>
                <a:ext uri="{63B3BB69-23CF-44E3-9099-C40C66FF867C}">
                  <a14:compatExt spid="_x0000_s36886"/>
                </a:ext>
                <a:ext uri="{FF2B5EF4-FFF2-40B4-BE49-F238E27FC236}">
                  <a16:creationId xmlns:a16="http://schemas.microsoft.com/office/drawing/2014/main" id="{00000000-0008-0000-0400-000016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W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0</xdr:row>
          <xdr:rowOff>28575</xdr:rowOff>
        </xdr:from>
        <xdr:to>
          <xdr:col>7</xdr:col>
          <xdr:colOff>38100</xdr:colOff>
          <xdr:row>2</xdr:row>
          <xdr:rowOff>0</xdr:rowOff>
        </xdr:to>
        <xdr:sp macro="" textlink="">
          <xdr:nvSpPr>
            <xdr:cNvPr id="36887" name="Button 23" hidden="1">
              <a:extLst>
                <a:ext uri="{63B3BB69-23CF-44E3-9099-C40C66FF867C}">
                  <a14:compatExt spid="_x0000_s36887"/>
                </a:ext>
                <a:ext uri="{FF2B5EF4-FFF2-40B4-BE49-F238E27FC236}">
                  <a16:creationId xmlns:a16="http://schemas.microsoft.com/office/drawing/2014/main" id="{00000000-0008-0000-0400-000017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X Tolerance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19050</xdr:rowOff>
        </xdr:from>
        <xdr:to>
          <xdr:col>1</xdr:col>
          <xdr:colOff>504825</xdr:colOff>
          <xdr:row>0</xdr:row>
          <xdr:rowOff>152400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500-000001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19050</xdr:rowOff>
        </xdr:from>
        <xdr:to>
          <xdr:col>2</xdr:col>
          <xdr:colOff>647700</xdr:colOff>
          <xdr:row>0</xdr:row>
          <xdr:rowOff>152400</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500-000002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Metric Thread Plugs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0</xdr:row>
          <xdr:rowOff>19050</xdr:rowOff>
        </xdr:from>
        <xdr:to>
          <xdr:col>5</xdr:col>
          <xdr:colOff>85725</xdr:colOff>
          <xdr:row>0</xdr:row>
          <xdr:rowOff>152400</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500-000003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W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19050</xdr:rowOff>
        </xdr:from>
        <xdr:to>
          <xdr:col>4</xdr:col>
          <xdr:colOff>19050</xdr:colOff>
          <xdr:row>0</xdr:row>
          <xdr:rowOff>152400</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0500-0000046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PDs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19050</xdr:rowOff>
        </xdr:from>
        <xdr:to>
          <xdr:col>1</xdr:col>
          <xdr:colOff>495300</xdr:colOff>
          <xdr:row>0</xdr:row>
          <xdr:rowOff>152400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600-000003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0</xdr:row>
          <xdr:rowOff>19050</xdr:rowOff>
        </xdr:from>
        <xdr:to>
          <xdr:col>2</xdr:col>
          <xdr:colOff>561975</xdr:colOff>
          <xdr:row>0</xdr:row>
          <xdr:rowOff>152400</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0000000-0008-0000-0600-000004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Metric Thread Plugs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0</xdr:row>
          <xdr:rowOff>19050</xdr:rowOff>
        </xdr:from>
        <xdr:to>
          <xdr:col>4</xdr:col>
          <xdr:colOff>714375</xdr:colOff>
          <xdr:row>0</xdr:row>
          <xdr:rowOff>152400</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PDs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619125</xdr:colOff>
          <xdr:row>0</xdr:row>
          <xdr:rowOff>19050</xdr:rowOff>
        </xdr:from>
        <xdr:to>
          <xdr:col>3</xdr:col>
          <xdr:colOff>647700</xdr:colOff>
          <xdr:row>0</xdr:row>
          <xdr:rowOff>152400</xdr:rowOff>
        </xdr:to>
        <xdr:sp macro="" textlink="">
          <xdr:nvSpPr>
            <xdr:cNvPr id="48134" name="Button 6" hidden="1">
              <a:extLst>
                <a:ext uri="{63B3BB69-23CF-44E3-9099-C40C66FF867C}">
                  <a14:compatExt spid="_x0000_s48134"/>
                </a:ext>
                <a:ext uri="{FF2B5EF4-FFF2-40B4-BE49-F238E27FC236}">
                  <a16:creationId xmlns:a16="http://schemas.microsoft.com/office/drawing/2014/main" id="{00000000-0008-0000-0600-000006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Look Up X Tolerance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790575</xdr:colOff>
          <xdr:row>0</xdr:row>
          <xdr:rowOff>152400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7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57150</xdr:colOff>
          <xdr:row>0</xdr:row>
          <xdr:rowOff>161925</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800-000008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47625</xdr:colOff>
          <xdr:row>0</xdr:row>
          <xdr:rowOff>152400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9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76200</xdr:colOff>
          <xdr:row>0</xdr:row>
          <xdr:rowOff>152400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A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76200</xdr:colOff>
          <xdr:row>0</xdr:row>
          <xdr:rowOff>152400</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B00-000004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161925</xdr:colOff>
      <xdr:row>3</xdr:row>
      <xdr:rowOff>9525</xdr:rowOff>
    </xdr:from>
    <xdr:to>
      <xdr:col>13</xdr:col>
      <xdr:colOff>85725</xdr:colOff>
      <xdr:row>27</xdr:row>
      <xdr:rowOff>19050</xdr:rowOff>
    </xdr:to>
    <xdr:pic>
      <xdr:nvPicPr>
        <xdr:cNvPr id="132141" name="Picture 1">
          <a:extLst>
            <a:ext uri="{FF2B5EF4-FFF2-40B4-BE49-F238E27FC236}">
              <a16:creationId xmlns:a16="http://schemas.microsoft.com/office/drawing/2014/main" id="{00000000-0008-0000-0C00-00002D04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73" t="8203" r="20644" b="38281"/>
        <a:stretch>
          <a:fillRect/>
        </a:stretch>
      </xdr:blipFill>
      <xdr:spPr bwMode="auto">
        <a:xfrm>
          <a:off x="161925" y="657225"/>
          <a:ext cx="7848600" cy="38957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0</xdr:col>
          <xdr:colOff>28575</xdr:colOff>
          <xdr:row>0</xdr:row>
          <xdr:rowOff>19050</xdr:rowOff>
        </xdr:from>
        <xdr:to>
          <xdr:col>2</xdr:col>
          <xdr:colOff>171450</xdr:colOff>
          <xdr:row>0</xdr:row>
          <xdr:rowOff>152400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C00-00001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95250</xdr:colOff>
          <xdr:row>0</xdr:row>
          <xdr:rowOff>161925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D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twoCellAnchor editAs="oneCell">
    <xdr:from>
      <xdr:col>12</xdr:col>
      <xdr:colOff>0</xdr:colOff>
      <xdr:row>19</xdr:row>
      <xdr:rowOff>0</xdr:rowOff>
    </xdr:from>
    <xdr:to>
      <xdr:col>13</xdr:col>
      <xdr:colOff>171450</xdr:colOff>
      <xdr:row>35</xdr:row>
      <xdr:rowOff>19050</xdr:rowOff>
    </xdr:to>
    <xdr:pic>
      <xdr:nvPicPr>
        <xdr:cNvPr id="139345" name="Picture 1">
          <a:extLst>
            <a:ext uri="{FF2B5EF4-FFF2-40B4-BE49-F238E27FC236}">
              <a16:creationId xmlns:a16="http://schemas.microsoft.com/office/drawing/2014/main" id="{00000000-0008-0000-0D00-0000512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10575" y="3238500"/>
          <a:ext cx="1657350" cy="2609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15</xdr:col>
      <xdr:colOff>0</xdr:colOff>
      <xdr:row>19</xdr:row>
      <xdr:rowOff>0</xdr:rowOff>
    </xdr:from>
    <xdr:to>
      <xdr:col>17</xdr:col>
      <xdr:colOff>19050</xdr:colOff>
      <xdr:row>34</xdr:row>
      <xdr:rowOff>85725</xdr:rowOff>
    </xdr:to>
    <xdr:pic>
      <xdr:nvPicPr>
        <xdr:cNvPr id="139346" name="Picture 2">
          <a:extLst>
            <a:ext uri="{FF2B5EF4-FFF2-40B4-BE49-F238E27FC236}">
              <a16:creationId xmlns:a16="http://schemas.microsoft.com/office/drawing/2014/main" id="{00000000-0008-0000-0D00-000052200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115675" y="3238500"/>
          <a:ext cx="1638300" cy="2514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47625</xdr:colOff>
      <xdr:row>18</xdr:row>
      <xdr:rowOff>76200</xdr:rowOff>
    </xdr:from>
    <xdr:to>
      <xdr:col>20</xdr:col>
      <xdr:colOff>180975</xdr:colOff>
      <xdr:row>39</xdr:row>
      <xdr:rowOff>57150</xdr:rowOff>
    </xdr:to>
    <xdr:pic>
      <xdr:nvPicPr>
        <xdr:cNvPr id="139347" name="Picture 3">
          <a:extLst>
            <a:ext uri="{FF2B5EF4-FFF2-40B4-BE49-F238E27FC236}">
              <a16:creationId xmlns:a16="http://schemas.microsoft.com/office/drawing/2014/main" id="{00000000-0008-0000-0D00-0000532002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744575" y="3152775"/>
          <a:ext cx="1866900" cy="3381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247650</xdr:colOff>
          <xdr:row>0</xdr:row>
          <xdr:rowOff>152400</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0E00-000002C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790575</xdr:colOff>
          <xdr:row>0</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F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790575</xdr:colOff>
          <xdr:row>0</xdr:row>
          <xdr:rowOff>152400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F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790575</xdr:colOff>
          <xdr:row>0</xdr:row>
          <xdr:rowOff>152400</xdr:rowOff>
        </xdr:to>
        <xdr:sp macro="" textlink="">
          <xdr:nvSpPr>
            <xdr:cNvPr id="138241" name="Button 1" hidden="1">
              <a:extLst>
                <a:ext uri="{63B3BB69-23CF-44E3-9099-C40C66FF867C}">
                  <a14:compatExt spid="_x0000_s138241"/>
                </a:ext>
                <a:ext uri="{FF2B5EF4-FFF2-40B4-BE49-F238E27FC236}">
                  <a16:creationId xmlns:a16="http://schemas.microsoft.com/office/drawing/2014/main" id="{00000000-0008-0000-1000-0000011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twoCellAnchor editAs="oneCell">
    <xdr:from>
      <xdr:col>0</xdr:col>
      <xdr:colOff>733425</xdr:colOff>
      <xdr:row>20</xdr:row>
      <xdr:rowOff>123825</xdr:rowOff>
    </xdr:from>
    <xdr:to>
      <xdr:col>2</xdr:col>
      <xdr:colOff>1819275</xdr:colOff>
      <xdr:row>70</xdr:row>
      <xdr:rowOff>0</xdr:rowOff>
    </xdr:to>
    <xdr:pic>
      <xdr:nvPicPr>
        <xdr:cNvPr id="138272" name="Picture 2">
          <a:extLst>
            <a:ext uri="{FF2B5EF4-FFF2-40B4-BE49-F238E27FC236}">
              <a16:creationId xmlns:a16="http://schemas.microsoft.com/office/drawing/2014/main" id="{00000000-0008-0000-1000-0000201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425" y="3438525"/>
          <a:ext cx="5486400" cy="797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790575</xdr:colOff>
          <xdr:row>0</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1100-000003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790575</xdr:colOff>
          <xdr:row>0</xdr:row>
          <xdr:rowOff>152400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12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190500</xdr:colOff>
          <xdr:row>0</xdr:row>
          <xdr:rowOff>152400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13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66675</xdr:colOff>
          <xdr:row>0</xdr:row>
          <xdr:rowOff>161925</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400-000003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3</xdr:col>
      <xdr:colOff>9524</xdr:colOff>
      <xdr:row>7</xdr:row>
      <xdr:rowOff>55245</xdr:rowOff>
    </xdr:from>
    <xdr:to>
      <xdr:col>6</xdr:col>
      <xdr:colOff>40046</xdr:colOff>
      <xdr:row>13</xdr:row>
      <xdr:rowOff>28639</xdr:rowOff>
    </xdr:to>
    <xdr:sp macro="" textlink="">
      <xdr:nvSpPr>
        <xdr:cNvPr id="2" name="Freeform 3">
          <a:extLst>
            <a:ext uri="{FF2B5EF4-FFF2-40B4-BE49-F238E27FC236}">
              <a16:creationId xmlns:a16="http://schemas.microsoft.com/office/drawing/2014/main" id="{00000000-0008-0000-1500-000002000000}"/>
            </a:ext>
          </a:extLst>
        </xdr:cNvPr>
        <xdr:cNvSpPr/>
      </xdr:nvSpPr>
      <xdr:spPr>
        <a:xfrm>
          <a:off x="1866899" y="1533525"/>
          <a:ext cx="1847852" cy="1047750"/>
        </a:xfrm>
        <a:custGeom>
          <a:avLst/>
          <a:gdLst>
            <a:gd name="connsiteX0" fmla="*/ 628650 w 3076575"/>
            <a:gd name="connsiteY0" fmla="*/ 381000 h 1733550"/>
            <a:gd name="connsiteX1" fmla="*/ 9525 w 3076575"/>
            <a:gd name="connsiteY1" fmla="*/ 571500 h 1733550"/>
            <a:gd name="connsiteX2" fmla="*/ 9525 w 3076575"/>
            <a:gd name="connsiteY2" fmla="*/ 771525 h 1733550"/>
            <a:gd name="connsiteX3" fmla="*/ 628650 w 3076575"/>
            <a:gd name="connsiteY3" fmla="*/ 962025 h 1733550"/>
            <a:gd name="connsiteX4" fmla="*/ 619125 w 3076575"/>
            <a:gd name="connsiteY4" fmla="*/ 1152525 h 1733550"/>
            <a:gd name="connsiteX5" fmla="*/ 9525 w 3076575"/>
            <a:gd name="connsiteY5" fmla="*/ 1333500 h 1733550"/>
            <a:gd name="connsiteX6" fmla="*/ 0 w 3076575"/>
            <a:gd name="connsiteY6" fmla="*/ 1543050 h 1733550"/>
            <a:gd name="connsiteX7" fmla="*/ 628650 w 3076575"/>
            <a:gd name="connsiteY7" fmla="*/ 1733550 h 1733550"/>
            <a:gd name="connsiteX8" fmla="*/ 2466975 w 3076575"/>
            <a:gd name="connsiteY8" fmla="*/ 1724025 h 1733550"/>
            <a:gd name="connsiteX9" fmla="*/ 2457450 w 3076575"/>
            <a:gd name="connsiteY9" fmla="*/ 1333500 h 1733550"/>
            <a:gd name="connsiteX10" fmla="*/ 3067050 w 3076575"/>
            <a:gd name="connsiteY10" fmla="*/ 1152525 h 1733550"/>
            <a:gd name="connsiteX11" fmla="*/ 3076575 w 3076575"/>
            <a:gd name="connsiteY11" fmla="*/ 923925 h 1733550"/>
            <a:gd name="connsiteX12" fmla="*/ 2457450 w 3076575"/>
            <a:gd name="connsiteY12" fmla="*/ 762000 h 1733550"/>
            <a:gd name="connsiteX13" fmla="*/ 2457450 w 3076575"/>
            <a:gd name="connsiteY13" fmla="*/ 561975 h 1733550"/>
            <a:gd name="connsiteX14" fmla="*/ 3067050 w 3076575"/>
            <a:gd name="connsiteY14" fmla="*/ 371475 h 1733550"/>
            <a:gd name="connsiteX15" fmla="*/ 3067050 w 3076575"/>
            <a:gd name="connsiteY15" fmla="*/ 200025 h 1733550"/>
            <a:gd name="connsiteX16" fmla="*/ 2447925 w 3076575"/>
            <a:gd name="connsiteY16" fmla="*/ 9525 h 1733550"/>
            <a:gd name="connsiteX17" fmla="*/ 619125 w 3076575"/>
            <a:gd name="connsiteY17" fmla="*/ 0 h 1733550"/>
            <a:gd name="connsiteX18" fmla="*/ 628650 w 3076575"/>
            <a:gd name="connsiteY18" fmla="*/ 381000 h 1733550"/>
            <a:gd name="connsiteX0" fmla="*/ 628650 w 3076575"/>
            <a:gd name="connsiteY0" fmla="*/ 371475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790575 w 3076575"/>
            <a:gd name="connsiteY17" fmla="*/ 171450 h 1724025"/>
            <a:gd name="connsiteX18" fmla="*/ 628650 w 3076575"/>
            <a:gd name="connsiteY18" fmla="*/ 371475 h 1724025"/>
            <a:gd name="connsiteX0" fmla="*/ 628650 w 3076575"/>
            <a:gd name="connsiteY0" fmla="*/ 371475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8650 w 3076575"/>
            <a:gd name="connsiteY18" fmla="*/ 371475 h 1724025"/>
            <a:gd name="connsiteX0" fmla="*/ 1119187 w 3076575"/>
            <a:gd name="connsiteY0" fmla="*/ 747712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1119187 w 3076575"/>
            <a:gd name="connsiteY18" fmla="*/ 747712 h 1724025"/>
            <a:gd name="connsiteX0" fmla="*/ 623887 w 3076575"/>
            <a:gd name="connsiteY0" fmla="*/ 376237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628650 w 3076575"/>
            <a:gd name="connsiteY3" fmla="*/ 952500 h 1724025"/>
            <a:gd name="connsiteX4" fmla="*/ 838200 w 3076575"/>
            <a:gd name="connsiteY4" fmla="*/ 1290638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628650 w 3076575"/>
            <a:gd name="connsiteY3" fmla="*/ 952500 h 1724025"/>
            <a:gd name="connsiteX4" fmla="*/ 623887 w 3076575"/>
            <a:gd name="connsiteY4" fmla="*/ 1133475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862013 w 3076575"/>
            <a:gd name="connsiteY3" fmla="*/ 814388 h 1724025"/>
            <a:gd name="connsiteX4" fmla="*/ 623887 w 3076575"/>
            <a:gd name="connsiteY4" fmla="*/ 1133475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619126 w 3076575"/>
            <a:gd name="connsiteY3" fmla="*/ 947738 h 1724025"/>
            <a:gd name="connsiteX4" fmla="*/ 623887 w 3076575"/>
            <a:gd name="connsiteY4" fmla="*/ 1133475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0 w 3067050"/>
            <a:gd name="connsiteY5" fmla="*/ 1323975 h 1724025"/>
            <a:gd name="connsiteX6" fmla="*/ 9525 w 3067050"/>
            <a:gd name="connsiteY6" fmla="*/ 1524000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0 w 3067050"/>
            <a:gd name="connsiteY5" fmla="*/ 1323975 h 1724025"/>
            <a:gd name="connsiteX6" fmla="*/ 538162 w 3067050"/>
            <a:gd name="connsiteY6" fmla="*/ 1381125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0 w 3067050"/>
            <a:gd name="connsiteY5" fmla="*/ 1323975 h 1724025"/>
            <a:gd name="connsiteX6" fmla="*/ 9524 w 3067050"/>
            <a:gd name="connsiteY6" fmla="*/ 1524000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180975 w 3067050"/>
            <a:gd name="connsiteY5" fmla="*/ 1433513 h 1724025"/>
            <a:gd name="connsiteX6" fmla="*/ 9524 w 3067050"/>
            <a:gd name="connsiteY6" fmla="*/ 1524000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9125 w 3071813"/>
            <a:gd name="connsiteY0" fmla="*/ 376237 h 1724025"/>
            <a:gd name="connsiteX1" fmla="*/ 4763 w 3071813"/>
            <a:gd name="connsiteY1" fmla="*/ 561975 h 1724025"/>
            <a:gd name="connsiteX2" fmla="*/ 4763 w 3071813"/>
            <a:gd name="connsiteY2" fmla="*/ 762000 h 1724025"/>
            <a:gd name="connsiteX3" fmla="*/ 614364 w 3071813"/>
            <a:gd name="connsiteY3" fmla="*/ 947738 h 1724025"/>
            <a:gd name="connsiteX4" fmla="*/ 619125 w 3071813"/>
            <a:gd name="connsiteY4" fmla="*/ 1133475 h 1724025"/>
            <a:gd name="connsiteX5" fmla="*/ 0 w 3071813"/>
            <a:gd name="connsiteY5" fmla="*/ 1333500 h 1724025"/>
            <a:gd name="connsiteX6" fmla="*/ 14287 w 3071813"/>
            <a:gd name="connsiteY6" fmla="*/ 1524000 h 1724025"/>
            <a:gd name="connsiteX7" fmla="*/ 623888 w 3071813"/>
            <a:gd name="connsiteY7" fmla="*/ 1724025 h 1724025"/>
            <a:gd name="connsiteX8" fmla="*/ 2462213 w 3071813"/>
            <a:gd name="connsiteY8" fmla="*/ 1714500 h 1724025"/>
            <a:gd name="connsiteX9" fmla="*/ 2452688 w 3071813"/>
            <a:gd name="connsiteY9" fmla="*/ 1323975 h 1724025"/>
            <a:gd name="connsiteX10" fmla="*/ 3062288 w 3071813"/>
            <a:gd name="connsiteY10" fmla="*/ 1143000 h 1724025"/>
            <a:gd name="connsiteX11" fmla="*/ 3071813 w 3071813"/>
            <a:gd name="connsiteY11" fmla="*/ 914400 h 1724025"/>
            <a:gd name="connsiteX12" fmla="*/ 2452688 w 3071813"/>
            <a:gd name="connsiteY12" fmla="*/ 752475 h 1724025"/>
            <a:gd name="connsiteX13" fmla="*/ 2452688 w 3071813"/>
            <a:gd name="connsiteY13" fmla="*/ 552450 h 1724025"/>
            <a:gd name="connsiteX14" fmla="*/ 3062288 w 3071813"/>
            <a:gd name="connsiteY14" fmla="*/ 361950 h 1724025"/>
            <a:gd name="connsiteX15" fmla="*/ 3062288 w 3071813"/>
            <a:gd name="connsiteY15" fmla="*/ 190500 h 1724025"/>
            <a:gd name="connsiteX16" fmla="*/ 2443163 w 3071813"/>
            <a:gd name="connsiteY16" fmla="*/ 0 h 1724025"/>
            <a:gd name="connsiteX17" fmla="*/ 623888 w 3071813"/>
            <a:gd name="connsiteY17" fmla="*/ 0 h 1724025"/>
            <a:gd name="connsiteX18" fmla="*/ 619125 w 3071813"/>
            <a:gd name="connsiteY18" fmla="*/ 376237 h 1724025"/>
            <a:gd name="connsiteX0" fmla="*/ 623888 w 3076576"/>
            <a:gd name="connsiteY0" fmla="*/ 376237 h 1724025"/>
            <a:gd name="connsiteX1" fmla="*/ 9526 w 3076576"/>
            <a:gd name="connsiteY1" fmla="*/ 561975 h 1724025"/>
            <a:gd name="connsiteX2" fmla="*/ 9526 w 3076576"/>
            <a:gd name="connsiteY2" fmla="*/ 762000 h 1724025"/>
            <a:gd name="connsiteX3" fmla="*/ 619127 w 3076576"/>
            <a:gd name="connsiteY3" fmla="*/ 947738 h 1724025"/>
            <a:gd name="connsiteX4" fmla="*/ 623888 w 3076576"/>
            <a:gd name="connsiteY4" fmla="*/ 1133475 h 1724025"/>
            <a:gd name="connsiteX5" fmla="*/ 4763 w 3076576"/>
            <a:gd name="connsiteY5" fmla="*/ 1333500 h 1724025"/>
            <a:gd name="connsiteX6" fmla="*/ 0 w 3076576"/>
            <a:gd name="connsiteY6" fmla="*/ 1524000 h 1724025"/>
            <a:gd name="connsiteX7" fmla="*/ 628651 w 3076576"/>
            <a:gd name="connsiteY7" fmla="*/ 1724025 h 1724025"/>
            <a:gd name="connsiteX8" fmla="*/ 2466976 w 3076576"/>
            <a:gd name="connsiteY8" fmla="*/ 1714500 h 1724025"/>
            <a:gd name="connsiteX9" fmla="*/ 2457451 w 3076576"/>
            <a:gd name="connsiteY9" fmla="*/ 1323975 h 1724025"/>
            <a:gd name="connsiteX10" fmla="*/ 3067051 w 3076576"/>
            <a:gd name="connsiteY10" fmla="*/ 1143000 h 1724025"/>
            <a:gd name="connsiteX11" fmla="*/ 3076576 w 3076576"/>
            <a:gd name="connsiteY11" fmla="*/ 914400 h 1724025"/>
            <a:gd name="connsiteX12" fmla="*/ 2457451 w 3076576"/>
            <a:gd name="connsiteY12" fmla="*/ 752475 h 1724025"/>
            <a:gd name="connsiteX13" fmla="*/ 2457451 w 3076576"/>
            <a:gd name="connsiteY13" fmla="*/ 552450 h 1724025"/>
            <a:gd name="connsiteX14" fmla="*/ 3067051 w 3076576"/>
            <a:gd name="connsiteY14" fmla="*/ 361950 h 1724025"/>
            <a:gd name="connsiteX15" fmla="*/ 3067051 w 3076576"/>
            <a:gd name="connsiteY15" fmla="*/ 190500 h 1724025"/>
            <a:gd name="connsiteX16" fmla="*/ 2447926 w 3076576"/>
            <a:gd name="connsiteY16" fmla="*/ 0 h 1724025"/>
            <a:gd name="connsiteX17" fmla="*/ 628651 w 3076576"/>
            <a:gd name="connsiteY17" fmla="*/ 0 h 1724025"/>
            <a:gd name="connsiteX18" fmla="*/ 623888 w 3076576"/>
            <a:gd name="connsiteY18" fmla="*/ 376237 h 1724025"/>
            <a:gd name="connsiteX0" fmla="*/ 623888 w 3076576"/>
            <a:gd name="connsiteY0" fmla="*/ 376237 h 1724025"/>
            <a:gd name="connsiteX1" fmla="*/ 9526 w 3076576"/>
            <a:gd name="connsiteY1" fmla="*/ 561975 h 1724025"/>
            <a:gd name="connsiteX2" fmla="*/ 9526 w 3076576"/>
            <a:gd name="connsiteY2" fmla="*/ 762000 h 1724025"/>
            <a:gd name="connsiteX3" fmla="*/ 619127 w 3076576"/>
            <a:gd name="connsiteY3" fmla="*/ 947738 h 1724025"/>
            <a:gd name="connsiteX4" fmla="*/ 623888 w 3076576"/>
            <a:gd name="connsiteY4" fmla="*/ 1133475 h 1724025"/>
            <a:gd name="connsiteX5" fmla="*/ 4763 w 3076576"/>
            <a:gd name="connsiteY5" fmla="*/ 1333500 h 1724025"/>
            <a:gd name="connsiteX6" fmla="*/ 0 w 3076576"/>
            <a:gd name="connsiteY6" fmla="*/ 1524000 h 1724025"/>
            <a:gd name="connsiteX7" fmla="*/ 628651 w 3076576"/>
            <a:gd name="connsiteY7" fmla="*/ 1724025 h 1724025"/>
            <a:gd name="connsiteX8" fmla="*/ 2447926 w 3076576"/>
            <a:gd name="connsiteY8" fmla="*/ 1719262 h 1724025"/>
            <a:gd name="connsiteX9" fmla="*/ 2457451 w 3076576"/>
            <a:gd name="connsiteY9" fmla="*/ 1323975 h 1724025"/>
            <a:gd name="connsiteX10" fmla="*/ 3067051 w 3076576"/>
            <a:gd name="connsiteY10" fmla="*/ 1143000 h 1724025"/>
            <a:gd name="connsiteX11" fmla="*/ 3076576 w 3076576"/>
            <a:gd name="connsiteY11" fmla="*/ 914400 h 1724025"/>
            <a:gd name="connsiteX12" fmla="*/ 2457451 w 3076576"/>
            <a:gd name="connsiteY12" fmla="*/ 752475 h 1724025"/>
            <a:gd name="connsiteX13" fmla="*/ 2457451 w 3076576"/>
            <a:gd name="connsiteY13" fmla="*/ 552450 h 1724025"/>
            <a:gd name="connsiteX14" fmla="*/ 3067051 w 3076576"/>
            <a:gd name="connsiteY14" fmla="*/ 361950 h 1724025"/>
            <a:gd name="connsiteX15" fmla="*/ 3067051 w 3076576"/>
            <a:gd name="connsiteY15" fmla="*/ 190500 h 1724025"/>
            <a:gd name="connsiteX16" fmla="*/ 2447926 w 3076576"/>
            <a:gd name="connsiteY16" fmla="*/ 0 h 1724025"/>
            <a:gd name="connsiteX17" fmla="*/ 628651 w 3076576"/>
            <a:gd name="connsiteY17" fmla="*/ 0 h 1724025"/>
            <a:gd name="connsiteX18" fmla="*/ 623888 w 3076576"/>
            <a:gd name="connsiteY18" fmla="*/ 376237 h 1724025"/>
            <a:gd name="connsiteX0" fmla="*/ 623888 w 3076576"/>
            <a:gd name="connsiteY0" fmla="*/ 376237 h 1728787"/>
            <a:gd name="connsiteX1" fmla="*/ 9526 w 3076576"/>
            <a:gd name="connsiteY1" fmla="*/ 561975 h 1728787"/>
            <a:gd name="connsiteX2" fmla="*/ 9526 w 3076576"/>
            <a:gd name="connsiteY2" fmla="*/ 762000 h 1728787"/>
            <a:gd name="connsiteX3" fmla="*/ 619127 w 3076576"/>
            <a:gd name="connsiteY3" fmla="*/ 947738 h 1728787"/>
            <a:gd name="connsiteX4" fmla="*/ 623888 w 3076576"/>
            <a:gd name="connsiteY4" fmla="*/ 1133475 h 1728787"/>
            <a:gd name="connsiteX5" fmla="*/ 4763 w 3076576"/>
            <a:gd name="connsiteY5" fmla="*/ 1333500 h 1728787"/>
            <a:gd name="connsiteX6" fmla="*/ 0 w 3076576"/>
            <a:gd name="connsiteY6" fmla="*/ 1524000 h 1728787"/>
            <a:gd name="connsiteX7" fmla="*/ 628651 w 3076576"/>
            <a:gd name="connsiteY7" fmla="*/ 1724025 h 1728787"/>
            <a:gd name="connsiteX8" fmla="*/ 2457451 w 3076576"/>
            <a:gd name="connsiteY8" fmla="*/ 1728787 h 1728787"/>
            <a:gd name="connsiteX9" fmla="*/ 2457451 w 3076576"/>
            <a:gd name="connsiteY9" fmla="*/ 1323975 h 1728787"/>
            <a:gd name="connsiteX10" fmla="*/ 3067051 w 3076576"/>
            <a:gd name="connsiteY10" fmla="*/ 1143000 h 1728787"/>
            <a:gd name="connsiteX11" fmla="*/ 3076576 w 3076576"/>
            <a:gd name="connsiteY11" fmla="*/ 914400 h 1728787"/>
            <a:gd name="connsiteX12" fmla="*/ 2457451 w 3076576"/>
            <a:gd name="connsiteY12" fmla="*/ 752475 h 1728787"/>
            <a:gd name="connsiteX13" fmla="*/ 2457451 w 3076576"/>
            <a:gd name="connsiteY13" fmla="*/ 552450 h 1728787"/>
            <a:gd name="connsiteX14" fmla="*/ 3067051 w 3076576"/>
            <a:gd name="connsiteY14" fmla="*/ 361950 h 1728787"/>
            <a:gd name="connsiteX15" fmla="*/ 3067051 w 3076576"/>
            <a:gd name="connsiteY15" fmla="*/ 190500 h 1728787"/>
            <a:gd name="connsiteX16" fmla="*/ 2447926 w 3076576"/>
            <a:gd name="connsiteY16" fmla="*/ 0 h 1728787"/>
            <a:gd name="connsiteX17" fmla="*/ 628651 w 3076576"/>
            <a:gd name="connsiteY17" fmla="*/ 0 h 1728787"/>
            <a:gd name="connsiteX18" fmla="*/ 623888 w 3076576"/>
            <a:gd name="connsiteY18" fmla="*/ 376237 h 1728787"/>
            <a:gd name="connsiteX0" fmla="*/ 623888 w 3067051"/>
            <a:gd name="connsiteY0" fmla="*/ 376237 h 1728787"/>
            <a:gd name="connsiteX1" fmla="*/ 9526 w 3067051"/>
            <a:gd name="connsiteY1" fmla="*/ 561975 h 1728787"/>
            <a:gd name="connsiteX2" fmla="*/ 9526 w 3067051"/>
            <a:gd name="connsiteY2" fmla="*/ 762000 h 1728787"/>
            <a:gd name="connsiteX3" fmla="*/ 619127 w 3067051"/>
            <a:gd name="connsiteY3" fmla="*/ 947738 h 1728787"/>
            <a:gd name="connsiteX4" fmla="*/ 623888 w 3067051"/>
            <a:gd name="connsiteY4" fmla="*/ 1133475 h 1728787"/>
            <a:gd name="connsiteX5" fmla="*/ 4763 w 3067051"/>
            <a:gd name="connsiteY5" fmla="*/ 1333500 h 1728787"/>
            <a:gd name="connsiteX6" fmla="*/ 0 w 3067051"/>
            <a:gd name="connsiteY6" fmla="*/ 1524000 h 1728787"/>
            <a:gd name="connsiteX7" fmla="*/ 628651 w 3067051"/>
            <a:gd name="connsiteY7" fmla="*/ 1724025 h 1728787"/>
            <a:gd name="connsiteX8" fmla="*/ 2457451 w 3067051"/>
            <a:gd name="connsiteY8" fmla="*/ 1728787 h 1728787"/>
            <a:gd name="connsiteX9" fmla="*/ 2457451 w 3067051"/>
            <a:gd name="connsiteY9" fmla="*/ 1323975 h 1728787"/>
            <a:gd name="connsiteX10" fmla="*/ 3067051 w 3067051"/>
            <a:gd name="connsiteY10" fmla="*/ 1143000 h 1728787"/>
            <a:gd name="connsiteX11" fmla="*/ 3067051 w 3067051"/>
            <a:gd name="connsiteY11" fmla="*/ 942975 h 1728787"/>
            <a:gd name="connsiteX12" fmla="*/ 2457451 w 3067051"/>
            <a:gd name="connsiteY12" fmla="*/ 752475 h 1728787"/>
            <a:gd name="connsiteX13" fmla="*/ 2457451 w 3067051"/>
            <a:gd name="connsiteY13" fmla="*/ 552450 h 1728787"/>
            <a:gd name="connsiteX14" fmla="*/ 3067051 w 3067051"/>
            <a:gd name="connsiteY14" fmla="*/ 361950 h 1728787"/>
            <a:gd name="connsiteX15" fmla="*/ 3067051 w 3067051"/>
            <a:gd name="connsiteY15" fmla="*/ 190500 h 1728787"/>
            <a:gd name="connsiteX16" fmla="*/ 2447926 w 3067051"/>
            <a:gd name="connsiteY16" fmla="*/ 0 h 1728787"/>
            <a:gd name="connsiteX17" fmla="*/ 628651 w 3067051"/>
            <a:gd name="connsiteY17" fmla="*/ 0 h 1728787"/>
            <a:gd name="connsiteX18" fmla="*/ 623888 w 3067051"/>
            <a:gd name="connsiteY18" fmla="*/ 376237 h 1728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067051" h="1728787">
              <a:moveTo>
                <a:pt x="623888" y="376237"/>
              </a:moveTo>
              <a:lnTo>
                <a:pt x="9526" y="561975"/>
              </a:lnTo>
              <a:lnTo>
                <a:pt x="9526" y="762000"/>
              </a:lnTo>
              <a:lnTo>
                <a:pt x="619127" y="947738"/>
              </a:lnTo>
              <a:lnTo>
                <a:pt x="623888" y="1133475"/>
              </a:lnTo>
              <a:lnTo>
                <a:pt x="4763" y="1333500"/>
              </a:lnTo>
              <a:lnTo>
                <a:pt x="0" y="1524000"/>
              </a:lnTo>
              <a:lnTo>
                <a:pt x="628651" y="1724025"/>
              </a:lnTo>
              <a:lnTo>
                <a:pt x="2457451" y="1728787"/>
              </a:lnTo>
              <a:lnTo>
                <a:pt x="2457451" y="1323975"/>
              </a:lnTo>
              <a:lnTo>
                <a:pt x="3067051" y="1143000"/>
              </a:lnTo>
              <a:lnTo>
                <a:pt x="3067051" y="942975"/>
              </a:lnTo>
              <a:lnTo>
                <a:pt x="2457451" y="752475"/>
              </a:lnTo>
              <a:lnTo>
                <a:pt x="2457451" y="552450"/>
              </a:lnTo>
              <a:lnTo>
                <a:pt x="3067051" y="361950"/>
              </a:lnTo>
              <a:lnTo>
                <a:pt x="3067051" y="190500"/>
              </a:lnTo>
              <a:lnTo>
                <a:pt x="2447926" y="0"/>
              </a:lnTo>
              <a:lnTo>
                <a:pt x="628651" y="0"/>
              </a:lnTo>
              <a:cubicBezTo>
                <a:pt x="627063" y="125412"/>
                <a:pt x="625476" y="250825"/>
                <a:pt x="623888" y="376237"/>
              </a:cubicBezTo>
              <a:close/>
            </a:path>
          </a:pathLst>
        </a:custGeom>
        <a:solidFill>
          <a:srgbClr val="82828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6</xdr:col>
      <xdr:colOff>270510</xdr:colOff>
      <xdr:row>8</xdr:row>
      <xdr:rowOff>28575</xdr:rowOff>
    </xdr:from>
    <xdr:to>
      <xdr:col>8</xdr:col>
      <xdr:colOff>259199</xdr:colOff>
      <xdr:row>12</xdr:row>
      <xdr:rowOff>59186</xdr:rowOff>
    </xdr:to>
    <xdr:sp macro="" textlink="">
      <xdr:nvSpPr>
        <xdr:cNvPr id="3" name="Rectangle 2">
          <a:extLst>
            <a:ext uri="{FF2B5EF4-FFF2-40B4-BE49-F238E27FC236}">
              <a16:creationId xmlns:a16="http://schemas.microsoft.com/office/drawing/2014/main" id="{00000000-0008-0000-1500-000003000000}"/>
            </a:ext>
          </a:extLst>
        </xdr:cNvPr>
        <xdr:cNvSpPr/>
      </xdr:nvSpPr>
      <xdr:spPr>
        <a:xfrm>
          <a:off x="4162425" y="1638300"/>
          <a:ext cx="1238250" cy="857250"/>
        </a:xfrm>
        <a:prstGeom prst="rect">
          <a:avLst/>
        </a:prstGeom>
        <a:solidFill>
          <a:srgbClr val="A5A5A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6</xdr:col>
      <xdr:colOff>33738</xdr:colOff>
      <xdr:row>8</xdr:row>
      <xdr:rowOff>38137</xdr:rowOff>
    </xdr:from>
    <xdr:to>
      <xdr:col>6</xdr:col>
      <xdr:colOff>270777</xdr:colOff>
      <xdr:row>12</xdr:row>
      <xdr:rowOff>59863</xdr:rowOff>
    </xdr:to>
    <xdr:sp macro="" textlink="">
      <xdr:nvSpPr>
        <xdr:cNvPr id="4" name="Rectangle 3">
          <a:extLst>
            <a:ext uri="{FF2B5EF4-FFF2-40B4-BE49-F238E27FC236}">
              <a16:creationId xmlns:a16="http://schemas.microsoft.com/office/drawing/2014/main" id="{00000000-0008-0000-1500-000004000000}"/>
            </a:ext>
          </a:extLst>
        </xdr:cNvPr>
        <xdr:cNvSpPr/>
      </xdr:nvSpPr>
      <xdr:spPr>
        <a:xfrm>
          <a:off x="3719913" y="1636432"/>
          <a:ext cx="475850" cy="859919"/>
        </a:xfrm>
        <a:prstGeom prst="rect">
          <a:avLst/>
        </a:prstGeom>
        <a:solidFill>
          <a:srgbClr val="5454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0</xdr:col>
      <xdr:colOff>93594</xdr:colOff>
      <xdr:row>8</xdr:row>
      <xdr:rowOff>38225</xdr:rowOff>
    </xdr:from>
    <xdr:to>
      <xdr:col>2</xdr:col>
      <xdr:colOff>97051</xdr:colOff>
      <xdr:row>12</xdr:row>
      <xdr:rowOff>59951</xdr:rowOff>
    </xdr:to>
    <xdr:sp macro="" textlink="">
      <xdr:nvSpPr>
        <xdr:cNvPr id="5" name="Rectangle 4">
          <a:extLst>
            <a:ext uri="{FF2B5EF4-FFF2-40B4-BE49-F238E27FC236}">
              <a16:creationId xmlns:a16="http://schemas.microsoft.com/office/drawing/2014/main" id="{00000000-0008-0000-1500-000005000000}"/>
            </a:ext>
          </a:extLst>
        </xdr:cNvPr>
        <xdr:cNvSpPr/>
      </xdr:nvSpPr>
      <xdr:spPr>
        <a:xfrm>
          <a:off x="186939" y="1636520"/>
          <a:ext cx="1228102" cy="859919"/>
        </a:xfrm>
        <a:prstGeom prst="rect">
          <a:avLst/>
        </a:prstGeom>
        <a:solidFill>
          <a:srgbClr val="A5A5A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2</xdr:col>
      <xdr:colOff>80963</xdr:colOff>
      <xdr:row>8</xdr:row>
      <xdr:rowOff>28663</xdr:rowOff>
    </xdr:from>
    <xdr:to>
      <xdr:col>3</xdr:col>
      <xdr:colOff>39248</xdr:colOff>
      <xdr:row>12</xdr:row>
      <xdr:rowOff>59274</xdr:rowOff>
    </xdr:to>
    <xdr:sp macro="" textlink="">
      <xdr:nvSpPr>
        <xdr:cNvPr id="6" name="Rectangle 5">
          <a:extLst>
            <a:ext uri="{FF2B5EF4-FFF2-40B4-BE49-F238E27FC236}">
              <a16:creationId xmlns:a16="http://schemas.microsoft.com/office/drawing/2014/main" id="{00000000-0008-0000-1500-000006000000}"/>
            </a:ext>
          </a:extLst>
        </xdr:cNvPr>
        <xdr:cNvSpPr/>
      </xdr:nvSpPr>
      <xdr:spPr>
        <a:xfrm>
          <a:off x="1385888" y="1638388"/>
          <a:ext cx="481635" cy="857250"/>
        </a:xfrm>
        <a:prstGeom prst="rect">
          <a:avLst/>
        </a:prstGeom>
        <a:solidFill>
          <a:srgbClr val="5454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3</xdr:col>
      <xdr:colOff>3809</xdr:colOff>
      <xdr:row>18</xdr:row>
      <xdr:rowOff>83820</xdr:rowOff>
    </xdr:from>
    <xdr:to>
      <xdr:col>6</xdr:col>
      <xdr:colOff>32480</xdr:colOff>
      <xdr:row>24</xdr:row>
      <xdr:rowOff>32177</xdr:rowOff>
    </xdr:to>
    <xdr:sp macro="" textlink="">
      <xdr:nvSpPr>
        <xdr:cNvPr id="7" name="Freeform 14">
          <a:extLst>
            <a:ext uri="{FF2B5EF4-FFF2-40B4-BE49-F238E27FC236}">
              <a16:creationId xmlns:a16="http://schemas.microsoft.com/office/drawing/2014/main" id="{00000000-0008-0000-1500-000007000000}"/>
            </a:ext>
          </a:extLst>
        </xdr:cNvPr>
        <xdr:cNvSpPr/>
      </xdr:nvSpPr>
      <xdr:spPr>
        <a:xfrm>
          <a:off x="1876424" y="3676650"/>
          <a:ext cx="1847852" cy="1047750"/>
        </a:xfrm>
        <a:custGeom>
          <a:avLst/>
          <a:gdLst>
            <a:gd name="connsiteX0" fmla="*/ 628650 w 3076575"/>
            <a:gd name="connsiteY0" fmla="*/ 381000 h 1733550"/>
            <a:gd name="connsiteX1" fmla="*/ 9525 w 3076575"/>
            <a:gd name="connsiteY1" fmla="*/ 571500 h 1733550"/>
            <a:gd name="connsiteX2" fmla="*/ 9525 w 3076575"/>
            <a:gd name="connsiteY2" fmla="*/ 771525 h 1733550"/>
            <a:gd name="connsiteX3" fmla="*/ 628650 w 3076575"/>
            <a:gd name="connsiteY3" fmla="*/ 962025 h 1733550"/>
            <a:gd name="connsiteX4" fmla="*/ 619125 w 3076575"/>
            <a:gd name="connsiteY4" fmla="*/ 1152525 h 1733550"/>
            <a:gd name="connsiteX5" fmla="*/ 9525 w 3076575"/>
            <a:gd name="connsiteY5" fmla="*/ 1333500 h 1733550"/>
            <a:gd name="connsiteX6" fmla="*/ 0 w 3076575"/>
            <a:gd name="connsiteY6" fmla="*/ 1543050 h 1733550"/>
            <a:gd name="connsiteX7" fmla="*/ 628650 w 3076575"/>
            <a:gd name="connsiteY7" fmla="*/ 1733550 h 1733550"/>
            <a:gd name="connsiteX8" fmla="*/ 2466975 w 3076575"/>
            <a:gd name="connsiteY8" fmla="*/ 1724025 h 1733550"/>
            <a:gd name="connsiteX9" fmla="*/ 2457450 w 3076575"/>
            <a:gd name="connsiteY9" fmla="*/ 1333500 h 1733550"/>
            <a:gd name="connsiteX10" fmla="*/ 3067050 w 3076575"/>
            <a:gd name="connsiteY10" fmla="*/ 1152525 h 1733550"/>
            <a:gd name="connsiteX11" fmla="*/ 3076575 w 3076575"/>
            <a:gd name="connsiteY11" fmla="*/ 923925 h 1733550"/>
            <a:gd name="connsiteX12" fmla="*/ 2457450 w 3076575"/>
            <a:gd name="connsiteY12" fmla="*/ 762000 h 1733550"/>
            <a:gd name="connsiteX13" fmla="*/ 2457450 w 3076575"/>
            <a:gd name="connsiteY13" fmla="*/ 561975 h 1733550"/>
            <a:gd name="connsiteX14" fmla="*/ 3067050 w 3076575"/>
            <a:gd name="connsiteY14" fmla="*/ 371475 h 1733550"/>
            <a:gd name="connsiteX15" fmla="*/ 3067050 w 3076575"/>
            <a:gd name="connsiteY15" fmla="*/ 200025 h 1733550"/>
            <a:gd name="connsiteX16" fmla="*/ 2447925 w 3076575"/>
            <a:gd name="connsiteY16" fmla="*/ 9525 h 1733550"/>
            <a:gd name="connsiteX17" fmla="*/ 619125 w 3076575"/>
            <a:gd name="connsiteY17" fmla="*/ 0 h 1733550"/>
            <a:gd name="connsiteX18" fmla="*/ 628650 w 3076575"/>
            <a:gd name="connsiteY18" fmla="*/ 381000 h 1733550"/>
            <a:gd name="connsiteX0" fmla="*/ 628650 w 3076575"/>
            <a:gd name="connsiteY0" fmla="*/ 371475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790575 w 3076575"/>
            <a:gd name="connsiteY17" fmla="*/ 171450 h 1724025"/>
            <a:gd name="connsiteX18" fmla="*/ 628650 w 3076575"/>
            <a:gd name="connsiteY18" fmla="*/ 371475 h 1724025"/>
            <a:gd name="connsiteX0" fmla="*/ 628650 w 3076575"/>
            <a:gd name="connsiteY0" fmla="*/ 371475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8650 w 3076575"/>
            <a:gd name="connsiteY18" fmla="*/ 371475 h 1724025"/>
            <a:gd name="connsiteX0" fmla="*/ 1119187 w 3076575"/>
            <a:gd name="connsiteY0" fmla="*/ 747712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1119187 w 3076575"/>
            <a:gd name="connsiteY18" fmla="*/ 747712 h 1724025"/>
            <a:gd name="connsiteX0" fmla="*/ 623887 w 3076575"/>
            <a:gd name="connsiteY0" fmla="*/ 376237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628650 w 3076575"/>
            <a:gd name="connsiteY3" fmla="*/ 952500 h 1724025"/>
            <a:gd name="connsiteX4" fmla="*/ 838200 w 3076575"/>
            <a:gd name="connsiteY4" fmla="*/ 1290638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628650 w 3076575"/>
            <a:gd name="connsiteY3" fmla="*/ 952500 h 1724025"/>
            <a:gd name="connsiteX4" fmla="*/ 623887 w 3076575"/>
            <a:gd name="connsiteY4" fmla="*/ 1133475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862013 w 3076575"/>
            <a:gd name="connsiteY3" fmla="*/ 814388 h 1724025"/>
            <a:gd name="connsiteX4" fmla="*/ 623887 w 3076575"/>
            <a:gd name="connsiteY4" fmla="*/ 1133475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619126 w 3076575"/>
            <a:gd name="connsiteY3" fmla="*/ 947738 h 1724025"/>
            <a:gd name="connsiteX4" fmla="*/ 623887 w 3076575"/>
            <a:gd name="connsiteY4" fmla="*/ 1133475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0 w 3067050"/>
            <a:gd name="connsiteY5" fmla="*/ 1323975 h 1724025"/>
            <a:gd name="connsiteX6" fmla="*/ 9525 w 3067050"/>
            <a:gd name="connsiteY6" fmla="*/ 1524000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0 w 3067050"/>
            <a:gd name="connsiteY5" fmla="*/ 1323975 h 1724025"/>
            <a:gd name="connsiteX6" fmla="*/ 538162 w 3067050"/>
            <a:gd name="connsiteY6" fmla="*/ 1381125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0 w 3067050"/>
            <a:gd name="connsiteY5" fmla="*/ 1323975 h 1724025"/>
            <a:gd name="connsiteX6" fmla="*/ 9524 w 3067050"/>
            <a:gd name="connsiteY6" fmla="*/ 1524000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180975 w 3067050"/>
            <a:gd name="connsiteY5" fmla="*/ 1433513 h 1724025"/>
            <a:gd name="connsiteX6" fmla="*/ 9524 w 3067050"/>
            <a:gd name="connsiteY6" fmla="*/ 1524000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9125 w 3071813"/>
            <a:gd name="connsiteY0" fmla="*/ 376237 h 1724025"/>
            <a:gd name="connsiteX1" fmla="*/ 4763 w 3071813"/>
            <a:gd name="connsiteY1" fmla="*/ 561975 h 1724025"/>
            <a:gd name="connsiteX2" fmla="*/ 4763 w 3071813"/>
            <a:gd name="connsiteY2" fmla="*/ 762000 h 1724025"/>
            <a:gd name="connsiteX3" fmla="*/ 614364 w 3071813"/>
            <a:gd name="connsiteY3" fmla="*/ 947738 h 1724025"/>
            <a:gd name="connsiteX4" fmla="*/ 619125 w 3071813"/>
            <a:gd name="connsiteY4" fmla="*/ 1133475 h 1724025"/>
            <a:gd name="connsiteX5" fmla="*/ 0 w 3071813"/>
            <a:gd name="connsiteY5" fmla="*/ 1333500 h 1724025"/>
            <a:gd name="connsiteX6" fmla="*/ 14287 w 3071813"/>
            <a:gd name="connsiteY6" fmla="*/ 1524000 h 1724025"/>
            <a:gd name="connsiteX7" fmla="*/ 623888 w 3071813"/>
            <a:gd name="connsiteY7" fmla="*/ 1724025 h 1724025"/>
            <a:gd name="connsiteX8" fmla="*/ 2462213 w 3071813"/>
            <a:gd name="connsiteY8" fmla="*/ 1714500 h 1724025"/>
            <a:gd name="connsiteX9" fmla="*/ 2452688 w 3071813"/>
            <a:gd name="connsiteY9" fmla="*/ 1323975 h 1724025"/>
            <a:gd name="connsiteX10" fmla="*/ 3062288 w 3071813"/>
            <a:gd name="connsiteY10" fmla="*/ 1143000 h 1724025"/>
            <a:gd name="connsiteX11" fmla="*/ 3071813 w 3071813"/>
            <a:gd name="connsiteY11" fmla="*/ 914400 h 1724025"/>
            <a:gd name="connsiteX12" fmla="*/ 2452688 w 3071813"/>
            <a:gd name="connsiteY12" fmla="*/ 752475 h 1724025"/>
            <a:gd name="connsiteX13" fmla="*/ 2452688 w 3071813"/>
            <a:gd name="connsiteY13" fmla="*/ 552450 h 1724025"/>
            <a:gd name="connsiteX14" fmla="*/ 3062288 w 3071813"/>
            <a:gd name="connsiteY14" fmla="*/ 361950 h 1724025"/>
            <a:gd name="connsiteX15" fmla="*/ 3062288 w 3071813"/>
            <a:gd name="connsiteY15" fmla="*/ 190500 h 1724025"/>
            <a:gd name="connsiteX16" fmla="*/ 2443163 w 3071813"/>
            <a:gd name="connsiteY16" fmla="*/ 0 h 1724025"/>
            <a:gd name="connsiteX17" fmla="*/ 623888 w 3071813"/>
            <a:gd name="connsiteY17" fmla="*/ 0 h 1724025"/>
            <a:gd name="connsiteX18" fmla="*/ 619125 w 3071813"/>
            <a:gd name="connsiteY18" fmla="*/ 376237 h 1724025"/>
            <a:gd name="connsiteX0" fmla="*/ 623888 w 3076576"/>
            <a:gd name="connsiteY0" fmla="*/ 376237 h 1724025"/>
            <a:gd name="connsiteX1" fmla="*/ 9526 w 3076576"/>
            <a:gd name="connsiteY1" fmla="*/ 561975 h 1724025"/>
            <a:gd name="connsiteX2" fmla="*/ 9526 w 3076576"/>
            <a:gd name="connsiteY2" fmla="*/ 762000 h 1724025"/>
            <a:gd name="connsiteX3" fmla="*/ 619127 w 3076576"/>
            <a:gd name="connsiteY3" fmla="*/ 947738 h 1724025"/>
            <a:gd name="connsiteX4" fmla="*/ 623888 w 3076576"/>
            <a:gd name="connsiteY4" fmla="*/ 1133475 h 1724025"/>
            <a:gd name="connsiteX5" fmla="*/ 4763 w 3076576"/>
            <a:gd name="connsiteY5" fmla="*/ 1333500 h 1724025"/>
            <a:gd name="connsiteX6" fmla="*/ 0 w 3076576"/>
            <a:gd name="connsiteY6" fmla="*/ 1524000 h 1724025"/>
            <a:gd name="connsiteX7" fmla="*/ 628651 w 3076576"/>
            <a:gd name="connsiteY7" fmla="*/ 1724025 h 1724025"/>
            <a:gd name="connsiteX8" fmla="*/ 2466976 w 3076576"/>
            <a:gd name="connsiteY8" fmla="*/ 1714500 h 1724025"/>
            <a:gd name="connsiteX9" fmla="*/ 2457451 w 3076576"/>
            <a:gd name="connsiteY9" fmla="*/ 1323975 h 1724025"/>
            <a:gd name="connsiteX10" fmla="*/ 3067051 w 3076576"/>
            <a:gd name="connsiteY10" fmla="*/ 1143000 h 1724025"/>
            <a:gd name="connsiteX11" fmla="*/ 3076576 w 3076576"/>
            <a:gd name="connsiteY11" fmla="*/ 914400 h 1724025"/>
            <a:gd name="connsiteX12" fmla="*/ 2457451 w 3076576"/>
            <a:gd name="connsiteY12" fmla="*/ 752475 h 1724025"/>
            <a:gd name="connsiteX13" fmla="*/ 2457451 w 3076576"/>
            <a:gd name="connsiteY13" fmla="*/ 552450 h 1724025"/>
            <a:gd name="connsiteX14" fmla="*/ 3067051 w 3076576"/>
            <a:gd name="connsiteY14" fmla="*/ 361950 h 1724025"/>
            <a:gd name="connsiteX15" fmla="*/ 3067051 w 3076576"/>
            <a:gd name="connsiteY15" fmla="*/ 190500 h 1724025"/>
            <a:gd name="connsiteX16" fmla="*/ 2447926 w 3076576"/>
            <a:gd name="connsiteY16" fmla="*/ 0 h 1724025"/>
            <a:gd name="connsiteX17" fmla="*/ 628651 w 3076576"/>
            <a:gd name="connsiteY17" fmla="*/ 0 h 1724025"/>
            <a:gd name="connsiteX18" fmla="*/ 623888 w 3076576"/>
            <a:gd name="connsiteY18" fmla="*/ 376237 h 1724025"/>
            <a:gd name="connsiteX0" fmla="*/ 623888 w 3076576"/>
            <a:gd name="connsiteY0" fmla="*/ 376237 h 1724025"/>
            <a:gd name="connsiteX1" fmla="*/ 9526 w 3076576"/>
            <a:gd name="connsiteY1" fmla="*/ 561975 h 1724025"/>
            <a:gd name="connsiteX2" fmla="*/ 9526 w 3076576"/>
            <a:gd name="connsiteY2" fmla="*/ 762000 h 1724025"/>
            <a:gd name="connsiteX3" fmla="*/ 619127 w 3076576"/>
            <a:gd name="connsiteY3" fmla="*/ 947738 h 1724025"/>
            <a:gd name="connsiteX4" fmla="*/ 623888 w 3076576"/>
            <a:gd name="connsiteY4" fmla="*/ 1133475 h 1724025"/>
            <a:gd name="connsiteX5" fmla="*/ 4763 w 3076576"/>
            <a:gd name="connsiteY5" fmla="*/ 1333500 h 1724025"/>
            <a:gd name="connsiteX6" fmla="*/ 0 w 3076576"/>
            <a:gd name="connsiteY6" fmla="*/ 1524000 h 1724025"/>
            <a:gd name="connsiteX7" fmla="*/ 628651 w 3076576"/>
            <a:gd name="connsiteY7" fmla="*/ 1724025 h 1724025"/>
            <a:gd name="connsiteX8" fmla="*/ 2447926 w 3076576"/>
            <a:gd name="connsiteY8" fmla="*/ 1719262 h 1724025"/>
            <a:gd name="connsiteX9" fmla="*/ 2457451 w 3076576"/>
            <a:gd name="connsiteY9" fmla="*/ 1323975 h 1724025"/>
            <a:gd name="connsiteX10" fmla="*/ 3067051 w 3076576"/>
            <a:gd name="connsiteY10" fmla="*/ 1143000 h 1724025"/>
            <a:gd name="connsiteX11" fmla="*/ 3076576 w 3076576"/>
            <a:gd name="connsiteY11" fmla="*/ 914400 h 1724025"/>
            <a:gd name="connsiteX12" fmla="*/ 2457451 w 3076576"/>
            <a:gd name="connsiteY12" fmla="*/ 752475 h 1724025"/>
            <a:gd name="connsiteX13" fmla="*/ 2457451 w 3076576"/>
            <a:gd name="connsiteY13" fmla="*/ 552450 h 1724025"/>
            <a:gd name="connsiteX14" fmla="*/ 3067051 w 3076576"/>
            <a:gd name="connsiteY14" fmla="*/ 361950 h 1724025"/>
            <a:gd name="connsiteX15" fmla="*/ 3067051 w 3076576"/>
            <a:gd name="connsiteY15" fmla="*/ 190500 h 1724025"/>
            <a:gd name="connsiteX16" fmla="*/ 2447926 w 3076576"/>
            <a:gd name="connsiteY16" fmla="*/ 0 h 1724025"/>
            <a:gd name="connsiteX17" fmla="*/ 628651 w 3076576"/>
            <a:gd name="connsiteY17" fmla="*/ 0 h 1724025"/>
            <a:gd name="connsiteX18" fmla="*/ 623888 w 3076576"/>
            <a:gd name="connsiteY18" fmla="*/ 376237 h 1724025"/>
            <a:gd name="connsiteX0" fmla="*/ 623888 w 3076576"/>
            <a:gd name="connsiteY0" fmla="*/ 376237 h 1728787"/>
            <a:gd name="connsiteX1" fmla="*/ 9526 w 3076576"/>
            <a:gd name="connsiteY1" fmla="*/ 561975 h 1728787"/>
            <a:gd name="connsiteX2" fmla="*/ 9526 w 3076576"/>
            <a:gd name="connsiteY2" fmla="*/ 762000 h 1728787"/>
            <a:gd name="connsiteX3" fmla="*/ 619127 w 3076576"/>
            <a:gd name="connsiteY3" fmla="*/ 947738 h 1728787"/>
            <a:gd name="connsiteX4" fmla="*/ 623888 w 3076576"/>
            <a:gd name="connsiteY4" fmla="*/ 1133475 h 1728787"/>
            <a:gd name="connsiteX5" fmla="*/ 4763 w 3076576"/>
            <a:gd name="connsiteY5" fmla="*/ 1333500 h 1728787"/>
            <a:gd name="connsiteX6" fmla="*/ 0 w 3076576"/>
            <a:gd name="connsiteY6" fmla="*/ 1524000 h 1728787"/>
            <a:gd name="connsiteX7" fmla="*/ 628651 w 3076576"/>
            <a:gd name="connsiteY7" fmla="*/ 1724025 h 1728787"/>
            <a:gd name="connsiteX8" fmla="*/ 2457451 w 3076576"/>
            <a:gd name="connsiteY8" fmla="*/ 1728787 h 1728787"/>
            <a:gd name="connsiteX9" fmla="*/ 2457451 w 3076576"/>
            <a:gd name="connsiteY9" fmla="*/ 1323975 h 1728787"/>
            <a:gd name="connsiteX10" fmla="*/ 3067051 w 3076576"/>
            <a:gd name="connsiteY10" fmla="*/ 1143000 h 1728787"/>
            <a:gd name="connsiteX11" fmla="*/ 3076576 w 3076576"/>
            <a:gd name="connsiteY11" fmla="*/ 914400 h 1728787"/>
            <a:gd name="connsiteX12" fmla="*/ 2457451 w 3076576"/>
            <a:gd name="connsiteY12" fmla="*/ 752475 h 1728787"/>
            <a:gd name="connsiteX13" fmla="*/ 2457451 w 3076576"/>
            <a:gd name="connsiteY13" fmla="*/ 552450 h 1728787"/>
            <a:gd name="connsiteX14" fmla="*/ 3067051 w 3076576"/>
            <a:gd name="connsiteY14" fmla="*/ 361950 h 1728787"/>
            <a:gd name="connsiteX15" fmla="*/ 3067051 w 3076576"/>
            <a:gd name="connsiteY15" fmla="*/ 190500 h 1728787"/>
            <a:gd name="connsiteX16" fmla="*/ 2447926 w 3076576"/>
            <a:gd name="connsiteY16" fmla="*/ 0 h 1728787"/>
            <a:gd name="connsiteX17" fmla="*/ 628651 w 3076576"/>
            <a:gd name="connsiteY17" fmla="*/ 0 h 1728787"/>
            <a:gd name="connsiteX18" fmla="*/ 623888 w 3076576"/>
            <a:gd name="connsiteY18" fmla="*/ 376237 h 1728787"/>
            <a:gd name="connsiteX0" fmla="*/ 623888 w 3067051"/>
            <a:gd name="connsiteY0" fmla="*/ 376237 h 1728787"/>
            <a:gd name="connsiteX1" fmla="*/ 9526 w 3067051"/>
            <a:gd name="connsiteY1" fmla="*/ 561975 h 1728787"/>
            <a:gd name="connsiteX2" fmla="*/ 9526 w 3067051"/>
            <a:gd name="connsiteY2" fmla="*/ 762000 h 1728787"/>
            <a:gd name="connsiteX3" fmla="*/ 619127 w 3067051"/>
            <a:gd name="connsiteY3" fmla="*/ 947738 h 1728787"/>
            <a:gd name="connsiteX4" fmla="*/ 623888 w 3067051"/>
            <a:gd name="connsiteY4" fmla="*/ 1133475 h 1728787"/>
            <a:gd name="connsiteX5" fmla="*/ 4763 w 3067051"/>
            <a:gd name="connsiteY5" fmla="*/ 1333500 h 1728787"/>
            <a:gd name="connsiteX6" fmla="*/ 0 w 3067051"/>
            <a:gd name="connsiteY6" fmla="*/ 1524000 h 1728787"/>
            <a:gd name="connsiteX7" fmla="*/ 628651 w 3067051"/>
            <a:gd name="connsiteY7" fmla="*/ 1724025 h 1728787"/>
            <a:gd name="connsiteX8" fmla="*/ 2457451 w 3067051"/>
            <a:gd name="connsiteY8" fmla="*/ 1728787 h 1728787"/>
            <a:gd name="connsiteX9" fmla="*/ 2457451 w 3067051"/>
            <a:gd name="connsiteY9" fmla="*/ 1323975 h 1728787"/>
            <a:gd name="connsiteX10" fmla="*/ 3067051 w 3067051"/>
            <a:gd name="connsiteY10" fmla="*/ 1143000 h 1728787"/>
            <a:gd name="connsiteX11" fmla="*/ 3067051 w 3067051"/>
            <a:gd name="connsiteY11" fmla="*/ 942975 h 1728787"/>
            <a:gd name="connsiteX12" fmla="*/ 2457451 w 3067051"/>
            <a:gd name="connsiteY12" fmla="*/ 752475 h 1728787"/>
            <a:gd name="connsiteX13" fmla="*/ 2457451 w 3067051"/>
            <a:gd name="connsiteY13" fmla="*/ 552450 h 1728787"/>
            <a:gd name="connsiteX14" fmla="*/ 3067051 w 3067051"/>
            <a:gd name="connsiteY14" fmla="*/ 361950 h 1728787"/>
            <a:gd name="connsiteX15" fmla="*/ 3067051 w 3067051"/>
            <a:gd name="connsiteY15" fmla="*/ 190500 h 1728787"/>
            <a:gd name="connsiteX16" fmla="*/ 2447926 w 3067051"/>
            <a:gd name="connsiteY16" fmla="*/ 0 h 1728787"/>
            <a:gd name="connsiteX17" fmla="*/ 628651 w 3067051"/>
            <a:gd name="connsiteY17" fmla="*/ 0 h 1728787"/>
            <a:gd name="connsiteX18" fmla="*/ 623888 w 3067051"/>
            <a:gd name="connsiteY18" fmla="*/ 376237 h 1728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067051" h="1728787">
              <a:moveTo>
                <a:pt x="623888" y="376237"/>
              </a:moveTo>
              <a:lnTo>
                <a:pt x="9526" y="561975"/>
              </a:lnTo>
              <a:lnTo>
                <a:pt x="9526" y="762000"/>
              </a:lnTo>
              <a:lnTo>
                <a:pt x="619127" y="947738"/>
              </a:lnTo>
              <a:lnTo>
                <a:pt x="623888" y="1133475"/>
              </a:lnTo>
              <a:lnTo>
                <a:pt x="4763" y="1333500"/>
              </a:lnTo>
              <a:lnTo>
                <a:pt x="0" y="1524000"/>
              </a:lnTo>
              <a:lnTo>
                <a:pt x="628651" y="1724025"/>
              </a:lnTo>
              <a:lnTo>
                <a:pt x="2457451" y="1728787"/>
              </a:lnTo>
              <a:lnTo>
                <a:pt x="2457451" y="1323975"/>
              </a:lnTo>
              <a:lnTo>
                <a:pt x="3067051" y="1143000"/>
              </a:lnTo>
              <a:lnTo>
                <a:pt x="3067051" y="942975"/>
              </a:lnTo>
              <a:lnTo>
                <a:pt x="2457451" y="752475"/>
              </a:lnTo>
              <a:lnTo>
                <a:pt x="2457451" y="552450"/>
              </a:lnTo>
              <a:lnTo>
                <a:pt x="3067051" y="361950"/>
              </a:lnTo>
              <a:lnTo>
                <a:pt x="3067051" y="190500"/>
              </a:lnTo>
              <a:lnTo>
                <a:pt x="2447926" y="0"/>
              </a:lnTo>
              <a:lnTo>
                <a:pt x="628651" y="0"/>
              </a:lnTo>
              <a:cubicBezTo>
                <a:pt x="627063" y="125412"/>
                <a:pt x="625476" y="250825"/>
                <a:pt x="623888" y="376237"/>
              </a:cubicBezTo>
              <a:close/>
            </a:path>
          </a:pathLst>
        </a:custGeom>
        <a:solidFill>
          <a:srgbClr val="82828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7</xdr:col>
      <xdr:colOff>0</xdr:colOff>
      <xdr:row>19</xdr:row>
      <xdr:rowOff>59054</xdr:rowOff>
    </xdr:from>
    <xdr:to>
      <xdr:col>8</xdr:col>
      <xdr:colOff>284784</xdr:colOff>
      <xdr:row>23</xdr:row>
      <xdr:rowOff>65220</xdr:rowOff>
    </xdr:to>
    <xdr:sp macro="" textlink="">
      <xdr:nvSpPr>
        <xdr:cNvPr id="8" name="Rectangle 7">
          <a:extLst>
            <a:ext uri="{FF2B5EF4-FFF2-40B4-BE49-F238E27FC236}">
              <a16:creationId xmlns:a16="http://schemas.microsoft.com/office/drawing/2014/main" id="{00000000-0008-0000-1500-000008000000}"/>
            </a:ext>
          </a:extLst>
        </xdr:cNvPr>
        <xdr:cNvSpPr/>
      </xdr:nvSpPr>
      <xdr:spPr>
        <a:xfrm>
          <a:off x="4276725" y="3781424"/>
          <a:ext cx="1162050" cy="857250"/>
        </a:xfrm>
        <a:prstGeom prst="rect">
          <a:avLst/>
        </a:prstGeom>
        <a:solidFill>
          <a:srgbClr val="A5A5A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6</xdr:col>
      <xdr:colOff>83268</xdr:colOff>
      <xdr:row>19</xdr:row>
      <xdr:rowOff>57186</xdr:rowOff>
    </xdr:from>
    <xdr:to>
      <xdr:col>7</xdr:col>
      <xdr:colOff>9661</xdr:colOff>
      <xdr:row>23</xdr:row>
      <xdr:rowOff>65732</xdr:rowOff>
    </xdr:to>
    <xdr:sp macro="" textlink="">
      <xdr:nvSpPr>
        <xdr:cNvPr id="9" name="Rectangle 8">
          <a:extLst>
            <a:ext uri="{FF2B5EF4-FFF2-40B4-BE49-F238E27FC236}">
              <a16:creationId xmlns:a16="http://schemas.microsoft.com/office/drawing/2014/main" id="{00000000-0008-0000-1500-000009000000}"/>
            </a:ext>
          </a:extLst>
        </xdr:cNvPr>
        <xdr:cNvSpPr/>
      </xdr:nvSpPr>
      <xdr:spPr>
        <a:xfrm>
          <a:off x="3834213" y="3779556"/>
          <a:ext cx="475850" cy="859919"/>
        </a:xfrm>
        <a:prstGeom prst="rect">
          <a:avLst/>
        </a:prstGeom>
        <a:solidFill>
          <a:srgbClr val="5454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0</xdr:col>
      <xdr:colOff>97404</xdr:colOff>
      <xdr:row>19</xdr:row>
      <xdr:rowOff>57275</xdr:rowOff>
    </xdr:from>
    <xdr:to>
      <xdr:col>2</xdr:col>
      <xdr:colOff>99071</xdr:colOff>
      <xdr:row>23</xdr:row>
      <xdr:rowOff>65821</xdr:rowOff>
    </xdr:to>
    <xdr:sp macro="" textlink="">
      <xdr:nvSpPr>
        <xdr:cNvPr id="10" name="Rectangle 9">
          <a:extLst>
            <a:ext uri="{FF2B5EF4-FFF2-40B4-BE49-F238E27FC236}">
              <a16:creationId xmlns:a16="http://schemas.microsoft.com/office/drawing/2014/main" id="{00000000-0008-0000-1500-00000A000000}"/>
            </a:ext>
          </a:extLst>
        </xdr:cNvPr>
        <xdr:cNvSpPr/>
      </xdr:nvSpPr>
      <xdr:spPr>
        <a:xfrm>
          <a:off x="196464" y="3779645"/>
          <a:ext cx="1228102" cy="859919"/>
        </a:xfrm>
        <a:prstGeom prst="rect">
          <a:avLst/>
        </a:prstGeom>
        <a:solidFill>
          <a:srgbClr val="A5A5A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2</xdr:col>
      <xdr:colOff>82868</xdr:colOff>
      <xdr:row>19</xdr:row>
      <xdr:rowOff>28663</xdr:rowOff>
    </xdr:from>
    <xdr:to>
      <xdr:col>3</xdr:col>
      <xdr:colOff>30110</xdr:colOff>
      <xdr:row>23</xdr:row>
      <xdr:rowOff>64946</xdr:rowOff>
    </xdr:to>
    <xdr:sp macro="" textlink="">
      <xdr:nvSpPr>
        <xdr:cNvPr id="11" name="Rectangle 10">
          <a:extLst>
            <a:ext uri="{FF2B5EF4-FFF2-40B4-BE49-F238E27FC236}">
              <a16:creationId xmlns:a16="http://schemas.microsoft.com/office/drawing/2014/main" id="{00000000-0008-0000-1500-00000B000000}"/>
            </a:ext>
          </a:extLst>
        </xdr:cNvPr>
        <xdr:cNvSpPr/>
      </xdr:nvSpPr>
      <xdr:spPr>
        <a:xfrm>
          <a:off x="1395413" y="3781513"/>
          <a:ext cx="481635" cy="857250"/>
        </a:xfrm>
        <a:prstGeom prst="rect">
          <a:avLst/>
        </a:prstGeom>
        <a:solidFill>
          <a:srgbClr val="5454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5</xdr:col>
      <xdr:colOff>386715</xdr:colOff>
      <xdr:row>19</xdr:row>
      <xdr:rowOff>106680</xdr:rowOff>
    </xdr:from>
    <xdr:to>
      <xdr:col>6</xdr:col>
      <xdr:colOff>76562</xdr:colOff>
      <xdr:row>21</xdr:row>
      <xdr:rowOff>59621</xdr:rowOff>
    </xdr:to>
    <xdr:sp macro="" textlink="">
      <xdr:nvSpPr>
        <xdr:cNvPr id="12" name="Oval 11">
          <a:extLst>
            <a:ext uri="{FF2B5EF4-FFF2-40B4-BE49-F238E27FC236}">
              <a16:creationId xmlns:a16="http://schemas.microsoft.com/office/drawing/2014/main" id="{00000000-0008-0000-1500-00000C000000}"/>
            </a:ext>
          </a:extLst>
        </xdr:cNvPr>
        <xdr:cNvSpPr/>
      </xdr:nvSpPr>
      <xdr:spPr>
        <a:xfrm>
          <a:off x="3438525" y="3590925"/>
          <a:ext cx="304700" cy="283949"/>
        </a:xfrm>
        <a:prstGeom prst="ellipse">
          <a:avLst/>
        </a:prstGeom>
        <a:solidFill>
          <a:srgbClr val="A5A5A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3</xdr:col>
      <xdr:colOff>60958</xdr:colOff>
      <xdr:row>31</xdr:row>
      <xdr:rowOff>57150</xdr:rowOff>
    </xdr:from>
    <xdr:to>
      <xdr:col>6</xdr:col>
      <xdr:colOff>85730</xdr:colOff>
      <xdr:row>37</xdr:row>
      <xdr:rowOff>19007</xdr:rowOff>
    </xdr:to>
    <xdr:sp macro="" textlink="">
      <xdr:nvSpPr>
        <xdr:cNvPr id="13" name="Freeform 20">
          <a:extLst>
            <a:ext uri="{FF2B5EF4-FFF2-40B4-BE49-F238E27FC236}">
              <a16:creationId xmlns:a16="http://schemas.microsoft.com/office/drawing/2014/main" id="{00000000-0008-0000-1500-00000D000000}"/>
            </a:ext>
          </a:extLst>
        </xdr:cNvPr>
        <xdr:cNvSpPr/>
      </xdr:nvSpPr>
      <xdr:spPr>
        <a:xfrm>
          <a:off x="1952623" y="6143625"/>
          <a:ext cx="1847852" cy="1047750"/>
        </a:xfrm>
        <a:custGeom>
          <a:avLst/>
          <a:gdLst>
            <a:gd name="connsiteX0" fmla="*/ 628650 w 3076575"/>
            <a:gd name="connsiteY0" fmla="*/ 381000 h 1733550"/>
            <a:gd name="connsiteX1" fmla="*/ 9525 w 3076575"/>
            <a:gd name="connsiteY1" fmla="*/ 571500 h 1733550"/>
            <a:gd name="connsiteX2" fmla="*/ 9525 w 3076575"/>
            <a:gd name="connsiteY2" fmla="*/ 771525 h 1733550"/>
            <a:gd name="connsiteX3" fmla="*/ 628650 w 3076575"/>
            <a:gd name="connsiteY3" fmla="*/ 962025 h 1733550"/>
            <a:gd name="connsiteX4" fmla="*/ 619125 w 3076575"/>
            <a:gd name="connsiteY4" fmla="*/ 1152525 h 1733550"/>
            <a:gd name="connsiteX5" fmla="*/ 9525 w 3076575"/>
            <a:gd name="connsiteY5" fmla="*/ 1333500 h 1733550"/>
            <a:gd name="connsiteX6" fmla="*/ 0 w 3076575"/>
            <a:gd name="connsiteY6" fmla="*/ 1543050 h 1733550"/>
            <a:gd name="connsiteX7" fmla="*/ 628650 w 3076575"/>
            <a:gd name="connsiteY7" fmla="*/ 1733550 h 1733550"/>
            <a:gd name="connsiteX8" fmla="*/ 2466975 w 3076575"/>
            <a:gd name="connsiteY8" fmla="*/ 1724025 h 1733550"/>
            <a:gd name="connsiteX9" fmla="*/ 2457450 w 3076575"/>
            <a:gd name="connsiteY9" fmla="*/ 1333500 h 1733550"/>
            <a:gd name="connsiteX10" fmla="*/ 3067050 w 3076575"/>
            <a:gd name="connsiteY10" fmla="*/ 1152525 h 1733550"/>
            <a:gd name="connsiteX11" fmla="*/ 3076575 w 3076575"/>
            <a:gd name="connsiteY11" fmla="*/ 923925 h 1733550"/>
            <a:gd name="connsiteX12" fmla="*/ 2457450 w 3076575"/>
            <a:gd name="connsiteY12" fmla="*/ 762000 h 1733550"/>
            <a:gd name="connsiteX13" fmla="*/ 2457450 w 3076575"/>
            <a:gd name="connsiteY13" fmla="*/ 561975 h 1733550"/>
            <a:gd name="connsiteX14" fmla="*/ 3067050 w 3076575"/>
            <a:gd name="connsiteY14" fmla="*/ 371475 h 1733550"/>
            <a:gd name="connsiteX15" fmla="*/ 3067050 w 3076575"/>
            <a:gd name="connsiteY15" fmla="*/ 200025 h 1733550"/>
            <a:gd name="connsiteX16" fmla="*/ 2447925 w 3076575"/>
            <a:gd name="connsiteY16" fmla="*/ 9525 h 1733550"/>
            <a:gd name="connsiteX17" fmla="*/ 619125 w 3076575"/>
            <a:gd name="connsiteY17" fmla="*/ 0 h 1733550"/>
            <a:gd name="connsiteX18" fmla="*/ 628650 w 3076575"/>
            <a:gd name="connsiteY18" fmla="*/ 381000 h 1733550"/>
            <a:gd name="connsiteX0" fmla="*/ 628650 w 3076575"/>
            <a:gd name="connsiteY0" fmla="*/ 371475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790575 w 3076575"/>
            <a:gd name="connsiteY17" fmla="*/ 171450 h 1724025"/>
            <a:gd name="connsiteX18" fmla="*/ 628650 w 3076575"/>
            <a:gd name="connsiteY18" fmla="*/ 371475 h 1724025"/>
            <a:gd name="connsiteX0" fmla="*/ 628650 w 3076575"/>
            <a:gd name="connsiteY0" fmla="*/ 371475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8650 w 3076575"/>
            <a:gd name="connsiteY18" fmla="*/ 371475 h 1724025"/>
            <a:gd name="connsiteX0" fmla="*/ 1119187 w 3076575"/>
            <a:gd name="connsiteY0" fmla="*/ 747712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1119187 w 3076575"/>
            <a:gd name="connsiteY18" fmla="*/ 747712 h 1724025"/>
            <a:gd name="connsiteX0" fmla="*/ 623887 w 3076575"/>
            <a:gd name="connsiteY0" fmla="*/ 376237 h 1724025"/>
            <a:gd name="connsiteX1" fmla="*/ 9525 w 3076575"/>
            <a:gd name="connsiteY1" fmla="*/ 561975 h 1724025"/>
            <a:gd name="connsiteX2" fmla="*/ 9525 w 3076575"/>
            <a:gd name="connsiteY2" fmla="*/ 762000 h 1724025"/>
            <a:gd name="connsiteX3" fmla="*/ 628650 w 3076575"/>
            <a:gd name="connsiteY3" fmla="*/ 952500 h 1724025"/>
            <a:gd name="connsiteX4" fmla="*/ 619125 w 3076575"/>
            <a:gd name="connsiteY4" fmla="*/ 1143000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628650 w 3076575"/>
            <a:gd name="connsiteY3" fmla="*/ 952500 h 1724025"/>
            <a:gd name="connsiteX4" fmla="*/ 838200 w 3076575"/>
            <a:gd name="connsiteY4" fmla="*/ 1290638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628650 w 3076575"/>
            <a:gd name="connsiteY3" fmla="*/ 952500 h 1724025"/>
            <a:gd name="connsiteX4" fmla="*/ 623887 w 3076575"/>
            <a:gd name="connsiteY4" fmla="*/ 1133475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862013 w 3076575"/>
            <a:gd name="connsiteY3" fmla="*/ 814388 h 1724025"/>
            <a:gd name="connsiteX4" fmla="*/ 623887 w 3076575"/>
            <a:gd name="connsiteY4" fmla="*/ 1133475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23887 w 3076575"/>
            <a:gd name="connsiteY0" fmla="*/ 376237 h 1724025"/>
            <a:gd name="connsiteX1" fmla="*/ 9525 w 3076575"/>
            <a:gd name="connsiteY1" fmla="*/ 561975 h 1724025"/>
            <a:gd name="connsiteX2" fmla="*/ 9525 w 3076575"/>
            <a:gd name="connsiteY2" fmla="*/ 762000 h 1724025"/>
            <a:gd name="connsiteX3" fmla="*/ 619126 w 3076575"/>
            <a:gd name="connsiteY3" fmla="*/ 947738 h 1724025"/>
            <a:gd name="connsiteX4" fmla="*/ 623887 w 3076575"/>
            <a:gd name="connsiteY4" fmla="*/ 1133475 h 1724025"/>
            <a:gd name="connsiteX5" fmla="*/ 9525 w 3076575"/>
            <a:gd name="connsiteY5" fmla="*/ 1323975 h 1724025"/>
            <a:gd name="connsiteX6" fmla="*/ 0 w 3076575"/>
            <a:gd name="connsiteY6" fmla="*/ 1533525 h 1724025"/>
            <a:gd name="connsiteX7" fmla="*/ 628650 w 3076575"/>
            <a:gd name="connsiteY7" fmla="*/ 1724025 h 1724025"/>
            <a:gd name="connsiteX8" fmla="*/ 2466975 w 3076575"/>
            <a:gd name="connsiteY8" fmla="*/ 1714500 h 1724025"/>
            <a:gd name="connsiteX9" fmla="*/ 2457450 w 3076575"/>
            <a:gd name="connsiteY9" fmla="*/ 1323975 h 1724025"/>
            <a:gd name="connsiteX10" fmla="*/ 3067050 w 3076575"/>
            <a:gd name="connsiteY10" fmla="*/ 1143000 h 1724025"/>
            <a:gd name="connsiteX11" fmla="*/ 3076575 w 3076575"/>
            <a:gd name="connsiteY11" fmla="*/ 914400 h 1724025"/>
            <a:gd name="connsiteX12" fmla="*/ 2457450 w 3076575"/>
            <a:gd name="connsiteY12" fmla="*/ 752475 h 1724025"/>
            <a:gd name="connsiteX13" fmla="*/ 2457450 w 3076575"/>
            <a:gd name="connsiteY13" fmla="*/ 552450 h 1724025"/>
            <a:gd name="connsiteX14" fmla="*/ 3067050 w 3076575"/>
            <a:gd name="connsiteY14" fmla="*/ 361950 h 1724025"/>
            <a:gd name="connsiteX15" fmla="*/ 3067050 w 3076575"/>
            <a:gd name="connsiteY15" fmla="*/ 190500 h 1724025"/>
            <a:gd name="connsiteX16" fmla="*/ 2447925 w 3076575"/>
            <a:gd name="connsiteY16" fmla="*/ 0 h 1724025"/>
            <a:gd name="connsiteX17" fmla="*/ 628650 w 3076575"/>
            <a:gd name="connsiteY17" fmla="*/ 0 h 1724025"/>
            <a:gd name="connsiteX18" fmla="*/ 623887 w 3076575"/>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0 w 3067050"/>
            <a:gd name="connsiteY5" fmla="*/ 1323975 h 1724025"/>
            <a:gd name="connsiteX6" fmla="*/ 9525 w 3067050"/>
            <a:gd name="connsiteY6" fmla="*/ 1524000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0 w 3067050"/>
            <a:gd name="connsiteY5" fmla="*/ 1323975 h 1724025"/>
            <a:gd name="connsiteX6" fmla="*/ 538162 w 3067050"/>
            <a:gd name="connsiteY6" fmla="*/ 1381125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0 w 3067050"/>
            <a:gd name="connsiteY5" fmla="*/ 1323975 h 1724025"/>
            <a:gd name="connsiteX6" fmla="*/ 9524 w 3067050"/>
            <a:gd name="connsiteY6" fmla="*/ 1524000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4362 w 3067050"/>
            <a:gd name="connsiteY0" fmla="*/ 376237 h 1724025"/>
            <a:gd name="connsiteX1" fmla="*/ 0 w 3067050"/>
            <a:gd name="connsiteY1" fmla="*/ 561975 h 1724025"/>
            <a:gd name="connsiteX2" fmla="*/ 0 w 3067050"/>
            <a:gd name="connsiteY2" fmla="*/ 762000 h 1724025"/>
            <a:gd name="connsiteX3" fmla="*/ 609601 w 3067050"/>
            <a:gd name="connsiteY3" fmla="*/ 947738 h 1724025"/>
            <a:gd name="connsiteX4" fmla="*/ 614362 w 3067050"/>
            <a:gd name="connsiteY4" fmla="*/ 1133475 h 1724025"/>
            <a:gd name="connsiteX5" fmla="*/ 180975 w 3067050"/>
            <a:gd name="connsiteY5" fmla="*/ 1433513 h 1724025"/>
            <a:gd name="connsiteX6" fmla="*/ 9524 w 3067050"/>
            <a:gd name="connsiteY6" fmla="*/ 1524000 h 1724025"/>
            <a:gd name="connsiteX7" fmla="*/ 619125 w 3067050"/>
            <a:gd name="connsiteY7" fmla="*/ 1724025 h 1724025"/>
            <a:gd name="connsiteX8" fmla="*/ 2457450 w 3067050"/>
            <a:gd name="connsiteY8" fmla="*/ 1714500 h 1724025"/>
            <a:gd name="connsiteX9" fmla="*/ 2447925 w 3067050"/>
            <a:gd name="connsiteY9" fmla="*/ 1323975 h 1724025"/>
            <a:gd name="connsiteX10" fmla="*/ 3057525 w 3067050"/>
            <a:gd name="connsiteY10" fmla="*/ 1143000 h 1724025"/>
            <a:gd name="connsiteX11" fmla="*/ 3067050 w 3067050"/>
            <a:gd name="connsiteY11" fmla="*/ 914400 h 1724025"/>
            <a:gd name="connsiteX12" fmla="*/ 2447925 w 3067050"/>
            <a:gd name="connsiteY12" fmla="*/ 752475 h 1724025"/>
            <a:gd name="connsiteX13" fmla="*/ 2447925 w 3067050"/>
            <a:gd name="connsiteY13" fmla="*/ 552450 h 1724025"/>
            <a:gd name="connsiteX14" fmla="*/ 3057525 w 3067050"/>
            <a:gd name="connsiteY14" fmla="*/ 361950 h 1724025"/>
            <a:gd name="connsiteX15" fmla="*/ 3057525 w 3067050"/>
            <a:gd name="connsiteY15" fmla="*/ 190500 h 1724025"/>
            <a:gd name="connsiteX16" fmla="*/ 2438400 w 3067050"/>
            <a:gd name="connsiteY16" fmla="*/ 0 h 1724025"/>
            <a:gd name="connsiteX17" fmla="*/ 619125 w 3067050"/>
            <a:gd name="connsiteY17" fmla="*/ 0 h 1724025"/>
            <a:gd name="connsiteX18" fmla="*/ 614362 w 3067050"/>
            <a:gd name="connsiteY18" fmla="*/ 376237 h 1724025"/>
            <a:gd name="connsiteX0" fmla="*/ 619125 w 3071813"/>
            <a:gd name="connsiteY0" fmla="*/ 376237 h 1724025"/>
            <a:gd name="connsiteX1" fmla="*/ 4763 w 3071813"/>
            <a:gd name="connsiteY1" fmla="*/ 561975 h 1724025"/>
            <a:gd name="connsiteX2" fmla="*/ 4763 w 3071813"/>
            <a:gd name="connsiteY2" fmla="*/ 762000 h 1724025"/>
            <a:gd name="connsiteX3" fmla="*/ 614364 w 3071813"/>
            <a:gd name="connsiteY3" fmla="*/ 947738 h 1724025"/>
            <a:gd name="connsiteX4" fmla="*/ 619125 w 3071813"/>
            <a:gd name="connsiteY4" fmla="*/ 1133475 h 1724025"/>
            <a:gd name="connsiteX5" fmla="*/ 0 w 3071813"/>
            <a:gd name="connsiteY5" fmla="*/ 1333500 h 1724025"/>
            <a:gd name="connsiteX6" fmla="*/ 14287 w 3071813"/>
            <a:gd name="connsiteY6" fmla="*/ 1524000 h 1724025"/>
            <a:gd name="connsiteX7" fmla="*/ 623888 w 3071813"/>
            <a:gd name="connsiteY7" fmla="*/ 1724025 h 1724025"/>
            <a:gd name="connsiteX8" fmla="*/ 2462213 w 3071813"/>
            <a:gd name="connsiteY8" fmla="*/ 1714500 h 1724025"/>
            <a:gd name="connsiteX9" fmla="*/ 2452688 w 3071813"/>
            <a:gd name="connsiteY9" fmla="*/ 1323975 h 1724025"/>
            <a:gd name="connsiteX10" fmla="*/ 3062288 w 3071813"/>
            <a:gd name="connsiteY10" fmla="*/ 1143000 h 1724025"/>
            <a:gd name="connsiteX11" fmla="*/ 3071813 w 3071813"/>
            <a:gd name="connsiteY11" fmla="*/ 914400 h 1724025"/>
            <a:gd name="connsiteX12" fmla="*/ 2452688 w 3071813"/>
            <a:gd name="connsiteY12" fmla="*/ 752475 h 1724025"/>
            <a:gd name="connsiteX13" fmla="*/ 2452688 w 3071813"/>
            <a:gd name="connsiteY13" fmla="*/ 552450 h 1724025"/>
            <a:gd name="connsiteX14" fmla="*/ 3062288 w 3071813"/>
            <a:gd name="connsiteY14" fmla="*/ 361950 h 1724025"/>
            <a:gd name="connsiteX15" fmla="*/ 3062288 w 3071813"/>
            <a:gd name="connsiteY15" fmla="*/ 190500 h 1724025"/>
            <a:gd name="connsiteX16" fmla="*/ 2443163 w 3071813"/>
            <a:gd name="connsiteY16" fmla="*/ 0 h 1724025"/>
            <a:gd name="connsiteX17" fmla="*/ 623888 w 3071813"/>
            <a:gd name="connsiteY17" fmla="*/ 0 h 1724025"/>
            <a:gd name="connsiteX18" fmla="*/ 619125 w 3071813"/>
            <a:gd name="connsiteY18" fmla="*/ 376237 h 1724025"/>
            <a:gd name="connsiteX0" fmla="*/ 623888 w 3076576"/>
            <a:gd name="connsiteY0" fmla="*/ 376237 h 1724025"/>
            <a:gd name="connsiteX1" fmla="*/ 9526 w 3076576"/>
            <a:gd name="connsiteY1" fmla="*/ 561975 h 1724025"/>
            <a:gd name="connsiteX2" fmla="*/ 9526 w 3076576"/>
            <a:gd name="connsiteY2" fmla="*/ 762000 h 1724025"/>
            <a:gd name="connsiteX3" fmla="*/ 619127 w 3076576"/>
            <a:gd name="connsiteY3" fmla="*/ 947738 h 1724025"/>
            <a:gd name="connsiteX4" fmla="*/ 623888 w 3076576"/>
            <a:gd name="connsiteY4" fmla="*/ 1133475 h 1724025"/>
            <a:gd name="connsiteX5" fmla="*/ 4763 w 3076576"/>
            <a:gd name="connsiteY5" fmla="*/ 1333500 h 1724025"/>
            <a:gd name="connsiteX6" fmla="*/ 0 w 3076576"/>
            <a:gd name="connsiteY6" fmla="*/ 1524000 h 1724025"/>
            <a:gd name="connsiteX7" fmla="*/ 628651 w 3076576"/>
            <a:gd name="connsiteY7" fmla="*/ 1724025 h 1724025"/>
            <a:gd name="connsiteX8" fmla="*/ 2466976 w 3076576"/>
            <a:gd name="connsiteY8" fmla="*/ 1714500 h 1724025"/>
            <a:gd name="connsiteX9" fmla="*/ 2457451 w 3076576"/>
            <a:gd name="connsiteY9" fmla="*/ 1323975 h 1724025"/>
            <a:gd name="connsiteX10" fmla="*/ 3067051 w 3076576"/>
            <a:gd name="connsiteY10" fmla="*/ 1143000 h 1724025"/>
            <a:gd name="connsiteX11" fmla="*/ 3076576 w 3076576"/>
            <a:gd name="connsiteY11" fmla="*/ 914400 h 1724025"/>
            <a:gd name="connsiteX12" fmla="*/ 2457451 w 3076576"/>
            <a:gd name="connsiteY12" fmla="*/ 752475 h 1724025"/>
            <a:gd name="connsiteX13" fmla="*/ 2457451 w 3076576"/>
            <a:gd name="connsiteY13" fmla="*/ 552450 h 1724025"/>
            <a:gd name="connsiteX14" fmla="*/ 3067051 w 3076576"/>
            <a:gd name="connsiteY14" fmla="*/ 361950 h 1724025"/>
            <a:gd name="connsiteX15" fmla="*/ 3067051 w 3076576"/>
            <a:gd name="connsiteY15" fmla="*/ 190500 h 1724025"/>
            <a:gd name="connsiteX16" fmla="*/ 2447926 w 3076576"/>
            <a:gd name="connsiteY16" fmla="*/ 0 h 1724025"/>
            <a:gd name="connsiteX17" fmla="*/ 628651 w 3076576"/>
            <a:gd name="connsiteY17" fmla="*/ 0 h 1724025"/>
            <a:gd name="connsiteX18" fmla="*/ 623888 w 3076576"/>
            <a:gd name="connsiteY18" fmla="*/ 376237 h 1724025"/>
            <a:gd name="connsiteX0" fmla="*/ 623888 w 3076576"/>
            <a:gd name="connsiteY0" fmla="*/ 376237 h 1724025"/>
            <a:gd name="connsiteX1" fmla="*/ 9526 w 3076576"/>
            <a:gd name="connsiteY1" fmla="*/ 561975 h 1724025"/>
            <a:gd name="connsiteX2" fmla="*/ 9526 w 3076576"/>
            <a:gd name="connsiteY2" fmla="*/ 762000 h 1724025"/>
            <a:gd name="connsiteX3" fmla="*/ 619127 w 3076576"/>
            <a:gd name="connsiteY3" fmla="*/ 947738 h 1724025"/>
            <a:gd name="connsiteX4" fmla="*/ 623888 w 3076576"/>
            <a:gd name="connsiteY4" fmla="*/ 1133475 h 1724025"/>
            <a:gd name="connsiteX5" fmla="*/ 4763 w 3076576"/>
            <a:gd name="connsiteY5" fmla="*/ 1333500 h 1724025"/>
            <a:gd name="connsiteX6" fmla="*/ 0 w 3076576"/>
            <a:gd name="connsiteY6" fmla="*/ 1524000 h 1724025"/>
            <a:gd name="connsiteX7" fmla="*/ 628651 w 3076576"/>
            <a:gd name="connsiteY7" fmla="*/ 1724025 h 1724025"/>
            <a:gd name="connsiteX8" fmla="*/ 2447926 w 3076576"/>
            <a:gd name="connsiteY8" fmla="*/ 1719262 h 1724025"/>
            <a:gd name="connsiteX9" fmla="*/ 2457451 w 3076576"/>
            <a:gd name="connsiteY9" fmla="*/ 1323975 h 1724025"/>
            <a:gd name="connsiteX10" fmla="*/ 3067051 w 3076576"/>
            <a:gd name="connsiteY10" fmla="*/ 1143000 h 1724025"/>
            <a:gd name="connsiteX11" fmla="*/ 3076576 w 3076576"/>
            <a:gd name="connsiteY11" fmla="*/ 914400 h 1724025"/>
            <a:gd name="connsiteX12" fmla="*/ 2457451 w 3076576"/>
            <a:gd name="connsiteY12" fmla="*/ 752475 h 1724025"/>
            <a:gd name="connsiteX13" fmla="*/ 2457451 w 3076576"/>
            <a:gd name="connsiteY13" fmla="*/ 552450 h 1724025"/>
            <a:gd name="connsiteX14" fmla="*/ 3067051 w 3076576"/>
            <a:gd name="connsiteY14" fmla="*/ 361950 h 1724025"/>
            <a:gd name="connsiteX15" fmla="*/ 3067051 w 3076576"/>
            <a:gd name="connsiteY15" fmla="*/ 190500 h 1724025"/>
            <a:gd name="connsiteX16" fmla="*/ 2447926 w 3076576"/>
            <a:gd name="connsiteY16" fmla="*/ 0 h 1724025"/>
            <a:gd name="connsiteX17" fmla="*/ 628651 w 3076576"/>
            <a:gd name="connsiteY17" fmla="*/ 0 h 1724025"/>
            <a:gd name="connsiteX18" fmla="*/ 623888 w 3076576"/>
            <a:gd name="connsiteY18" fmla="*/ 376237 h 1724025"/>
            <a:gd name="connsiteX0" fmla="*/ 623888 w 3076576"/>
            <a:gd name="connsiteY0" fmla="*/ 376237 h 1728787"/>
            <a:gd name="connsiteX1" fmla="*/ 9526 w 3076576"/>
            <a:gd name="connsiteY1" fmla="*/ 561975 h 1728787"/>
            <a:gd name="connsiteX2" fmla="*/ 9526 w 3076576"/>
            <a:gd name="connsiteY2" fmla="*/ 762000 h 1728787"/>
            <a:gd name="connsiteX3" fmla="*/ 619127 w 3076576"/>
            <a:gd name="connsiteY3" fmla="*/ 947738 h 1728787"/>
            <a:gd name="connsiteX4" fmla="*/ 623888 w 3076576"/>
            <a:gd name="connsiteY4" fmla="*/ 1133475 h 1728787"/>
            <a:gd name="connsiteX5" fmla="*/ 4763 w 3076576"/>
            <a:gd name="connsiteY5" fmla="*/ 1333500 h 1728787"/>
            <a:gd name="connsiteX6" fmla="*/ 0 w 3076576"/>
            <a:gd name="connsiteY6" fmla="*/ 1524000 h 1728787"/>
            <a:gd name="connsiteX7" fmla="*/ 628651 w 3076576"/>
            <a:gd name="connsiteY7" fmla="*/ 1724025 h 1728787"/>
            <a:gd name="connsiteX8" fmla="*/ 2457451 w 3076576"/>
            <a:gd name="connsiteY8" fmla="*/ 1728787 h 1728787"/>
            <a:gd name="connsiteX9" fmla="*/ 2457451 w 3076576"/>
            <a:gd name="connsiteY9" fmla="*/ 1323975 h 1728787"/>
            <a:gd name="connsiteX10" fmla="*/ 3067051 w 3076576"/>
            <a:gd name="connsiteY10" fmla="*/ 1143000 h 1728787"/>
            <a:gd name="connsiteX11" fmla="*/ 3076576 w 3076576"/>
            <a:gd name="connsiteY11" fmla="*/ 914400 h 1728787"/>
            <a:gd name="connsiteX12" fmla="*/ 2457451 w 3076576"/>
            <a:gd name="connsiteY12" fmla="*/ 752475 h 1728787"/>
            <a:gd name="connsiteX13" fmla="*/ 2457451 w 3076576"/>
            <a:gd name="connsiteY13" fmla="*/ 552450 h 1728787"/>
            <a:gd name="connsiteX14" fmla="*/ 3067051 w 3076576"/>
            <a:gd name="connsiteY14" fmla="*/ 361950 h 1728787"/>
            <a:gd name="connsiteX15" fmla="*/ 3067051 w 3076576"/>
            <a:gd name="connsiteY15" fmla="*/ 190500 h 1728787"/>
            <a:gd name="connsiteX16" fmla="*/ 2447926 w 3076576"/>
            <a:gd name="connsiteY16" fmla="*/ 0 h 1728787"/>
            <a:gd name="connsiteX17" fmla="*/ 628651 w 3076576"/>
            <a:gd name="connsiteY17" fmla="*/ 0 h 1728787"/>
            <a:gd name="connsiteX18" fmla="*/ 623888 w 3076576"/>
            <a:gd name="connsiteY18" fmla="*/ 376237 h 1728787"/>
            <a:gd name="connsiteX0" fmla="*/ 623888 w 3067051"/>
            <a:gd name="connsiteY0" fmla="*/ 376237 h 1728787"/>
            <a:gd name="connsiteX1" fmla="*/ 9526 w 3067051"/>
            <a:gd name="connsiteY1" fmla="*/ 561975 h 1728787"/>
            <a:gd name="connsiteX2" fmla="*/ 9526 w 3067051"/>
            <a:gd name="connsiteY2" fmla="*/ 762000 h 1728787"/>
            <a:gd name="connsiteX3" fmla="*/ 619127 w 3067051"/>
            <a:gd name="connsiteY3" fmla="*/ 947738 h 1728787"/>
            <a:gd name="connsiteX4" fmla="*/ 623888 w 3067051"/>
            <a:gd name="connsiteY4" fmla="*/ 1133475 h 1728787"/>
            <a:gd name="connsiteX5" fmla="*/ 4763 w 3067051"/>
            <a:gd name="connsiteY5" fmla="*/ 1333500 h 1728787"/>
            <a:gd name="connsiteX6" fmla="*/ 0 w 3067051"/>
            <a:gd name="connsiteY6" fmla="*/ 1524000 h 1728787"/>
            <a:gd name="connsiteX7" fmla="*/ 628651 w 3067051"/>
            <a:gd name="connsiteY7" fmla="*/ 1724025 h 1728787"/>
            <a:gd name="connsiteX8" fmla="*/ 2457451 w 3067051"/>
            <a:gd name="connsiteY8" fmla="*/ 1728787 h 1728787"/>
            <a:gd name="connsiteX9" fmla="*/ 2457451 w 3067051"/>
            <a:gd name="connsiteY9" fmla="*/ 1323975 h 1728787"/>
            <a:gd name="connsiteX10" fmla="*/ 3067051 w 3067051"/>
            <a:gd name="connsiteY10" fmla="*/ 1143000 h 1728787"/>
            <a:gd name="connsiteX11" fmla="*/ 3067051 w 3067051"/>
            <a:gd name="connsiteY11" fmla="*/ 942975 h 1728787"/>
            <a:gd name="connsiteX12" fmla="*/ 2457451 w 3067051"/>
            <a:gd name="connsiteY12" fmla="*/ 752475 h 1728787"/>
            <a:gd name="connsiteX13" fmla="*/ 2457451 w 3067051"/>
            <a:gd name="connsiteY13" fmla="*/ 552450 h 1728787"/>
            <a:gd name="connsiteX14" fmla="*/ 3067051 w 3067051"/>
            <a:gd name="connsiteY14" fmla="*/ 361950 h 1728787"/>
            <a:gd name="connsiteX15" fmla="*/ 3067051 w 3067051"/>
            <a:gd name="connsiteY15" fmla="*/ 190500 h 1728787"/>
            <a:gd name="connsiteX16" fmla="*/ 2447926 w 3067051"/>
            <a:gd name="connsiteY16" fmla="*/ 0 h 1728787"/>
            <a:gd name="connsiteX17" fmla="*/ 628651 w 3067051"/>
            <a:gd name="connsiteY17" fmla="*/ 0 h 1728787"/>
            <a:gd name="connsiteX18" fmla="*/ 623888 w 3067051"/>
            <a:gd name="connsiteY18" fmla="*/ 376237 h 1728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067051" h="1728787">
              <a:moveTo>
                <a:pt x="623888" y="376237"/>
              </a:moveTo>
              <a:lnTo>
                <a:pt x="9526" y="561975"/>
              </a:lnTo>
              <a:lnTo>
                <a:pt x="9526" y="762000"/>
              </a:lnTo>
              <a:lnTo>
                <a:pt x="619127" y="947738"/>
              </a:lnTo>
              <a:lnTo>
                <a:pt x="623888" y="1133475"/>
              </a:lnTo>
              <a:lnTo>
                <a:pt x="4763" y="1333500"/>
              </a:lnTo>
              <a:lnTo>
                <a:pt x="0" y="1524000"/>
              </a:lnTo>
              <a:lnTo>
                <a:pt x="628651" y="1724025"/>
              </a:lnTo>
              <a:lnTo>
                <a:pt x="2457451" y="1728787"/>
              </a:lnTo>
              <a:lnTo>
                <a:pt x="2457451" y="1323975"/>
              </a:lnTo>
              <a:lnTo>
                <a:pt x="3067051" y="1143000"/>
              </a:lnTo>
              <a:lnTo>
                <a:pt x="3067051" y="942975"/>
              </a:lnTo>
              <a:lnTo>
                <a:pt x="2457451" y="752475"/>
              </a:lnTo>
              <a:lnTo>
                <a:pt x="2457451" y="552450"/>
              </a:lnTo>
              <a:lnTo>
                <a:pt x="3067051" y="361950"/>
              </a:lnTo>
              <a:lnTo>
                <a:pt x="3067051" y="190500"/>
              </a:lnTo>
              <a:lnTo>
                <a:pt x="2447926" y="0"/>
              </a:lnTo>
              <a:lnTo>
                <a:pt x="628651" y="0"/>
              </a:lnTo>
              <a:cubicBezTo>
                <a:pt x="627063" y="125412"/>
                <a:pt x="625476" y="250825"/>
                <a:pt x="623888" y="376237"/>
              </a:cubicBezTo>
              <a:close/>
            </a:path>
          </a:pathLst>
        </a:custGeom>
        <a:solidFill>
          <a:srgbClr val="82828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6</xdr:col>
      <xdr:colOff>315277</xdr:colOff>
      <xdr:row>32</xdr:row>
      <xdr:rowOff>34289</xdr:rowOff>
    </xdr:from>
    <xdr:to>
      <xdr:col>8</xdr:col>
      <xdr:colOff>268199</xdr:colOff>
      <xdr:row>36</xdr:row>
      <xdr:rowOff>81869</xdr:rowOff>
    </xdr:to>
    <xdr:sp macro="" textlink="">
      <xdr:nvSpPr>
        <xdr:cNvPr id="14" name="Rectangle 13">
          <a:extLst>
            <a:ext uri="{FF2B5EF4-FFF2-40B4-BE49-F238E27FC236}">
              <a16:creationId xmlns:a16="http://schemas.microsoft.com/office/drawing/2014/main" id="{00000000-0008-0000-1500-00000E000000}"/>
            </a:ext>
          </a:extLst>
        </xdr:cNvPr>
        <xdr:cNvSpPr/>
      </xdr:nvSpPr>
      <xdr:spPr>
        <a:xfrm>
          <a:off x="4243387" y="6248399"/>
          <a:ext cx="1157288" cy="857250"/>
        </a:xfrm>
        <a:prstGeom prst="rect">
          <a:avLst/>
        </a:prstGeom>
        <a:solidFill>
          <a:srgbClr val="A5A5A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6</xdr:col>
      <xdr:colOff>86125</xdr:colOff>
      <xdr:row>32</xdr:row>
      <xdr:rowOff>32421</xdr:rowOff>
    </xdr:from>
    <xdr:to>
      <xdr:col>7</xdr:col>
      <xdr:colOff>366</xdr:colOff>
      <xdr:row>36</xdr:row>
      <xdr:rowOff>84410</xdr:rowOff>
    </xdr:to>
    <xdr:sp macro="" textlink="">
      <xdr:nvSpPr>
        <xdr:cNvPr id="15" name="Rectangle 14">
          <a:extLst>
            <a:ext uri="{FF2B5EF4-FFF2-40B4-BE49-F238E27FC236}">
              <a16:creationId xmlns:a16="http://schemas.microsoft.com/office/drawing/2014/main" id="{00000000-0008-0000-1500-00000F000000}"/>
            </a:ext>
          </a:extLst>
        </xdr:cNvPr>
        <xdr:cNvSpPr/>
      </xdr:nvSpPr>
      <xdr:spPr>
        <a:xfrm>
          <a:off x="3800875" y="6246531"/>
          <a:ext cx="475850" cy="859919"/>
        </a:xfrm>
        <a:prstGeom prst="rect">
          <a:avLst/>
        </a:prstGeom>
        <a:solidFill>
          <a:srgbClr val="5454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0</xdr:col>
      <xdr:colOff>83116</xdr:colOff>
      <xdr:row>32</xdr:row>
      <xdr:rowOff>32510</xdr:rowOff>
    </xdr:from>
    <xdr:to>
      <xdr:col>2</xdr:col>
      <xdr:colOff>80718</xdr:colOff>
      <xdr:row>36</xdr:row>
      <xdr:rowOff>84499</xdr:rowOff>
    </xdr:to>
    <xdr:sp macro="" textlink="">
      <xdr:nvSpPr>
        <xdr:cNvPr id="16" name="Rectangle 15">
          <a:extLst>
            <a:ext uri="{FF2B5EF4-FFF2-40B4-BE49-F238E27FC236}">
              <a16:creationId xmlns:a16="http://schemas.microsoft.com/office/drawing/2014/main" id="{00000000-0008-0000-1500-000010000000}"/>
            </a:ext>
          </a:extLst>
        </xdr:cNvPr>
        <xdr:cNvSpPr/>
      </xdr:nvSpPr>
      <xdr:spPr>
        <a:xfrm>
          <a:off x="163126" y="6246620"/>
          <a:ext cx="1228102" cy="859919"/>
        </a:xfrm>
        <a:prstGeom prst="rect">
          <a:avLst/>
        </a:prstGeom>
        <a:solidFill>
          <a:srgbClr val="A5A5A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2</xdr:col>
      <xdr:colOff>85725</xdr:colOff>
      <xdr:row>32</xdr:row>
      <xdr:rowOff>32473</xdr:rowOff>
    </xdr:from>
    <xdr:to>
      <xdr:col>3</xdr:col>
      <xdr:colOff>30828</xdr:colOff>
      <xdr:row>36</xdr:row>
      <xdr:rowOff>82001</xdr:rowOff>
    </xdr:to>
    <xdr:sp macro="" textlink="">
      <xdr:nvSpPr>
        <xdr:cNvPr id="17" name="Rectangle 16">
          <a:extLst>
            <a:ext uri="{FF2B5EF4-FFF2-40B4-BE49-F238E27FC236}">
              <a16:creationId xmlns:a16="http://schemas.microsoft.com/office/drawing/2014/main" id="{00000000-0008-0000-1500-000011000000}"/>
            </a:ext>
          </a:extLst>
        </xdr:cNvPr>
        <xdr:cNvSpPr/>
      </xdr:nvSpPr>
      <xdr:spPr>
        <a:xfrm>
          <a:off x="1362075" y="6248488"/>
          <a:ext cx="481635" cy="857250"/>
        </a:xfrm>
        <a:prstGeom prst="rect">
          <a:avLst/>
        </a:prstGeom>
        <a:solidFill>
          <a:srgbClr val="54545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2</xdr:col>
      <xdr:colOff>574354</xdr:colOff>
      <xdr:row>33</xdr:row>
      <xdr:rowOff>134301</xdr:rowOff>
    </xdr:from>
    <xdr:to>
      <xdr:col>3</xdr:col>
      <xdr:colOff>318078</xdr:colOff>
      <xdr:row>35</xdr:row>
      <xdr:rowOff>104505</xdr:rowOff>
    </xdr:to>
    <xdr:sp macro="" textlink="">
      <xdr:nvSpPr>
        <xdr:cNvPr id="18" name="Oval 17">
          <a:extLst>
            <a:ext uri="{FF2B5EF4-FFF2-40B4-BE49-F238E27FC236}">
              <a16:creationId xmlns:a16="http://schemas.microsoft.com/office/drawing/2014/main" id="{00000000-0008-0000-1500-000012000000}"/>
            </a:ext>
          </a:extLst>
        </xdr:cNvPr>
        <xdr:cNvSpPr/>
      </xdr:nvSpPr>
      <xdr:spPr>
        <a:xfrm>
          <a:off x="1803079" y="5900736"/>
          <a:ext cx="340045" cy="300039"/>
        </a:xfrm>
        <a:prstGeom prst="ellipse">
          <a:avLst/>
        </a:prstGeom>
        <a:solidFill>
          <a:srgbClr val="A5A5A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mc:AlternateContent xmlns:mc="http://schemas.openxmlformats.org/markup-compatibility/2006">
    <mc:Choice xmlns:a14="http://schemas.microsoft.com/office/drawing/2010/main" Requires="a14">
      <xdr:twoCellAnchor>
        <xdr:from>
          <xdr:col>0</xdr:col>
          <xdr:colOff>85725</xdr:colOff>
          <xdr:row>0</xdr:row>
          <xdr:rowOff>19050</xdr:rowOff>
        </xdr:from>
        <xdr:to>
          <xdr:col>2</xdr:col>
          <xdr:colOff>104775</xdr:colOff>
          <xdr:row>1</xdr:row>
          <xdr:rowOff>9525</xdr:rowOff>
        </xdr:to>
        <xdr:sp macro="" textlink="">
          <xdr:nvSpPr>
            <xdr:cNvPr id="109586" name="Button 18" hidden="1">
              <a:extLst>
                <a:ext uri="{63B3BB69-23CF-44E3-9099-C40C66FF867C}">
                  <a14:compatExt spid="_x0000_s109586"/>
                </a:ext>
                <a:ext uri="{FF2B5EF4-FFF2-40B4-BE49-F238E27FC236}">
                  <a16:creationId xmlns:a16="http://schemas.microsoft.com/office/drawing/2014/main" id="{00000000-0008-0000-1500-000012A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xdr:colOff>
      <xdr:row>3</xdr:row>
      <xdr:rowOff>76200</xdr:rowOff>
    </xdr:from>
    <xdr:to>
      <xdr:col>5</xdr:col>
      <xdr:colOff>142875</xdr:colOff>
      <xdr:row>39</xdr:row>
      <xdr:rowOff>19050</xdr:rowOff>
    </xdr:to>
    <xdr:pic>
      <xdr:nvPicPr>
        <xdr:cNvPr id="134279" name="Picture 1">
          <a:extLst>
            <a:ext uri="{FF2B5EF4-FFF2-40B4-BE49-F238E27FC236}">
              <a16:creationId xmlns:a16="http://schemas.microsoft.com/office/drawing/2014/main" id="{00000000-0008-0000-1600-0000870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6237" t="16536" r="38361" b="5208"/>
        <a:stretch>
          <a:fillRect/>
        </a:stretch>
      </xdr:blipFill>
      <xdr:spPr bwMode="auto">
        <a:xfrm>
          <a:off x="19050" y="723900"/>
          <a:ext cx="3171825" cy="57721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6</xdr:col>
      <xdr:colOff>9525</xdr:colOff>
      <xdr:row>4</xdr:row>
      <xdr:rowOff>0</xdr:rowOff>
    </xdr:from>
    <xdr:to>
      <xdr:col>11</xdr:col>
      <xdr:colOff>104775</xdr:colOff>
      <xdr:row>39</xdr:row>
      <xdr:rowOff>19050</xdr:rowOff>
    </xdr:to>
    <xdr:pic>
      <xdr:nvPicPr>
        <xdr:cNvPr id="134280" name="Picture 2">
          <a:extLst>
            <a:ext uri="{FF2B5EF4-FFF2-40B4-BE49-F238E27FC236}">
              <a16:creationId xmlns:a16="http://schemas.microsoft.com/office/drawing/2014/main" id="{00000000-0008-0000-1600-0000880C0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37262" t="14323" r="37701" b="7813"/>
        <a:stretch>
          <a:fillRect/>
        </a:stretch>
      </xdr:blipFill>
      <xdr:spPr bwMode="auto">
        <a:xfrm>
          <a:off x="3667125" y="809625"/>
          <a:ext cx="3143250" cy="56864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11</xdr:col>
      <xdr:colOff>285750</xdr:colOff>
      <xdr:row>4</xdr:row>
      <xdr:rowOff>19050</xdr:rowOff>
    </xdr:from>
    <xdr:to>
      <xdr:col>17</xdr:col>
      <xdr:colOff>133350</xdr:colOff>
      <xdr:row>19</xdr:row>
      <xdr:rowOff>19050</xdr:rowOff>
    </xdr:to>
    <xdr:pic>
      <xdr:nvPicPr>
        <xdr:cNvPr id="134281" name="Picture 3">
          <a:extLst>
            <a:ext uri="{FF2B5EF4-FFF2-40B4-BE49-F238E27FC236}">
              <a16:creationId xmlns:a16="http://schemas.microsoft.com/office/drawing/2014/main" id="{00000000-0008-0000-1600-0000890C02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5872" t="22136" r="38359" b="44270"/>
        <a:stretch>
          <a:fillRect/>
        </a:stretch>
      </xdr:blipFill>
      <xdr:spPr bwMode="auto">
        <a:xfrm>
          <a:off x="6991350" y="828675"/>
          <a:ext cx="3505200" cy="242887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171450</xdr:colOff>
          <xdr:row>0</xdr:row>
          <xdr:rowOff>152400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1600-00003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19050</xdr:rowOff>
        </xdr:from>
        <xdr:to>
          <xdr:col>0</xdr:col>
          <xdr:colOff>790575</xdr:colOff>
          <xdr:row>0</xdr:row>
          <xdr:rowOff>152400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17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219075</xdr:colOff>
          <xdr:row>0</xdr:row>
          <xdr:rowOff>161925</xdr:rowOff>
        </xdr:to>
        <xdr:sp macro="" textlink="">
          <xdr:nvSpPr>
            <xdr:cNvPr id="23598" name="Button 46" hidden="1">
              <a:extLst>
                <a:ext uri="{63B3BB69-23CF-44E3-9099-C40C66FF867C}">
                  <a14:compatExt spid="_x0000_s23598"/>
                </a:ext>
                <a:ext uri="{FF2B5EF4-FFF2-40B4-BE49-F238E27FC236}">
                  <a16:creationId xmlns:a16="http://schemas.microsoft.com/office/drawing/2014/main" id="{00000000-0008-0000-1800-00002E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257175</xdr:colOff>
          <xdr:row>0</xdr:row>
          <xdr:rowOff>19050</xdr:rowOff>
        </xdr:from>
        <xdr:to>
          <xdr:col>3</xdr:col>
          <xdr:colOff>552450</xdr:colOff>
          <xdr:row>0</xdr:row>
          <xdr:rowOff>142875</xdr:rowOff>
        </xdr:to>
        <xdr:sp macro="" textlink="">
          <xdr:nvSpPr>
            <xdr:cNvPr id="23599" name="Button 47" hidden="1">
              <a:extLst>
                <a:ext uri="{63B3BB69-23CF-44E3-9099-C40C66FF867C}">
                  <a14:compatExt spid="_x0000_s23599"/>
                </a:ext>
                <a:ext uri="{FF2B5EF4-FFF2-40B4-BE49-F238E27FC236}">
                  <a16:creationId xmlns:a16="http://schemas.microsoft.com/office/drawing/2014/main" id="{00000000-0008-0000-1800-00002F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Thread Wire Nominals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19050</xdr:rowOff>
        </xdr:from>
        <xdr:to>
          <xdr:col>6</xdr:col>
          <xdr:colOff>304800</xdr:colOff>
          <xdr:row>0</xdr:row>
          <xdr:rowOff>161925</xdr:rowOff>
        </xdr:to>
        <xdr:sp macro="" textlink="">
          <xdr:nvSpPr>
            <xdr:cNvPr id="23650" name="Button 98" hidden="1">
              <a:extLst>
                <a:ext uri="{63B3BB69-23CF-44E3-9099-C40C66FF867C}">
                  <a14:compatExt spid="_x0000_s23650"/>
                </a:ext>
                <a:ext uri="{FF2B5EF4-FFF2-40B4-BE49-F238E27FC236}">
                  <a16:creationId xmlns:a16="http://schemas.microsoft.com/office/drawing/2014/main" id="{00000000-0008-0000-1800-00006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Contents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38100</xdr:colOff>
          <xdr:row>0</xdr:row>
          <xdr:rowOff>161925</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1A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19050</xdr:rowOff>
        </xdr:from>
        <xdr:to>
          <xdr:col>4</xdr:col>
          <xdr:colOff>114300</xdr:colOff>
          <xdr:row>0</xdr:row>
          <xdr:rowOff>161925</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00000000-0008-0000-1A00-000005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Thread Wire Nominals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0</xdr:row>
          <xdr:rowOff>19050</xdr:rowOff>
        </xdr:from>
        <xdr:to>
          <xdr:col>5</xdr:col>
          <xdr:colOff>85725</xdr:colOff>
          <xdr:row>0</xdr:row>
          <xdr:rowOff>152400</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00000000-0008-0000-1A00-000006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Contents</a:t>
              </a:r>
            </a:p>
          </xdr:txBody>
        </xdr:sp>
        <xdr:clientData fLocksWithSheet="0"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219075</xdr:colOff>
          <xdr:row>0</xdr:row>
          <xdr:rowOff>152400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1D00-000003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247650</xdr:colOff>
          <xdr:row>0</xdr:row>
          <xdr:rowOff>19050</xdr:rowOff>
        </xdr:from>
        <xdr:to>
          <xdr:col>3</xdr:col>
          <xdr:colOff>523875</xdr:colOff>
          <xdr:row>0</xdr:row>
          <xdr:rowOff>142875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1D00-000004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Contents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219075</xdr:colOff>
          <xdr:row>0</xdr:row>
          <xdr:rowOff>152400</xdr:rowOff>
        </xdr:to>
        <xdr:sp macro="" textlink="">
          <xdr:nvSpPr>
            <xdr:cNvPr id="26646" name="Button 22" hidden="1">
              <a:extLst>
                <a:ext uri="{63B3BB69-23CF-44E3-9099-C40C66FF867C}">
                  <a14:compatExt spid="_x0000_s26646"/>
                </a:ext>
                <a:ext uri="{FF2B5EF4-FFF2-40B4-BE49-F238E27FC236}">
                  <a16:creationId xmlns:a16="http://schemas.microsoft.com/office/drawing/2014/main" id="{00000000-0008-0000-1F00-000016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0</xdr:row>
          <xdr:rowOff>19050</xdr:rowOff>
        </xdr:from>
        <xdr:to>
          <xdr:col>3</xdr:col>
          <xdr:colOff>495300</xdr:colOff>
          <xdr:row>0</xdr:row>
          <xdr:rowOff>152400</xdr:rowOff>
        </xdr:to>
        <xdr:sp macro="" textlink="">
          <xdr:nvSpPr>
            <xdr:cNvPr id="26647" name="Button 23" hidden="1">
              <a:extLst>
                <a:ext uri="{63B3BB69-23CF-44E3-9099-C40C66FF867C}">
                  <a14:compatExt spid="_x0000_s26647"/>
                </a:ext>
                <a:ext uri="{FF2B5EF4-FFF2-40B4-BE49-F238E27FC236}">
                  <a16:creationId xmlns:a16="http://schemas.microsoft.com/office/drawing/2014/main" id="{00000000-0008-0000-1F00-000017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Gear Wire Nominals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0</xdr:row>
          <xdr:rowOff>9525</xdr:rowOff>
        </xdr:from>
        <xdr:to>
          <xdr:col>6</xdr:col>
          <xdr:colOff>123825</xdr:colOff>
          <xdr:row>0</xdr:row>
          <xdr:rowOff>142875</xdr:rowOff>
        </xdr:to>
        <xdr:sp macro="" textlink="">
          <xdr:nvSpPr>
            <xdr:cNvPr id="26681" name="Button 57" hidden="1">
              <a:extLst>
                <a:ext uri="{63B3BB69-23CF-44E3-9099-C40C66FF867C}">
                  <a14:compatExt spid="_x0000_s26681"/>
                </a:ext>
                <a:ext uri="{FF2B5EF4-FFF2-40B4-BE49-F238E27FC236}">
                  <a16:creationId xmlns:a16="http://schemas.microsoft.com/office/drawing/2014/main" id="{00000000-0008-0000-1F00-000039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Contents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19050</xdr:rowOff>
        </xdr:from>
        <xdr:to>
          <xdr:col>2</xdr:col>
          <xdr:colOff>38100</xdr:colOff>
          <xdr:row>0</xdr:row>
          <xdr:rowOff>152400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2100-000005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19050</xdr:rowOff>
        </xdr:from>
        <xdr:to>
          <xdr:col>4</xdr:col>
          <xdr:colOff>247650</xdr:colOff>
          <xdr:row>0</xdr:row>
          <xdr:rowOff>152400</xdr:rowOff>
        </xdr:to>
        <xdr:sp macro="" textlink="">
          <xdr:nvSpPr>
            <xdr:cNvPr id="31750" name="Button 6" hidden="1">
              <a:extLst>
                <a:ext uri="{63B3BB69-23CF-44E3-9099-C40C66FF867C}">
                  <a14:compatExt spid="_x0000_s31750"/>
                </a:ext>
                <a:ext uri="{FF2B5EF4-FFF2-40B4-BE49-F238E27FC236}">
                  <a16:creationId xmlns:a16="http://schemas.microsoft.com/office/drawing/2014/main" id="{00000000-0008-0000-2100-000006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English Thread Wires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314325</xdr:colOff>
          <xdr:row>0</xdr:row>
          <xdr:rowOff>19050</xdr:rowOff>
        </xdr:from>
        <xdr:to>
          <xdr:col>6</xdr:col>
          <xdr:colOff>180975</xdr:colOff>
          <xdr:row>0</xdr:row>
          <xdr:rowOff>152400</xdr:rowOff>
        </xdr:to>
        <xdr:sp macro="" textlink="">
          <xdr:nvSpPr>
            <xdr:cNvPr id="31751" name="Button 7" hidden="1">
              <a:extLst>
                <a:ext uri="{63B3BB69-23CF-44E3-9099-C40C66FF867C}">
                  <a14:compatExt spid="_x0000_s31751"/>
                </a:ext>
                <a:ext uri="{FF2B5EF4-FFF2-40B4-BE49-F238E27FC236}">
                  <a16:creationId xmlns:a16="http://schemas.microsoft.com/office/drawing/2014/main" id="{00000000-0008-0000-2100-000007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Metric Thread Wires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600075</xdr:colOff>
          <xdr:row>0</xdr:row>
          <xdr:rowOff>142875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22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628650</xdr:colOff>
          <xdr:row>0</xdr:row>
          <xdr:rowOff>19050</xdr:rowOff>
        </xdr:from>
        <xdr:to>
          <xdr:col>2</xdr:col>
          <xdr:colOff>57150</xdr:colOff>
          <xdr:row>0</xdr:row>
          <xdr:rowOff>142875</xdr:rowOff>
        </xdr:to>
        <xdr:sp macro="" textlink="">
          <xdr:nvSpPr>
            <xdr:cNvPr id="32774" name="Button 6" hidden="1">
              <a:extLst>
                <a:ext uri="{63B3BB69-23CF-44E3-9099-C40C66FF867C}">
                  <a14:compatExt spid="_x0000_s32774"/>
                </a:ext>
                <a:ext uri="{FF2B5EF4-FFF2-40B4-BE49-F238E27FC236}">
                  <a16:creationId xmlns:a16="http://schemas.microsoft.com/office/drawing/2014/main" id="{00000000-0008-0000-2200-00000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Gear Wires Calculator</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314325</xdr:colOff>
          <xdr:row>0</xdr:row>
          <xdr:rowOff>152400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23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0</xdr:row>
          <xdr:rowOff>19050</xdr:rowOff>
        </xdr:from>
        <xdr:to>
          <xdr:col>19</xdr:col>
          <xdr:colOff>95250</xdr:colOff>
          <xdr:row>0</xdr:row>
          <xdr:rowOff>152400</xdr:rowOff>
        </xdr:to>
        <xdr:sp macro="" textlink="">
          <xdr:nvSpPr>
            <xdr:cNvPr id="18440" name="Button 8" hidden="1">
              <a:extLst>
                <a:ext uri="{63B3BB69-23CF-44E3-9099-C40C66FF867C}">
                  <a14:compatExt spid="_x0000_s18440"/>
                </a:ext>
                <a:ext uri="{FF2B5EF4-FFF2-40B4-BE49-F238E27FC236}">
                  <a16:creationId xmlns:a16="http://schemas.microsoft.com/office/drawing/2014/main" id="{00000000-0008-0000-2300-000008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19050</xdr:colOff>
          <xdr:row>0</xdr:row>
          <xdr:rowOff>19050</xdr:rowOff>
        </xdr:from>
        <xdr:to>
          <xdr:col>42</xdr:col>
          <xdr:colOff>28575</xdr:colOff>
          <xdr:row>0</xdr:row>
          <xdr:rowOff>152400</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2300-000009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790575</xdr:colOff>
          <xdr:row>0</xdr:row>
          <xdr:rowOff>152400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2400-000007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876300</xdr:colOff>
          <xdr:row>0</xdr:row>
          <xdr:rowOff>19050</xdr:rowOff>
        </xdr:from>
        <xdr:to>
          <xdr:col>1</xdr:col>
          <xdr:colOff>704850</xdr:colOff>
          <xdr:row>0</xdr:row>
          <xdr:rowOff>152400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2400-00000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Fischer Probe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790575</xdr:colOff>
          <xdr:row>0</xdr:row>
          <xdr:rowOff>19050</xdr:rowOff>
        </xdr:from>
        <xdr:to>
          <xdr:col>4</xdr:col>
          <xdr:colOff>247650</xdr:colOff>
          <xdr:row>0</xdr:row>
          <xdr:rowOff>152400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2400-00000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DeFelsko Probe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0</xdr:row>
          <xdr:rowOff>19050</xdr:rowOff>
        </xdr:from>
        <xdr:to>
          <xdr:col>4</xdr:col>
          <xdr:colOff>1095375</xdr:colOff>
          <xdr:row>0</xdr:row>
          <xdr:rowOff>152400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2400-00000A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Tolerance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1123950</xdr:colOff>
          <xdr:row>0</xdr:row>
          <xdr:rowOff>19050</xdr:rowOff>
        </xdr:from>
        <xdr:to>
          <xdr:col>4</xdr:col>
          <xdr:colOff>1914525</xdr:colOff>
          <xdr:row>0</xdr:row>
          <xdr:rowOff>152400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2400-00000B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NIST Info for JGI Foil Set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12</xdr:col>
      <xdr:colOff>247650</xdr:colOff>
      <xdr:row>38</xdr:row>
      <xdr:rowOff>66675</xdr:rowOff>
    </xdr:to>
    <xdr:pic>
      <xdr:nvPicPr>
        <xdr:cNvPr id="135213" name="Picture 1">
          <a:extLst>
            <a:ext uri="{FF2B5EF4-FFF2-40B4-BE49-F238E27FC236}">
              <a16:creationId xmlns:a16="http://schemas.microsoft.com/office/drawing/2014/main" id="{00000000-0008-0000-2500-00002D1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3850"/>
          <a:ext cx="7562850" cy="605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171450</xdr:colOff>
          <xdr:row>0</xdr:row>
          <xdr:rowOff>161925</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25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0</xdr:row>
          <xdr:rowOff>19050</xdr:rowOff>
        </xdr:from>
        <xdr:to>
          <xdr:col>8</xdr:col>
          <xdr:colOff>0</xdr:colOff>
          <xdr:row>0</xdr:row>
          <xdr:rowOff>161925</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2500-00001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Tolerance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0</xdr:row>
          <xdr:rowOff>19050</xdr:rowOff>
        </xdr:from>
        <xdr:to>
          <xdr:col>10</xdr:col>
          <xdr:colOff>180975</xdr:colOff>
          <xdr:row>0</xdr:row>
          <xdr:rowOff>161925</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2500-00001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NIST Info for JGI Foil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0</xdr:row>
          <xdr:rowOff>19050</xdr:rowOff>
        </xdr:from>
        <xdr:to>
          <xdr:col>5</xdr:col>
          <xdr:colOff>133350</xdr:colOff>
          <xdr:row>0</xdr:row>
          <xdr:rowOff>161925</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2500-00001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Coating Thickness Meters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0</xdr:col>
      <xdr:colOff>57150</xdr:colOff>
      <xdr:row>2</xdr:row>
      <xdr:rowOff>19050</xdr:rowOff>
    </xdr:from>
    <xdr:to>
      <xdr:col>6</xdr:col>
      <xdr:colOff>228600</xdr:colOff>
      <xdr:row>30</xdr:row>
      <xdr:rowOff>19050</xdr:rowOff>
    </xdr:to>
    <xdr:pic>
      <xdr:nvPicPr>
        <xdr:cNvPr id="136327" name="Picture 1">
          <a:extLst>
            <a:ext uri="{FF2B5EF4-FFF2-40B4-BE49-F238E27FC236}">
              <a16:creationId xmlns:a16="http://schemas.microsoft.com/office/drawing/2014/main" id="{00000000-0008-0000-2600-00008714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29868" t="11458" r="18008" b="18750"/>
        <a:stretch>
          <a:fillRect/>
        </a:stretch>
      </xdr:blipFill>
      <xdr:spPr bwMode="auto">
        <a:xfrm>
          <a:off x="57150" y="466725"/>
          <a:ext cx="8143875" cy="4533900"/>
        </a:xfrm>
        <a:prstGeom prst="rect">
          <a:avLst/>
        </a:prstGeom>
        <a:noFill/>
        <a:ln>
          <a:noFill/>
        </a:ln>
        <a:effectLst/>
        <a:extLst>
          <a:ext uri="{909E8E84-426E-40DD-AFC4-6F175D3DCCD1}">
            <a14:hiddenFill xmlns:a14="http://schemas.microsoft.com/office/drawing/2010/main">
              <a:solidFill>
                <a:srgbClr val="BBE0E3"/>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0</xdr:col>
      <xdr:colOff>85725</xdr:colOff>
      <xdr:row>30</xdr:row>
      <xdr:rowOff>19050</xdr:rowOff>
    </xdr:from>
    <xdr:to>
      <xdr:col>8</xdr:col>
      <xdr:colOff>133350</xdr:colOff>
      <xdr:row>55</xdr:row>
      <xdr:rowOff>57150</xdr:rowOff>
    </xdr:to>
    <xdr:pic>
      <xdr:nvPicPr>
        <xdr:cNvPr id="136328" name="Picture 2">
          <a:extLst>
            <a:ext uri="{FF2B5EF4-FFF2-40B4-BE49-F238E27FC236}">
              <a16:creationId xmlns:a16="http://schemas.microsoft.com/office/drawing/2014/main" id="{00000000-0008-0000-2600-000088140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9185" t="16837" r="17807" b="19186"/>
        <a:stretch>
          <a:fillRect/>
        </a:stretch>
      </xdr:blipFill>
      <xdr:spPr bwMode="auto">
        <a:xfrm>
          <a:off x="85725" y="5000625"/>
          <a:ext cx="11658600" cy="4086225"/>
        </a:xfrm>
        <a:prstGeom prst="rect">
          <a:avLst/>
        </a:prstGeom>
        <a:noFill/>
        <a:ln>
          <a:noFill/>
        </a:ln>
        <a:effectLst/>
        <a:extLst>
          <a:ext uri="{909E8E84-426E-40DD-AFC4-6F175D3DCCD1}">
            <a14:hiddenFill xmlns:a14="http://schemas.microsoft.com/office/drawing/2010/main">
              <a:solidFill>
                <a:srgbClr val="BBE0E3"/>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0</xdr:col>
      <xdr:colOff>38100</xdr:colOff>
      <xdr:row>68</xdr:row>
      <xdr:rowOff>19050</xdr:rowOff>
    </xdr:from>
    <xdr:to>
      <xdr:col>6</xdr:col>
      <xdr:colOff>247650</xdr:colOff>
      <xdr:row>91</xdr:row>
      <xdr:rowOff>38100</xdr:rowOff>
    </xdr:to>
    <xdr:pic>
      <xdr:nvPicPr>
        <xdr:cNvPr id="136329" name="Picture 3">
          <a:extLst>
            <a:ext uri="{FF2B5EF4-FFF2-40B4-BE49-F238E27FC236}">
              <a16:creationId xmlns:a16="http://schemas.microsoft.com/office/drawing/2014/main" id="{00000000-0008-0000-2600-0000891402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0290" t="25255" r="16702" b="20869"/>
        <a:stretch>
          <a:fillRect/>
        </a:stretch>
      </xdr:blipFill>
      <xdr:spPr bwMode="auto">
        <a:xfrm>
          <a:off x="38100" y="11172825"/>
          <a:ext cx="8181975" cy="3743325"/>
        </a:xfrm>
        <a:prstGeom prst="rect">
          <a:avLst/>
        </a:prstGeom>
        <a:noFill/>
        <a:ln>
          <a:noFill/>
        </a:ln>
        <a:effectLst/>
        <a:extLst>
          <a:ext uri="{909E8E84-426E-40DD-AFC4-6F175D3DCCD1}">
            <a14:hiddenFill xmlns:a14="http://schemas.microsoft.com/office/drawing/2010/main">
              <a:solidFill>
                <a:srgbClr val="BBE0E3"/>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790575</xdr:colOff>
          <xdr:row>1</xdr:row>
          <xdr:rowOff>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26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781050</xdr:colOff>
          <xdr:row>0</xdr:row>
          <xdr:rowOff>19050</xdr:rowOff>
        </xdr:from>
        <xdr:to>
          <xdr:col>2</xdr:col>
          <xdr:colOff>704850</xdr:colOff>
          <xdr:row>1</xdr:row>
          <xdr:rowOff>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2600-00003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Tolerance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742950</xdr:colOff>
          <xdr:row>0</xdr:row>
          <xdr:rowOff>19050</xdr:rowOff>
        </xdr:from>
        <xdr:to>
          <xdr:col>5</xdr:col>
          <xdr:colOff>9525</xdr:colOff>
          <xdr:row>1</xdr:row>
          <xdr:rowOff>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2600-00003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NIST Info for JGI Foil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838200</xdr:colOff>
          <xdr:row>0</xdr:row>
          <xdr:rowOff>19050</xdr:rowOff>
        </xdr:from>
        <xdr:to>
          <xdr:col>1</xdr:col>
          <xdr:colOff>723900</xdr:colOff>
          <xdr:row>1</xdr:row>
          <xdr:rowOff>0</xdr:rowOff>
        </xdr:to>
        <xdr:sp macro="" textlink="">
          <xdr:nvSpPr>
            <xdr:cNvPr id="4148" name="Button 52" hidden="1">
              <a:extLst>
                <a:ext uri="{63B3BB69-23CF-44E3-9099-C40C66FF867C}">
                  <a14:compatExt spid="_x0000_s4148"/>
                </a:ext>
                <a:ext uri="{FF2B5EF4-FFF2-40B4-BE49-F238E27FC236}">
                  <a16:creationId xmlns:a16="http://schemas.microsoft.com/office/drawing/2014/main" id="{00000000-0008-0000-2600-00003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Coating Thickness Meters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2</xdr:row>
          <xdr:rowOff>19050</xdr:rowOff>
        </xdr:from>
        <xdr:to>
          <xdr:col>0</xdr:col>
          <xdr:colOff>781050</xdr:colOff>
          <xdr:row>3</xdr:row>
          <xdr:rowOff>0</xdr:rowOff>
        </xdr:to>
        <xdr:sp macro="" textlink="">
          <xdr:nvSpPr>
            <xdr:cNvPr id="10246" name="Check Box 6" hidden="1">
              <a:extLst>
                <a:ext uri="{63B3BB69-23CF-44E3-9099-C40C66FF867C}">
                  <a14:compatExt spid="_x0000_s10246"/>
                </a:ext>
                <a:ext uri="{FF2B5EF4-FFF2-40B4-BE49-F238E27FC236}">
                  <a16:creationId xmlns:a16="http://schemas.microsoft.com/office/drawing/2014/main" id="{00000000-0008-0000-27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781050</xdr:colOff>
          <xdr:row>0</xdr:row>
          <xdr:rowOff>152400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2700-00000B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19050</xdr:rowOff>
        </xdr:from>
        <xdr:to>
          <xdr:col>4</xdr:col>
          <xdr:colOff>200025</xdr:colOff>
          <xdr:row>0</xdr:row>
          <xdr:rowOff>142875</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2700-00000C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DeFelsko Probe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819150</xdr:colOff>
          <xdr:row>0</xdr:row>
          <xdr:rowOff>19050</xdr:rowOff>
        </xdr:from>
        <xdr:to>
          <xdr:col>2</xdr:col>
          <xdr:colOff>152400</xdr:colOff>
          <xdr:row>0</xdr:row>
          <xdr:rowOff>142875</xdr:rowOff>
        </xdr:to>
        <xdr:sp macro="" textlink="">
          <xdr:nvSpPr>
            <xdr:cNvPr id="10253" name="Button 13" hidden="1">
              <a:extLst>
                <a:ext uri="{63B3BB69-23CF-44E3-9099-C40C66FF867C}">
                  <a14:compatExt spid="_x0000_s10253"/>
                </a:ext>
                <a:ext uri="{FF2B5EF4-FFF2-40B4-BE49-F238E27FC236}">
                  <a16:creationId xmlns:a16="http://schemas.microsoft.com/office/drawing/2014/main" id="{00000000-0008-0000-2700-00000D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Fischer Probe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0</xdr:row>
          <xdr:rowOff>19050</xdr:rowOff>
        </xdr:from>
        <xdr:to>
          <xdr:col>6</xdr:col>
          <xdr:colOff>228600</xdr:colOff>
          <xdr:row>0</xdr:row>
          <xdr:rowOff>142875</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2700-00000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NIST Info for JGI Foil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0</xdr:row>
          <xdr:rowOff>9525</xdr:rowOff>
        </xdr:from>
        <xdr:to>
          <xdr:col>9</xdr:col>
          <xdr:colOff>85725</xdr:colOff>
          <xdr:row>0</xdr:row>
          <xdr:rowOff>133350</xdr:rowOff>
        </xdr:to>
        <xdr:sp macro="" textlink="">
          <xdr:nvSpPr>
            <xdr:cNvPr id="10255" name="Button 15" hidden="1">
              <a:extLst>
                <a:ext uri="{63B3BB69-23CF-44E3-9099-C40C66FF867C}">
                  <a14:compatExt spid="_x0000_s10255"/>
                </a:ext>
                <a:ext uri="{FF2B5EF4-FFF2-40B4-BE49-F238E27FC236}">
                  <a16:creationId xmlns:a16="http://schemas.microsoft.com/office/drawing/2014/main" id="{00000000-0008-0000-2700-00000F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Coating Thickness 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xdr:row>
          <xdr:rowOff>19050</xdr:rowOff>
        </xdr:from>
        <xdr:to>
          <xdr:col>6</xdr:col>
          <xdr:colOff>38100</xdr:colOff>
          <xdr:row>2</xdr:row>
          <xdr:rowOff>114300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2700-000010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Readings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18</xdr:row>
          <xdr:rowOff>19050</xdr:rowOff>
        </xdr:from>
        <xdr:to>
          <xdr:col>2</xdr:col>
          <xdr:colOff>304800</xdr:colOff>
          <xdr:row>18</xdr:row>
          <xdr:rowOff>123825</xdr:rowOff>
        </xdr:to>
        <xdr:sp macro="" textlink="">
          <xdr:nvSpPr>
            <xdr:cNvPr id="10258" name="Button 18" hidden="1">
              <a:extLst>
                <a:ext uri="{63B3BB69-23CF-44E3-9099-C40C66FF867C}">
                  <a14:compatExt spid="_x0000_s10258"/>
                </a:ext>
                <a:ext uri="{FF2B5EF4-FFF2-40B4-BE49-F238E27FC236}">
                  <a16:creationId xmlns:a16="http://schemas.microsoft.com/office/drawing/2014/main" id="{00000000-0008-0000-2700-00001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Readings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209550</xdr:colOff>
          <xdr:row>0</xdr:row>
          <xdr:rowOff>161925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28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466725</xdr:colOff>
          <xdr:row>0</xdr:row>
          <xdr:rowOff>152400</xdr:rowOff>
        </xdr:to>
        <xdr:sp macro="" textlink="">
          <xdr:nvSpPr>
            <xdr:cNvPr id="50180" name="Button 4" hidden="1">
              <a:extLst>
                <a:ext uri="{63B3BB69-23CF-44E3-9099-C40C66FF867C}">
                  <a14:compatExt spid="_x0000_s50180"/>
                </a:ext>
                <a:ext uri="{FF2B5EF4-FFF2-40B4-BE49-F238E27FC236}">
                  <a16:creationId xmlns:a16="http://schemas.microsoft.com/office/drawing/2014/main" id="{00000000-0008-0000-2900-000004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0</xdr:row>
          <xdr:rowOff>19050</xdr:rowOff>
        </xdr:from>
        <xdr:to>
          <xdr:col>3</xdr:col>
          <xdr:colOff>247650</xdr:colOff>
          <xdr:row>0</xdr:row>
          <xdr:rowOff>142875</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2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Coating Thickness Meters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209550</xdr:colOff>
          <xdr:row>0</xdr:row>
          <xdr:rowOff>152400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2A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781050</xdr:colOff>
          <xdr:row>0</xdr:row>
          <xdr:rowOff>19050</xdr:rowOff>
        </xdr:from>
        <xdr:to>
          <xdr:col>6</xdr:col>
          <xdr:colOff>314325</xdr:colOff>
          <xdr:row>0</xdr:row>
          <xdr:rowOff>161925</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2A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Roughness NIST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5</xdr:row>
          <xdr:rowOff>38100</xdr:rowOff>
        </xdr:from>
        <xdr:to>
          <xdr:col>0</xdr:col>
          <xdr:colOff>552450</xdr:colOff>
          <xdr:row>6</xdr:row>
          <xdr:rowOff>57150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2A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Readings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5</xdr:row>
          <xdr:rowOff>38100</xdr:rowOff>
        </xdr:from>
        <xdr:to>
          <xdr:col>3</xdr:col>
          <xdr:colOff>771525</xdr:colOff>
          <xdr:row>6</xdr:row>
          <xdr:rowOff>57150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2A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Readings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18</xdr:row>
          <xdr:rowOff>38100</xdr:rowOff>
        </xdr:from>
        <xdr:to>
          <xdr:col>0</xdr:col>
          <xdr:colOff>523875</xdr:colOff>
          <xdr:row>19</xdr:row>
          <xdr:rowOff>57150</xdr:rowOff>
        </xdr:to>
        <xdr:sp macro="" textlink="">
          <xdr:nvSpPr>
            <xdr:cNvPr id="15372" name="Button 12" hidden="1">
              <a:extLst>
                <a:ext uri="{63B3BB69-23CF-44E3-9099-C40C66FF867C}">
                  <a14:compatExt spid="_x0000_s15372"/>
                </a:ext>
                <a:ext uri="{FF2B5EF4-FFF2-40B4-BE49-F238E27FC236}">
                  <a16:creationId xmlns:a16="http://schemas.microsoft.com/office/drawing/2014/main" id="{00000000-0008-0000-2A00-00000C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Readings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18</xdr:row>
          <xdr:rowOff>47625</xdr:rowOff>
        </xdr:from>
        <xdr:to>
          <xdr:col>3</xdr:col>
          <xdr:colOff>733425</xdr:colOff>
          <xdr:row>19</xdr:row>
          <xdr:rowOff>66675</xdr:rowOff>
        </xdr:to>
        <xdr:sp macro="" textlink="">
          <xdr:nvSpPr>
            <xdr:cNvPr id="15373" name="Button 13" hidden="1">
              <a:extLst>
                <a:ext uri="{63B3BB69-23CF-44E3-9099-C40C66FF867C}">
                  <a14:compatExt spid="_x0000_s15373"/>
                </a:ext>
                <a:ext uri="{FF2B5EF4-FFF2-40B4-BE49-F238E27FC236}">
                  <a16:creationId xmlns:a16="http://schemas.microsoft.com/office/drawing/2014/main" id="{00000000-0008-0000-2A00-00000D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Readings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0</xdr:row>
          <xdr:rowOff>19050</xdr:rowOff>
        </xdr:from>
        <xdr:to>
          <xdr:col>3</xdr:col>
          <xdr:colOff>628650</xdr:colOff>
          <xdr:row>0</xdr:row>
          <xdr:rowOff>142875</xdr:rowOff>
        </xdr:to>
        <xdr:sp macro="" textlink="">
          <xdr:nvSpPr>
            <xdr:cNvPr id="15374" name="Button 14" hidden="1">
              <a:extLst>
                <a:ext uri="{63B3BB69-23CF-44E3-9099-C40C66FF867C}">
                  <a14:compatExt spid="_x0000_s15374"/>
                </a:ext>
                <a:ext uri="{FF2B5EF4-FFF2-40B4-BE49-F238E27FC236}">
                  <a16:creationId xmlns:a16="http://schemas.microsoft.com/office/drawing/2014/main" id="{00000000-0008-0000-2A00-00000E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Roughness Standards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0</xdr:row>
          <xdr:rowOff>38100</xdr:rowOff>
        </xdr:from>
        <xdr:to>
          <xdr:col>6</xdr:col>
          <xdr:colOff>1371600</xdr:colOff>
          <xdr:row>0</xdr:row>
          <xdr:rowOff>152400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2A00-00000F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Roughness Gage Technical Info</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38100</xdr:rowOff>
        </xdr:from>
        <xdr:to>
          <xdr:col>2</xdr:col>
          <xdr:colOff>161925</xdr:colOff>
          <xdr:row>1</xdr:row>
          <xdr:rowOff>47625</xdr:rowOff>
        </xdr:to>
        <xdr:sp macro="" textlink="">
          <xdr:nvSpPr>
            <xdr:cNvPr id="95239" name="Button 7" hidden="1">
              <a:extLst>
                <a:ext uri="{63B3BB69-23CF-44E3-9099-C40C66FF867C}">
                  <a14:compatExt spid="_x0000_s95239"/>
                </a:ext>
                <a:ext uri="{FF2B5EF4-FFF2-40B4-BE49-F238E27FC236}">
                  <a16:creationId xmlns:a16="http://schemas.microsoft.com/office/drawing/2014/main" id="{00000000-0008-0000-2B00-000007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xdr:colOff>
          <xdr:row>0</xdr:row>
          <xdr:rowOff>47625</xdr:rowOff>
        </xdr:from>
        <xdr:to>
          <xdr:col>5</xdr:col>
          <xdr:colOff>47625</xdr:colOff>
          <xdr:row>1</xdr:row>
          <xdr:rowOff>47625</xdr:rowOff>
        </xdr:to>
        <xdr:sp macro="" textlink="">
          <xdr:nvSpPr>
            <xdr:cNvPr id="95240" name="Button 8" hidden="1">
              <a:extLst>
                <a:ext uri="{63B3BB69-23CF-44E3-9099-C40C66FF867C}">
                  <a14:compatExt spid="_x0000_s95240"/>
                </a:ext>
                <a:ext uri="{FF2B5EF4-FFF2-40B4-BE49-F238E27FC236}">
                  <a16:creationId xmlns:a16="http://schemas.microsoft.com/office/drawing/2014/main" id="{00000000-0008-0000-2B00-000008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Roughness Gages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0</xdr:row>
          <xdr:rowOff>66675</xdr:rowOff>
        </xdr:from>
        <xdr:to>
          <xdr:col>7</xdr:col>
          <xdr:colOff>276225</xdr:colOff>
          <xdr:row>1</xdr:row>
          <xdr:rowOff>47625</xdr:rowOff>
        </xdr:to>
        <xdr:sp macro="" textlink="">
          <xdr:nvSpPr>
            <xdr:cNvPr id="95241" name="Button 9" hidden="1">
              <a:extLst>
                <a:ext uri="{63B3BB69-23CF-44E3-9099-C40C66FF867C}">
                  <a14:compatExt spid="_x0000_s95241"/>
                </a:ext>
                <a:ext uri="{FF2B5EF4-FFF2-40B4-BE49-F238E27FC236}">
                  <a16:creationId xmlns:a16="http://schemas.microsoft.com/office/drawing/2014/main" id="{00000000-0008-0000-2B00-000009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Roughness NIST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0</xdr:row>
          <xdr:rowOff>57150</xdr:rowOff>
        </xdr:from>
        <xdr:to>
          <xdr:col>10</xdr:col>
          <xdr:colOff>114300</xdr:colOff>
          <xdr:row>1</xdr:row>
          <xdr:rowOff>47625</xdr:rowOff>
        </xdr:to>
        <xdr:sp macro="" textlink="">
          <xdr:nvSpPr>
            <xdr:cNvPr id="95242" name="Button 10" hidden="1">
              <a:extLst>
                <a:ext uri="{63B3BB69-23CF-44E3-9099-C40C66FF867C}">
                  <a14:compatExt spid="_x0000_s95242"/>
                </a:ext>
                <a:ext uri="{FF2B5EF4-FFF2-40B4-BE49-F238E27FC236}">
                  <a16:creationId xmlns:a16="http://schemas.microsoft.com/office/drawing/2014/main" id="{00000000-0008-0000-2B00-00000A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Perthometer Data</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19050</xdr:rowOff>
        </xdr:from>
        <xdr:to>
          <xdr:col>2</xdr:col>
          <xdr:colOff>485775</xdr:colOff>
          <xdr:row>1</xdr:row>
          <xdr:rowOff>57150</xdr:rowOff>
        </xdr:to>
        <xdr:sp macro="" textlink="">
          <xdr:nvSpPr>
            <xdr:cNvPr id="99330" name="Button 2" hidden="1">
              <a:extLst>
                <a:ext uri="{63B3BB69-23CF-44E3-9099-C40C66FF867C}">
                  <a14:compatExt spid="_x0000_s99330"/>
                </a:ext>
                <a:ext uri="{FF2B5EF4-FFF2-40B4-BE49-F238E27FC236}">
                  <a16:creationId xmlns:a16="http://schemas.microsoft.com/office/drawing/2014/main" id="{00000000-0008-0000-2C00-000002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Roughness Gages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19050</xdr:rowOff>
        </xdr:from>
        <xdr:to>
          <xdr:col>1</xdr:col>
          <xdr:colOff>142875</xdr:colOff>
          <xdr:row>1</xdr:row>
          <xdr:rowOff>66675</xdr:rowOff>
        </xdr:to>
        <xdr:sp macro="" textlink="">
          <xdr:nvSpPr>
            <xdr:cNvPr id="99332" name="Return to Main Screen" hidden="1">
              <a:extLst>
                <a:ext uri="{63B3BB69-23CF-44E3-9099-C40C66FF867C}">
                  <a14:compatExt spid="_x0000_s99332"/>
                </a:ext>
                <a:ext uri="{FF2B5EF4-FFF2-40B4-BE49-F238E27FC236}">
                  <a16:creationId xmlns:a16="http://schemas.microsoft.com/office/drawing/2014/main" id="{00000000-0008-0000-2C00-000004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 Screen</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123825</xdr:colOff>
          <xdr:row>0</xdr:row>
          <xdr:rowOff>152400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2D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180975</xdr:colOff>
          <xdr:row>0</xdr:row>
          <xdr:rowOff>19050</xdr:rowOff>
        </xdr:from>
        <xdr:to>
          <xdr:col>2</xdr:col>
          <xdr:colOff>266700</xdr:colOff>
          <xdr:row>0</xdr:row>
          <xdr:rowOff>152400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2D00-000005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Roughness Calculator</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171450</xdr:colOff>
          <xdr:row>0</xdr:row>
          <xdr:rowOff>161925</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2E00-000003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800100</xdr:colOff>
          <xdr:row>0</xdr:row>
          <xdr:rowOff>152400</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2F00-00000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xdr:row>
          <xdr:rowOff>19050</xdr:rowOff>
        </xdr:from>
        <xdr:to>
          <xdr:col>1</xdr:col>
          <xdr:colOff>790575</xdr:colOff>
          <xdr:row>2</xdr:row>
          <xdr:rowOff>152400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2F00-000009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Readings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838200</xdr:colOff>
          <xdr:row>0</xdr:row>
          <xdr:rowOff>19050</xdr:rowOff>
        </xdr:from>
        <xdr:to>
          <xdr:col>1</xdr:col>
          <xdr:colOff>695325</xdr:colOff>
          <xdr:row>0</xdr:row>
          <xdr:rowOff>152400</xdr:rowOff>
        </xdr:to>
        <xdr:sp macro="" textlink="">
          <xdr:nvSpPr>
            <xdr:cNvPr id="17418" name="Button 10" hidden="1">
              <a:extLst>
                <a:ext uri="{63B3BB69-23CF-44E3-9099-C40C66FF867C}">
                  <a14:compatExt spid="_x0000_s17418"/>
                </a:ext>
                <a:ext uri="{FF2B5EF4-FFF2-40B4-BE49-F238E27FC236}">
                  <a16:creationId xmlns:a16="http://schemas.microsoft.com/office/drawing/2014/main" id="{00000000-0008-0000-2F00-00000A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Ultrasonic Manufacturers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733425</xdr:colOff>
          <xdr:row>0</xdr:row>
          <xdr:rowOff>19050</xdr:rowOff>
        </xdr:from>
        <xdr:to>
          <xdr:col>3</xdr:col>
          <xdr:colOff>247650</xdr:colOff>
          <xdr:row>0</xdr:row>
          <xdr:rowOff>152400</xdr:rowOff>
        </xdr:to>
        <xdr:sp macro="" textlink="">
          <xdr:nvSpPr>
            <xdr:cNvPr id="17420" name="Button 12" hidden="1">
              <a:extLst>
                <a:ext uri="{63B3BB69-23CF-44E3-9099-C40C66FF867C}">
                  <a14:compatExt spid="_x0000_s17420"/>
                </a:ext>
                <a:ext uri="{FF2B5EF4-FFF2-40B4-BE49-F238E27FC236}">
                  <a16:creationId xmlns:a16="http://schemas.microsoft.com/office/drawing/2014/main" id="{00000000-0008-0000-2F00-00000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JGI Ultrasonic NIST Info</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800100</xdr:colOff>
          <xdr:row>0</xdr:row>
          <xdr:rowOff>152400</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3000-000009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19050</xdr:rowOff>
        </xdr:from>
        <xdr:to>
          <xdr:col>5</xdr:col>
          <xdr:colOff>847725</xdr:colOff>
          <xdr:row>0</xdr:row>
          <xdr:rowOff>152400</xdr:rowOff>
        </xdr:to>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3000-00000B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JGI Ultrasonic NIST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19050</xdr:rowOff>
        </xdr:from>
        <xdr:to>
          <xdr:col>1</xdr:col>
          <xdr:colOff>771525</xdr:colOff>
          <xdr:row>0</xdr:row>
          <xdr:rowOff>152400</xdr:rowOff>
        </xdr:to>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3000-00000C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Ultrasonic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19050</xdr:rowOff>
        </xdr:from>
        <xdr:to>
          <xdr:col>5</xdr:col>
          <xdr:colOff>9525</xdr:colOff>
          <xdr:row>0</xdr:row>
          <xdr:rowOff>161925</xdr:rowOff>
        </xdr:to>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3000-00000D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Dakota Probe Info</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152400</xdr:colOff>
          <xdr:row>0</xdr:row>
          <xdr:rowOff>152400</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3100-000004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0</xdr:row>
          <xdr:rowOff>19050</xdr:rowOff>
        </xdr:from>
        <xdr:to>
          <xdr:col>3</xdr:col>
          <xdr:colOff>171450</xdr:colOff>
          <xdr:row>0</xdr:row>
          <xdr:rowOff>152400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3100-000005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Ultrasonic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0</xdr:row>
          <xdr:rowOff>19050</xdr:rowOff>
        </xdr:from>
        <xdr:to>
          <xdr:col>6</xdr:col>
          <xdr:colOff>47625</xdr:colOff>
          <xdr:row>0</xdr:row>
          <xdr:rowOff>152400</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3100-000006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JGI Ultrasonic NIST Info</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9525</xdr:rowOff>
        </xdr:from>
        <xdr:to>
          <xdr:col>1</xdr:col>
          <xdr:colOff>114300</xdr:colOff>
          <xdr:row>0</xdr:row>
          <xdr:rowOff>133350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32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0</xdr:row>
          <xdr:rowOff>9525</xdr:rowOff>
        </xdr:from>
        <xdr:to>
          <xdr:col>1</xdr:col>
          <xdr:colOff>933450</xdr:colOff>
          <xdr:row>0</xdr:row>
          <xdr:rowOff>142875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3200-000005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Ultrasonic Manufacturers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942975</xdr:colOff>
          <xdr:row>0</xdr:row>
          <xdr:rowOff>9525</xdr:rowOff>
        </xdr:from>
        <xdr:to>
          <xdr:col>3</xdr:col>
          <xdr:colOff>457200</xdr:colOff>
          <xdr:row>0</xdr:row>
          <xdr:rowOff>133350</xdr:rowOff>
        </xdr:to>
        <xdr:sp macro="" textlink="">
          <xdr:nvSpPr>
            <xdr:cNvPr id="33798" name="Button 6" hidden="1">
              <a:extLst>
                <a:ext uri="{63B3BB69-23CF-44E3-9099-C40C66FF867C}">
                  <a14:compatExt spid="_x0000_s33798"/>
                </a:ext>
                <a:ext uri="{FF2B5EF4-FFF2-40B4-BE49-F238E27FC236}">
                  <a16:creationId xmlns:a16="http://schemas.microsoft.com/office/drawing/2014/main" id="{00000000-0008-0000-3200-000006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Ultrasonic Calculator</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18</xdr:col>
      <xdr:colOff>0</xdr:colOff>
      <xdr:row>57</xdr:row>
      <xdr:rowOff>0</xdr:rowOff>
    </xdr:from>
    <xdr:to>
      <xdr:col>18</xdr:col>
      <xdr:colOff>38100</xdr:colOff>
      <xdr:row>58</xdr:row>
      <xdr:rowOff>19050</xdr:rowOff>
    </xdr:to>
    <xdr:sp macro="" textlink="">
      <xdr:nvSpPr>
        <xdr:cNvPr id="137261" name="Text Box 2">
          <a:extLst>
            <a:ext uri="{FF2B5EF4-FFF2-40B4-BE49-F238E27FC236}">
              <a16:creationId xmlns:a16="http://schemas.microsoft.com/office/drawing/2014/main" id="{00000000-0008-0000-3300-00002D180200}"/>
            </a:ext>
          </a:extLst>
        </xdr:cNvPr>
        <xdr:cNvSpPr txBox="1">
          <a:spLocks noChangeArrowheads="1"/>
        </xdr:cNvSpPr>
      </xdr:nvSpPr>
      <xdr:spPr bwMode="auto">
        <a:xfrm>
          <a:off x="14582775" y="9486900"/>
          <a:ext cx="381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514350</xdr:colOff>
          <xdr:row>2</xdr:row>
          <xdr:rowOff>19050</xdr:rowOff>
        </xdr:from>
        <xdr:to>
          <xdr:col>2</xdr:col>
          <xdr:colOff>1057275</xdr:colOff>
          <xdr:row>2</xdr:row>
          <xdr:rowOff>123825</xdr:rowOff>
        </xdr:to>
        <xdr:sp macro="" textlink="">
          <xdr:nvSpPr>
            <xdr:cNvPr id="45060" name="Drop Down 4" hidden="1">
              <a:extLst>
                <a:ext uri="{63B3BB69-23CF-44E3-9099-C40C66FF867C}">
                  <a14:compatExt spid="_x0000_s45060"/>
                </a:ext>
                <a:ext uri="{FF2B5EF4-FFF2-40B4-BE49-F238E27FC236}">
                  <a16:creationId xmlns:a16="http://schemas.microsoft.com/office/drawing/2014/main" id="{00000000-0008-0000-3300-000004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31</xdr:row>
          <xdr:rowOff>76200</xdr:rowOff>
        </xdr:from>
        <xdr:to>
          <xdr:col>0</xdr:col>
          <xdr:colOff>304800</xdr:colOff>
          <xdr:row>33</xdr:row>
          <xdr:rowOff>19050</xdr:rowOff>
        </xdr:to>
        <xdr:sp macro="" textlink="">
          <xdr:nvSpPr>
            <xdr:cNvPr id="45065" name="Check Box 9" hidden="1">
              <a:extLst>
                <a:ext uri="{63B3BB69-23CF-44E3-9099-C40C66FF867C}">
                  <a14:compatExt spid="_x0000_s45065"/>
                </a:ext>
                <a:ext uri="{FF2B5EF4-FFF2-40B4-BE49-F238E27FC236}">
                  <a16:creationId xmlns:a16="http://schemas.microsoft.com/office/drawing/2014/main" id="{00000000-0008-0000-3300-00000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Verimet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32</xdr:row>
          <xdr:rowOff>76200</xdr:rowOff>
        </xdr:from>
        <xdr:to>
          <xdr:col>1</xdr:col>
          <xdr:colOff>114300</xdr:colOff>
          <xdr:row>34</xdr:row>
          <xdr:rowOff>19050</xdr:rowOff>
        </xdr:to>
        <xdr:sp macro="" textlink="">
          <xdr:nvSpPr>
            <xdr:cNvPr id="45066" name="Check Box 10" descr="Autosigma 3000/3000DL only: Setup Standard(s) attached" hidden="1">
              <a:extLst>
                <a:ext uri="{63B3BB69-23CF-44E3-9099-C40C66FF867C}">
                  <a14:compatExt spid="_x0000_s45066"/>
                </a:ext>
                <a:ext uri="{FF2B5EF4-FFF2-40B4-BE49-F238E27FC236}">
                  <a16:creationId xmlns:a16="http://schemas.microsoft.com/office/drawing/2014/main" id="{00000000-0008-0000-3300-00000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Autosigma 3000 or 3000DL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36</xdr:row>
          <xdr:rowOff>57150</xdr:rowOff>
        </xdr:from>
        <xdr:to>
          <xdr:col>1</xdr:col>
          <xdr:colOff>76200</xdr:colOff>
          <xdr:row>38</xdr:row>
          <xdr:rowOff>19050</xdr:rowOff>
        </xdr:to>
        <xdr:sp macro="" textlink="">
          <xdr:nvSpPr>
            <xdr:cNvPr id="45068" name="Check Box 12" hidden="1">
              <a:extLst>
                <a:ext uri="{63B3BB69-23CF-44E3-9099-C40C66FF867C}">
                  <a14:compatExt spid="_x0000_s45068"/>
                </a:ext>
                <a:ext uri="{FF2B5EF4-FFF2-40B4-BE49-F238E27FC236}">
                  <a16:creationId xmlns:a16="http://schemas.microsoft.com/office/drawing/2014/main" id="{00000000-0008-0000-3300-00000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Standards needed resurfaced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35</xdr:row>
          <xdr:rowOff>76200</xdr:rowOff>
        </xdr:from>
        <xdr:to>
          <xdr:col>2</xdr:col>
          <xdr:colOff>19050</xdr:colOff>
          <xdr:row>37</xdr:row>
          <xdr:rowOff>19050</xdr:rowOff>
        </xdr:to>
        <xdr:sp macro="" textlink="">
          <xdr:nvSpPr>
            <xdr:cNvPr id="45070" name="Check Box 14" hidden="1">
              <a:extLst>
                <a:ext uri="{63B3BB69-23CF-44E3-9099-C40C66FF867C}">
                  <a14:compatExt spid="_x0000_s45070"/>
                </a:ext>
                <a:ext uri="{FF2B5EF4-FFF2-40B4-BE49-F238E27FC236}">
                  <a16:creationId xmlns:a16="http://schemas.microsoft.com/office/drawing/2014/main" id="{00000000-0008-0000-3300-00000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Standards surfaces 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33</xdr:row>
          <xdr:rowOff>76200</xdr:rowOff>
        </xdr:from>
        <xdr:to>
          <xdr:col>1</xdr:col>
          <xdr:colOff>19050</xdr:colOff>
          <xdr:row>35</xdr:row>
          <xdr:rowOff>19050</xdr:rowOff>
        </xdr:to>
        <xdr:sp macro="" textlink="">
          <xdr:nvSpPr>
            <xdr:cNvPr id="45071" name="Check Box 15" hidden="1">
              <a:extLst>
                <a:ext uri="{63B3BB69-23CF-44E3-9099-C40C66FF867C}">
                  <a14:compatExt spid="_x0000_s45071"/>
                </a:ext>
                <a:ext uri="{FF2B5EF4-FFF2-40B4-BE49-F238E27FC236}">
                  <a16:creationId xmlns:a16="http://schemas.microsoft.com/office/drawing/2014/main" id="{00000000-0008-0000-3300-00000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Setup Standard separate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30</xdr:row>
          <xdr:rowOff>66675</xdr:rowOff>
        </xdr:from>
        <xdr:to>
          <xdr:col>1</xdr:col>
          <xdr:colOff>95250</xdr:colOff>
          <xdr:row>32</xdr:row>
          <xdr:rowOff>19050</xdr:rowOff>
        </xdr:to>
        <xdr:sp macro="" textlink="">
          <xdr:nvSpPr>
            <xdr:cNvPr id="45073" name="Check Box 17" hidden="1">
              <a:extLst>
                <a:ext uri="{63B3BB69-23CF-44E3-9099-C40C66FF867C}">
                  <a14:compatExt spid="_x0000_s45073"/>
                </a:ext>
                <a:ext uri="{FF2B5EF4-FFF2-40B4-BE49-F238E27FC236}">
                  <a16:creationId xmlns:a16="http://schemas.microsoft.com/office/drawing/2014/main" id="{00000000-0008-0000-3300-00001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Does not have 4 standards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466725</xdr:colOff>
          <xdr:row>0</xdr:row>
          <xdr:rowOff>152400</xdr:rowOff>
        </xdr:to>
        <xdr:sp macro="" textlink="">
          <xdr:nvSpPr>
            <xdr:cNvPr id="45086" name="Button 30" hidden="1">
              <a:extLst>
                <a:ext uri="{63B3BB69-23CF-44E3-9099-C40C66FF867C}">
                  <a14:compatExt spid="_x0000_s45086"/>
                </a:ext>
                <a:ext uri="{FF2B5EF4-FFF2-40B4-BE49-F238E27FC236}">
                  <a16:creationId xmlns:a16="http://schemas.microsoft.com/office/drawing/2014/main" id="{00000000-0008-0000-3300-00001E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19050</xdr:rowOff>
        </xdr:from>
        <xdr:to>
          <xdr:col>2</xdr:col>
          <xdr:colOff>914400</xdr:colOff>
          <xdr:row>0</xdr:row>
          <xdr:rowOff>152400</xdr:rowOff>
        </xdr:to>
        <xdr:sp macro="" textlink="">
          <xdr:nvSpPr>
            <xdr:cNvPr id="45087" name="Button 31" hidden="1">
              <a:extLst>
                <a:ext uri="{63B3BB69-23CF-44E3-9099-C40C66FF867C}">
                  <a14:compatExt spid="_x0000_s45087"/>
                </a:ext>
                <a:ext uri="{FF2B5EF4-FFF2-40B4-BE49-F238E27FC236}">
                  <a16:creationId xmlns:a16="http://schemas.microsoft.com/office/drawing/2014/main" id="{00000000-0008-0000-3300-00001F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Conductivity Manufacturers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19050</xdr:rowOff>
        </xdr:from>
        <xdr:to>
          <xdr:col>5</xdr:col>
          <xdr:colOff>142875</xdr:colOff>
          <xdr:row>0</xdr:row>
          <xdr:rowOff>152400</xdr:rowOff>
        </xdr:to>
        <xdr:sp macro="" textlink="">
          <xdr:nvSpPr>
            <xdr:cNvPr id="45088" name="Button 32" hidden="1">
              <a:extLst>
                <a:ext uri="{63B3BB69-23CF-44E3-9099-C40C66FF867C}">
                  <a14:compatExt spid="_x0000_s45088"/>
                </a:ext>
                <a:ext uri="{FF2B5EF4-FFF2-40B4-BE49-F238E27FC236}">
                  <a16:creationId xmlns:a16="http://schemas.microsoft.com/office/drawing/2014/main" id="{00000000-0008-0000-3300-000020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Convert IACS and MS/M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37</xdr:row>
          <xdr:rowOff>66675</xdr:rowOff>
        </xdr:from>
        <xdr:to>
          <xdr:col>0</xdr:col>
          <xdr:colOff>676275</xdr:colOff>
          <xdr:row>39</xdr:row>
          <xdr:rowOff>19050</xdr:rowOff>
        </xdr:to>
        <xdr:sp macro="" textlink="">
          <xdr:nvSpPr>
            <xdr:cNvPr id="45443" name="Check Box 387" hidden="1">
              <a:extLst>
                <a:ext uri="{63B3BB69-23CF-44E3-9099-C40C66FF867C}">
                  <a14:compatExt spid="_x0000_s45443"/>
                </a:ext>
                <a:ext uri="{FF2B5EF4-FFF2-40B4-BE49-F238E27FC236}">
                  <a16:creationId xmlns:a16="http://schemas.microsoft.com/office/drawing/2014/main" id="{00000000-0008-0000-3300-000083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Probe surface damage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38</xdr:row>
          <xdr:rowOff>66675</xdr:rowOff>
        </xdr:from>
        <xdr:to>
          <xdr:col>0</xdr:col>
          <xdr:colOff>476250</xdr:colOff>
          <xdr:row>40</xdr:row>
          <xdr:rowOff>19050</xdr:rowOff>
        </xdr:to>
        <xdr:sp macro="" textlink="">
          <xdr:nvSpPr>
            <xdr:cNvPr id="45444" name="Check Box 388" hidden="1">
              <a:extLst>
                <a:ext uri="{63B3BB69-23CF-44E3-9099-C40C66FF867C}">
                  <a14:compatExt spid="_x0000_s45444"/>
                </a:ext>
                <a:ext uri="{FF2B5EF4-FFF2-40B4-BE49-F238E27FC236}">
                  <a16:creationId xmlns:a16="http://schemas.microsoft.com/office/drawing/2014/main" id="{00000000-0008-0000-3300-000084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Castle Metals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39</xdr:row>
          <xdr:rowOff>66675</xdr:rowOff>
        </xdr:from>
        <xdr:to>
          <xdr:col>0</xdr:col>
          <xdr:colOff>476250</xdr:colOff>
          <xdr:row>41</xdr:row>
          <xdr:rowOff>19050</xdr:rowOff>
        </xdr:to>
        <xdr:sp macro="" textlink="">
          <xdr:nvSpPr>
            <xdr:cNvPr id="45446" name="Check Box 390" hidden="1">
              <a:extLst>
                <a:ext uri="{63B3BB69-23CF-44E3-9099-C40C66FF867C}">
                  <a14:compatExt spid="_x0000_s45446"/>
                </a:ext>
                <a:ext uri="{FF2B5EF4-FFF2-40B4-BE49-F238E27FC236}">
                  <a16:creationId xmlns:a16="http://schemas.microsoft.com/office/drawing/2014/main" id="{00000000-0008-0000-3300-000086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CECO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40</xdr:row>
          <xdr:rowOff>66675</xdr:rowOff>
        </xdr:from>
        <xdr:to>
          <xdr:col>0</xdr:col>
          <xdr:colOff>476250</xdr:colOff>
          <xdr:row>42</xdr:row>
          <xdr:rowOff>19050</xdr:rowOff>
        </xdr:to>
        <xdr:sp macro="" textlink="">
          <xdr:nvSpPr>
            <xdr:cNvPr id="45447" name="Check Box 391" hidden="1">
              <a:extLst>
                <a:ext uri="{63B3BB69-23CF-44E3-9099-C40C66FF867C}">
                  <a14:compatExt spid="_x0000_s45447"/>
                </a:ext>
                <a:ext uri="{FF2B5EF4-FFF2-40B4-BE49-F238E27FC236}">
                  <a16:creationId xmlns:a16="http://schemas.microsoft.com/office/drawing/2014/main" id="{00000000-0008-0000-3300-000087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Airtech Supply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41</xdr:row>
          <xdr:rowOff>66675</xdr:rowOff>
        </xdr:from>
        <xdr:to>
          <xdr:col>0</xdr:col>
          <xdr:colOff>609600</xdr:colOff>
          <xdr:row>43</xdr:row>
          <xdr:rowOff>19050</xdr:rowOff>
        </xdr:to>
        <xdr:sp macro="" textlink="">
          <xdr:nvSpPr>
            <xdr:cNvPr id="45448" name="Check Box 392" hidden="1">
              <a:extLst>
                <a:ext uri="{63B3BB69-23CF-44E3-9099-C40C66FF867C}">
                  <a14:compatExt spid="_x0000_s45448"/>
                </a:ext>
                <a:ext uri="{FF2B5EF4-FFF2-40B4-BE49-F238E27FC236}">
                  <a16:creationId xmlns:a16="http://schemas.microsoft.com/office/drawing/2014/main" id="{00000000-0008-0000-3300-000088B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Capps Manufacturing</a:t>
              </a:r>
            </a:p>
          </xdr:txBody>
        </xdr:sp>
        <xdr:clientData/>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0</xdr:col>
          <xdr:colOff>800100</xdr:colOff>
          <xdr:row>3</xdr:row>
          <xdr:rowOff>19050</xdr:rowOff>
        </xdr:to>
        <xdr:sp macro="" textlink="">
          <xdr:nvSpPr>
            <xdr:cNvPr id="46083" name="Drop Down 3" hidden="1">
              <a:extLst>
                <a:ext uri="{63B3BB69-23CF-44E3-9099-C40C66FF867C}">
                  <a14:compatExt spid="_x0000_s46083"/>
                </a:ext>
                <a:ext uri="{FF2B5EF4-FFF2-40B4-BE49-F238E27FC236}">
                  <a16:creationId xmlns:a16="http://schemas.microsoft.com/office/drawing/2014/main" id="{00000000-0008-0000-3400-000003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771525</xdr:colOff>
          <xdr:row>0</xdr:row>
          <xdr:rowOff>152400</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00000000-0008-0000-3400-000005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504825</xdr:colOff>
          <xdr:row>0</xdr:row>
          <xdr:rowOff>19050</xdr:rowOff>
        </xdr:from>
        <xdr:to>
          <xdr:col>1</xdr:col>
          <xdr:colOff>1276350</xdr:colOff>
          <xdr:row>0</xdr:row>
          <xdr:rowOff>152400</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00000000-0008-0000-3400-000006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Convert IACS and MS/M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819150</xdr:colOff>
          <xdr:row>0</xdr:row>
          <xdr:rowOff>19050</xdr:rowOff>
        </xdr:from>
        <xdr:to>
          <xdr:col>1</xdr:col>
          <xdr:colOff>476250</xdr:colOff>
          <xdr:row>0</xdr:row>
          <xdr:rowOff>142875</xdr:rowOff>
        </xdr:to>
        <xdr:sp macro="" textlink="">
          <xdr:nvSpPr>
            <xdr:cNvPr id="46087" name="Button 7" hidden="1">
              <a:extLst>
                <a:ext uri="{63B3BB69-23CF-44E3-9099-C40C66FF867C}">
                  <a14:compatExt spid="_x0000_s46087"/>
                </a:ext>
                <a:ext uri="{FF2B5EF4-FFF2-40B4-BE49-F238E27FC236}">
                  <a16:creationId xmlns:a16="http://schemas.microsoft.com/office/drawing/2014/main" id="{00000000-0008-0000-3400-000007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Conductivity by Spec</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38100</xdr:rowOff>
        </xdr:from>
        <xdr:to>
          <xdr:col>0</xdr:col>
          <xdr:colOff>866775</xdr:colOff>
          <xdr:row>1</xdr:row>
          <xdr:rowOff>85725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3500-000001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923925</xdr:colOff>
          <xdr:row>0</xdr:row>
          <xdr:rowOff>28575</xdr:rowOff>
        </xdr:from>
        <xdr:to>
          <xdr:col>1</xdr:col>
          <xdr:colOff>485775</xdr:colOff>
          <xdr:row>1</xdr:row>
          <xdr:rowOff>85725</xdr:rowOff>
        </xdr:to>
        <xdr:sp macro="" textlink="">
          <xdr:nvSpPr>
            <xdr:cNvPr id="92163" name="Button 3" hidden="1">
              <a:extLst>
                <a:ext uri="{63B3BB69-23CF-44E3-9099-C40C66FF867C}">
                  <a14:compatExt spid="_x0000_s92163"/>
                </a:ext>
                <a:ext uri="{FF2B5EF4-FFF2-40B4-BE49-F238E27FC236}">
                  <a16:creationId xmlns:a16="http://schemas.microsoft.com/office/drawing/2014/main" id="{00000000-0008-0000-3500-000003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Conductivity by Spec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0</xdr:row>
          <xdr:rowOff>38100</xdr:rowOff>
        </xdr:from>
        <xdr:to>
          <xdr:col>2</xdr:col>
          <xdr:colOff>428625</xdr:colOff>
          <xdr:row>1</xdr:row>
          <xdr:rowOff>85725</xdr:rowOff>
        </xdr:to>
        <xdr:sp macro="" textlink="">
          <xdr:nvSpPr>
            <xdr:cNvPr id="92164" name="Button 4" hidden="1">
              <a:extLst>
                <a:ext uri="{63B3BB69-23CF-44E3-9099-C40C66FF867C}">
                  <a14:compatExt spid="_x0000_s92164"/>
                </a:ext>
                <a:ext uri="{FF2B5EF4-FFF2-40B4-BE49-F238E27FC236}">
                  <a16:creationId xmlns:a16="http://schemas.microsoft.com/office/drawing/2014/main" id="{00000000-0008-0000-3500-0000046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Conductivity Manufacturers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171450</xdr:colOff>
          <xdr:row>0</xdr:row>
          <xdr:rowOff>161925</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36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200025</xdr:colOff>
          <xdr:row>0</xdr:row>
          <xdr:rowOff>19050</xdr:rowOff>
        </xdr:from>
        <xdr:to>
          <xdr:col>4</xdr:col>
          <xdr:colOff>466725</xdr:colOff>
          <xdr:row>0</xdr:row>
          <xdr:rowOff>161925</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36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Conductivity Manufacturers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19050</xdr:rowOff>
        </xdr:from>
        <xdr:to>
          <xdr:col>7</xdr:col>
          <xdr:colOff>171450</xdr:colOff>
          <xdr:row>0</xdr:row>
          <xdr:rowOff>161925</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3600-000005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Conductivity by Spec</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0</xdr:row>
          <xdr:rowOff>38100</xdr:rowOff>
        </xdr:from>
        <xdr:to>
          <xdr:col>2</xdr:col>
          <xdr:colOff>514350</xdr:colOff>
          <xdr:row>0</xdr:row>
          <xdr:rowOff>323850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3700-000001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Main Screen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jgiquality-my.sharepoint.com/personal/nentz_jgiquality_com/Documents/Desktop/Mega%20Excel%20Chart%206%2014%202021.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mkabler\OneDrive%20-%20Johnson%20Gage%20and%20Inspection,%20Inc\Desktop\Thread%20Wires.xlsm" TargetMode="External"/><Relationship Id="rId1" Type="http://schemas.openxmlformats.org/officeDocument/2006/relationships/externalLinkPath" Target="/Users/mkabler/OneDrive%20-%20Johnson%20Gage%20and%20Inspection,%20Inc/Desktop/Thread%20Wi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creen"/>
      <sheetName val="Metric Thread Plugs"/>
      <sheetName val="Metric Thread Plug PDs"/>
      <sheetName val="Metric Thread Plug Tolerance X"/>
      <sheetName val="Metric Thread Plug Tolerance W"/>
      <sheetName val="Metric Plain Plugs"/>
      <sheetName val="NPT"/>
      <sheetName val="ANPT"/>
      <sheetName val="NPTF-NPSF-NPSI"/>
      <sheetName val="Plain (6-Step or Crest Check)"/>
      <sheetName val="NPT Pictures"/>
      <sheetName val=" BSPT &amp; ISO 7"/>
      <sheetName val="BSPP - ISO228"/>
      <sheetName val="ACME Multi-Start Calculator"/>
      <sheetName val="Buttress Threads"/>
      <sheetName val="ACME Single Start Calculator"/>
      <sheetName val="Non-ACME Multi Start Threads"/>
      <sheetName val="JGI Thread Wire Sizes-Constants"/>
      <sheetName val="Best Wire Size Calculator"/>
      <sheetName val="Two-Wire Method"/>
      <sheetName val="Threaded Setting"/>
      <sheetName val="Metric-English Conversion"/>
      <sheetName val="English Thread Wires"/>
      <sheetName val="Thread Wires Datasheet"/>
      <sheetName val="Metric Thread Wires"/>
      <sheetName val="Metric Thread Wires Datasheet"/>
      <sheetName val="PeeDee Wires"/>
      <sheetName val="PeeDee Wires Datasheet"/>
      <sheetName val="Gear Wires"/>
      <sheetName val="Gear Wires Datasheet"/>
      <sheetName val="Thread Wire Nominal Sizes"/>
      <sheetName val="Gear Wire Nominal Sizes"/>
      <sheetName val="Steel Spheres"/>
      <sheetName val="Coating Thickness Meters"/>
      <sheetName val="Fischer Probe Chart"/>
      <sheetName val="DeFelsko Probe Chart"/>
      <sheetName val="Coating Thickness Calculator"/>
      <sheetName val="JGI Thickness Foil Min_Max"/>
      <sheetName val="Coating Thickness Stds NIST"/>
      <sheetName val="Roughness Gages"/>
      <sheetName val="Roughness Standards"/>
      <sheetName val="Roughness Gage Technical Data"/>
      <sheetName val="Roughness NIST Info"/>
      <sheetName val="Surface Finish, Multi-Surface"/>
      <sheetName val="Ultrasonic Calculators"/>
      <sheetName val="Ultrasonic Meter Specs"/>
      <sheetName val="Ultrasonic Dakota Info"/>
      <sheetName val="JGI Ultrasonic Std NIST Info"/>
      <sheetName val="Conductivity Meters"/>
      <sheetName val="Conductivity Manufacturer Info"/>
      <sheetName val="Conductivity Guard Banding Info"/>
      <sheetName val="JGI Conductivity Standards"/>
      <sheetName val="Degrees Min Sec Conversion"/>
      <sheetName val="Software Validation"/>
      <sheetName val="Mega Excel Chart 6 14 2021"/>
    </sheetNames>
    <definedNames>
      <definedName name="MetricPDs"/>
      <definedName name="MetricThreadPlugTolW"/>
      <definedName name="MetricThreadPlugTolX"/>
      <definedName name="ReturnToMain"/>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
          <cell r="A3">
            <v>4.5</v>
          </cell>
          <cell r="B3">
            <v>0.1283</v>
          </cell>
          <cell r="I3">
            <v>0.4</v>
          </cell>
          <cell r="J3">
            <v>0.34610000000000002</v>
          </cell>
        </row>
        <row r="4">
          <cell r="A4">
            <v>5</v>
          </cell>
          <cell r="B4">
            <v>0.11547</v>
          </cell>
          <cell r="I4">
            <v>0.45</v>
          </cell>
          <cell r="J4">
            <v>0.3866</v>
          </cell>
        </row>
        <row r="5">
          <cell r="A5">
            <v>6</v>
          </cell>
          <cell r="B5">
            <v>9.6240000000000006E-2</v>
          </cell>
          <cell r="I5">
            <v>0.5</v>
          </cell>
          <cell r="J5">
            <v>0.43190000000000001</v>
          </cell>
        </row>
        <row r="6">
          <cell r="A6">
            <v>7</v>
          </cell>
          <cell r="B6">
            <v>8.2489999999999994E-2</v>
          </cell>
          <cell r="I6">
            <v>0.7</v>
          </cell>
          <cell r="J6">
            <v>0.60770000000000002</v>
          </cell>
        </row>
        <row r="7">
          <cell r="A7">
            <v>8</v>
          </cell>
          <cell r="B7">
            <v>7.2150000000000006E-2</v>
          </cell>
          <cell r="I7">
            <v>0.75</v>
          </cell>
          <cell r="J7">
            <v>0.64800000000000002</v>
          </cell>
        </row>
        <row r="8">
          <cell r="A8">
            <v>9</v>
          </cell>
          <cell r="B8">
            <v>6.4159999999999995E-2</v>
          </cell>
          <cell r="I8">
            <v>0.8</v>
          </cell>
          <cell r="J8">
            <v>0.69440000000000002</v>
          </cell>
        </row>
        <row r="9">
          <cell r="A9">
            <v>10</v>
          </cell>
          <cell r="B9">
            <v>5.774E-2</v>
          </cell>
          <cell r="I9">
            <v>1</v>
          </cell>
          <cell r="J9">
            <v>0.86650000000000005</v>
          </cell>
        </row>
        <row r="10">
          <cell r="A10">
            <v>11</v>
          </cell>
          <cell r="B10">
            <v>5.2499999999999998E-2</v>
          </cell>
          <cell r="I10">
            <v>1.25</v>
          </cell>
          <cell r="J10">
            <v>1.0814999999999999</v>
          </cell>
        </row>
        <row r="11">
          <cell r="A11">
            <v>11.5</v>
          </cell>
          <cell r="B11">
            <v>5.0209999999999998E-2</v>
          </cell>
          <cell r="I11">
            <v>1.5</v>
          </cell>
          <cell r="J11">
            <v>1.3004</v>
          </cell>
        </row>
        <row r="12">
          <cell r="A12">
            <v>12</v>
          </cell>
          <cell r="B12">
            <v>4.8099999999999997E-2</v>
          </cell>
          <cell r="I12">
            <v>1.75</v>
          </cell>
          <cell r="J12">
            <v>1.5144</v>
          </cell>
        </row>
        <row r="13">
          <cell r="A13">
            <v>13</v>
          </cell>
          <cell r="B13">
            <v>4.4400000000000002E-2</v>
          </cell>
          <cell r="I13">
            <v>2</v>
          </cell>
          <cell r="J13">
            <v>1.7330000000000001</v>
          </cell>
        </row>
        <row r="14">
          <cell r="A14">
            <v>14</v>
          </cell>
          <cell r="B14">
            <v>4.122E-2</v>
          </cell>
        </row>
        <row r="15">
          <cell r="A15">
            <v>16</v>
          </cell>
          <cell r="B15">
            <v>3.6060000000000002E-2</v>
          </cell>
        </row>
        <row r="16">
          <cell r="A16">
            <v>18</v>
          </cell>
          <cell r="B16">
            <v>3.2079999999999997E-2</v>
          </cell>
        </row>
        <row r="17">
          <cell r="A17">
            <v>20</v>
          </cell>
          <cell r="B17">
            <v>2.8879999999999999E-2</v>
          </cell>
        </row>
        <row r="18">
          <cell r="A18">
            <v>24</v>
          </cell>
          <cell r="B18">
            <v>2.4049999999999998E-2</v>
          </cell>
        </row>
        <row r="19">
          <cell r="A19">
            <v>27</v>
          </cell>
          <cell r="B19">
            <v>2.138E-2</v>
          </cell>
        </row>
        <row r="20">
          <cell r="A20">
            <v>28</v>
          </cell>
          <cell r="B20">
            <v>2.0639999999999999E-2</v>
          </cell>
        </row>
        <row r="21">
          <cell r="A21">
            <v>32</v>
          </cell>
          <cell r="B21">
            <v>1.804E-2</v>
          </cell>
        </row>
        <row r="22">
          <cell r="A22">
            <v>36</v>
          </cell>
          <cell r="B22">
            <v>1.6029999999999999E-2</v>
          </cell>
        </row>
        <row r="23">
          <cell r="A23">
            <v>40</v>
          </cell>
          <cell r="B23">
            <v>1.4449999999999999E-2</v>
          </cell>
        </row>
        <row r="24">
          <cell r="A24">
            <v>44</v>
          </cell>
          <cell r="B24">
            <v>1.3129999999999999E-2</v>
          </cell>
        </row>
        <row r="25">
          <cell r="A25">
            <v>48</v>
          </cell>
          <cell r="B25">
            <v>1.2030000000000001E-2</v>
          </cell>
        </row>
        <row r="26">
          <cell r="A26">
            <v>50</v>
          </cell>
          <cell r="B26">
            <v>1.154E-2</v>
          </cell>
        </row>
        <row r="27">
          <cell r="A27">
            <v>56</v>
          </cell>
          <cell r="B27">
            <v>1.0330000000000001E-2</v>
          </cell>
        </row>
        <row r="28">
          <cell r="A28">
            <v>64</v>
          </cell>
          <cell r="B28">
            <v>9.0299999999999998E-3</v>
          </cell>
        </row>
        <row r="29">
          <cell r="A29">
            <v>72</v>
          </cell>
          <cell r="B29">
            <v>8.0099999999999998E-3</v>
          </cell>
        </row>
        <row r="30">
          <cell r="A30">
            <v>80</v>
          </cell>
          <cell r="B30">
            <v>7.2300000000000003E-3</v>
          </cell>
        </row>
        <row r="31">
          <cell r="A31">
            <v>96</v>
          </cell>
          <cell r="B31">
            <v>6.0200000000000002E-3</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in Screen"/>
      <sheetName val="Metric Thread Plugs"/>
      <sheetName val="Metric Thread Plug PDs"/>
      <sheetName val="Metric Thread Plug Tolerance X"/>
      <sheetName val="Metric Thread Plug Tolerance W"/>
      <sheetName val="Metric Plain Plugs"/>
      <sheetName val="NPT"/>
      <sheetName val="ANPT"/>
      <sheetName val="NPTF-NPSF-NPSI"/>
      <sheetName val="Plain (6-Step or Crest Check)"/>
      <sheetName val="NPT Pictures"/>
      <sheetName val=" BSPT &amp; ISO 7"/>
      <sheetName val="BSPP - ISO228"/>
      <sheetName val="ACME Multi-Start Calculator"/>
      <sheetName val="Buttress Threads"/>
      <sheetName val="ACME Single Start Calculator"/>
      <sheetName val="Non-ACME Multi Start Threads"/>
      <sheetName val="JGI Thread Wire Sizes-Constants"/>
      <sheetName val="Best Wire Size Calculator"/>
      <sheetName val="Two-Wire Method"/>
      <sheetName val="Threaded Setting"/>
      <sheetName val="Metric-English Conversion"/>
      <sheetName val="English Thread Wires"/>
      <sheetName val="Thread Wires Datasheet"/>
      <sheetName val="Metric Thread Wires"/>
      <sheetName val="Metric Thread Wires Datasheet"/>
      <sheetName val="PeeDee Wires"/>
      <sheetName val="PeeDee Wires Datasheet"/>
      <sheetName val="Gear Wires"/>
      <sheetName val="Gear Wires Datasheet"/>
      <sheetName val="Thread Wire Nominal Sizes"/>
      <sheetName val="Gear Wire Nominal Sizes"/>
      <sheetName val="Steel Spheres"/>
      <sheetName val="Coating Thickness Meters"/>
      <sheetName val="Fischer Probe Chart"/>
      <sheetName val="DeFelsko Probe Chart"/>
      <sheetName val="Coating Thickness Calculator"/>
      <sheetName val="JGI Thickness Foil Min_Max"/>
      <sheetName val="Coating Thickness Stds NIST"/>
      <sheetName val="Roughness Gages"/>
      <sheetName val="Roughness Standards"/>
      <sheetName val="Roughness Gage Technical Data"/>
      <sheetName val="Roughness NIST Info"/>
      <sheetName val="Surface Finish, Multi-Surface"/>
      <sheetName val="Ultrasonic Calculators"/>
      <sheetName val="Ultrasonic Meter Specs"/>
      <sheetName val="Ultrasonic Dakota Info"/>
      <sheetName val="JGI Ultrasonic Std NIST Info"/>
      <sheetName val="Conductivity Meters"/>
      <sheetName val="Conductivity Manufacturer Info"/>
      <sheetName val="Conductivity Guard Banding Info"/>
      <sheetName val="JGI Conductivity Standards"/>
      <sheetName val="Degrees Min Sec Conversion"/>
      <sheetName val="Software Valid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row r="4">
          <cell r="A4">
            <v>4</v>
          </cell>
          <cell r="B4">
            <v>0.14434</v>
          </cell>
          <cell r="D4">
            <v>1</v>
          </cell>
          <cell r="E4">
            <v>0.51644999999999996</v>
          </cell>
        </row>
        <row r="5">
          <cell r="A5">
            <v>4.5</v>
          </cell>
          <cell r="B5">
            <v>0.1283</v>
          </cell>
          <cell r="D5">
            <v>1.33</v>
          </cell>
          <cell r="E5">
            <v>0.38734000000000002</v>
          </cell>
        </row>
        <row r="6">
          <cell r="A6">
            <v>5</v>
          </cell>
          <cell r="B6">
            <v>0.11547</v>
          </cell>
          <cell r="D6">
            <v>1.25</v>
          </cell>
          <cell r="E6">
            <v>0.34429999999999999</v>
          </cell>
        </row>
        <row r="7">
          <cell r="A7">
            <v>5.5</v>
          </cell>
          <cell r="B7">
            <v>0.10497272727272727</v>
          </cell>
          <cell r="D7">
            <v>1.75</v>
          </cell>
          <cell r="E7">
            <v>0.29510999999999998</v>
          </cell>
        </row>
        <row r="8">
          <cell r="A8">
            <v>6</v>
          </cell>
          <cell r="B8">
            <v>9.6225000000000005E-2</v>
          </cell>
          <cell r="D8">
            <v>2</v>
          </cell>
          <cell r="E8">
            <v>0.25823000000000002</v>
          </cell>
        </row>
        <row r="9">
          <cell r="A9">
            <v>7</v>
          </cell>
          <cell r="B9">
            <v>8.2478571428571429E-2</v>
          </cell>
          <cell r="D9">
            <v>2.5</v>
          </cell>
          <cell r="E9">
            <v>0.20658000000000001</v>
          </cell>
        </row>
        <row r="10">
          <cell r="A10">
            <v>7.5</v>
          </cell>
          <cell r="B10">
            <v>7.6980000000000007E-2</v>
          </cell>
          <cell r="D10">
            <v>3</v>
          </cell>
          <cell r="E10">
            <v>0.17215</v>
          </cell>
        </row>
        <row r="11">
          <cell r="A11">
            <v>8</v>
          </cell>
          <cell r="B11">
            <v>7.2168750000000004E-2</v>
          </cell>
          <cell r="D11">
            <v>3.5</v>
          </cell>
          <cell r="E11">
            <v>0.14756</v>
          </cell>
        </row>
        <row r="12">
          <cell r="A12">
            <v>9</v>
          </cell>
          <cell r="B12">
            <v>6.4149999999999999E-2</v>
          </cell>
          <cell r="D12">
            <v>4</v>
          </cell>
          <cell r="E12">
            <v>0.12911249999999999</v>
          </cell>
        </row>
        <row r="13">
          <cell r="A13">
            <v>10</v>
          </cell>
          <cell r="B13">
            <v>5.7735000000000002E-2</v>
          </cell>
          <cell r="D13">
            <v>4.5</v>
          </cell>
          <cell r="E13">
            <v>0.11477</v>
          </cell>
        </row>
        <row r="14">
          <cell r="A14">
            <v>11</v>
          </cell>
          <cell r="B14">
            <v>5.2486363636363637E-2</v>
          </cell>
          <cell r="D14">
            <v>5</v>
          </cell>
          <cell r="E14">
            <v>0.10329000000000001</v>
          </cell>
        </row>
        <row r="15">
          <cell r="A15">
            <v>11.5</v>
          </cell>
          <cell r="B15">
            <v>5.0204347826086959E-2</v>
          </cell>
          <cell r="D15">
            <v>5.5</v>
          </cell>
          <cell r="E15">
            <v>9.3899999999999997E-2</v>
          </cell>
        </row>
        <row r="16">
          <cell r="A16">
            <v>12</v>
          </cell>
          <cell r="B16">
            <v>4.8112500000000002E-2</v>
          </cell>
          <cell r="D16">
            <v>6</v>
          </cell>
          <cell r="E16">
            <v>8.6074999999999999E-2</v>
          </cell>
        </row>
        <row r="17">
          <cell r="A17">
            <v>13</v>
          </cell>
          <cell r="B17">
            <v>4.4411538461538461E-2</v>
          </cell>
          <cell r="D17">
            <v>7</v>
          </cell>
          <cell r="E17">
            <v>7.3779999999999998E-2</v>
          </cell>
        </row>
        <row r="18">
          <cell r="A18">
            <v>14</v>
          </cell>
          <cell r="B18">
            <v>4.1239285714285714E-2</v>
          </cell>
          <cell r="D18">
            <v>8</v>
          </cell>
          <cell r="E18">
            <v>6.4556249999999996E-2</v>
          </cell>
        </row>
        <row r="19">
          <cell r="A19">
            <v>16</v>
          </cell>
          <cell r="B19">
            <v>3.6084375000000002E-2</v>
          </cell>
          <cell r="D19">
            <v>9</v>
          </cell>
          <cell r="E19">
            <v>5.738E-2</v>
          </cell>
        </row>
        <row r="20">
          <cell r="A20">
            <v>18</v>
          </cell>
          <cell r="B20">
            <v>3.2074999999999999E-2</v>
          </cell>
          <cell r="D20">
            <v>10</v>
          </cell>
          <cell r="E20">
            <v>5.1639999999999998E-2</v>
          </cell>
        </row>
        <row r="21">
          <cell r="A21">
            <v>20</v>
          </cell>
          <cell r="B21">
            <v>2.8867500000000001E-2</v>
          </cell>
          <cell r="D21">
            <v>12</v>
          </cell>
          <cell r="E21">
            <v>4.3037499999999999E-2</v>
          </cell>
        </row>
        <row r="22">
          <cell r="A22">
            <v>22</v>
          </cell>
          <cell r="B22">
            <v>2.6239999999999999E-2</v>
          </cell>
          <cell r="D22">
            <v>14</v>
          </cell>
          <cell r="E22">
            <v>3.6889285714285715E-2</v>
          </cell>
        </row>
        <row r="23">
          <cell r="A23">
            <v>24</v>
          </cell>
          <cell r="B23">
            <v>2.4056250000000001E-2</v>
          </cell>
          <cell r="D23">
            <v>16</v>
          </cell>
          <cell r="E23">
            <v>3.2278124999999998E-2</v>
          </cell>
        </row>
        <row r="24">
          <cell r="A24">
            <v>26</v>
          </cell>
          <cell r="B24">
            <v>2.220576923076923E-2</v>
          </cell>
          <cell r="D24">
            <v>18</v>
          </cell>
          <cell r="E24">
            <v>2.869E-2</v>
          </cell>
        </row>
        <row r="25">
          <cell r="A25">
            <v>27</v>
          </cell>
          <cell r="B25">
            <v>2.1383333333333334E-2</v>
          </cell>
          <cell r="D25">
            <v>20</v>
          </cell>
          <cell r="E25">
            <v>2.5819999999999999E-2</v>
          </cell>
        </row>
        <row r="26">
          <cell r="A26">
            <v>28</v>
          </cell>
          <cell r="B26">
            <v>2.0619642857142857E-2</v>
          </cell>
        </row>
        <row r="27">
          <cell r="A27">
            <v>30</v>
          </cell>
          <cell r="B27">
            <v>1.9245000000000002E-2</v>
          </cell>
        </row>
        <row r="28">
          <cell r="A28">
            <v>32</v>
          </cell>
          <cell r="B28">
            <v>1.8042187500000001E-2</v>
          </cell>
        </row>
        <row r="29">
          <cell r="A29">
            <v>36</v>
          </cell>
          <cell r="B29">
            <v>1.60375E-2</v>
          </cell>
        </row>
        <row r="30">
          <cell r="A30">
            <v>40</v>
          </cell>
          <cell r="B30">
            <v>1.443375E-2</v>
          </cell>
        </row>
        <row r="31">
          <cell r="A31">
            <v>44</v>
          </cell>
          <cell r="B31">
            <v>1.3121590909090909E-2</v>
          </cell>
        </row>
        <row r="32">
          <cell r="A32">
            <v>48</v>
          </cell>
          <cell r="B32">
            <v>1.2028125000000001E-2</v>
          </cell>
        </row>
        <row r="33">
          <cell r="A33">
            <v>50</v>
          </cell>
          <cell r="B33">
            <v>1.1547E-2</v>
          </cell>
        </row>
        <row r="34">
          <cell r="A34">
            <v>56</v>
          </cell>
          <cell r="B34">
            <v>1.0309821428571429E-2</v>
          </cell>
        </row>
        <row r="35">
          <cell r="A35">
            <v>64</v>
          </cell>
          <cell r="B35">
            <v>9.0210937500000005E-3</v>
          </cell>
        </row>
        <row r="36">
          <cell r="A36">
            <v>72</v>
          </cell>
          <cell r="B36">
            <v>8.0187499999999998E-3</v>
          </cell>
        </row>
        <row r="37">
          <cell r="A37">
            <v>80</v>
          </cell>
          <cell r="B37">
            <v>7.2168750000000002E-3</v>
          </cell>
        </row>
        <row r="38">
          <cell r="A38">
            <v>96</v>
          </cell>
          <cell r="B38">
            <v>6.0140625000000003E-3</v>
          </cell>
        </row>
        <row r="39">
          <cell r="A39">
            <v>108</v>
          </cell>
          <cell r="B39">
            <v>5.3458333333333335E-3</v>
          </cell>
        </row>
      </sheetData>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124E2C-782E-4325-96EE-54F8DA47DE7B}" name="Table1" displayName="Table1" ref="A1:G41" totalsRowShown="0" headerRowDxfId="123">
  <autoFilter ref="A1:G41" xr:uid="{1B124E2C-782E-4325-96EE-54F8DA47DE7B}"/>
  <tableColumns count="7">
    <tableColumn id="1" xr3:uid="{F06AD384-2A97-4E48-8469-A5D83F2C5EA0}" name="Reference"/>
    <tableColumn id="2" xr3:uid="{1CC3E5A2-2C01-4D14-A7C0-60655126E08B}" name="S/N">
      <calculatedColumnFormula>VLOOKUP(B$1,INDIRECT("'English Thread Wires'!"&amp;$A2),2,FALSE)</calculatedColumnFormula>
    </tableColumn>
    <tableColumn id="3" xr3:uid="{20E03552-A03E-4022-B317-78CAF9DDD79B}" name="Pitch">
      <calculatedColumnFormula>VLOOKUP(C$1,INDIRECT("'English Thread Wires'!"&amp;$A2),2,FALSE)</calculatedColumnFormula>
    </tableColumn>
    <tableColumn id="4" xr3:uid="{4758E850-2FB9-4214-9294-B7A4CB1011FB}" name="TPI">
      <calculatedColumnFormula>VLOOKUP(D$1,INDIRECT("'English Thread Wires'!"&amp;$A2),2,FALSE)&amp;IF(ISNUMBER(SEARCH("ACME",C2))," ACME","")</calculatedColumnFormula>
    </tableColumn>
    <tableColumn id="5" xr3:uid="{78E414CC-ABA0-4C12-8417-CAE9418229AE}" name="Nominal Size">
      <calculatedColumnFormula>ROUND(VLOOKUP(E$1,INDIRECT("'English Thread Wires'!"&amp;$A2),2,FALSE),5)</calculatedColumnFormula>
    </tableColumn>
    <tableColumn id="6" xr3:uid="{41FAC42F-B2EC-421D-9E11-9398F115FA4C}" name="AVERAGE">
      <calculatedColumnFormula>VLOOKUP(F$1,INDIRECT("'English Thread Wires'!"&amp;$A2),2,FALSE)</calculatedColumnFormula>
    </tableColumn>
    <tableColumn id="7" xr3:uid="{68D35B03-AAAE-4E10-9461-E1CC0F5763B0}" name="CONST">
      <calculatedColumnFormula>IFERROR(ROUND(VLOOKUP(G$1,INDIRECT("'English Thread Wires'!"&amp;$A2),2,FALSE),5),"-----")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2.xml"/><Relationship Id="rId7" Type="http://schemas.openxmlformats.org/officeDocument/2006/relationships/ctrlProp" Target="../ctrlProps/ctrlProp35.xml"/><Relationship Id="rId2" Type="http://schemas.openxmlformats.org/officeDocument/2006/relationships/printerSettings" Target="../printerSettings/printerSettings3.bin"/><Relationship Id="rId1" Type="http://schemas.openxmlformats.org/officeDocument/2006/relationships/hyperlink" Target="file:///C:\Users\Connie\Backup\Thread%20Plug%20files\Metric%20Thread%20Plug%20PDs.pdf" TargetMode="External"/><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40.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4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hyperlink" Target="http://www.pmclonestar.com/pdfs/ANPT&amp;NPTFPipeThreadGages.pdf" TargetMode="External"/><Relationship Id="rId4" Type="http://schemas.openxmlformats.org/officeDocument/2006/relationships/ctrlProp" Target="../ctrlProps/ctrlProp5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trlProp" Target="../ctrlProps/ctrlProp5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trlProp" Target="../ctrlProps/ctrlProp5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5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5.bin"/><Relationship Id="rId4" Type="http://schemas.openxmlformats.org/officeDocument/2006/relationships/ctrlProp" Target="../ctrlProps/ctrlProp5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6.bin"/><Relationship Id="rId4" Type="http://schemas.openxmlformats.org/officeDocument/2006/relationships/ctrlProp" Target="../ctrlProps/ctrlProp6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hyperlink" Target="http://www.auto-met.com/gsgage/gaginginfo.pdf" TargetMode="External"/><Relationship Id="rId4" Type="http://schemas.openxmlformats.org/officeDocument/2006/relationships/ctrlProp" Target="../ctrlProps/ctrlProp61.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7.bin"/><Relationship Id="rId4" Type="http://schemas.openxmlformats.org/officeDocument/2006/relationships/ctrlProp" Target="../ctrlProps/ctrlProp6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8.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0.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4.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6.vml"/><Relationship Id="rId1" Type="http://schemas.openxmlformats.org/officeDocument/2006/relationships/drawing" Target="../drawings/drawing26.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77.xml"/><Relationship Id="rId2" Type="http://schemas.openxmlformats.org/officeDocument/2006/relationships/vmlDrawing" Target="../drawings/vmlDrawing27.vml"/><Relationship Id="rId1" Type="http://schemas.openxmlformats.org/officeDocument/2006/relationships/drawing" Target="../drawings/drawing27.xml"/><Relationship Id="rId4" Type="http://schemas.openxmlformats.org/officeDocument/2006/relationships/ctrlProp" Target="../ctrlProps/ctrlProp78.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6.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82.xml"/><Relationship Id="rId7" Type="http://schemas.openxmlformats.org/officeDocument/2006/relationships/ctrlProp" Target="../ctrlProps/ctrlProp86.xml"/><Relationship Id="rId2" Type="http://schemas.openxmlformats.org/officeDocument/2006/relationships/vmlDrawing" Target="../drawings/vmlDrawing29.vml"/><Relationship Id="rId1" Type="http://schemas.openxmlformats.org/officeDocument/2006/relationships/drawing" Target="../drawings/drawing29.xml"/><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87.xml"/><Relationship Id="rId2" Type="http://schemas.openxmlformats.org/officeDocument/2006/relationships/vmlDrawing" Target="../drawings/vmlDrawing30.vml"/><Relationship Id="rId1" Type="http://schemas.openxmlformats.org/officeDocument/2006/relationships/drawing" Target="../drawings/drawing30.xml"/><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ctrlProp" Target="../ctrlProps/ctrlProp94.xml"/><Relationship Id="rId2" Type="http://schemas.openxmlformats.org/officeDocument/2006/relationships/drawing" Target="../drawings/drawing31.xml"/><Relationship Id="rId1" Type="http://schemas.openxmlformats.org/officeDocument/2006/relationships/printerSettings" Target="../printerSettings/printerSettings27.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32.vml"/><Relationship Id="rId7" Type="http://schemas.openxmlformats.org/officeDocument/2006/relationships/ctrlProp" Target="../ctrlProps/ctrlProp98.xml"/><Relationship Id="rId2" Type="http://schemas.openxmlformats.org/officeDocument/2006/relationships/drawing" Target="../drawings/drawing32.xml"/><Relationship Id="rId1" Type="http://schemas.openxmlformats.org/officeDocument/2006/relationships/printerSettings" Target="../printerSettings/printerSettings28.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29.bin"/><Relationship Id="rId4" Type="http://schemas.openxmlformats.org/officeDocument/2006/relationships/ctrlProp" Target="../ctrlProps/ctrlProp103.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0.bin"/><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110.xml"/><Relationship Id="rId3" Type="http://schemas.openxmlformats.org/officeDocument/2006/relationships/vmlDrawing" Target="../drawings/vmlDrawing35.vml"/><Relationship Id="rId7" Type="http://schemas.openxmlformats.org/officeDocument/2006/relationships/ctrlProp" Target="../ctrlProps/ctrlProp109.xml"/><Relationship Id="rId2" Type="http://schemas.openxmlformats.org/officeDocument/2006/relationships/drawing" Target="../drawings/drawing35.xml"/><Relationship Id="rId1" Type="http://schemas.openxmlformats.org/officeDocument/2006/relationships/printerSettings" Target="../printerSettings/printerSettings31.bin"/><Relationship Id="rId6" Type="http://schemas.openxmlformats.org/officeDocument/2006/relationships/ctrlProp" Target="../ctrlProps/ctrlProp108.xml"/><Relationship Id="rId11" Type="http://schemas.openxmlformats.org/officeDocument/2006/relationships/ctrlProp" Target="../ctrlProps/ctrlProp113.xml"/><Relationship Id="rId5" Type="http://schemas.openxmlformats.org/officeDocument/2006/relationships/ctrlProp" Target="../ctrlProps/ctrlProp107.xml"/><Relationship Id="rId10" Type="http://schemas.openxmlformats.org/officeDocument/2006/relationships/ctrlProp" Target="../ctrlProps/ctrlProp112.xml"/><Relationship Id="rId4" Type="http://schemas.openxmlformats.org/officeDocument/2006/relationships/ctrlProp" Target="../ctrlProps/ctrlProp106.xml"/><Relationship Id="rId9" Type="http://schemas.openxmlformats.org/officeDocument/2006/relationships/ctrlProp" Target="../ctrlProps/ctrlProp111.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trlProp" Target="../ctrlProps/ctrlProp117.xml"/><Relationship Id="rId2" Type="http://schemas.openxmlformats.org/officeDocument/2006/relationships/drawing" Target="../drawings/drawing36.xml"/><Relationship Id="rId1" Type="http://schemas.openxmlformats.org/officeDocument/2006/relationships/printerSettings" Target="../printerSettings/printerSettings32.bin"/><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3.bin"/><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20.xml"/><Relationship Id="rId2" Type="http://schemas.openxmlformats.org/officeDocument/2006/relationships/vmlDrawing" Target="../drawings/vmlDrawing38.vml"/><Relationship Id="rId1" Type="http://schemas.openxmlformats.org/officeDocument/2006/relationships/drawing" Target="../drawings/drawing38.xml"/><Relationship Id="rId4" Type="http://schemas.openxmlformats.org/officeDocument/2006/relationships/ctrlProp" Target="../ctrlProps/ctrlProp121.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34.bin"/><Relationship Id="rId4" Type="http://schemas.openxmlformats.org/officeDocument/2006/relationships/ctrlProp" Target="../ctrlProps/ctrlProp122.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123.xml"/><Relationship Id="rId2" Type="http://schemas.openxmlformats.org/officeDocument/2006/relationships/vmlDrawing" Target="../drawings/vmlDrawing40.vml"/><Relationship Id="rId1" Type="http://schemas.openxmlformats.org/officeDocument/2006/relationships/drawing" Target="../drawings/drawing40.xml"/><Relationship Id="rId6" Type="http://schemas.openxmlformats.org/officeDocument/2006/relationships/ctrlProp" Target="../ctrlProps/ctrlProp126.xml"/><Relationship Id="rId5" Type="http://schemas.openxmlformats.org/officeDocument/2006/relationships/ctrlProp" Target="../ctrlProps/ctrlProp125.xml"/><Relationship Id="rId4" Type="http://schemas.openxmlformats.org/officeDocument/2006/relationships/ctrlProp" Target="../ctrlProps/ctrlProp124.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130.xml"/><Relationship Id="rId3" Type="http://schemas.openxmlformats.org/officeDocument/2006/relationships/drawing" Target="../drawings/drawing41.xml"/><Relationship Id="rId7" Type="http://schemas.openxmlformats.org/officeDocument/2006/relationships/ctrlProp" Target="../ctrlProps/ctrlProp129.xml"/><Relationship Id="rId2" Type="http://schemas.openxmlformats.org/officeDocument/2006/relationships/printerSettings" Target="../printerSettings/printerSettings35.bin"/><Relationship Id="rId1" Type="http://schemas.openxmlformats.org/officeDocument/2006/relationships/hyperlink" Target="http://www.ndtsystems.com/Transducers/Nova_Series/Contact_-_Delay/contact_-_delay.html" TargetMode="External"/><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vmlDrawing" Target="../drawings/vmlDrawing41.vml"/></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31.xml"/><Relationship Id="rId2" Type="http://schemas.openxmlformats.org/officeDocument/2006/relationships/vmlDrawing" Target="../drawings/vmlDrawing42.vml"/><Relationship Id="rId1" Type="http://schemas.openxmlformats.org/officeDocument/2006/relationships/drawing" Target="../drawings/drawing42.xml"/><Relationship Id="rId5" Type="http://schemas.openxmlformats.org/officeDocument/2006/relationships/ctrlProp" Target="../ctrlProps/ctrlProp133.xml"/><Relationship Id="rId4" Type="http://schemas.openxmlformats.org/officeDocument/2006/relationships/ctrlProp" Target="../ctrlProps/ctrlProp132.xml"/></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34.xml"/><Relationship Id="rId2" Type="http://schemas.openxmlformats.org/officeDocument/2006/relationships/vmlDrawing" Target="../drawings/vmlDrawing43.vml"/><Relationship Id="rId1" Type="http://schemas.openxmlformats.org/officeDocument/2006/relationships/drawing" Target="../drawings/drawing43.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141.xml"/><Relationship Id="rId13" Type="http://schemas.openxmlformats.org/officeDocument/2006/relationships/ctrlProp" Target="../ctrlProps/ctrlProp146.xml"/><Relationship Id="rId18" Type="http://schemas.openxmlformats.org/officeDocument/2006/relationships/ctrlProp" Target="../ctrlProps/ctrlProp151.xml"/><Relationship Id="rId3" Type="http://schemas.openxmlformats.org/officeDocument/2006/relationships/vmlDrawing" Target="../drawings/vmlDrawing44.vml"/><Relationship Id="rId7" Type="http://schemas.openxmlformats.org/officeDocument/2006/relationships/ctrlProp" Target="../ctrlProps/ctrlProp140.xml"/><Relationship Id="rId12" Type="http://schemas.openxmlformats.org/officeDocument/2006/relationships/ctrlProp" Target="../ctrlProps/ctrlProp145.xml"/><Relationship Id="rId17" Type="http://schemas.openxmlformats.org/officeDocument/2006/relationships/ctrlProp" Target="../ctrlProps/ctrlProp150.xml"/><Relationship Id="rId2" Type="http://schemas.openxmlformats.org/officeDocument/2006/relationships/drawing" Target="../drawings/drawing44.xml"/><Relationship Id="rId16" Type="http://schemas.openxmlformats.org/officeDocument/2006/relationships/ctrlProp" Target="../ctrlProps/ctrlProp149.xml"/><Relationship Id="rId1" Type="http://schemas.openxmlformats.org/officeDocument/2006/relationships/printerSettings" Target="../printerSettings/printerSettings36.bin"/><Relationship Id="rId6" Type="http://schemas.openxmlformats.org/officeDocument/2006/relationships/ctrlProp" Target="../ctrlProps/ctrlProp139.xml"/><Relationship Id="rId11" Type="http://schemas.openxmlformats.org/officeDocument/2006/relationships/ctrlProp" Target="../ctrlProps/ctrlProp144.xml"/><Relationship Id="rId5" Type="http://schemas.openxmlformats.org/officeDocument/2006/relationships/ctrlProp" Target="../ctrlProps/ctrlProp138.xml"/><Relationship Id="rId15" Type="http://schemas.openxmlformats.org/officeDocument/2006/relationships/ctrlProp" Target="../ctrlProps/ctrlProp148.xml"/><Relationship Id="rId10" Type="http://schemas.openxmlformats.org/officeDocument/2006/relationships/ctrlProp" Target="../ctrlProps/ctrlProp143.xml"/><Relationship Id="rId4" Type="http://schemas.openxmlformats.org/officeDocument/2006/relationships/ctrlProp" Target="../ctrlProps/ctrlProp137.xml"/><Relationship Id="rId9" Type="http://schemas.openxmlformats.org/officeDocument/2006/relationships/ctrlProp" Target="../ctrlProps/ctrlProp142.xml"/><Relationship Id="rId14" Type="http://schemas.openxmlformats.org/officeDocument/2006/relationships/ctrlProp" Target="../ctrlProps/ctrlProp147.xml"/></Relationships>
</file>

<file path=xl/worksheets/_rels/sheet53.xml.rels><?xml version="1.0" encoding="UTF-8" standalone="yes"?>
<Relationships xmlns="http://schemas.openxmlformats.org/package/2006/relationships"><Relationship Id="rId8" Type="http://schemas.openxmlformats.org/officeDocument/2006/relationships/ctrlProp" Target="../ctrlProps/ctrlProp155.xml"/><Relationship Id="rId3" Type="http://schemas.openxmlformats.org/officeDocument/2006/relationships/drawing" Target="../drawings/drawing45.xml"/><Relationship Id="rId7" Type="http://schemas.openxmlformats.org/officeDocument/2006/relationships/ctrlProp" Target="../ctrlProps/ctrlProp154.xml"/><Relationship Id="rId2" Type="http://schemas.openxmlformats.org/officeDocument/2006/relationships/printerSettings" Target="../printerSettings/printerSettings37.bin"/><Relationship Id="rId1" Type="http://schemas.openxmlformats.org/officeDocument/2006/relationships/hyperlink" Target="file:///C:\Users\Connie\Backup\Conductivity%20Reference%20Files\Diagram%20Knob%20Deviations.xls" TargetMode="External"/><Relationship Id="rId6" Type="http://schemas.openxmlformats.org/officeDocument/2006/relationships/ctrlProp" Target="../ctrlProps/ctrlProp153.xml"/><Relationship Id="rId5" Type="http://schemas.openxmlformats.org/officeDocument/2006/relationships/ctrlProp" Target="../ctrlProps/ctrlProp152.xml"/><Relationship Id="rId4" Type="http://schemas.openxmlformats.org/officeDocument/2006/relationships/vmlDrawing" Target="../drawings/vmlDrawing45.vml"/></Relationships>
</file>

<file path=xl/worksheets/_rels/sheet54.xml.rels><?xml version="1.0" encoding="UTF-8" standalone="yes"?>
<Relationships xmlns="http://schemas.openxmlformats.org/package/2006/relationships"><Relationship Id="rId3" Type="http://schemas.openxmlformats.org/officeDocument/2006/relationships/drawing" Target="../drawings/drawing46.xml"/><Relationship Id="rId7" Type="http://schemas.openxmlformats.org/officeDocument/2006/relationships/ctrlProp" Target="../ctrlProps/ctrlProp158.xml"/><Relationship Id="rId2" Type="http://schemas.openxmlformats.org/officeDocument/2006/relationships/printerSettings" Target="../printerSettings/printerSettings38.bin"/><Relationship Id="rId1" Type="http://schemas.openxmlformats.org/officeDocument/2006/relationships/hyperlink" Target="file:///C:\Users\preasoner\Abby%20and%20Kelly's%20Files\Guard%20Banding\Acceptance%20Limits%20Datasheet.xlsx" TargetMode="External"/><Relationship Id="rId6" Type="http://schemas.openxmlformats.org/officeDocument/2006/relationships/ctrlProp" Target="../ctrlProps/ctrlProp157.xml"/><Relationship Id="rId5" Type="http://schemas.openxmlformats.org/officeDocument/2006/relationships/ctrlProp" Target="../ctrlProps/ctrlProp156.xml"/><Relationship Id="rId4" Type="http://schemas.openxmlformats.org/officeDocument/2006/relationships/vmlDrawing" Target="../drawings/vmlDrawing46.v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39.bin"/><Relationship Id="rId6" Type="http://schemas.openxmlformats.org/officeDocument/2006/relationships/ctrlProp" Target="../ctrlProps/ctrlProp161.xml"/><Relationship Id="rId5" Type="http://schemas.openxmlformats.org/officeDocument/2006/relationships/ctrlProp" Target="../ctrlProps/ctrlProp160.xml"/><Relationship Id="rId4" Type="http://schemas.openxmlformats.org/officeDocument/2006/relationships/ctrlProp" Target="../ctrlProps/ctrlProp159.xml"/></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162.xml"/><Relationship Id="rId2" Type="http://schemas.openxmlformats.org/officeDocument/2006/relationships/vmlDrawing" Target="../drawings/vmlDrawing48.vml"/><Relationship Id="rId1" Type="http://schemas.openxmlformats.org/officeDocument/2006/relationships/drawing" Target="../drawings/drawing4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4"/>
  </sheetPr>
  <dimension ref="A1:G34"/>
  <sheetViews>
    <sheetView tabSelected="1" workbookViewId="0">
      <selection activeCell="C12" sqref="C12"/>
    </sheetView>
  </sheetViews>
  <sheetFormatPr defaultRowHeight="12.75" x14ac:dyDescent="0.2"/>
  <cols>
    <col min="1" max="1" width="46.7109375" bestFit="1" customWidth="1"/>
    <col min="2" max="2" width="2.5703125" customWidth="1"/>
    <col min="3" max="3" width="54.42578125" customWidth="1"/>
    <col min="4" max="4" width="2" customWidth="1"/>
    <col min="5" max="5" width="32.5703125" bestFit="1" customWidth="1"/>
    <col min="6" max="6" width="2.5703125" customWidth="1"/>
    <col min="7" max="7" width="46.5703125" bestFit="1" customWidth="1"/>
  </cols>
  <sheetData>
    <row r="1" spans="1:7" x14ac:dyDescent="0.2">
      <c r="A1" s="1" t="s">
        <v>0</v>
      </c>
      <c r="C1" s="358" t="s">
        <v>1</v>
      </c>
      <c r="E1" s="359" t="s">
        <v>2</v>
      </c>
      <c r="G1" s="362" t="s">
        <v>3</v>
      </c>
    </row>
    <row r="2" spans="1:7" x14ac:dyDescent="0.2">
      <c r="A2" s="550" t="s">
        <v>4</v>
      </c>
      <c r="C2" s="488" t="s">
        <v>4</v>
      </c>
      <c r="E2" s="360"/>
      <c r="G2" s="137"/>
    </row>
    <row r="3" spans="1:7" x14ac:dyDescent="0.2">
      <c r="A3" s="355" t="s">
        <v>5</v>
      </c>
      <c r="C3" s="357" t="s">
        <v>6</v>
      </c>
      <c r="E3" s="361" t="s">
        <v>7</v>
      </c>
      <c r="G3" s="363" t="s">
        <v>8</v>
      </c>
    </row>
    <row r="4" spans="1:7" x14ac:dyDescent="0.2">
      <c r="A4" s="355" t="s">
        <v>9</v>
      </c>
      <c r="C4" s="357" t="s">
        <v>10</v>
      </c>
      <c r="E4" s="728" t="s">
        <v>11</v>
      </c>
      <c r="G4" s="363" t="s">
        <v>12</v>
      </c>
    </row>
    <row r="5" spans="1:7" x14ac:dyDescent="0.2">
      <c r="A5" s="355" t="s">
        <v>13</v>
      </c>
      <c r="C5" s="357" t="s">
        <v>14</v>
      </c>
      <c r="E5" s="361" t="s">
        <v>15</v>
      </c>
      <c r="G5" s="363" t="s">
        <v>16</v>
      </c>
    </row>
    <row r="6" spans="1:7" x14ac:dyDescent="0.2">
      <c r="A6" s="355" t="s">
        <v>17</v>
      </c>
      <c r="C6" s="357" t="s">
        <v>18</v>
      </c>
      <c r="E6" s="361" t="s">
        <v>19</v>
      </c>
      <c r="G6" s="363" t="s">
        <v>20</v>
      </c>
    </row>
    <row r="7" spans="1:7" x14ac:dyDescent="0.2">
      <c r="A7" s="355" t="s">
        <v>21</v>
      </c>
      <c r="C7" s="357" t="s">
        <v>22</v>
      </c>
      <c r="E7" s="361" t="s">
        <v>23</v>
      </c>
      <c r="G7" s="363" t="s">
        <v>24</v>
      </c>
    </row>
    <row r="8" spans="1:7" x14ac:dyDescent="0.2">
      <c r="A8" s="355" t="s">
        <v>25</v>
      </c>
      <c r="C8" s="357" t="s">
        <v>26</v>
      </c>
      <c r="E8" s="361" t="s">
        <v>27</v>
      </c>
      <c r="G8" s="363" t="s">
        <v>28</v>
      </c>
    </row>
    <row r="9" spans="1:7" x14ac:dyDescent="0.2">
      <c r="A9" s="355" t="s">
        <v>29</v>
      </c>
      <c r="C9" s="357" t="s">
        <v>30</v>
      </c>
      <c r="E9" s="361" t="s">
        <v>31</v>
      </c>
      <c r="G9" s="363" t="s">
        <v>32</v>
      </c>
    </row>
    <row r="10" spans="1:7" x14ac:dyDescent="0.2">
      <c r="A10" s="355" t="s">
        <v>33</v>
      </c>
      <c r="C10" s="357"/>
      <c r="E10" s="360"/>
      <c r="G10" s="363" t="s">
        <v>34</v>
      </c>
    </row>
    <row r="11" spans="1:7" x14ac:dyDescent="0.2">
      <c r="A11" s="355" t="s">
        <v>35</v>
      </c>
      <c r="C11" s="553" t="s">
        <v>36</v>
      </c>
      <c r="E11" s="360"/>
      <c r="G11" s="363" t="s">
        <v>37</v>
      </c>
    </row>
    <row r="12" spans="1:7" x14ac:dyDescent="0.2">
      <c r="A12" s="355" t="s">
        <v>38</v>
      </c>
      <c r="C12" s="357" t="s">
        <v>39</v>
      </c>
      <c r="E12" s="360"/>
      <c r="G12" s="363" t="s">
        <v>40</v>
      </c>
    </row>
    <row r="13" spans="1:7" x14ac:dyDescent="0.2">
      <c r="A13" s="355" t="s">
        <v>41</v>
      </c>
      <c r="C13" s="357" t="s">
        <v>42</v>
      </c>
      <c r="E13" s="360"/>
      <c r="G13" s="363" t="s">
        <v>43</v>
      </c>
    </row>
    <row r="14" spans="1:7" x14ac:dyDescent="0.2">
      <c r="A14" s="355" t="s">
        <v>44</v>
      </c>
      <c r="C14" s="357" t="s">
        <v>45</v>
      </c>
      <c r="E14" s="360"/>
      <c r="G14" s="137"/>
    </row>
    <row r="15" spans="1:7" x14ac:dyDescent="0.2">
      <c r="A15" s="355" t="s">
        <v>46</v>
      </c>
      <c r="C15" s="357" t="s">
        <v>47</v>
      </c>
      <c r="E15" s="360"/>
      <c r="G15" s="137"/>
    </row>
    <row r="16" spans="1:7" x14ac:dyDescent="0.2">
      <c r="A16" s="355" t="s">
        <v>48</v>
      </c>
      <c r="C16" s="357" t="s">
        <v>49</v>
      </c>
      <c r="E16" s="360"/>
      <c r="G16" s="137"/>
    </row>
    <row r="17" spans="1:7" x14ac:dyDescent="0.2">
      <c r="A17" s="355" t="s">
        <v>50</v>
      </c>
      <c r="C17" s="357" t="s">
        <v>51</v>
      </c>
      <c r="E17" s="360"/>
      <c r="G17" s="137"/>
    </row>
    <row r="18" spans="1:7" x14ac:dyDescent="0.2">
      <c r="A18" s="355" t="s">
        <v>52</v>
      </c>
      <c r="C18" s="356"/>
      <c r="E18" s="360"/>
      <c r="G18" s="137"/>
    </row>
    <row r="19" spans="1:7" x14ac:dyDescent="0.2">
      <c r="A19" s="355" t="s">
        <v>53</v>
      </c>
      <c r="C19" s="356"/>
      <c r="E19" s="360"/>
      <c r="G19" s="137"/>
    </row>
    <row r="20" spans="1:7" x14ac:dyDescent="0.2">
      <c r="A20" s="355" t="s">
        <v>54</v>
      </c>
      <c r="C20" s="356"/>
      <c r="E20" s="360"/>
      <c r="G20" s="137"/>
    </row>
    <row r="21" spans="1:7" x14ac:dyDescent="0.2">
      <c r="A21" s="355" t="s">
        <v>55</v>
      </c>
      <c r="C21" s="356"/>
      <c r="E21" s="360"/>
      <c r="G21" s="137"/>
    </row>
    <row r="22" spans="1:7" x14ac:dyDescent="0.2">
      <c r="A22" s="355" t="s">
        <v>56</v>
      </c>
      <c r="C22" s="356"/>
      <c r="E22" s="360"/>
      <c r="G22" s="137"/>
    </row>
    <row r="23" spans="1:7" x14ac:dyDescent="0.2">
      <c r="A23" s="355" t="s">
        <v>57</v>
      </c>
      <c r="C23" s="356"/>
      <c r="E23" s="360"/>
      <c r="G23" s="137"/>
    </row>
    <row r="24" spans="1:7" ht="13.5" thickBot="1" x14ac:dyDescent="0.25">
      <c r="A24" s="552" t="s">
        <v>58</v>
      </c>
      <c r="C24" s="356"/>
      <c r="E24" s="360"/>
      <c r="G24" s="137"/>
    </row>
    <row r="25" spans="1:7" ht="13.5" thickTop="1" x14ac:dyDescent="0.2">
      <c r="A25" s="551" t="s">
        <v>36</v>
      </c>
      <c r="C25" s="356"/>
      <c r="E25" s="360"/>
      <c r="G25" s="137"/>
    </row>
    <row r="26" spans="1:7" x14ac:dyDescent="0.2">
      <c r="A26" s="355" t="s">
        <v>59</v>
      </c>
      <c r="G26" s="137"/>
    </row>
    <row r="27" spans="1:7" x14ac:dyDescent="0.2">
      <c r="A27" s="355" t="s">
        <v>60</v>
      </c>
    </row>
    <row r="28" spans="1:7" x14ac:dyDescent="0.2">
      <c r="A28" s="355" t="s">
        <v>61</v>
      </c>
    </row>
    <row r="29" spans="1:7" x14ac:dyDescent="0.2">
      <c r="A29" s="355" t="s">
        <v>62</v>
      </c>
    </row>
    <row r="30" spans="1:7" x14ac:dyDescent="0.2">
      <c r="A30" s="355" t="s">
        <v>63</v>
      </c>
    </row>
    <row r="31" spans="1:7" x14ac:dyDescent="0.2">
      <c r="A31" s="355" t="s">
        <v>64</v>
      </c>
    </row>
    <row r="32" spans="1:7" x14ac:dyDescent="0.2">
      <c r="A32" s="355" t="s">
        <v>65</v>
      </c>
    </row>
    <row r="33" spans="1:1" x14ac:dyDescent="0.2">
      <c r="A33" s="355" t="s">
        <v>66</v>
      </c>
    </row>
    <row r="34" spans="1:1" x14ac:dyDescent="0.2">
      <c r="A34" s="355" t="s">
        <v>67</v>
      </c>
    </row>
  </sheetData>
  <phoneticPr fontId="13" type="noConversion"/>
  <hyperlinks>
    <hyperlink ref="A27" location="'Roughness Gages'!A5" display="Roughness Gage - English" xr:uid="{00000000-0004-0000-0000-000000000000}"/>
    <hyperlink ref="A29" location="'Roughness Standards'!C5" display="Roughness Standard - English" xr:uid="{00000000-0004-0000-0000-000001000000}"/>
    <hyperlink ref="A3" location="'Metric Thread Plugs'!B6" display="Metric Thread Plug (English Readings, English Wires)" xr:uid="{00000000-0004-0000-0000-000002000000}"/>
    <hyperlink ref="A8" location="NPT!A1" display="NPT" xr:uid="{00000000-0004-0000-0000-000003000000}"/>
    <hyperlink ref="A9" location="ANPT!A1" display="ANPT" xr:uid="{00000000-0004-0000-0000-000004000000}"/>
    <hyperlink ref="A10" location="'NPTF-NPSF-NPSI'!A1" display="NPTF" xr:uid="{00000000-0004-0000-0000-000005000000}"/>
    <hyperlink ref="A11" location="BSPT!A1" display="BSPT" xr:uid="{00000000-0004-0000-0000-000006000000}"/>
    <hyperlink ref="A13" location="'Plain (6-Step or Crest Check)'!A1" display="6-Step, Crest Check, Plain NPTs" xr:uid="{00000000-0004-0000-0000-000007000000}"/>
    <hyperlink ref="A18" location="'English Thread Wires'!B2" display="Thread Wires - English" xr:uid="{00000000-0004-0000-0000-000008000000}"/>
    <hyperlink ref="A19" location="'Metric Thread Wires'!B3" display="Thread Wires - Metric" xr:uid="{00000000-0004-0000-0000-000009000000}"/>
    <hyperlink ref="A20" location="'PeeDee Wires'!B4" display="PeeDee Wires" xr:uid="{00000000-0004-0000-0000-00000A000000}"/>
    <hyperlink ref="A21" location="'Gear Wires'!B2" display="Gear Wires" xr:uid="{00000000-0004-0000-0000-00000B000000}"/>
    <hyperlink ref="A22" location="'Steel Spheres'!B5" display="Steel Sphere - English" xr:uid="{00000000-0004-0000-0000-00000C000000}"/>
    <hyperlink ref="A14" location="'ACME Single Start Calculator'!B3" display="ACME Single Start Thread Plug" xr:uid="{00000000-0004-0000-0000-00000D000000}"/>
    <hyperlink ref="A15" location="'ACME Multi-Start Calculator'!B3" display="ACME Multi-Start Thread Plug" xr:uid="{00000000-0004-0000-0000-00000E000000}"/>
    <hyperlink ref="A16" location="'Non-ACME Multi Start Threads'!B3" display="Multi-Start Thread Plug (Non-ACME)" xr:uid="{00000000-0004-0000-0000-00000F000000}"/>
    <hyperlink ref="C12" location="'Coating Thickness Meters'!A1" display="Coating Thickness Meter" xr:uid="{00000000-0004-0000-0000-000010000000}"/>
    <hyperlink ref="A26" location="'Coating Thickness Calculator'!A1" display="Coating Thickness Calculator - Meter and Standards" xr:uid="{00000000-0004-0000-0000-000011000000}"/>
    <hyperlink ref="C16" location="'Ultrasonic Meter Specs'!A1" display="Ultrasonic Thickness Tester" xr:uid="{00000000-0004-0000-0000-000012000000}"/>
    <hyperlink ref="A24" location="'Steel Spheres'!R3" display="Steel Sphere - Metric" xr:uid="{00000000-0004-0000-0000-000013000000}"/>
    <hyperlink ref="A28" location="'Roughness Gages'!A22" display="Roughness Gage - Metric" xr:uid="{00000000-0004-0000-0000-000014000000}"/>
    <hyperlink ref="A30" location="'Roughness Gages'!E37" display="Roughness Standard - Metric" xr:uid="{00000000-0004-0000-0000-000015000000}"/>
    <hyperlink ref="E5" location="'Roughness NIST Info'!A1" display="Roughness Gages and Standards" xr:uid="{00000000-0004-0000-0000-000016000000}"/>
    <hyperlink ref="E3" location="'Coating Thickness Stds NIST'!A18" display="JGI Coating Thickness Standards" xr:uid="{00000000-0004-0000-0000-000017000000}"/>
    <hyperlink ref="G8" location="'JGI Thickness Foil Min_Max'!A1" display="JGI Coating Thickness Foils Min/Max" xr:uid="{00000000-0004-0000-0000-000018000000}"/>
    <hyperlink ref="E6" location="'JGI Ultrasonic Std NIST Info'!A1" display="JGI Ultrasonic Standards" xr:uid="{00000000-0004-0000-0000-000019000000}"/>
    <hyperlink ref="G3" location="'Metric-English Conversion'!A1" display="Metric/English Conversions" xr:uid="{00000000-0004-0000-0000-00001A000000}"/>
    <hyperlink ref="G11" location="'Ultrasonic Calculators'!A1" display="Ultrasonic Measuring Range and Tolerance Calculator" xr:uid="{00000000-0004-0000-0000-00001B000000}"/>
    <hyperlink ref="G5" location="'Best Wire Size Calculator'!A1" display="Best Wire Size Calculator" xr:uid="{00000000-0004-0000-0000-00001C000000}"/>
    <hyperlink ref="C6" location="'NPT Pictures'!A1" display="NPT Pictures" xr:uid="{00000000-0004-0000-0000-00001D000000}"/>
    <hyperlink ref="C7" location="'Threaded Setting'!A1" display="Threaded Setting Plugs Tolerances" xr:uid="{00000000-0004-0000-0000-00001E000000}"/>
    <hyperlink ref="G7" location="'JGI Thread Wire Sizes-Constants'!A1" display="JGI Thread Wire Sizes and Constants" xr:uid="{00000000-0004-0000-0000-00001F000000}"/>
    <hyperlink ref="C13" location="'Fischer Probe Chart'!A1" display="Fischer Coating Thickness Probes" xr:uid="{00000000-0004-0000-0000-000020000000}"/>
    <hyperlink ref="C14" location="'DeFelsko Probe Chart'!A1" display="DeFelsko Coating Thickness Probes" xr:uid="{00000000-0004-0000-0000-000021000000}"/>
    <hyperlink ref="C15" location="'Ultrasonic Dakota Info'!A1" display="Dakota Ultrasonic Transducer Ranges and Tolerances" xr:uid="{00000000-0004-0000-0000-000022000000}"/>
    <hyperlink ref="C8" location="'Thread Wire Nominal Sizes'!A1" display="Thread Wire Nominal Sizes" xr:uid="{00000000-0004-0000-0000-000023000000}"/>
    <hyperlink ref="C9" location="'Gear Wire Nominal Sizes'!A1" display="Gear Wire Nominal Sizes" xr:uid="{00000000-0004-0000-0000-000024000000}"/>
    <hyperlink ref="E7" location="'JGI Ultrasonic Std NIST Info'!A19" display="JGI Ultrasonic Standards - Aluminum" xr:uid="{00000000-0004-0000-0000-000025000000}"/>
    <hyperlink ref="A7" location="'Metric Plain Plugs'!A1" display="Metric Plain Plugs" xr:uid="{00000000-0004-0000-0000-000026000000}"/>
    <hyperlink ref="A23" location="'Steel Spheres'!AP5" display="Steel Sphere - Metric, Metric Readings" xr:uid="{00000000-0004-0000-0000-000027000000}"/>
    <hyperlink ref="A4" location="'Metric Thread Plugs'!B33" display="Metric Thread Plug (Metric Readings, English Wires)" xr:uid="{00000000-0004-0000-0000-000028000000}"/>
    <hyperlink ref="A5" location="'Metric Thread Plugs'!B61" display="Metric Thread Plug (Metric Readings, Metric Wires)" xr:uid="{00000000-0004-0000-0000-000029000000}"/>
    <hyperlink ref="G4" location="'English Thread Wires'!A130" display="Supermicrometer Setup" xr:uid="{00000000-0004-0000-0000-00002A000000}"/>
    <hyperlink ref="C3" location="'Metric Thread Plug PDs'!A1" display="Metric Thread Plug PDs" xr:uid="{00000000-0004-0000-0000-00002B000000}"/>
    <hyperlink ref="E9" location="'Gage Blocks, Set 9'!A1" display="Gage Blocks - Set 9" xr:uid="{00000000-0004-0000-0000-00002C000000}"/>
    <hyperlink ref="G9" location="'JGI Conductivity Standards'!B1" display="JGI Conductivity Standards Values IACS &amp; MS/m" xr:uid="{00000000-0004-0000-0000-00002D000000}"/>
    <hyperlink ref="E8" location="'JGI Ultrasonic Std NIST Info'!A1" display="Gage Blocks - Set 4" xr:uid="{00000000-0004-0000-0000-00002E000000}"/>
    <hyperlink ref="G10" location="'Surface Finish, Multi-Surface'!A1" display="Surface Finish: VDI to Ra in µ&quot;" xr:uid="{00000000-0004-0000-0000-00002F000000}"/>
    <hyperlink ref="A6" location="'Metric Thread Plugs'!B77" display="Metric Thread Plug (English Readings, Metric Wires)" xr:uid="{00000000-0004-0000-0000-000030000000}"/>
    <hyperlink ref="A32" location="'Conductivity Meters'!A1" display="Conductivity Meters" xr:uid="{00000000-0004-0000-0000-000031000000}"/>
    <hyperlink ref="A33" location="'Conductivity Manufacturer Info'!A1" display="Conductivity Meters by Manufacturer" xr:uid="{00000000-0004-0000-0000-000032000000}"/>
    <hyperlink ref="C4" location="'Metric Thread Plug Tolerance X'!A1" display="Metric Thread Plug Tolerances - X" xr:uid="{00000000-0004-0000-0000-000033000000}"/>
    <hyperlink ref="C5" location="'Metric Thread Plug Tolerance W'!A1" display="Metric Thread Plug Tolerances - W" xr:uid="{00000000-0004-0000-0000-000034000000}"/>
    <hyperlink ref="A31" location="'Ultrasonic Calculators'!A1" display="Ultrasonic Thickness Testers - Calculator" xr:uid="{00000000-0004-0000-0000-000035000000}"/>
    <hyperlink ref="E4" location="'Coating Thickness Stds NIST'!A1" display="Amplifier on Pink Surface Plate" xr:uid="{00000000-0004-0000-0000-000036000000}"/>
    <hyperlink ref="A12" location="'BSPP - ISO228'!A1" display="BSPP Calculator" xr:uid="{00000000-0004-0000-0000-000037000000}"/>
    <hyperlink ref="A34" location="'Conductivity Guard Banding Info'!A1" display="Conductivity Meters - Guard Banding" xr:uid="{00000000-0004-0000-0000-000038000000}"/>
    <hyperlink ref="G12" location="'Perthometer Data'!A1" display="Perthometer Data" xr:uid="{00000000-0004-0000-0000-000039000000}"/>
    <hyperlink ref="C17" location="'Roughness Gage Technical Data'!A1" display="Roughness Gages" xr:uid="{00000000-0004-0000-0000-00003A000000}"/>
    <hyperlink ref="G6" location="'Two-Wire Method'!A1" display="Two-wire Method" xr:uid="{00000000-0004-0000-0000-00003B000000}"/>
    <hyperlink ref="G13" location="'Degrees Min Sec Conversion'!A1" display="Degrees Minutes Seconds Converter" xr:uid="{00000000-0004-0000-0000-00003C000000}"/>
    <hyperlink ref="A17" location="'Buttress Threads'!A1" display="Buttress Threads" xr:uid="{00000000-0004-0000-0000-00003D000000}"/>
  </hyperlink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FE969-CA04-4375-9ACC-158315F1F072}">
  <sheetPr>
    <tabColor theme="3" tint="0.39997558519241921"/>
  </sheetPr>
  <dimension ref="A1:G41"/>
  <sheetViews>
    <sheetView workbookViewId="0">
      <selection activeCell="D15" sqref="D15"/>
    </sheetView>
  </sheetViews>
  <sheetFormatPr defaultRowHeight="12.75" x14ac:dyDescent="0.2"/>
  <cols>
    <col min="1" max="1" width="12.28515625" customWidth="1"/>
    <col min="5" max="5" width="14.7109375" customWidth="1"/>
    <col min="6" max="6" width="11.5703125" customWidth="1"/>
  </cols>
  <sheetData>
    <row r="1" spans="1:7" ht="15" x14ac:dyDescent="0.25">
      <c r="A1" s="1120" t="s">
        <v>68</v>
      </c>
      <c r="B1" s="1120" t="s">
        <v>69</v>
      </c>
      <c r="C1" s="1120" t="s">
        <v>70</v>
      </c>
      <c r="D1" s="1120" t="s">
        <v>71</v>
      </c>
      <c r="E1" s="1120" t="s">
        <v>72</v>
      </c>
      <c r="F1" s="1120" t="s">
        <v>73</v>
      </c>
      <c r="G1" s="1120" t="s">
        <v>74</v>
      </c>
    </row>
    <row r="2" spans="1:7" x14ac:dyDescent="0.2">
      <c r="A2" t="s">
        <v>75</v>
      </c>
      <c r="B2" t="str">
        <f ca="1">VLOOKUP(B$1,INDIRECT("'English Thread Wires'!"&amp;$A2),2,FALSE)</f>
        <v>6-0185</v>
      </c>
      <c r="C2" t="str">
        <f ca="1">VLOOKUP(C$1,INDIRECT("'English Thread Wires'!"&amp;$A2),2,FALSE)</f>
        <v>Regular - 60°</v>
      </c>
      <c r="D2" t="str">
        <f ca="1">VLOOKUP(D$1,INDIRECT("'English Thread Wires'!"&amp;$A2),2,FALSE)&amp;IF(ISNUMBER(SEARCH("ACME",C2))," ACME","")</f>
        <v>32</v>
      </c>
      <c r="E2">
        <f ca="1">ROUND(VLOOKUP(E$1,INDIRECT("'English Thread Wires'!"&amp;$A2),2,FALSE),5)</f>
        <v>1.804E-2</v>
      </c>
      <c r="F2">
        <f ca="1">VLOOKUP(F$1,INDIRECT("'English Thread Wires'!"&amp;$A2),2,FALSE)</f>
        <v>1.804E-2</v>
      </c>
      <c r="G2">
        <f ca="1">IFERROR(ROUND(VLOOKUP(G$1,INDIRECT("'English Thread Wires'!"&amp;$A2),2,FALSE),5),"-----")</f>
        <v>2.7060000000000001E-2</v>
      </c>
    </row>
    <row r="3" spans="1:7" x14ac:dyDescent="0.2">
      <c r="A3" t="s">
        <v>76</v>
      </c>
      <c r="B3" t="str">
        <f t="shared" ref="B3:C41" ca="1" si="0">VLOOKUP(B$1,INDIRECT("'English Thread Wires'!"&amp;$A3),2,FALSE)</f>
        <v>6-0195</v>
      </c>
      <c r="C3" t="str">
        <f t="shared" ca="1" si="0"/>
        <v>Regular - 60°</v>
      </c>
      <c r="D3" t="str">
        <f t="shared" ref="D3:D41" ca="1" si="1">VLOOKUP(D$1,INDIRECT("'English Thread Wires'!"&amp;$A3),2,FALSE)&amp;IF(ISNUMBER(SEARCH("ACME",C3))," ACME","")</f>
        <v>36</v>
      </c>
      <c r="E3">
        <f t="shared" ref="E3:E41" ca="1" si="2">ROUND(VLOOKUP(E$1,INDIRECT("'English Thread Wires'!"&amp;$A3),2,FALSE),5)</f>
        <v>1.6039999999999999E-2</v>
      </c>
      <c r="F3">
        <f t="shared" ref="F3:F41" ca="1" si="3">VLOOKUP(F$1,INDIRECT("'English Thread Wires'!"&amp;$A3),2,FALSE)</f>
        <v>1.6039999999999999E-2</v>
      </c>
      <c r="G3">
        <f t="shared" ref="G3:G41" ca="1" si="4">IFERROR(ROUND(VLOOKUP(G$1,INDIRECT("'English Thread Wires'!"&amp;$A3),2,FALSE),5),"-----")</f>
        <v>2.4060000000000002E-2</v>
      </c>
    </row>
    <row r="4" spans="1:7" x14ac:dyDescent="0.2">
      <c r="A4" t="s">
        <v>77</v>
      </c>
      <c r="B4" t="str">
        <f t="shared" ca="1" si="0"/>
        <v>6-0202</v>
      </c>
      <c r="C4" t="str">
        <f t="shared" ca="1" si="0"/>
        <v>Regular - 60°</v>
      </c>
      <c r="D4" t="str">
        <f t="shared" ca="1" si="1"/>
        <v>40</v>
      </c>
      <c r="E4">
        <f t="shared" ca="1" si="2"/>
        <v>1.443E-2</v>
      </c>
      <c r="F4">
        <f t="shared" ca="1" si="3"/>
        <v>1.443E-2</v>
      </c>
      <c r="G4">
        <f t="shared" ca="1" si="4"/>
        <v>2.164E-2</v>
      </c>
    </row>
    <row r="5" spans="1:7" x14ac:dyDescent="0.2">
      <c r="A5" t="s">
        <v>78</v>
      </c>
      <c r="B5" t="str">
        <f t="shared" ca="1" si="0"/>
        <v>6-0162</v>
      </c>
      <c r="C5" t="str">
        <f t="shared" ca="1" si="0"/>
        <v>Regular - 60°</v>
      </c>
      <c r="D5" t="str">
        <f t="shared" ca="1" si="1"/>
        <v>28</v>
      </c>
      <c r="E5">
        <f t="shared" ca="1" si="2"/>
        <v>2.0619999999999999E-2</v>
      </c>
      <c r="F5">
        <f t="shared" ca="1" si="3"/>
        <v>2.0619999999999999E-2</v>
      </c>
      <c r="G5">
        <f t="shared" ca="1" si="4"/>
        <v>3.0929999999999999E-2</v>
      </c>
    </row>
    <row r="6" spans="1:7" x14ac:dyDescent="0.2">
      <c r="A6" t="s">
        <v>79</v>
      </c>
      <c r="B6" t="str">
        <f t="shared" ca="1" si="0"/>
        <v>6-0135</v>
      </c>
      <c r="C6" t="str">
        <f t="shared" ca="1" si="0"/>
        <v>Regular - 60°</v>
      </c>
      <c r="D6" t="str">
        <f t="shared" ca="1" si="1"/>
        <v>24</v>
      </c>
      <c r="E6">
        <f t="shared" ca="1" si="2"/>
        <v>2.4060000000000002E-2</v>
      </c>
      <c r="F6">
        <f t="shared" ca="1" si="3"/>
        <v>2.4049999999999998E-2</v>
      </c>
      <c r="G6">
        <f t="shared" ca="1" si="4"/>
        <v>3.6069999999999998E-2</v>
      </c>
    </row>
    <row r="7" spans="1:7" x14ac:dyDescent="0.2">
      <c r="A7" t="s">
        <v>80</v>
      </c>
      <c r="B7" t="str">
        <f t="shared" ca="1" si="0"/>
        <v>6-0055</v>
      </c>
      <c r="C7" t="str">
        <f t="shared" ca="1" si="0"/>
        <v>Regular - 60°</v>
      </c>
      <c r="D7" t="str">
        <f t="shared" ca="1" si="1"/>
        <v>14</v>
      </c>
      <c r="E7">
        <f t="shared" ca="1" si="2"/>
        <v>4.1239999999999999E-2</v>
      </c>
      <c r="F7">
        <f t="shared" ca="1" si="3"/>
        <v>4.1250000000000002E-2</v>
      </c>
      <c r="G7">
        <f t="shared" ca="1" si="4"/>
        <v>6.1890000000000001E-2</v>
      </c>
    </row>
    <row r="8" spans="1:7" x14ac:dyDescent="0.2">
      <c r="A8" t="s">
        <v>81</v>
      </c>
      <c r="B8" t="str">
        <f t="shared" ca="1" si="0"/>
        <v>6-0111</v>
      </c>
      <c r="C8" t="str">
        <f t="shared" ca="1" si="0"/>
        <v>Regular - 60°</v>
      </c>
      <c r="D8" t="str">
        <f t="shared" ca="1" si="1"/>
        <v>20</v>
      </c>
      <c r="E8">
        <f t="shared" ca="1" si="2"/>
        <v>2.887E-2</v>
      </c>
      <c r="F8">
        <f t="shared" ca="1" si="3"/>
        <v>2.887E-2</v>
      </c>
      <c r="G8">
        <f t="shared" ca="1" si="4"/>
        <v>4.3310000000000001E-2</v>
      </c>
    </row>
    <row r="9" spans="1:7" x14ac:dyDescent="0.2">
      <c r="A9" t="s">
        <v>82</v>
      </c>
      <c r="B9" t="str">
        <f t="shared" ca="1" si="0"/>
        <v>6-0065</v>
      </c>
      <c r="C9" t="str">
        <f t="shared" ca="1" si="0"/>
        <v>Regular - 60°</v>
      </c>
      <c r="D9" t="str">
        <f t="shared" ca="1" si="1"/>
        <v>16</v>
      </c>
      <c r="E9">
        <f t="shared" ca="1" si="2"/>
        <v>3.6080000000000001E-2</v>
      </c>
      <c r="F9">
        <f t="shared" ca="1" si="3"/>
        <v>3.6069999999999998E-2</v>
      </c>
      <c r="G9">
        <f t="shared" ca="1" si="4"/>
        <v>5.4080000000000003E-2</v>
      </c>
    </row>
    <row r="10" spans="1:7" x14ac:dyDescent="0.2">
      <c r="A10" t="s">
        <v>83</v>
      </c>
      <c r="B10" t="str">
        <f t="shared" ca="1" si="0"/>
        <v>6-0015</v>
      </c>
      <c r="C10" t="str">
        <f t="shared" ca="1" si="0"/>
        <v>Regular - 60°</v>
      </c>
      <c r="D10" t="str">
        <f t="shared" ca="1" si="1"/>
        <v>8</v>
      </c>
      <c r="E10">
        <f t="shared" ca="1" si="2"/>
        <v>7.2169999999999998E-2</v>
      </c>
      <c r="F10">
        <f t="shared" ca="1" si="3"/>
        <v>7.2160000000000002E-2</v>
      </c>
      <c r="G10">
        <f t="shared" ca="1" si="4"/>
        <v>0.10823000000000001</v>
      </c>
    </row>
    <row r="11" spans="1:7" x14ac:dyDescent="0.2">
      <c r="A11" t="s">
        <v>84</v>
      </c>
      <c r="B11" t="str">
        <f t="shared" ca="1" si="0"/>
        <v>6-0380</v>
      </c>
      <c r="C11" t="str">
        <f t="shared" ca="1" si="0"/>
        <v>Regular - 60°</v>
      </c>
      <c r="D11" t="str">
        <f t="shared" ca="1" si="1"/>
        <v>14</v>
      </c>
      <c r="E11">
        <f t="shared" ca="1" si="2"/>
        <v>4.1239999999999999E-2</v>
      </c>
      <c r="F11">
        <f t="shared" ca="1" si="3"/>
        <v>4.1230000000000003E-2</v>
      </c>
      <c r="G11">
        <f t="shared" ca="1" si="4"/>
        <v>6.1830000000000003E-2</v>
      </c>
    </row>
    <row r="12" spans="1:7" x14ac:dyDescent="0.2">
      <c r="A12" t="s">
        <v>85</v>
      </c>
      <c r="B12" t="str">
        <f t="shared" ca="1" si="0"/>
        <v>6-0070</v>
      </c>
      <c r="C12" t="str">
        <f t="shared" ca="1" si="0"/>
        <v>Regular - 60°</v>
      </c>
      <c r="D12" t="str">
        <f t="shared" ca="1" si="1"/>
        <v>16</v>
      </c>
      <c r="E12">
        <f t="shared" ca="1" si="2"/>
        <v>3.6080000000000001E-2</v>
      </c>
      <c r="F12">
        <f t="shared" ca="1" si="3"/>
        <v>3.6069999999999998E-2</v>
      </c>
      <c r="G12">
        <f t="shared" ca="1" si="4"/>
        <v>5.4080000000000003E-2</v>
      </c>
    </row>
    <row r="13" spans="1:7" x14ac:dyDescent="0.2">
      <c r="A13" t="s">
        <v>86</v>
      </c>
      <c r="B13" t="str">
        <f t="shared" ca="1" si="0"/>
        <v>6-0092</v>
      </c>
      <c r="C13" t="str">
        <f t="shared" ca="1" si="0"/>
        <v>Regular - 60°</v>
      </c>
      <c r="D13" t="str">
        <f t="shared" ca="1" si="1"/>
        <v>18</v>
      </c>
      <c r="E13">
        <f t="shared" ca="1" si="2"/>
        <v>3.2079999999999997E-2</v>
      </c>
      <c r="F13">
        <f t="shared" ca="1" si="3"/>
        <v>3.2079999999999997E-2</v>
      </c>
      <c r="G13">
        <f t="shared" ca="1" si="4"/>
        <v>4.8129999999999999E-2</v>
      </c>
    </row>
    <row r="14" spans="1:7" x14ac:dyDescent="0.2">
      <c r="A14" t="s">
        <v>87</v>
      </c>
      <c r="B14">
        <f t="shared" ca="1" si="0"/>
        <v>0</v>
      </c>
      <c r="C14" t="str">
        <f t="shared" ca="1" si="0"/>
        <v>Regular - 60°</v>
      </c>
      <c r="D14" t="str">
        <f t="shared" ca="1" si="1"/>
        <v/>
      </c>
      <c r="E14" t="e">
        <f t="shared" ca="1" si="2"/>
        <v>#N/A</v>
      </c>
      <c r="F14" t="e">
        <f t="shared" ca="1" si="3"/>
        <v>#DIV/0!</v>
      </c>
      <c r="G14" t="str">
        <f t="shared" ca="1" si="4"/>
        <v>-----</v>
      </c>
    </row>
    <row r="15" spans="1:7" x14ac:dyDescent="0.2">
      <c r="A15" t="s">
        <v>88</v>
      </c>
      <c r="B15">
        <f t="shared" ca="1" si="0"/>
        <v>0</v>
      </c>
      <c r="C15" t="str">
        <f t="shared" ca="1" si="0"/>
        <v>Regular - 60°</v>
      </c>
      <c r="D15" t="str">
        <f t="shared" ca="1" si="1"/>
        <v/>
      </c>
      <c r="E15" t="e">
        <f t="shared" ca="1" si="2"/>
        <v>#N/A</v>
      </c>
      <c r="F15" t="e">
        <f t="shared" ca="1" si="3"/>
        <v>#DIV/0!</v>
      </c>
      <c r="G15" t="str">
        <f t="shared" ca="1" si="4"/>
        <v>-----</v>
      </c>
    </row>
    <row r="16" spans="1:7" x14ac:dyDescent="0.2">
      <c r="A16" t="s">
        <v>89</v>
      </c>
      <c r="B16">
        <f t="shared" ca="1" si="0"/>
        <v>0</v>
      </c>
      <c r="C16" t="str">
        <f t="shared" ca="1" si="0"/>
        <v>Regular - 60°</v>
      </c>
      <c r="D16" t="str">
        <f t="shared" ca="1" si="1"/>
        <v/>
      </c>
      <c r="E16" t="e">
        <f t="shared" ca="1" si="2"/>
        <v>#N/A</v>
      </c>
      <c r="F16" t="e">
        <f t="shared" ca="1" si="3"/>
        <v>#DIV/0!</v>
      </c>
      <c r="G16" t="str">
        <f t="shared" ca="1" si="4"/>
        <v>-----</v>
      </c>
    </row>
    <row r="17" spans="1:7" x14ac:dyDescent="0.2">
      <c r="A17" t="s">
        <v>90</v>
      </c>
      <c r="B17">
        <f t="shared" ca="1" si="0"/>
        <v>0</v>
      </c>
      <c r="C17" t="str">
        <f t="shared" ca="1" si="0"/>
        <v>Regular - 60°</v>
      </c>
      <c r="D17" t="str">
        <f t="shared" ca="1" si="1"/>
        <v/>
      </c>
      <c r="E17" t="e">
        <f t="shared" ca="1" si="2"/>
        <v>#N/A</v>
      </c>
      <c r="F17" t="e">
        <f t="shared" ca="1" si="3"/>
        <v>#DIV/0!</v>
      </c>
      <c r="G17" t="str">
        <f t="shared" ca="1" si="4"/>
        <v>-----</v>
      </c>
    </row>
    <row r="18" spans="1:7" x14ac:dyDescent="0.2">
      <c r="A18" t="s">
        <v>91</v>
      </c>
      <c r="B18">
        <f t="shared" ca="1" si="0"/>
        <v>0</v>
      </c>
      <c r="C18" t="str">
        <f t="shared" ca="1" si="0"/>
        <v>Regular - 60°</v>
      </c>
      <c r="D18" t="str">
        <f t="shared" ca="1" si="1"/>
        <v/>
      </c>
      <c r="E18" t="e">
        <f t="shared" ca="1" si="2"/>
        <v>#N/A</v>
      </c>
      <c r="F18" t="e">
        <f t="shared" ca="1" si="3"/>
        <v>#DIV/0!</v>
      </c>
      <c r="G18" t="str">
        <f t="shared" ca="1" si="4"/>
        <v>-----</v>
      </c>
    </row>
    <row r="19" spans="1:7" x14ac:dyDescent="0.2">
      <c r="A19" t="s">
        <v>92</v>
      </c>
      <c r="B19">
        <f t="shared" ca="1" si="0"/>
        <v>0</v>
      </c>
      <c r="C19" t="str">
        <f t="shared" ca="1" si="0"/>
        <v>Regular - 60°</v>
      </c>
      <c r="D19" t="str">
        <f t="shared" ca="1" si="1"/>
        <v/>
      </c>
      <c r="E19" t="e">
        <f t="shared" ca="1" si="2"/>
        <v>#N/A</v>
      </c>
      <c r="F19" t="e">
        <f t="shared" ca="1" si="3"/>
        <v>#DIV/0!</v>
      </c>
      <c r="G19" t="str">
        <f t="shared" ca="1" si="4"/>
        <v>-----</v>
      </c>
    </row>
    <row r="20" spans="1:7" x14ac:dyDescent="0.2">
      <c r="A20" t="s">
        <v>93</v>
      </c>
      <c r="B20">
        <f t="shared" ca="1" si="0"/>
        <v>0</v>
      </c>
      <c r="C20" t="str">
        <f t="shared" ca="1" si="0"/>
        <v>Regular - 60°</v>
      </c>
      <c r="D20" t="str">
        <f t="shared" ca="1" si="1"/>
        <v/>
      </c>
      <c r="E20" t="e">
        <f t="shared" ca="1" si="2"/>
        <v>#N/A</v>
      </c>
      <c r="F20" t="e">
        <f t="shared" ca="1" si="3"/>
        <v>#DIV/0!</v>
      </c>
      <c r="G20" t="str">
        <f t="shared" ca="1" si="4"/>
        <v>-----</v>
      </c>
    </row>
    <row r="21" spans="1:7" x14ac:dyDescent="0.2">
      <c r="A21" t="s">
        <v>94</v>
      </c>
      <c r="B21">
        <f t="shared" ca="1" si="0"/>
        <v>0</v>
      </c>
      <c r="C21" t="str">
        <f t="shared" ca="1" si="0"/>
        <v>Regular - 60°</v>
      </c>
      <c r="D21" t="str">
        <f t="shared" ca="1" si="1"/>
        <v/>
      </c>
      <c r="E21" t="e">
        <f t="shared" ca="1" si="2"/>
        <v>#N/A</v>
      </c>
      <c r="F21" t="e">
        <f t="shared" ca="1" si="3"/>
        <v>#DIV/0!</v>
      </c>
      <c r="G21" t="str">
        <f t="shared" ca="1" si="4"/>
        <v>-----</v>
      </c>
    </row>
    <row r="22" spans="1:7" x14ac:dyDescent="0.2">
      <c r="A22" t="s">
        <v>95</v>
      </c>
      <c r="B22">
        <f t="shared" ca="1" si="0"/>
        <v>0</v>
      </c>
      <c r="C22" t="str">
        <f t="shared" ca="1" si="0"/>
        <v>Regular - 60°</v>
      </c>
      <c r="D22" t="str">
        <f t="shared" ca="1" si="1"/>
        <v/>
      </c>
      <c r="E22" t="e">
        <f t="shared" ca="1" si="2"/>
        <v>#N/A</v>
      </c>
      <c r="F22" t="e">
        <f t="shared" ca="1" si="3"/>
        <v>#DIV/0!</v>
      </c>
      <c r="G22" t="str">
        <f t="shared" ca="1" si="4"/>
        <v>-----</v>
      </c>
    </row>
    <row r="23" spans="1:7" x14ac:dyDescent="0.2">
      <c r="A23" t="s">
        <v>96</v>
      </c>
      <c r="B23">
        <f t="shared" ca="1" si="0"/>
        <v>0</v>
      </c>
      <c r="C23" t="str">
        <f t="shared" ca="1" si="0"/>
        <v>Regular - 60°</v>
      </c>
      <c r="D23" t="str">
        <f t="shared" ca="1" si="1"/>
        <v/>
      </c>
      <c r="E23" t="e">
        <f t="shared" ca="1" si="2"/>
        <v>#N/A</v>
      </c>
      <c r="F23" t="e">
        <f t="shared" ca="1" si="3"/>
        <v>#DIV/0!</v>
      </c>
      <c r="G23" t="str">
        <f t="shared" ca="1" si="4"/>
        <v>-----</v>
      </c>
    </row>
    <row r="24" spans="1:7" x14ac:dyDescent="0.2">
      <c r="A24" t="s">
        <v>97</v>
      </c>
      <c r="B24">
        <f t="shared" ca="1" si="0"/>
        <v>0</v>
      </c>
      <c r="C24" t="str">
        <f t="shared" ca="1" si="0"/>
        <v>Regular - 60°</v>
      </c>
      <c r="D24" t="str">
        <f t="shared" ca="1" si="1"/>
        <v/>
      </c>
      <c r="E24" t="e">
        <f t="shared" ca="1" si="2"/>
        <v>#N/A</v>
      </c>
      <c r="F24" t="e">
        <f t="shared" ca="1" si="3"/>
        <v>#DIV/0!</v>
      </c>
      <c r="G24" t="str">
        <f t="shared" ca="1" si="4"/>
        <v>-----</v>
      </c>
    </row>
    <row r="25" spans="1:7" x14ac:dyDescent="0.2">
      <c r="A25" t="s">
        <v>98</v>
      </c>
      <c r="B25">
        <f t="shared" ca="1" si="0"/>
        <v>0</v>
      </c>
      <c r="C25" t="str">
        <f t="shared" ca="1" si="0"/>
        <v>Regular - 60°</v>
      </c>
      <c r="D25" t="str">
        <f t="shared" ca="1" si="1"/>
        <v/>
      </c>
      <c r="E25" t="e">
        <f t="shared" ca="1" si="2"/>
        <v>#N/A</v>
      </c>
      <c r="F25" t="e">
        <f t="shared" ca="1" si="3"/>
        <v>#DIV/0!</v>
      </c>
      <c r="G25" t="str">
        <f t="shared" ca="1" si="4"/>
        <v>-----</v>
      </c>
    </row>
    <row r="26" spans="1:7" x14ac:dyDescent="0.2">
      <c r="A26" t="s">
        <v>99</v>
      </c>
      <c r="B26">
        <f t="shared" ca="1" si="0"/>
        <v>0</v>
      </c>
      <c r="C26" t="str">
        <f t="shared" ca="1" si="0"/>
        <v>Regular - 60°</v>
      </c>
      <c r="D26" t="str">
        <f t="shared" ca="1" si="1"/>
        <v/>
      </c>
      <c r="E26" t="e">
        <f t="shared" ca="1" si="2"/>
        <v>#N/A</v>
      </c>
      <c r="F26" t="e">
        <f t="shared" ca="1" si="3"/>
        <v>#DIV/0!</v>
      </c>
      <c r="G26" t="str">
        <f t="shared" ca="1" si="4"/>
        <v>-----</v>
      </c>
    </row>
    <row r="27" spans="1:7" x14ac:dyDescent="0.2">
      <c r="A27" t="s">
        <v>100</v>
      </c>
      <c r="B27">
        <f t="shared" ca="1" si="0"/>
        <v>0</v>
      </c>
      <c r="C27" t="str">
        <f t="shared" ca="1" si="0"/>
        <v>Regular - 60°</v>
      </c>
      <c r="D27" t="str">
        <f t="shared" ca="1" si="1"/>
        <v/>
      </c>
      <c r="E27" t="e">
        <f t="shared" ca="1" si="2"/>
        <v>#N/A</v>
      </c>
      <c r="F27" t="e">
        <f t="shared" ca="1" si="3"/>
        <v>#DIV/0!</v>
      </c>
      <c r="G27" t="str">
        <f t="shared" ca="1" si="4"/>
        <v>-----</v>
      </c>
    </row>
    <row r="28" spans="1:7" x14ac:dyDescent="0.2">
      <c r="A28" t="s">
        <v>101</v>
      </c>
      <c r="B28">
        <f t="shared" ca="1" si="0"/>
        <v>0</v>
      </c>
      <c r="C28" t="str">
        <f t="shared" ca="1" si="0"/>
        <v>Regular - 60°</v>
      </c>
      <c r="D28" t="str">
        <f t="shared" ca="1" si="1"/>
        <v/>
      </c>
      <c r="E28" t="e">
        <f t="shared" ca="1" si="2"/>
        <v>#N/A</v>
      </c>
      <c r="F28" t="e">
        <f t="shared" ca="1" si="3"/>
        <v>#DIV/0!</v>
      </c>
      <c r="G28" t="str">
        <f t="shared" ca="1" si="4"/>
        <v>-----</v>
      </c>
    </row>
    <row r="29" spans="1:7" x14ac:dyDescent="0.2">
      <c r="A29" t="s">
        <v>102</v>
      </c>
      <c r="B29">
        <f t="shared" ca="1" si="0"/>
        <v>0</v>
      </c>
      <c r="C29" t="str">
        <f t="shared" ca="1" si="0"/>
        <v>Regular - 60°</v>
      </c>
      <c r="D29" t="str">
        <f t="shared" ca="1" si="1"/>
        <v/>
      </c>
      <c r="E29" t="e">
        <f t="shared" ca="1" si="2"/>
        <v>#N/A</v>
      </c>
      <c r="F29" t="e">
        <f t="shared" ca="1" si="3"/>
        <v>#DIV/0!</v>
      </c>
      <c r="G29" t="str">
        <f t="shared" ca="1" si="4"/>
        <v>-----</v>
      </c>
    </row>
    <row r="30" spans="1:7" x14ac:dyDescent="0.2">
      <c r="A30" t="s">
        <v>103</v>
      </c>
      <c r="B30">
        <f t="shared" ca="1" si="0"/>
        <v>0</v>
      </c>
      <c r="C30" t="str">
        <f t="shared" ca="1" si="0"/>
        <v>Regular - 60°</v>
      </c>
      <c r="D30" t="str">
        <f t="shared" ca="1" si="1"/>
        <v/>
      </c>
      <c r="E30" t="e">
        <f t="shared" ca="1" si="2"/>
        <v>#N/A</v>
      </c>
      <c r="F30" t="e">
        <f t="shared" ca="1" si="3"/>
        <v>#DIV/0!</v>
      </c>
      <c r="G30" t="str">
        <f t="shared" ca="1" si="4"/>
        <v>-----</v>
      </c>
    </row>
    <row r="31" spans="1:7" x14ac:dyDescent="0.2">
      <c r="A31" t="s">
        <v>104</v>
      </c>
      <c r="B31">
        <f t="shared" ca="1" si="0"/>
        <v>0</v>
      </c>
      <c r="C31" t="str">
        <f t="shared" ca="1" si="0"/>
        <v>ACME - 29°</v>
      </c>
      <c r="D31" t="str">
        <f t="shared" ca="1" si="1"/>
        <v xml:space="preserve"> ACME</v>
      </c>
      <c r="E31" t="e">
        <f t="shared" ca="1" si="2"/>
        <v>#N/A</v>
      </c>
      <c r="F31" t="e">
        <f t="shared" ca="1" si="3"/>
        <v>#DIV/0!</v>
      </c>
      <c r="G31" t="str">
        <f t="shared" ca="1" si="4"/>
        <v>-----</v>
      </c>
    </row>
    <row r="32" spans="1:7" x14ac:dyDescent="0.2">
      <c r="A32" t="s">
        <v>105</v>
      </c>
      <c r="B32">
        <f t="shared" ca="1" si="0"/>
        <v>0</v>
      </c>
      <c r="C32" t="str">
        <f t="shared" ca="1" si="0"/>
        <v>ACME - 29°</v>
      </c>
      <c r="D32" t="str">
        <f t="shared" ca="1" si="1"/>
        <v xml:space="preserve"> ACME</v>
      </c>
      <c r="E32" t="e">
        <f t="shared" ca="1" si="2"/>
        <v>#N/A</v>
      </c>
      <c r="F32" t="e">
        <f t="shared" ca="1" si="3"/>
        <v>#DIV/0!</v>
      </c>
      <c r="G32" t="str">
        <f t="shared" ca="1" si="4"/>
        <v>-----</v>
      </c>
    </row>
    <row r="33" spans="1:7" x14ac:dyDescent="0.2">
      <c r="A33" t="s">
        <v>106</v>
      </c>
      <c r="B33">
        <f t="shared" ca="1" si="0"/>
        <v>0</v>
      </c>
      <c r="C33" t="str">
        <f t="shared" ca="1" si="0"/>
        <v>ACME - 29°</v>
      </c>
      <c r="D33" t="str">
        <f t="shared" ca="1" si="1"/>
        <v xml:space="preserve"> ACME</v>
      </c>
      <c r="E33" t="e">
        <f t="shared" ca="1" si="2"/>
        <v>#N/A</v>
      </c>
      <c r="F33" t="e">
        <f t="shared" ca="1" si="3"/>
        <v>#DIV/0!</v>
      </c>
      <c r="G33" t="str">
        <f t="shared" ca="1" si="4"/>
        <v>-----</v>
      </c>
    </row>
    <row r="34" spans="1:7" x14ac:dyDescent="0.2">
      <c r="A34" t="s">
        <v>107</v>
      </c>
      <c r="B34">
        <f t="shared" ca="1" si="0"/>
        <v>0</v>
      </c>
      <c r="C34" t="str">
        <f t="shared" ca="1" si="0"/>
        <v>ACME - 29°</v>
      </c>
      <c r="D34" t="str">
        <f t="shared" ca="1" si="1"/>
        <v xml:space="preserve"> ACME</v>
      </c>
      <c r="E34" t="e">
        <f t="shared" ca="1" si="2"/>
        <v>#N/A</v>
      </c>
      <c r="F34" t="e">
        <f t="shared" ca="1" si="3"/>
        <v>#DIV/0!</v>
      </c>
      <c r="G34" t="str">
        <f t="shared" ca="1" si="4"/>
        <v>-----</v>
      </c>
    </row>
    <row r="35" spans="1:7" x14ac:dyDescent="0.2">
      <c r="A35" t="s">
        <v>108</v>
      </c>
      <c r="B35">
        <f t="shared" ca="1" si="0"/>
        <v>0</v>
      </c>
      <c r="C35" t="str">
        <f t="shared" ca="1" si="0"/>
        <v>ACME - 29°</v>
      </c>
      <c r="D35" t="str">
        <f t="shared" ca="1" si="1"/>
        <v xml:space="preserve"> ACME</v>
      </c>
      <c r="E35" t="e">
        <f t="shared" ca="1" si="2"/>
        <v>#N/A</v>
      </c>
      <c r="F35" t="e">
        <f t="shared" ca="1" si="3"/>
        <v>#DIV/0!</v>
      </c>
      <c r="G35" t="str">
        <f t="shared" ca="1" si="4"/>
        <v>-----</v>
      </c>
    </row>
    <row r="36" spans="1:7" x14ac:dyDescent="0.2">
      <c r="A36" t="s">
        <v>109</v>
      </c>
      <c r="B36">
        <f t="shared" ca="1" si="0"/>
        <v>0</v>
      </c>
      <c r="C36" t="str">
        <f t="shared" ca="1" si="0"/>
        <v>ACME - 29°</v>
      </c>
      <c r="D36" t="str">
        <f t="shared" ca="1" si="1"/>
        <v xml:space="preserve"> ACME</v>
      </c>
      <c r="E36" t="e">
        <f t="shared" ca="1" si="2"/>
        <v>#N/A</v>
      </c>
      <c r="F36" t="e">
        <f t="shared" ca="1" si="3"/>
        <v>#DIV/0!</v>
      </c>
      <c r="G36" t="str">
        <f t="shared" ca="1" si="4"/>
        <v>-----</v>
      </c>
    </row>
    <row r="37" spans="1:7" x14ac:dyDescent="0.2">
      <c r="A37" t="s">
        <v>110</v>
      </c>
      <c r="B37">
        <f t="shared" ca="1" si="0"/>
        <v>0</v>
      </c>
      <c r="C37" t="str">
        <f t="shared" ca="1" si="0"/>
        <v>ACME - 29°</v>
      </c>
      <c r="D37" t="str">
        <f t="shared" ca="1" si="1"/>
        <v xml:space="preserve"> ACME</v>
      </c>
      <c r="E37" t="e">
        <f t="shared" ca="1" si="2"/>
        <v>#N/A</v>
      </c>
      <c r="F37" t="e">
        <f t="shared" ca="1" si="3"/>
        <v>#DIV/0!</v>
      </c>
      <c r="G37" t="str">
        <f t="shared" ca="1" si="4"/>
        <v>-----</v>
      </c>
    </row>
    <row r="38" spans="1:7" x14ac:dyDescent="0.2">
      <c r="A38" t="s">
        <v>111</v>
      </c>
      <c r="B38">
        <f t="shared" ca="1" si="0"/>
        <v>0</v>
      </c>
      <c r="C38" t="str">
        <f t="shared" ca="1" si="0"/>
        <v>Regular - 60°</v>
      </c>
      <c r="D38" t="str">
        <f t="shared" ca="1" si="1"/>
        <v/>
      </c>
      <c r="E38">
        <f t="shared" ca="1" si="2"/>
        <v>0</v>
      </c>
      <c r="F38" t="e">
        <f t="shared" ca="1" si="3"/>
        <v>#DIV/0!</v>
      </c>
      <c r="G38" t="str">
        <f t="shared" ca="1" si="4"/>
        <v>-----</v>
      </c>
    </row>
    <row r="39" spans="1:7" x14ac:dyDescent="0.2">
      <c r="A39" t="s">
        <v>112</v>
      </c>
      <c r="B39">
        <f t="shared" ca="1" si="0"/>
        <v>0</v>
      </c>
      <c r="C39" t="str">
        <f t="shared" ca="1" si="0"/>
        <v>Regular - 60°</v>
      </c>
      <c r="D39" t="str">
        <f t="shared" ca="1" si="1"/>
        <v/>
      </c>
      <c r="E39">
        <f t="shared" ca="1" si="2"/>
        <v>0</v>
      </c>
      <c r="F39" t="e">
        <f t="shared" ca="1" si="3"/>
        <v>#DIV/0!</v>
      </c>
      <c r="G39" t="str">
        <f t="shared" ca="1" si="4"/>
        <v>-----</v>
      </c>
    </row>
    <row r="40" spans="1:7" x14ac:dyDescent="0.2">
      <c r="A40" t="s">
        <v>113</v>
      </c>
      <c r="B40">
        <f t="shared" ca="1" si="0"/>
        <v>0</v>
      </c>
      <c r="C40" t="str">
        <f t="shared" ca="1" si="0"/>
        <v>Regular - 60°</v>
      </c>
      <c r="D40" t="str">
        <f t="shared" ca="1" si="1"/>
        <v/>
      </c>
      <c r="E40">
        <f t="shared" ca="1" si="2"/>
        <v>0</v>
      </c>
      <c r="F40" t="e">
        <f t="shared" ca="1" si="3"/>
        <v>#DIV/0!</v>
      </c>
      <c r="G40" t="str">
        <f t="shared" ca="1" si="4"/>
        <v>-----</v>
      </c>
    </row>
    <row r="41" spans="1:7" x14ac:dyDescent="0.2">
      <c r="A41" t="s">
        <v>114</v>
      </c>
      <c r="B41">
        <f t="shared" ca="1" si="0"/>
        <v>0</v>
      </c>
      <c r="C41" t="str">
        <f t="shared" ca="1" si="0"/>
        <v>Regular - 60°</v>
      </c>
      <c r="D41" t="str">
        <f t="shared" ca="1" si="1"/>
        <v/>
      </c>
      <c r="E41">
        <f t="shared" ca="1" si="2"/>
        <v>0</v>
      </c>
      <c r="F41" t="e">
        <f t="shared" ca="1" si="3"/>
        <v>#DIV/0!</v>
      </c>
      <c r="G41" t="str">
        <f t="shared" ca="1" si="4"/>
        <v>-----</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8DFA0-9E42-4C7F-AAB4-093EA7948EFB}">
  <sheetPr>
    <tabColor rgb="FF92D050"/>
  </sheetPr>
  <dimension ref="C3:E10"/>
  <sheetViews>
    <sheetView workbookViewId="0">
      <selection activeCell="D9" sqref="D9"/>
    </sheetView>
  </sheetViews>
  <sheetFormatPr defaultRowHeight="12.75" x14ac:dyDescent="0.2"/>
  <cols>
    <col min="5" max="5" width="13.7109375" customWidth="1"/>
  </cols>
  <sheetData>
    <row r="3" spans="3:5" x14ac:dyDescent="0.2">
      <c r="C3" t="s">
        <v>115</v>
      </c>
    </row>
    <row r="5" spans="3:5" ht="13.5" thickBot="1" x14ac:dyDescent="0.25"/>
    <row r="6" spans="3:5" ht="13.5" thickBot="1" x14ac:dyDescent="0.25">
      <c r="C6" t="s">
        <v>116</v>
      </c>
      <c r="E6" s="1122">
        <v>45474</v>
      </c>
    </row>
    <row r="8" spans="3:5" ht="13.5" thickBot="1" x14ac:dyDescent="0.25">
      <c r="D8" s="289" t="s">
        <v>117</v>
      </c>
    </row>
    <row r="9" spans="3:5" ht="13.5" thickBot="1" x14ac:dyDescent="0.25">
      <c r="C9" s="442" t="s">
        <v>118</v>
      </c>
      <c r="D9" s="1123">
        <v>1</v>
      </c>
    </row>
    <row r="10" spans="3:5" ht="13.5" thickBot="1" x14ac:dyDescent="0.25">
      <c r="C10" s="442" t="s">
        <v>119</v>
      </c>
      <c r="D10" s="1123">
        <v>0.99999000000000005</v>
      </c>
    </row>
  </sheetData>
  <sheetProtection algorithmName="SHA-512" hashValue="BFKWtxswn8Q9tzBniKN0yvRJt8554c2qSBJ/WF16JB2dvxaD3yXMJgb+yju5f33pGZP3/APw5v4jbJQ0oAGNyg==" saltValue="IpQfnxcRI4/D8AEH1oOPxg==" spinCount="100000"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2">
    <tabColor indexed="16"/>
  </sheetPr>
  <dimension ref="A3:L96"/>
  <sheetViews>
    <sheetView workbookViewId="0">
      <selection activeCell="B7" sqref="B7"/>
    </sheetView>
  </sheetViews>
  <sheetFormatPr defaultRowHeight="12.75" x14ac:dyDescent="0.2"/>
  <cols>
    <col min="1" max="1" width="30.28515625" customWidth="1"/>
    <col min="2" max="2" width="19.5703125" bestFit="1" customWidth="1"/>
    <col min="3" max="3" width="34.28515625" bestFit="1" customWidth="1"/>
    <col min="4" max="4" width="19.5703125" customWidth="1"/>
    <col min="6" max="6" width="2.28515625" customWidth="1"/>
    <col min="8" max="8" width="33.140625" bestFit="1" customWidth="1"/>
    <col min="9" max="9" width="11.28515625" bestFit="1" customWidth="1"/>
    <col min="10" max="10" width="2.140625" customWidth="1"/>
    <col min="11" max="11" width="21.28515625" bestFit="1" customWidth="1"/>
    <col min="12" max="12" width="19.5703125" bestFit="1" customWidth="1"/>
  </cols>
  <sheetData>
    <row r="3" spans="1:10" ht="13.5" customHeight="1" x14ac:dyDescent="0.25">
      <c r="B3" s="1126" t="s">
        <v>120</v>
      </c>
      <c r="C3" s="1126"/>
      <c r="D3" s="1126"/>
      <c r="E3" s="84"/>
      <c r="F3" s="84"/>
      <c r="G3" s="84"/>
      <c r="H3" s="84"/>
      <c r="I3" s="84"/>
    </row>
    <row r="4" spans="1:10" ht="13.5" customHeight="1" x14ac:dyDescent="0.2"/>
    <row r="5" spans="1:10" ht="15.75" x14ac:dyDescent="0.25">
      <c r="B5" s="1125" t="s">
        <v>121</v>
      </c>
      <c r="C5" s="1125"/>
      <c r="D5" s="1125"/>
      <c r="E5" s="1125"/>
      <c r="G5" s="112" t="s">
        <v>122</v>
      </c>
      <c r="H5" s="112" t="s">
        <v>123</v>
      </c>
      <c r="I5" s="112" t="s">
        <v>124</v>
      </c>
      <c r="J5" s="111"/>
    </row>
    <row r="6" spans="1:10" x14ac:dyDescent="0.2">
      <c r="B6" s="1" t="s">
        <v>125</v>
      </c>
      <c r="C6" s="1" t="s">
        <v>126</v>
      </c>
      <c r="G6" s="454">
        <v>0.35</v>
      </c>
      <c r="H6" s="454">
        <v>72</v>
      </c>
      <c r="I6" s="454">
        <v>1.2030000000000001E-2</v>
      </c>
    </row>
    <row r="7" spans="1:10" x14ac:dyDescent="0.2">
      <c r="A7" s="1" t="s">
        <v>127</v>
      </c>
      <c r="B7" s="2">
        <v>10</v>
      </c>
      <c r="C7" s="2">
        <v>1</v>
      </c>
      <c r="G7" s="5">
        <v>0.4</v>
      </c>
      <c r="H7" s="5">
        <v>64</v>
      </c>
      <c r="I7" s="5">
        <v>1.342E-2</v>
      </c>
    </row>
    <row r="8" spans="1:10" x14ac:dyDescent="0.2">
      <c r="C8" s="313" t="s">
        <v>128</v>
      </c>
      <c r="D8" s="313" t="s">
        <v>129</v>
      </c>
      <c r="G8" s="5">
        <v>0.45</v>
      </c>
      <c r="H8" s="5">
        <v>56</v>
      </c>
      <c r="I8" s="5">
        <v>1.558E-2</v>
      </c>
    </row>
    <row r="9" spans="1:10" x14ac:dyDescent="0.2">
      <c r="C9" s="124">
        <f>25.4/C7</f>
        <v>25.4</v>
      </c>
      <c r="D9" s="5">
        <f>VLOOKUP(C7,G6:H23,2,FALSE)</f>
        <v>24</v>
      </c>
      <c r="G9" s="5">
        <v>0.5</v>
      </c>
      <c r="H9" s="5">
        <v>50</v>
      </c>
      <c r="I9" s="5">
        <v>1.7059999999999999E-2</v>
      </c>
    </row>
    <row r="10" spans="1:10" x14ac:dyDescent="0.2">
      <c r="C10" s="313" t="s">
        <v>130</v>
      </c>
      <c r="G10" s="5">
        <v>0.7</v>
      </c>
      <c r="H10" s="5">
        <v>36</v>
      </c>
      <c r="I10" s="5">
        <v>2.4209999999999999E-2</v>
      </c>
    </row>
    <row r="11" spans="1:10" x14ac:dyDescent="0.2">
      <c r="C11" s="128">
        <f>0.86603/C9</f>
        <v>3.409566929133858E-2</v>
      </c>
      <c r="G11" s="5">
        <v>0.75</v>
      </c>
      <c r="H11" s="5">
        <v>32</v>
      </c>
      <c r="I11" s="5">
        <v>2.8510000000000001E-2</v>
      </c>
    </row>
    <row r="12" spans="1:10" x14ac:dyDescent="0.2">
      <c r="C12" s="313" t="s">
        <v>131</v>
      </c>
      <c r="G12" s="5">
        <v>0.8</v>
      </c>
      <c r="H12" s="5">
        <v>32</v>
      </c>
      <c r="I12" s="5">
        <v>2.6800000000000001E-2</v>
      </c>
    </row>
    <row r="13" spans="1:10" ht="13.5" thickBot="1" x14ac:dyDescent="0.25">
      <c r="C13" s="991">
        <f>3*(VLOOKUP(D9,'[1]JGI Thread Wire Sizes-Constants'!A3:B31,2,FALSE))</f>
        <v>7.2149999999999992E-2</v>
      </c>
      <c r="G13" s="5">
        <v>1</v>
      </c>
      <c r="H13" s="5">
        <v>24</v>
      </c>
      <c r="I13" s="5">
        <v>3.8039999999999997E-2</v>
      </c>
    </row>
    <row r="14" spans="1:10" ht="13.5" thickTop="1" x14ac:dyDescent="0.2">
      <c r="C14" s="314" t="s">
        <v>132</v>
      </c>
      <c r="G14" s="5">
        <v>1.25</v>
      </c>
      <c r="H14" s="5">
        <v>20</v>
      </c>
      <c r="I14" s="5">
        <v>4.394E-2</v>
      </c>
    </row>
    <row r="15" spans="1:10" x14ac:dyDescent="0.2">
      <c r="C15" s="128">
        <f>ABS(C11-C13)</f>
        <v>3.8054330708661412E-2</v>
      </c>
      <c r="G15" s="5">
        <v>1.5</v>
      </c>
      <c r="H15" s="5">
        <v>16</v>
      </c>
      <c r="I15" s="5">
        <v>5.7009999999999998E-2</v>
      </c>
    </row>
    <row r="16" spans="1:10" x14ac:dyDescent="0.2">
      <c r="G16" s="5">
        <v>1.75</v>
      </c>
      <c r="H16" s="5">
        <v>14</v>
      </c>
      <c r="I16" s="5">
        <v>6.3969999999999999E-2</v>
      </c>
    </row>
    <row r="17" spans="1:12" x14ac:dyDescent="0.2">
      <c r="A17" s="1" t="s">
        <v>133</v>
      </c>
      <c r="B17" s="129">
        <v>0.40250000000000002</v>
      </c>
      <c r="C17" s="313" t="s">
        <v>134</v>
      </c>
      <c r="G17" s="5">
        <v>2</v>
      </c>
      <c r="H17" s="5">
        <v>12</v>
      </c>
      <c r="I17" s="5">
        <v>7.6079999999999995E-2</v>
      </c>
    </row>
    <row r="18" spans="1:12" x14ac:dyDescent="0.2">
      <c r="C18" s="128">
        <f>B17-C15</f>
        <v>0.36444566929133859</v>
      </c>
      <c r="D18" s="84"/>
      <c r="G18" s="5">
        <v>2.5</v>
      </c>
      <c r="H18" s="5">
        <v>10</v>
      </c>
      <c r="I18" s="5">
        <v>8.7940000000000004E-2</v>
      </c>
    </row>
    <row r="19" spans="1:12" x14ac:dyDescent="0.2">
      <c r="C19" s="334" t="s">
        <v>135</v>
      </c>
      <c r="G19" s="5">
        <v>3</v>
      </c>
      <c r="H19" s="5">
        <v>8</v>
      </c>
      <c r="I19" s="5">
        <v>0.11415</v>
      </c>
    </row>
    <row r="20" spans="1:12" x14ac:dyDescent="0.2">
      <c r="C20" s="124">
        <f>C18*25.4</f>
        <v>9.2569199999999991</v>
      </c>
      <c r="G20" s="24">
        <v>3.5</v>
      </c>
      <c r="H20" s="24">
        <v>7</v>
      </c>
      <c r="I20" s="24">
        <v>0.12376</v>
      </c>
    </row>
    <row r="21" spans="1:12" x14ac:dyDescent="0.2">
      <c r="C21" s="992"/>
      <c r="G21" s="24">
        <v>4</v>
      </c>
      <c r="H21" s="24">
        <v>6</v>
      </c>
      <c r="I21" s="993">
        <v>0.14438000000000001</v>
      </c>
    </row>
    <row r="22" spans="1:12" ht="15.75" x14ac:dyDescent="0.25">
      <c r="A22" s="310" t="s">
        <v>136</v>
      </c>
      <c r="B22" s="310" t="s">
        <v>137</v>
      </c>
      <c r="G22" s="24">
        <v>4.5</v>
      </c>
      <c r="H22" s="24">
        <v>5</v>
      </c>
      <c r="I22" s="24">
        <v>0.17321</v>
      </c>
    </row>
    <row r="23" spans="1:12" x14ac:dyDescent="0.2">
      <c r="A23" s="454">
        <v>2.0000000000000001E-4</v>
      </c>
      <c r="B23" s="5">
        <f>ROUNDUP(A23*25.4,4)</f>
        <v>5.1000000000000004E-3</v>
      </c>
      <c r="G23" s="24">
        <v>5</v>
      </c>
      <c r="H23" s="24">
        <v>5</v>
      </c>
      <c r="I23" s="994">
        <v>0.17321</v>
      </c>
    </row>
    <row r="24" spans="1:12" x14ac:dyDescent="0.2">
      <c r="A24" s="5">
        <v>2.9999999999999997E-4</v>
      </c>
      <c r="B24" s="5">
        <f>ROUNDUP(A24*25.4,5)</f>
        <v>7.62E-3</v>
      </c>
    </row>
    <row r="25" spans="1:12" x14ac:dyDescent="0.2">
      <c r="A25" s="5">
        <v>4.0000000000000002E-4</v>
      </c>
      <c r="B25" s="5">
        <f>ROUNDUP(A25*25.4,4)</f>
        <v>1.0199999999999999E-2</v>
      </c>
    </row>
    <row r="26" spans="1:12" x14ac:dyDescent="0.2">
      <c r="A26" s="47"/>
      <c r="B26" s="47"/>
      <c r="C26" s="47"/>
      <c r="D26" s="47"/>
      <c r="E26" s="47"/>
      <c r="F26" s="47"/>
      <c r="G26" s="47"/>
      <c r="H26" s="47"/>
      <c r="I26" s="47"/>
      <c r="J26" s="47"/>
      <c r="K26" s="47"/>
      <c r="L26" s="47"/>
    </row>
    <row r="27" spans="1:12" x14ac:dyDescent="0.2">
      <c r="A27" s="47"/>
      <c r="B27" s="47"/>
      <c r="C27" s="47"/>
      <c r="D27" s="47"/>
      <c r="E27" s="47"/>
      <c r="F27" s="47"/>
      <c r="G27" s="47"/>
      <c r="H27" s="47"/>
      <c r="I27" s="47"/>
      <c r="J27" s="47"/>
      <c r="K27" s="47"/>
      <c r="L27" s="47"/>
    </row>
    <row r="28" spans="1:12" x14ac:dyDescent="0.2">
      <c r="A28" s="47"/>
      <c r="B28" s="47"/>
      <c r="C28" s="47"/>
      <c r="D28" s="47"/>
      <c r="E28" s="47"/>
      <c r="F28" s="47"/>
      <c r="G28" s="47"/>
      <c r="H28" s="47"/>
      <c r="I28" s="47"/>
      <c r="J28" s="47"/>
      <c r="K28" s="47"/>
      <c r="L28" s="47"/>
    </row>
    <row r="29" spans="1:12" ht="15.75" x14ac:dyDescent="0.25">
      <c r="B29" s="1126" t="s">
        <v>138</v>
      </c>
      <c r="C29" s="1126"/>
      <c r="D29" s="1126"/>
    </row>
    <row r="31" spans="1:12" ht="15.75" x14ac:dyDescent="0.25">
      <c r="B31" s="1125" t="s">
        <v>121</v>
      </c>
      <c r="C31" s="1125"/>
      <c r="D31" s="1125"/>
      <c r="E31" s="1125"/>
      <c r="G31" s="112" t="s">
        <v>122</v>
      </c>
      <c r="H31" s="112" t="s">
        <v>123</v>
      </c>
      <c r="I31" s="112" t="s">
        <v>124</v>
      </c>
    </row>
    <row r="32" spans="1:12" x14ac:dyDescent="0.2">
      <c r="B32" s="1" t="s">
        <v>125</v>
      </c>
      <c r="C32" s="1" t="s">
        <v>126</v>
      </c>
      <c r="G32" s="454">
        <v>0.35</v>
      </c>
      <c r="H32" s="454">
        <v>72</v>
      </c>
      <c r="I32" s="454">
        <v>1.2030000000000001E-2</v>
      </c>
    </row>
    <row r="33" spans="1:9" x14ac:dyDescent="0.2">
      <c r="A33" s="1" t="s">
        <v>127</v>
      </c>
      <c r="B33" s="2">
        <v>36</v>
      </c>
      <c r="C33" s="2">
        <v>4</v>
      </c>
      <c r="G33" s="5">
        <v>0.4</v>
      </c>
      <c r="H33" s="5">
        <v>64</v>
      </c>
      <c r="I33" s="5">
        <v>1.342E-2</v>
      </c>
    </row>
    <row r="34" spans="1:9" x14ac:dyDescent="0.2">
      <c r="C34" s="313" t="s">
        <v>128</v>
      </c>
      <c r="D34" s="313" t="s">
        <v>129</v>
      </c>
      <c r="G34" s="5">
        <v>0.45</v>
      </c>
      <c r="H34" s="5">
        <v>56</v>
      </c>
      <c r="I34" s="5">
        <v>1.558E-2</v>
      </c>
    </row>
    <row r="35" spans="1:9" x14ac:dyDescent="0.2">
      <c r="C35" s="124">
        <f>25.4/C33</f>
        <v>6.35</v>
      </c>
      <c r="D35" s="5">
        <f>VLOOKUP(C33,G31:H49,2,FALSE)</f>
        <v>6</v>
      </c>
      <c r="G35" s="5">
        <v>0.5</v>
      </c>
      <c r="H35" s="5">
        <v>50</v>
      </c>
      <c r="I35" s="5">
        <v>1.7059999999999999E-2</v>
      </c>
    </row>
    <row r="36" spans="1:9" x14ac:dyDescent="0.2">
      <c r="C36" s="313" t="s">
        <v>130</v>
      </c>
      <c r="G36" s="5">
        <v>0.7</v>
      </c>
      <c r="H36" s="5">
        <v>36</v>
      </c>
      <c r="I36" s="5">
        <v>2.4209999999999999E-2</v>
      </c>
    </row>
    <row r="37" spans="1:9" x14ac:dyDescent="0.2">
      <c r="C37" s="128">
        <f>0.86603/C35</f>
        <v>0.13638267716535432</v>
      </c>
      <c r="G37" s="5">
        <v>0.75</v>
      </c>
      <c r="H37" s="5">
        <v>32</v>
      </c>
      <c r="I37" s="5">
        <v>2.8510000000000001E-2</v>
      </c>
    </row>
    <row r="38" spans="1:9" x14ac:dyDescent="0.2">
      <c r="C38" s="313" t="s">
        <v>131</v>
      </c>
      <c r="G38" s="5">
        <v>0.8</v>
      </c>
      <c r="H38" s="5">
        <v>32</v>
      </c>
      <c r="I38" s="5">
        <v>2.6800000000000001E-2</v>
      </c>
    </row>
    <row r="39" spans="1:9" ht="13.5" thickBot="1" x14ac:dyDescent="0.25">
      <c r="C39" s="991">
        <f>3*(VLOOKUP(D35,'[1]JGI Thread Wire Sizes-Constants'!A3:B30,2,FALSE))</f>
        <v>0.28872000000000003</v>
      </c>
      <c r="G39" s="5">
        <v>1</v>
      </c>
      <c r="H39" s="5">
        <v>24</v>
      </c>
      <c r="I39" s="5">
        <v>3.8039999999999997E-2</v>
      </c>
    </row>
    <row r="40" spans="1:9" ht="13.5" thickTop="1" x14ac:dyDescent="0.2">
      <c r="C40" s="314" t="s">
        <v>132</v>
      </c>
      <c r="G40" s="5">
        <v>1.25</v>
      </c>
      <c r="H40" s="5">
        <v>20</v>
      </c>
      <c r="I40" s="5">
        <v>4.394E-2</v>
      </c>
    </row>
    <row r="41" spans="1:9" x14ac:dyDescent="0.2">
      <c r="C41" s="128">
        <f>ABS(C37-C39)</f>
        <v>0.15233732283464571</v>
      </c>
      <c r="G41" s="5">
        <v>1.5</v>
      </c>
      <c r="H41" s="5">
        <v>16</v>
      </c>
      <c r="I41" s="5">
        <v>5.7009999999999998E-2</v>
      </c>
    </row>
    <row r="42" spans="1:9" x14ac:dyDescent="0.2">
      <c r="G42" s="5">
        <v>1.75</v>
      </c>
      <c r="H42" s="5">
        <v>14</v>
      </c>
      <c r="I42" s="5">
        <v>6.3969999999999999E-2</v>
      </c>
    </row>
    <row r="43" spans="1:9" x14ac:dyDescent="0.2">
      <c r="A43" s="1" t="s">
        <v>139</v>
      </c>
      <c r="B43" s="129">
        <v>1.7627999999999999</v>
      </c>
      <c r="C43" s="313" t="s">
        <v>134</v>
      </c>
      <c r="G43" s="5">
        <v>2</v>
      </c>
      <c r="H43" s="5">
        <v>12</v>
      </c>
      <c r="I43" s="5">
        <v>7.6079999999999995E-2</v>
      </c>
    </row>
    <row r="44" spans="1:9" x14ac:dyDescent="0.2">
      <c r="C44" s="128">
        <f>(B43/25.4)-C41</f>
        <v>-8.2935748031496101E-2</v>
      </c>
      <c r="D44" s="84"/>
      <c r="G44" s="5">
        <v>2.5</v>
      </c>
      <c r="H44" s="5">
        <v>10</v>
      </c>
      <c r="I44" s="5">
        <v>8.7940000000000004E-2</v>
      </c>
    </row>
    <row r="45" spans="1:9" x14ac:dyDescent="0.2">
      <c r="C45" s="334" t="s">
        <v>135</v>
      </c>
      <c r="G45" s="5">
        <v>3</v>
      </c>
      <c r="H45" s="5">
        <v>8</v>
      </c>
      <c r="I45" s="5">
        <v>0.11415</v>
      </c>
    </row>
    <row r="46" spans="1:9" x14ac:dyDescent="0.2">
      <c r="C46" s="124">
        <f>C44*25.4</f>
        <v>-2.1065680000000007</v>
      </c>
      <c r="G46" s="24">
        <v>3.5</v>
      </c>
      <c r="H46" s="24">
        <v>7</v>
      </c>
      <c r="I46" s="24">
        <v>0.12376</v>
      </c>
    </row>
    <row r="47" spans="1:9" x14ac:dyDescent="0.2">
      <c r="C47" s="992"/>
      <c r="G47" s="24">
        <v>4</v>
      </c>
      <c r="H47" s="24">
        <v>6</v>
      </c>
      <c r="I47" s="993">
        <v>0.14438000000000001</v>
      </c>
    </row>
    <row r="48" spans="1:9" ht="15.75" x14ac:dyDescent="0.25">
      <c r="A48" s="310" t="s">
        <v>136</v>
      </c>
      <c r="B48" s="310" t="s">
        <v>137</v>
      </c>
      <c r="G48" s="24">
        <v>4.5</v>
      </c>
      <c r="H48" s="24">
        <v>5</v>
      </c>
      <c r="I48" s="24">
        <v>0.17321</v>
      </c>
    </row>
    <row r="49" spans="1:12" x14ac:dyDescent="0.2">
      <c r="A49" s="454">
        <v>2.0000000000000001E-4</v>
      </c>
      <c r="B49" s="5">
        <f>ROUNDUP(A49*25.4,4)</f>
        <v>5.1000000000000004E-3</v>
      </c>
      <c r="G49" s="24">
        <v>5</v>
      </c>
      <c r="H49" s="24">
        <v>5</v>
      </c>
      <c r="I49" s="994">
        <v>0.17321</v>
      </c>
    </row>
    <row r="50" spans="1:12" x14ac:dyDescent="0.2">
      <c r="A50" s="5">
        <v>2.9999999999999997E-4</v>
      </c>
      <c r="B50" s="5">
        <f>ROUNDUP(A50*25.4,5)</f>
        <v>7.62E-3</v>
      </c>
    </row>
    <row r="51" spans="1:12" x14ac:dyDescent="0.2">
      <c r="A51" s="5">
        <v>4.0000000000000002E-4</v>
      </c>
      <c r="B51" s="5">
        <f>ROUNDUP(A51*25.4,4)</f>
        <v>1.0199999999999999E-2</v>
      </c>
    </row>
    <row r="52" spans="1:12" x14ac:dyDescent="0.2">
      <c r="A52" s="47"/>
      <c r="B52" s="47"/>
      <c r="C52" s="47"/>
      <c r="D52" s="47"/>
      <c r="E52" s="47"/>
      <c r="F52" s="47"/>
      <c r="G52" s="47"/>
      <c r="H52" s="47"/>
      <c r="I52" s="47"/>
      <c r="J52" s="47"/>
      <c r="K52" s="47"/>
      <c r="L52" s="47"/>
    </row>
    <row r="53" spans="1:12" x14ac:dyDescent="0.2">
      <c r="A53" s="47"/>
      <c r="B53" s="47"/>
      <c r="C53" s="47"/>
      <c r="D53" s="47"/>
      <c r="E53" s="47"/>
      <c r="F53" s="47"/>
      <c r="G53" s="47"/>
      <c r="H53" s="47"/>
      <c r="I53" s="47"/>
      <c r="J53" s="47"/>
      <c r="K53" s="47"/>
      <c r="L53" s="47"/>
    </row>
    <row r="55" spans="1:12" ht="15.75" x14ac:dyDescent="0.25">
      <c r="G55" s="112" t="s">
        <v>71</v>
      </c>
      <c r="H55" s="112" t="s">
        <v>128</v>
      </c>
      <c r="I55" s="112" t="s">
        <v>124</v>
      </c>
    </row>
    <row r="56" spans="1:12" ht="15.75" x14ac:dyDescent="0.25">
      <c r="B56" s="1126" t="s">
        <v>140</v>
      </c>
      <c r="C56" s="1126"/>
      <c r="D56" s="1126"/>
      <c r="G56" s="454">
        <v>0.35</v>
      </c>
      <c r="H56" s="454">
        <v>72</v>
      </c>
      <c r="I56" s="454">
        <v>1.2030000000000001E-2</v>
      </c>
    </row>
    <row r="57" spans="1:12" x14ac:dyDescent="0.2">
      <c r="B57" s="1125" t="s">
        <v>121</v>
      </c>
      <c r="C57" s="1125"/>
      <c r="D57" s="1125"/>
      <c r="E57" s="1125"/>
      <c r="G57" s="5">
        <v>0.4</v>
      </c>
      <c r="H57" s="5">
        <v>64</v>
      </c>
      <c r="I57" s="5">
        <v>1.342E-2</v>
      </c>
    </row>
    <row r="58" spans="1:12" x14ac:dyDescent="0.2">
      <c r="B58" s="1" t="s">
        <v>125</v>
      </c>
      <c r="C58" s="1" t="s">
        <v>126</v>
      </c>
      <c r="G58" s="5">
        <v>0.45</v>
      </c>
      <c r="H58" s="5">
        <v>56</v>
      </c>
      <c r="I58" s="5">
        <v>1.558E-2</v>
      </c>
    </row>
    <row r="59" spans="1:12" x14ac:dyDescent="0.2">
      <c r="A59" s="1" t="s">
        <v>127</v>
      </c>
      <c r="B59" s="2">
        <v>16</v>
      </c>
      <c r="C59" s="2">
        <v>2</v>
      </c>
      <c r="G59" s="5">
        <v>0.5</v>
      </c>
      <c r="H59" s="5">
        <v>50</v>
      </c>
      <c r="I59" s="5">
        <v>1.7059999999999999E-2</v>
      </c>
    </row>
    <row r="60" spans="1:12" x14ac:dyDescent="0.2">
      <c r="C60" s="314" t="s">
        <v>141</v>
      </c>
      <c r="G60" s="5">
        <v>0.7</v>
      </c>
      <c r="H60" s="5">
        <v>36</v>
      </c>
      <c r="I60" s="5">
        <v>2.4209999999999999E-2</v>
      </c>
    </row>
    <row r="61" spans="1:12" x14ac:dyDescent="0.2">
      <c r="C61" s="128">
        <f>VLOOKUP(C59, '[1]JGI Thread Wire Sizes-Constants'!I3:J16,2,FALSE)</f>
        <v>1.7330000000000001</v>
      </c>
      <c r="G61" s="5">
        <v>0.75</v>
      </c>
      <c r="H61" s="5">
        <v>32</v>
      </c>
      <c r="I61" s="5">
        <v>2.8510000000000001E-2</v>
      </c>
    </row>
    <row r="62" spans="1:12" x14ac:dyDescent="0.2">
      <c r="G62" s="5">
        <v>0.8</v>
      </c>
      <c r="H62" s="5">
        <v>32</v>
      </c>
      <c r="I62" s="5">
        <v>2.6800000000000001E-2</v>
      </c>
    </row>
    <row r="63" spans="1:12" x14ac:dyDescent="0.2">
      <c r="A63" s="1" t="s">
        <v>139</v>
      </c>
      <c r="B63" s="129">
        <v>16.64</v>
      </c>
      <c r="C63" s="532" t="s">
        <v>142</v>
      </c>
      <c r="G63" s="5">
        <v>1</v>
      </c>
      <c r="H63" s="5">
        <v>24</v>
      </c>
      <c r="I63" s="5">
        <v>3.8039999999999997E-2</v>
      </c>
    </row>
    <row r="64" spans="1:12" x14ac:dyDescent="0.2">
      <c r="C64" s="128">
        <f>B63-C61</f>
        <v>14.907</v>
      </c>
      <c r="D64" s="84"/>
      <c r="G64" s="5">
        <v>1.25</v>
      </c>
      <c r="H64" s="5">
        <v>20</v>
      </c>
      <c r="I64" s="5">
        <v>4.394E-2</v>
      </c>
    </row>
    <row r="65" spans="1:9" x14ac:dyDescent="0.2">
      <c r="C65" s="84"/>
      <c r="G65" s="5">
        <v>1.5</v>
      </c>
      <c r="H65" s="5">
        <v>16</v>
      </c>
      <c r="I65" s="5">
        <v>5.7009999999999998E-2</v>
      </c>
    </row>
    <row r="66" spans="1:9" ht="15.75" x14ac:dyDescent="0.25">
      <c r="A66" s="310" t="s">
        <v>136</v>
      </c>
      <c r="B66" s="310" t="s">
        <v>137</v>
      </c>
      <c r="C66" s="992"/>
      <c r="G66" s="5">
        <v>1.75</v>
      </c>
      <c r="H66" s="5">
        <v>14</v>
      </c>
      <c r="I66" s="5">
        <v>6.3969999999999999E-2</v>
      </c>
    </row>
    <row r="67" spans="1:9" x14ac:dyDescent="0.2">
      <c r="A67" s="454">
        <v>2.0000000000000001E-4</v>
      </c>
      <c r="B67" s="5">
        <f>ROUNDUP(A67*25.4,4)</f>
        <v>5.1000000000000004E-3</v>
      </c>
      <c r="G67" s="139">
        <v>2</v>
      </c>
      <c r="H67" s="139">
        <v>12</v>
      </c>
      <c r="I67" s="139">
        <v>7.6079999999999995E-2</v>
      </c>
    </row>
    <row r="68" spans="1:9" x14ac:dyDescent="0.2">
      <c r="A68" s="5">
        <v>2.9999999999999997E-4</v>
      </c>
      <c r="B68" s="5">
        <f>ROUNDUP(A68*25.4,5)</f>
        <v>7.62E-3</v>
      </c>
      <c r="G68" s="5">
        <v>2.5</v>
      </c>
      <c r="H68" s="5">
        <v>10</v>
      </c>
      <c r="I68" s="5">
        <v>8.7940000000000004E-2</v>
      </c>
    </row>
    <row r="69" spans="1:9" x14ac:dyDescent="0.2">
      <c r="A69" s="5">
        <v>4.0000000000000002E-4</v>
      </c>
      <c r="B69" s="5">
        <f>ROUNDUP(A69*25.4,4)</f>
        <v>1.0199999999999999E-2</v>
      </c>
      <c r="G69" s="5">
        <v>3</v>
      </c>
      <c r="H69" s="5">
        <v>8</v>
      </c>
      <c r="I69" s="5">
        <v>0.11415</v>
      </c>
    </row>
    <row r="70" spans="1:9" x14ac:dyDescent="0.2">
      <c r="G70" s="24">
        <v>3.5</v>
      </c>
      <c r="H70" s="24">
        <v>7</v>
      </c>
      <c r="I70" s="24">
        <v>0.12376</v>
      </c>
    </row>
    <row r="71" spans="1:9" x14ac:dyDescent="0.2">
      <c r="G71" s="24">
        <v>4.5</v>
      </c>
      <c r="H71" s="24">
        <v>5</v>
      </c>
      <c r="I71" s="24">
        <v>0.17321</v>
      </c>
    </row>
    <row r="72" spans="1:9" x14ac:dyDescent="0.2">
      <c r="G72" s="24">
        <v>5</v>
      </c>
      <c r="H72" s="24">
        <v>5</v>
      </c>
      <c r="I72">
        <v>0.17318</v>
      </c>
    </row>
    <row r="74" spans="1:9" s="549" customFormat="1" x14ac:dyDescent="0.2"/>
    <row r="75" spans="1:9" s="549" customFormat="1" x14ac:dyDescent="0.2"/>
    <row r="76" spans="1:9" s="549" customFormat="1" x14ac:dyDescent="0.2"/>
    <row r="78" spans="1:9" ht="15.75" x14ac:dyDescent="0.25">
      <c r="B78" s="1126" t="s">
        <v>143</v>
      </c>
      <c r="C78" s="1126"/>
      <c r="D78" s="1126"/>
    </row>
    <row r="79" spans="1:9" ht="15.75" x14ac:dyDescent="0.25">
      <c r="B79" s="1125" t="s">
        <v>121</v>
      </c>
      <c r="C79" s="1125"/>
      <c r="D79" s="1125"/>
      <c r="E79" s="1125"/>
      <c r="G79" s="112" t="s">
        <v>71</v>
      </c>
      <c r="H79" s="112" t="s">
        <v>128</v>
      </c>
      <c r="I79" s="112" t="s">
        <v>124</v>
      </c>
    </row>
    <row r="80" spans="1:9" x14ac:dyDescent="0.2">
      <c r="B80" s="1" t="s">
        <v>125</v>
      </c>
      <c r="C80" s="1" t="s">
        <v>126</v>
      </c>
      <c r="G80" s="454">
        <v>0.35</v>
      </c>
      <c r="H80" s="454">
        <v>72</v>
      </c>
      <c r="I80" s="454">
        <v>1.2030000000000001E-2</v>
      </c>
    </row>
    <row r="81" spans="1:9" x14ac:dyDescent="0.2">
      <c r="A81" s="1" t="s">
        <v>127</v>
      </c>
      <c r="B81" s="2"/>
      <c r="C81" s="2">
        <v>0.5</v>
      </c>
      <c r="G81" s="5">
        <v>0.4</v>
      </c>
      <c r="H81" s="5">
        <v>64</v>
      </c>
      <c r="I81" s="5">
        <v>1.342E-2</v>
      </c>
    </row>
    <row r="82" spans="1:9" x14ac:dyDescent="0.2">
      <c r="C82" s="314" t="s">
        <v>144</v>
      </c>
      <c r="G82" s="5">
        <v>0.45</v>
      </c>
      <c r="H82" s="5">
        <v>56</v>
      </c>
      <c r="I82" s="5">
        <v>1.558E-2</v>
      </c>
    </row>
    <row r="83" spans="1:9" x14ac:dyDescent="0.2">
      <c r="C83" s="128">
        <f>VLOOKUP(C81, '[1]JGI Thread Wire Sizes-Constants'!I3:J16,2,FALSE)</f>
        <v>0.43190000000000001</v>
      </c>
      <c r="G83" s="5">
        <v>0.5</v>
      </c>
      <c r="H83" s="5">
        <v>50</v>
      </c>
      <c r="I83" s="5">
        <v>1.7059999999999999E-2</v>
      </c>
    </row>
    <row r="84" spans="1:9" x14ac:dyDescent="0.2">
      <c r="G84" s="5">
        <v>0.7</v>
      </c>
      <c r="H84" s="5">
        <v>36</v>
      </c>
      <c r="I84" s="5">
        <v>2.4209999999999999E-2</v>
      </c>
    </row>
    <row r="85" spans="1:9" x14ac:dyDescent="0.2">
      <c r="A85" s="1" t="s">
        <v>133</v>
      </c>
      <c r="B85" s="129">
        <v>0.12622</v>
      </c>
      <c r="C85" s="334" t="s">
        <v>142</v>
      </c>
      <c r="G85" s="5">
        <v>0.75</v>
      </c>
      <c r="H85" s="5">
        <v>32</v>
      </c>
      <c r="I85" s="5">
        <v>2.8510000000000001E-2</v>
      </c>
    </row>
    <row r="86" spans="1:9" x14ac:dyDescent="0.2">
      <c r="C86" s="128">
        <f>B85*25.4-C83</f>
        <v>2.7740879999999994</v>
      </c>
      <c r="D86" s="84"/>
      <c r="G86" s="5">
        <v>0.8</v>
      </c>
      <c r="H86" s="5">
        <v>32</v>
      </c>
      <c r="I86" s="5">
        <v>2.6800000000000001E-2</v>
      </c>
    </row>
    <row r="87" spans="1:9" x14ac:dyDescent="0.2">
      <c r="C87" s="84"/>
      <c r="G87" s="5">
        <v>1</v>
      </c>
      <c r="H87" s="5">
        <v>24</v>
      </c>
      <c r="I87" s="5">
        <v>3.8039999999999997E-2</v>
      </c>
    </row>
    <row r="88" spans="1:9" ht="15.75" x14ac:dyDescent="0.25">
      <c r="A88" s="310" t="s">
        <v>136</v>
      </c>
      <c r="B88" s="310" t="s">
        <v>137</v>
      </c>
      <c r="C88" s="992"/>
      <c r="G88" s="5">
        <v>1.25</v>
      </c>
      <c r="H88" s="5">
        <v>20</v>
      </c>
      <c r="I88" s="5">
        <v>4.394E-2</v>
      </c>
    </row>
    <row r="89" spans="1:9" x14ac:dyDescent="0.2">
      <c r="A89" s="454">
        <v>2.0000000000000001E-4</v>
      </c>
      <c r="B89" s="5">
        <f>ROUNDUP(A89*25.4,4)</f>
        <v>5.1000000000000004E-3</v>
      </c>
      <c r="G89" s="5">
        <v>1.5</v>
      </c>
      <c r="H89" s="5">
        <v>16</v>
      </c>
      <c r="I89" s="5">
        <v>5.7009999999999998E-2</v>
      </c>
    </row>
    <row r="90" spans="1:9" x14ac:dyDescent="0.2">
      <c r="A90" s="5">
        <v>2.9999999999999997E-4</v>
      </c>
      <c r="B90" s="5">
        <f>ROUNDUP(A90*25.4,5)</f>
        <v>7.62E-3</v>
      </c>
      <c r="G90" s="5">
        <v>1.75</v>
      </c>
      <c r="H90" s="5">
        <v>14</v>
      </c>
      <c r="I90" s="5">
        <v>6.3969999999999999E-2</v>
      </c>
    </row>
    <row r="91" spans="1:9" x14ac:dyDescent="0.2">
      <c r="A91" s="5">
        <v>4.0000000000000002E-4</v>
      </c>
      <c r="B91" s="5">
        <f>ROUNDUP(A91*25.4,4)</f>
        <v>1.0199999999999999E-2</v>
      </c>
      <c r="G91" s="139">
        <v>2</v>
      </c>
      <c r="H91" s="139">
        <v>12</v>
      </c>
      <c r="I91" s="139">
        <v>7.6079999999999995E-2</v>
      </c>
    </row>
    <row r="92" spans="1:9" x14ac:dyDescent="0.2">
      <c r="G92" s="5">
        <v>2.5</v>
      </c>
      <c r="H92" s="5">
        <v>10</v>
      </c>
      <c r="I92" s="5">
        <v>8.7940000000000004E-2</v>
      </c>
    </row>
    <row r="93" spans="1:9" x14ac:dyDescent="0.2">
      <c r="G93" s="5">
        <v>3</v>
      </c>
      <c r="H93" s="5">
        <v>8</v>
      </c>
      <c r="I93" s="5">
        <v>0.11415</v>
      </c>
    </row>
    <row r="94" spans="1:9" s="549" customFormat="1" x14ac:dyDescent="0.2">
      <c r="G94" s="24">
        <v>3.5</v>
      </c>
      <c r="H94" s="24">
        <v>7</v>
      </c>
      <c r="I94" s="24">
        <v>0.12376</v>
      </c>
    </row>
    <row r="95" spans="1:9" s="549" customFormat="1" x14ac:dyDescent="0.2">
      <c r="G95" s="24">
        <v>4.5</v>
      </c>
      <c r="H95" s="24">
        <v>5</v>
      </c>
      <c r="I95" s="24">
        <v>0.17321</v>
      </c>
    </row>
    <row r="96" spans="1:9" x14ac:dyDescent="0.2">
      <c r="G96" s="24">
        <v>5</v>
      </c>
      <c r="H96" s="24">
        <v>5</v>
      </c>
      <c r="I96">
        <v>0.17318</v>
      </c>
    </row>
  </sheetData>
  <sheetProtection password="CC48" sheet="1" selectLockedCells="1"/>
  <mergeCells count="8">
    <mergeCell ref="B79:E79"/>
    <mergeCell ref="B78:D78"/>
    <mergeCell ref="B3:D3"/>
    <mergeCell ref="B29:D29"/>
    <mergeCell ref="B56:D56"/>
    <mergeCell ref="B57:E57"/>
    <mergeCell ref="B5:E5"/>
    <mergeCell ref="B31:E31"/>
  </mergeCells>
  <phoneticPr fontId="13" type="noConversion"/>
  <conditionalFormatting sqref="A53:B53 A27:B28">
    <cfRule type="expression" dxfId="122" priority="18" stopIfTrue="1">
      <formula>AND(MOD(ROW(),2),COUNTA($B9:M20))</formula>
    </cfRule>
  </conditionalFormatting>
  <conditionalFormatting sqref="G55:I56 G79:I80">
    <cfRule type="expression" dxfId="121" priority="13" stopIfTrue="1">
      <formula>AND(MOD(ROW(),2),COUNTA($B56:I68))</formula>
    </cfRule>
  </conditionalFormatting>
  <conditionalFormatting sqref="G5:I6">
    <cfRule type="expression" dxfId="120" priority="14" stopIfTrue="1">
      <formula>AND(MOD(ROW(),2),COUNTA($B6:I18))</formula>
    </cfRule>
  </conditionalFormatting>
  <conditionalFormatting sqref="G7:I8 G81:I82 G57:I57 G67:I67">
    <cfRule type="expression" dxfId="119" priority="15" stopIfTrue="1">
      <formula>AND(MOD(ROW(),2),COUNTA($B7:I19))</formula>
    </cfRule>
  </conditionalFormatting>
  <conditionalFormatting sqref="G9:I16 G19:I20 G83:I90 G21:H21 G35:I42 G45:I46 G47:H47">
    <cfRule type="expression" dxfId="118" priority="16" stopIfTrue="1">
      <formula>AND(MOD(ROW(),2),COUNTA($B9:I20))</formula>
    </cfRule>
  </conditionalFormatting>
  <conditionalFormatting sqref="G17:I18 G91:I91 G43:I44">
    <cfRule type="expression" dxfId="117" priority="17" stopIfTrue="1">
      <formula>AND(MOD(ROW(),2),COUNTA($B17:I27))</formula>
    </cfRule>
  </conditionalFormatting>
  <conditionalFormatting sqref="G22:H22 G48:H48">
    <cfRule type="expression" dxfId="116" priority="19" stopIfTrue="1">
      <formula>AND(MOD(ROW(),2),COUNTA($B21:I32))</formula>
    </cfRule>
  </conditionalFormatting>
  <conditionalFormatting sqref="G58:I58">
    <cfRule type="expression" dxfId="115" priority="20" stopIfTrue="1">
      <formula>AND(MOD(ROW(),2),COUNTA($B58:I72))</formula>
    </cfRule>
  </conditionalFormatting>
  <conditionalFormatting sqref="G59:I66">
    <cfRule type="expression" dxfId="114" priority="21" stopIfTrue="1">
      <formula>AND(MOD(ROW(),2),COUNTA($B59:I72))</formula>
    </cfRule>
  </conditionalFormatting>
  <conditionalFormatting sqref="G69:I71">
    <cfRule type="expression" dxfId="113" priority="10" stopIfTrue="1">
      <formula>AND(MOD(ROW(),2),COUNTA($B69:I80))</formula>
    </cfRule>
  </conditionalFormatting>
  <conditionalFormatting sqref="G68:I68">
    <cfRule type="expression" dxfId="112" priority="11" stopIfTrue="1">
      <formula>AND(MOD(ROW(),2),COUNTA($B68:I78))</formula>
    </cfRule>
  </conditionalFormatting>
  <conditionalFormatting sqref="G72:H72">
    <cfRule type="expression" dxfId="111" priority="12" stopIfTrue="1">
      <formula>AND(MOD(ROW(),2),COUNTA($B71:I82))</formula>
    </cfRule>
  </conditionalFormatting>
  <conditionalFormatting sqref="G93:I95">
    <cfRule type="expression" dxfId="110" priority="7" stopIfTrue="1">
      <formula>AND(MOD(ROW(),2),COUNTA($B93:I104))</formula>
    </cfRule>
  </conditionalFormatting>
  <conditionalFormatting sqref="G92:I92">
    <cfRule type="expression" dxfId="109" priority="8" stopIfTrue="1">
      <formula>AND(MOD(ROW(),2),COUNTA($B92:I102))</formula>
    </cfRule>
  </conditionalFormatting>
  <conditionalFormatting sqref="G96:H96">
    <cfRule type="expression" dxfId="108" priority="9" stopIfTrue="1">
      <formula>AND(MOD(ROW(),2),COUNTA($B95:I106))</formula>
    </cfRule>
  </conditionalFormatting>
  <conditionalFormatting sqref="G22:I22">
    <cfRule type="expression" dxfId="107" priority="5" stopIfTrue="1">
      <formula>AND(MOD(ROW(),2),COUNTA($B22:I33))</formula>
    </cfRule>
  </conditionalFormatting>
  <conditionalFormatting sqref="G23:H23">
    <cfRule type="expression" dxfId="106" priority="6" stopIfTrue="1">
      <formula>AND(MOD(ROW(),2),COUNTA($B22:I33))</formula>
    </cfRule>
  </conditionalFormatting>
  <conditionalFormatting sqref="G31:I32">
    <cfRule type="expression" dxfId="105" priority="3" stopIfTrue="1">
      <formula>AND(MOD(ROW(),2),COUNTA($B32:I44))</formula>
    </cfRule>
  </conditionalFormatting>
  <conditionalFormatting sqref="G33:I34">
    <cfRule type="expression" dxfId="104" priority="4" stopIfTrue="1">
      <formula>AND(MOD(ROW(),2),COUNTA($B33:I45))</formula>
    </cfRule>
  </conditionalFormatting>
  <conditionalFormatting sqref="G48:I48">
    <cfRule type="expression" dxfId="103" priority="1" stopIfTrue="1">
      <formula>AND(MOD(ROW(),2),COUNTA($B48:I59))</formula>
    </cfRule>
  </conditionalFormatting>
  <conditionalFormatting sqref="G49:H49">
    <cfRule type="expression" dxfId="102" priority="2" stopIfTrue="1">
      <formula>AND(MOD(ROW(),2),COUNTA($B48:I59))</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7" r:id="rId4" name="Button 19">
              <controlPr defaultSize="0" print="0" autoFill="0" autoPict="0" macro="[0]!ReturnToMain">
                <anchor moveWithCells="1" sizeWithCells="1">
                  <from>
                    <xdr:col>0</xdr:col>
                    <xdr:colOff>114300</xdr:colOff>
                    <xdr:row>0</xdr:row>
                    <xdr:rowOff>19050</xdr:rowOff>
                  </from>
                  <to>
                    <xdr:col>0</xdr:col>
                    <xdr:colOff>885825</xdr:colOff>
                    <xdr:row>1</xdr:row>
                    <xdr:rowOff>66675</xdr:rowOff>
                  </to>
                </anchor>
              </controlPr>
            </control>
          </mc:Choice>
        </mc:AlternateContent>
        <mc:AlternateContent xmlns:mc="http://schemas.openxmlformats.org/markup-compatibility/2006">
          <mc:Choice Requires="x14">
            <control shapeId="12310" r:id="rId5" name="Button 22">
              <controlPr defaultSize="0" print="0" autoFill="0" autoPict="0" macro="[0]!MetricPDs">
                <anchor moveWithCells="1" sizeWithCells="1">
                  <from>
                    <xdr:col>0</xdr:col>
                    <xdr:colOff>962025</xdr:colOff>
                    <xdr:row>0</xdr:row>
                    <xdr:rowOff>19050</xdr:rowOff>
                  </from>
                  <to>
                    <xdr:col>2</xdr:col>
                    <xdr:colOff>38100</xdr:colOff>
                    <xdr:row>1</xdr:row>
                    <xdr:rowOff>66675</xdr:rowOff>
                  </to>
                </anchor>
              </controlPr>
            </control>
          </mc:Choice>
        </mc:AlternateContent>
        <mc:AlternateContent xmlns:mc="http://schemas.openxmlformats.org/markup-compatibility/2006">
          <mc:Choice Requires="x14">
            <control shapeId="12311" r:id="rId6" name="Button 23">
              <controlPr defaultSize="0" print="0" autoFill="0" autoPict="0" macro="[0]!MetricThreadPlugTolW">
                <anchor moveWithCells="1" sizeWithCells="1">
                  <from>
                    <xdr:col>2</xdr:col>
                    <xdr:colOff>942975</xdr:colOff>
                    <xdr:row>0</xdr:row>
                    <xdr:rowOff>19050</xdr:rowOff>
                  </from>
                  <to>
                    <xdr:col>3</xdr:col>
                    <xdr:colOff>552450</xdr:colOff>
                    <xdr:row>1</xdr:row>
                    <xdr:rowOff>66675</xdr:rowOff>
                  </to>
                </anchor>
              </controlPr>
            </control>
          </mc:Choice>
        </mc:AlternateContent>
        <mc:AlternateContent xmlns:mc="http://schemas.openxmlformats.org/markup-compatibility/2006">
          <mc:Choice Requires="x14">
            <control shapeId="12312" r:id="rId7" name="Button 24">
              <controlPr defaultSize="0" print="0" autoFill="0" autoPict="0" macro="[0]!MetricThreadPlugTolX">
                <anchor moveWithCells="1" sizeWithCells="1">
                  <from>
                    <xdr:col>2</xdr:col>
                    <xdr:colOff>104775</xdr:colOff>
                    <xdr:row>0</xdr:row>
                    <xdr:rowOff>19050</xdr:rowOff>
                  </from>
                  <to>
                    <xdr:col>2</xdr:col>
                    <xdr:colOff>876300</xdr:colOff>
                    <xdr:row>1</xdr:row>
                    <xdr:rowOff>66675</xdr:rowOff>
                  </to>
                </anchor>
              </controlPr>
            </control>
          </mc:Choice>
        </mc:AlternateContent>
        <mc:AlternateContent xmlns:mc="http://schemas.openxmlformats.org/markup-compatibility/2006">
          <mc:Choice Requires="x14">
            <control shapeId="12313" r:id="rId8" name="Button 25">
              <controlPr defaultSize="0" print="0" autoFill="0" autoPict="0" macro="[0]!ReturnToMain">
                <anchor moveWithCells="1" sizeWithCells="1">
                  <from>
                    <xdr:col>0</xdr:col>
                    <xdr:colOff>19050</xdr:colOff>
                    <xdr:row>25</xdr:row>
                    <xdr:rowOff>47625</xdr:rowOff>
                  </from>
                  <to>
                    <xdr:col>0</xdr:col>
                    <xdr:colOff>790575</xdr:colOff>
                    <xdr:row>27</xdr:row>
                    <xdr:rowOff>19050</xdr:rowOff>
                  </to>
                </anchor>
              </controlPr>
            </control>
          </mc:Choice>
        </mc:AlternateContent>
        <mc:AlternateContent xmlns:mc="http://schemas.openxmlformats.org/markup-compatibility/2006">
          <mc:Choice Requires="x14">
            <control shapeId="12314" r:id="rId9" name="Button 26">
              <controlPr defaultSize="0" print="0" autoFill="0" autoPict="0" macro="[0]!ReturnToMain">
                <anchor moveWithCells="1" sizeWithCells="1">
                  <from>
                    <xdr:col>0</xdr:col>
                    <xdr:colOff>857250</xdr:colOff>
                    <xdr:row>25</xdr:row>
                    <xdr:rowOff>47625</xdr:rowOff>
                  </from>
                  <to>
                    <xdr:col>1</xdr:col>
                    <xdr:colOff>609600</xdr:colOff>
                    <xdr:row>27</xdr:row>
                    <xdr:rowOff>19050</xdr:rowOff>
                  </to>
                </anchor>
              </controlPr>
            </control>
          </mc:Choice>
        </mc:AlternateContent>
        <mc:AlternateContent xmlns:mc="http://schemas.openxmlformats.org/markup-compatibility/2006">
          <mc:Choice Requires="x14">
            <control shapeId="12315" r:id="rId10" name="Button 27">
              <controlPr defaultSize="0" print="0" autoFill="0" autoPict="0" macro="[0]!MetricThreadPlugTolW">
                <anchor moveWithCells="1" sizeWithCells="1">
                  <from>
                    <xdr:col>2</xdr:col>
                    <xdr:colOff>847725</xdr:colOff>
                    <xdr:row>25</xdr:row>
                    <xdr:rowOff>47625</xdr:rowOff>
                  </from>
                  <to>
                    <xdr:col>3</xdr:col>
                    <xdr:colOff>447675</xdr:colOff>
                    <xdr:row>27</xdr:row>
                    <xdr:rowOff>19050</xdr:rowOff>
                  </to>
                </anchor>
              </controlPr>
            </control>
          </mc:Choice>
        </mc:AlternateContent>
        <mc:AlternateContent xmlns:mc="http://schemas.openxmlformats.org/markup-compatibility/2006">
          <mc:Choice Requires="x14">
            <control shapeId="12316" r:id="rId11" name="Button 28">
              <controlPr defaultSize="0" print="0" autoFill="0" autoPict="0" macro="[0]!MetricThreadPlugTolX">
                <anchor moveWithCells="1" sizeWithCells="1">
                  <from>
                    <xdr:col>2</xdr:col>
                    <xdr:colOff>9525</xdr:colOff>
                    <xdr:row>25</xdr:row>
                    <xdr:rowOff>47625</xdr:rowOff>
                  </from>
                  <to>
                    <xdr:col>2</xdr:col>
                    <xdr:colOff>781050</xdr:colOff>
                    <xdr:row>27</xdr:row>
                    <xdr:rowOff>19050</xdr:rowOff>
                  </to>
                </anchor>
              </controlPr>
            </control>
          </mc:Choice>
        </mc:AlternateContent>
        <mc:AlternateContent xmlns:mc="http://schemas.openxmlformats.org/markup-compatibility/2006">
          <mc:Choice Requires="x14">
            <control shapeId="12317" r:id="rId12" name="Button 29">
              <controlPr defaultSize="0" print="0" autoFill="0" autoPict="0" macro="[0]!ReturnToMain">
                <anchor moveWithCells="1" sizeWithCells="1">
                  <from>
                    <xdr:col>0</xdr:col>
                    <xdr:colOff>19050</xdr:colOff>
                    <xdr:row>51</xdr:row>
                    <xdr:rowOff>19050</xdr:rowOff>
                  </from>
                  <to>
                    <xdr:col>0</xdr:col>
                    <xdr:colOff>790575</xdr:colOff>
                    <xdr:row>52</xdr:row>
                    <xdr:rowOff>66675</xdr:rowOff>
                  </to>
                </anchor>
              </controlPr>
            </control>
          </mc:Choice>
        </mc:AlternateContent>
        <mc:AlternateContent xmlns:mc="http://schemas.openxmlformats.org/markup-compatibility/2006">
          <mc:Choice Requires="x14">
            <control shapeId="12318" r:id="rId13" name="Button 30">
              <controlPr defaultSize="0" print="0" autoFill="0" autoPict="0" macro="[0]!ReturnToMain">
                <anchor moveWithCells="1" sizeWithCells="1">
                  <from>
                    <xdr:col>0</xdr:col>
                    <xdr:colOff>857250</xdr:colOff>
                    <xdr:row>51</xdr:row>
                    <xdr:rowOff>19050</xdr:rowOff>
                  </from>
                  <to>
                    <xdr:col>1</xdr:col>
                    <xdr:colOff>609600</xdr:colOff>
                    <xdr:row>52</xdr:row>
                    <xdr:rowOff>66675</xdr:rowOff>
                  </to>
                </anchor>
              </controlPr>
            </control>
          </mc:Choice>
        </mc:AlternateContent>
        <mc:AlternateContent xmlns:mc="http://schemas.openxmlformats.org/markup-compatibility/2006">
          <mc:Choice Requires="x14">
            <control shapeId="12319" r:id="rId14" name="Button 31">
              <controlPr defaultSize="0" print="0" autoFill="0" autoPict="0" macro="[0]!MetricThreadPlugTolW">
                <anchor moveWithCells="1" sizeWithCells="1">
                  <from>
                    <xdr:col>2</xdr:col>
                    <xdr:colOff>847725</xdr:colOff>
                    <xdr:row>51</xdr:row>
                    <xdr:rowOff>19050</xdr:rowOff>
                  </from>
                  <to>
                    <xdr:col>3</xdr:col>
                    <xdr:colOff>447675</xdr:colOff>
                    <xdr:row>52</xdr:row>
                    <xdr:rowOff>66675</xdr:rowOff>
                  </to>
                </anchor>
              </controlPr>
            </control>
          </mc:Choice>
        </mc:AlternateContent>
        <mc:AlternateContent xmlns:mc="http://schemas.openxmlformats.org/markup-compatibility/2006">
          <mc:Choice Requires="x14">
            <control shapeId="12320" r:id="rId15" name="Button 32">
              <controlPr defaultSize="0" print="0" autoFill="0" autoPict="0" macro="[0]!MetricThreadPlugTolX">
                <anchor moveWithCells="1" sizeWithCells="1">
                  <from>
                    <xdr:col>2</xdr:col>
                    <xdr:colOff>9525</xdr:colOff>
                    <xdr:row>51</xdr:row>
                    <xdr:rowOff>19050</xdr:rowOff>
                  </from>
                  <to>
                    <xdr:col>2</xdr:col>
                    <xdr:colOff>781050</xdr:colOff>
                    <xdr:row>52</xdr:row>
                    <xdr:rowOff>66675</xdr:rowOff>
                  </to>
                </anchor>
              </controlPr>
            </control>
          </mc:Choice>
        </mc:AlternateContent>
        <mc:AlternateContent xmlns:mc="http://schemas.openxmlformats.org/markup-compatibility/2006">
          <mc:Choice Requires="x14">
            <control shapeId="12321" r:id="rId16" name="Button 33">
              <controlPr defaultSize="0" print="0" autoFill="0" autoPict="0" macro="[0]!ReturnToMain">
                <anchor moveWithCells="1" sizeWithCells="1">
                  <from>
                    <xdr:col>0</xdr:col>
                    <xdr:colOff>28575</xdr:colOff>
                    <xdr:row>73</xdr:row>
                    <xdr:rowOff>47625</xdr:rowOff>
                  </from>
                  <to>
                    <xdr:col>0</xdr:col>
                    <xdr:colOff>800100</xdr:colOff>
                    <xdr:row>75</xdr:row>
                    <xdr:rowOff>19050</xdr:rowOff>
                  </to>
                </anchor>
              </controlPr>
            </control>
          </mc:Choice>
        </mc:AlternateContent>
        <mc:AlternateContent xmlns:mc="http://schemas.openxmlformats.org/markup-compatibility/2006">
          <mc:Choice Requires="x14">
            <control shapeId="12322" r:id="rId17" name="Button 34">
              <controlPr defaultSize="0" print="0" autoFill="0" autoPict="0" macro="[0]!ReturnToMain">
                <anchor moveWithCells="1" sizeWithCells="1">
                  <from>
                    <xdr:col>0</xdr:col>
                    <xdr:colOff>876300</xdr:colOff>
                    <xdr:row>73</xdr:row>
                    <xdr:rowOff>47625</xdr:rowOff>
                  </from>
                  <to>
                    <xdr:col>1</xdr:col>
                    <xdr:colOff>609600</xdr:colOff>
                    <xdr:row>75</xdr:row>
                    <xdr:rowOff>19050</xdr:rowOff>
                  </to>
                </anchor>
              </controlPr>
            </control>
          </mc:Choice>
        </mc:AlternateContent>
        <mc:AlternateContent xmlns:mc="http://schemas.openxmlformats.org/markup-compatibility/2006">
          <mc:Choice Requires="x14">
            <control shapeId="12323" r:id="rId18" name="Button 35">
              <controlPr defaultSize="0" print="0" autoFill="0" autoPict="0" macro="[0]!MetricThreadPlugTolW">
                <anchor moveWithCells="1" sizeWithCells="1">
                  <from>
                    <xdr:col>2</xdr:col>
                    <xdr:colOff>847725</xdr:colOff>
                    <xdr:row>73</xdr:row>
                    <xdr:rowOff>47625</xdr:rowOff>
                  </from>
                  <to>
                    <xdr:col>3</xdr:col>
                    <xdr:colOff>457200</xdr:colOff>
                    <xdr:row>75</xdr:row>
                    <xdr:rowOff>19050</xdr:rowOff>
                  </to>
                </anchor>
              </controlPr>
            </control>
          </mc:Choice>
        </mc:AlternateContent>
        <mc:AlternateContent xmlns:mc="http://schemas.openxmlformats.org/markup-compatibility/2006">
          <mc:Choice Requires="x14">
            <control shapeId="12324" r:id="rId19" name="Button 36">
              <controlPr defaultSize="0" print="0" autoFill="0" autoPict="0" macro="[0]!MetricThreadPlugTolX">
                <anchor moveWithCells="1" sizeWithCells="1">
                  <from>
                    <xdr:col>2</xdr:col>
                    <xdr:colOff>19050</xdr:colOff>
                    <xdr:row>73</xdr:row>
                    <xdr:rowOff>47625</xdr:rowOff>
                  </from>
                  <to>
                    <xdr:col>2</xdr:col>
                    <xdr:colOff>781050</xdr:colOff>
                    <xdr:row>75</xdr:row>
                    <xdr:rowOff>19050</xdr:rowOff>
                  </to>
                </anchor>
              </controlPr>
            </control>
          </mc:Choice>
        </mc:AlternateContent>
        <mc:AlternateContent xmlns:mc="http://schemas.openxmlformats.org/markup-compatibility/2006">
          <mc:Choice Requires="x14">
            <control shapeId="12325" r:id="rId20" name="Button 37">
              <controlPr defaultSize="0" print="0" autoFill="0" autoPict="0" macro="[1]!ReturnToMain">
                <anchor moveWithCells="1" sizeWithCells="1">
                  <from>
                    <xdr:col>0</xdr:col>
                    <xdr:colOff>114300</xdr:colOff>
                    <xdr:row>0</xdr:row>
                    <xdr:rowOff>19050</xdr:rowOff>
                  </from>
                  <to>
                    <xdr:col>0</xdr:col>
                    <xdr:colOff>885825</xdr:colOff>
                    <xdr:row>1</xdr:row>
                    <xdr:rowOff>66675</xdr:rowOff>
                  </to>
                </anchor>
              </controlPr>
            </control>
          </mc:Choice>
        </mc:AlternateContent>
        <mc:AlternateContent xmlns:mc="http://schemas.openxmlformats.org/markup-compatibility/2006">
          <mc:Choice Requires="x14">
            <control shapeId="12326" r:id="rId21" name="Button 38">
              <controlPr defaultSize="0" print="0" autoFill="0" autoPict="0" macro="[1]!MetricPDs">
                <anchor moveWithCells="1" sizeWithCells="1">
                  <from>
                    <xdr:col>0</xdr:col>
                    <xdr:colOff>962025</xdr:colOff>
                    <xdr:row>0</xdr:row>
                    <xdr:rowOff>19050</xdr:rowOff>
                  </from>
                  <to>
                    <xdr:col>2</xdr:col>
                    <xdr:colOff>38100</xdr:colOff>
                    <xdr:row>1</xdr:row>
                    <xdr:rowOff>66675</xdr:rowOff>
                  </to>
                </anchor>
              </controlPr>
            </control>
          </mc:Choice>
        </mc:AlternateContent>
        <mc:AlternateContent xmlns:mc="http://schemas.openxmlformats.org/markup-compatibility/2006">
          <mc:Choice Requires="x14">
            <control shapeId="12327" r:id="rId22" name="Button 39">
              <controlPr defaultSize="0" print="0" autoFill="0" autoPict="0" macro="[1]!MetricThreadPlugTolW">
                <anchor moveWithCells="1" sizeWithCells="1">
                  <from>
                    <xdr:col>2</xdr:col>
                    <xdr:colOff>942975</xdr:colOff>
                    <xdr:row>0</xdr:row>
                    <xdr:rowOff>19050</xdr:rowOff>
                  </from>
                  <to>
                    <xdr:col>3</xdr:col>
                    <xdr:colOff>552450</xdr:colOff>
                    <xdr:row>1</xdr:row>
                    <xdr:rowOff>66675</xdr:rowOff>
                  </to>
                </anchor>
              </controlPr>
            </control>
          </mc:Choice>
        </mc:AlternateContent>
        <mc:AlternateContent xmlns:mc="http://schemas.openxmlformats.org/markup-compatibility/2006">
          <mc:Choice Requires="x14">
            <control shapeId="12328" r:id="rId23" name="Button 40">
              <controlPr defaultSize="0" print="0" autoFill="0" autoPict="0" macro="[1]!MetricThreadPlugTolX">
                <anchor moveWithCells="1" sizeWithCells="1">
                  <from>
                    <xdr:col>2</xdr:col>
                    <xdr:colOff>104775</xdr:colOff>
                    <xdr:row>0</xdr:row>
                    <xdr:rowOff>19050</xdr:rowOff>
                  </from>
                  <to>
                    <xdr:col>2</xdr:col>
                    <xdr:colOff>876300</xdr:colOff>
                    <xdr:row>1</xdr:row>
                    <xdr:rowOff>66675</xdr:rowOff>
                  </to>
                </anchor>
              </controlPr>
            </control>
          </mc:Choice>
        </mc:AlternateContent>
        <mc:AlternateContent xmlns:mc="http://schemas.openxmlformats.org/markup-compatibility/2006">
          <mc:Choice Requires="x14">
            <control shapeId="12329" r:id="rId24" name="Button 41">
              <controlPr defaultSize="0" print="0" autoFill="0" autoPict="0" macro="[1]!ReturnToMain">
                <anchor moveWithCells="1" sizeWithCells="1">
                  <from>
                    <xdr:col>0</xdr:col>
                    <xdr:colOff>19050</xdr:colOff>
                    <xdr:row>25</xdr:row>
                    <xdr:rowOff>47625</xdr:rowOff>
                  </from>
                  <to>
                    <xdr:col>0</xdr:col>
                    <xdr:colOff>790575</xdr:colOff>
                    <xdr:row>27</xdr:row>
                    <xdr:rowOff>19050</xdr:rowOff>
                  </to>
                </anchor>
              </controlPr>
            </control>
          </mc:Choice>
        </mc:AlternateContent>
        <mc:AlternateContent xmlns:mc="http://schemas.openxmlformats.org/markup-compatibility/2006">
          <mc:Choice Requires="x14">
            <control shapeId="12330" r:id="rId25" name="Button 42">
              <controlPr defaultSize="0" print="0" autoFill="0" autoPict="0" macro="[1]!ReturnToMain">
                <anchor moveWithCells="1" sizeWithCells="1">
                  <from>
                    <xdr:col>0</xdr:col>
                    <xdr:colOff>857250</xdr:colOff>
                    <xdr:row>25</xdr:row>
                    <xdr:rowOff>47625</xdr:rowOff>
                  </from>
                  <to>
                    <xdr:col>1</xdr:col>
                    <xdr:colOff>609600</xdr:colOff>
                    <xdr:row>27</xdr:row>
                    <xdr:rowOff>19050</xdr:rowOff>
                  </to>
                </anchor>
              </controlPr>
            </control>
          </mc:Choice>
        </mc:AlternateContent>
        <mc:AlternateContent xmlns:mc="http://schemas.openxmlformats.org/markup-compatibility/2006">
          <mc:Choice Requires="x14">
            <control shapeId="12331" r:id="rId26" name="Button 43">
              <controlPr defaultSize="0" print="0" autoFill="0" autoPict="0" macro="[1]!MetricThreadPlugTolW">
                <anchor moveWithCells="1" sizeWithCells="1">
                  <from>
                    <xdr:col>2</xdr:col>
                    <xdr:colOff>847725</xdr:colOff>
                    <xdr:row>25</xdr:row>
                    <xdr:rowOff>47625</xdr:rowOff>
                  </from>
                  <to>
                    <xdr:col>3</xdr:col>
                    <xdr:colOff>447675</xdr:colOff>
                    <xdr:row>27</xdr:row>
                    <xdr:rowOff>19050</xdr:rowOff>
                  </to>
                </anchor>
              </controlPr>
            </control>
          </mc:Choice>
        </mc:AlternateContent>
        <mc:AlternateContent xmlns:mc="http://schemas.openxmlformats.org/markup-compatibility/2006">
          <mc:Choice Requires="x14">
            <control shapeId="12332" r:id="rId27" name="Button 44">
              <controlPr defaultSize="0" print="0" autoFill="0" autoPict="0" macro="[1]!MetricThreadPlugTolX">
                <anchor moveWithCells="1" sizeWithCells="1">
                  <from>
                    <xdr:col>2</xdr:col>
                    <xdr:colOff>9525</xdr:colOff>
                    <xdr:row>25</xdr:row>
                    <xdr:rowOff>47625</xdr:rowOff>
                  </from>
                  <to>
                    <xdr:col>2</xdr:col>
                    <xdr:colOff>781050</xdr:colOff>
                    <xdr:row>27</xdr:row>
                    <xdr:rowOff>19050</xdr:rowOff>
                  </to>
                </anchor>
              </controlPr>
            </control>
          </mc:Choice>
        </mc:AlternateContent>
        <mc:AlternateContent xmlns:mc="http://schemas.openxmlformats.org/markup-compatibility/2006">
          <mc:Choice Requires="x14">
            <control shapeId="12333" r:id="rId28" name="Button 45">
              <controlPr defaultSize="0" print="0" autoFill="0" autoPict="0" macro="[1]!ReturnToMain">
                <anchor moveWithCells="1" sizeWithCells="1">
                  <from>
                    <xdr:col>0</xdr:col>
                    <xdr:colOff>19050</xdr:colOff>
                    <xdr:row>51</xdr:row>
                    <xdr:rowOff>19050</xdr:rowOff>
                  </from>
                  <to>
                    <xdr:col>0</xdr:col>
                    <xdr:colOff>790575</xdr:colOff>
                    <xdr:row>52</xdr:row>
                    <xdr:rowOff>66675</xdr:rowOff>
                  </to>
                </anchor>
              </controlPr>
            </control>
          </mc:Choice>
        </mc:AlternateContent>
        <mc:AlternateContent xmlns:mc="http://schemas.openxmlformats.org/markup-compatibility/2006">
          <mc:Choice Requires="x14">
            <control shapeId="12334" r:id="rId29" name="Button 46">
              <controlPr defaultSize="0" print="0" autoFill="0" autoPict="0" macro="[1]!ReturnToMain">
                <anchor moveWithCells="1" sizeWithCells="1">
                  <from>
                    <xdr:col>0</xdr:col>
                    <xdr:colOff>857250</xdr:colOff>
                    <xdr:row>51</xdr:row>
                    <xdr:rowOff>19050</xdr:rowOff>
                  </from>
                  <to>
                    <xdr:col>1</xdr:col>
                    <xdr:colOff>609600</xdr:colOff>
                    <xdr:row>52</xdr:row>
                    <xdr:rowOff>66675</xdr:rowOff>
                  </to>
                </anchor>
              </controlPr>
            </control>
          </mc:Choice>
        </mc:AlternateContent>
        <mc:AlternateContent xmlns:mc="http://schemas.openxmlformats.org/markup-compatibility/2006">
          <mc:Choice Requires="x14">
            <control shapeId="12335" r:id="rId30" name="Button 47">
              <controlPr defaultSize="0" print="0" autoFill="0" autoPict="0" macro="[1]!MetricThreadPlugTolW">
                <anchor moveWithCells="1" sizeWithCells="1">
                  <from>
                    <xdr:col>2</xdr:col>
                    <xdr:colOff>847725</xdr:colOff>
                    <xdr:row>51</xdr:row>
                    <xdr:rowOff>19050</xdr:rowOff>
                  </from>
                  <to>
                    <xdr:col>3</xdr:col>
                    <xdr:colOff>447675</xdr:colOff>
                    <xdr:row>52</xdr:row>
                    <xdr:rowOff>66675</xdr:rowOff>
                  </to>
                </anchor>
              </controlPr>
            </control>
          </mc:Choice>
        </mc:AlternateContent>
        <mc:AlternateContent xmlns:mc="http://schemas.openxmlformats.org/markup-compatibility/2006">
          <mc:Choice Requires="x14">
            <control shapeId="12336" r:id="rId31" name="Button 48">
              <controlPr defaultSize="0" print="0" autoFill="0" autoPict="0" macro="[1]!MetricThreadPlugTolX">
                <anchor moveWithCells="1" sizeWithCells="1">
                  <from>
                    <xdr:col>2</xdr:col>
                    <xdr:colOff>9525</xdr:colOff>
                    <xdr:row>51</xdr:row>
                    <xdr:rowOff>19050</xdr:rowOff>
                  </from>
                  <to>
                    <xdr:col>2</xdr:col>
                    <xdr:colOff>781050</xdr:colOff>
                    <xdr:row>52</xdr:row>
                    <xdr:rowOff>66675</xdr:rowOff>
                  </to>
                </anchor>
              </controlPr>
            </control>
          </mc:Choice>
        </mc:AlternateContent>
        <mc:AlternateContent xmlns:mc="http://schemas.openxmlformats.org/markup-compatibility/2006">
          <mc:Choice Requires="x14">
            <control shapeId="12337" r:id="rId32" name="Button 49">
              <controlPr defaultSize="0" print="0" autoFill="0" autoPict="0" macro="[1]!ReturnToMain">
                <anchor moveWithCells="1" sizeWithCells="1">
                  <from>
                    <xdr:col>0</xdr:col>
                    <xdr:colOff>28575</xdr:colOff>
                    <xdr:row>73</xdr:row>
                    <xdr:rowOff>47625</xdr:rowOff>
                  </from>
                  <to>
                    <xdr:col>0</xdr:col>
                    <xdr:colOff>800100</xdr:colOff>
                    <xdr:row>75</xdr:row>
                    <xdr:rowOff>19050</xdr:rowOff>
                  </to>
                </anchor>
              </controlPr>
            </control>
          </mc:Choice>
        </mc:AlternateContent>
        <mc:AlternateContent xmlns:mc="http://schemas.openxmlformats.org/markup-compatibility/2006">
          <mc:Choice Requires="x14">
            <control shapeId="12338" r:id="rId33" name="Button 50">
              <controlPr defaultSize="0" print="0" autoFill="0" autoPict="0" macro="[1]!ReturnToMain">
                <anchor moveWithCells="1" sizeWithCells="1">
                  <from>
                    <xdr:col>0</xdr:col>
                    <xdr:colOff>876300</xdr:colOff>
                    <xdr:row>73</xdr:row>
                    <xdr:rowOff>47625</xdr:rowOff>
                  </from>
                  <to>
                    <xdr:col>1</xdr:col>
                    <xdr:colOff>609600</xdr:colOff>
                    <xdr:row>75</xdr:row>
                    <xdr:rowOff>19050</xdr:rowOff>
                  </to>
                </anchor>
              </controlPr>
            </control>
          </mc:Choice>
        </mc:AlternateContent>
        <mc:AlternateContent xmlns:mc="http://schemas.openxmlformats.org/markup-compatibility/2006">
          <mc:Choice Requires="x14">
            <control shapeId="12339" r:id="rId34" name="Button 51">
              <controlPr defaultSize="0" print="0" autoFill="0" autoPict="0" macro="[1]!MetricThreadPlugTolW">
                <anchor moveWithCells="1" sizeWithCells="1">
                  <from>
                    <xdr:col>2</xdr:col>
                    <xdr:colOff>847725</xdr:colOff>
                    <xdr:row>73</xdr:row>
                    <xdr:rowOff>47625</xdr:rowOff>
                  </from>
                  <to>
                    <xdr:col>3</xdr:col>
                    <xdr:colOff>457200</xdr:colOff>
                    <xdr:row>75</xdr:row>
                    <xdr:rowOff>19050</xdr:rowOff>
                  </to>
                </anchor>
              </controlPr>
            </control>
          </mc:Choice>
        </mc:AlternateContent>
        <mc:AlternateContent xmlns:mc="http://schemas.openxmlformats.org/markup-compatibility/2006">
          <mc:Choice Requires="x14">
            <control shapeId="12340" r:id="rId35" name="Button 52">
              <controlPr defaultSize="0" print="0" autoFill="0" autoPict="0" macro="[1]!MetricThreadPlugTolX">
                <anchor moveWithCells="1" sizeWithCells="1">
                  <from>
                    <xdr:col>2</xdr:col>
                    <xdr:colOff>19050</xdr:colOff>
                    <xdr:row>73</xdr:row>
                    <xdr:rowOff>47625</xdr:rowOff>
                  </from>
                  <to>
                    <xdr:col>2</xdr:col>
                    <xdr:colOff>781050</xdr:colOff>
                    <xdr:row>75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6">
    <tabColor indexed="16"/>
  </sheetPr>
  <dimension ref="A4:J71"/>
  <sheetViews>
    <sheetView workbookViewId="0"/>
  </sheetViews>
  <sheetFormatPr defaultRowHeight="12.75" x14ac:dyDescent="0.2"/>
  <cols>
    <col min="1" max="1" width="12" bestFit="1" customWidth="1"/>
    <col min="2" max="2" width="11.140625" bestFit="1" customWidth="1"/>
    <col min="3" max="3" width="14.140625" bestFit="1" customWidth="1"/>
    <col min="5" max="5" width="11.5703125" bestFit="1" customWidth="1"/>
    <col min="6" max="6" width="2.85546875" customWidth="1"/>
    <col min="7" max="7" width="11.28515625" bestFit="1" customWidth="1"/>
    <col min="10" max="10" width="11.7109375" bestFit="1" customWidth="1"/>
  </cols>
  <sheetData>
    <row r="4" spans="1:10" x14ac:dyDescent="0.2">
      <c r="A4" t="s">
        <v>72</v>
      </c>
      <c r="B4" t="s">
        <v>145</v>
      </c>
      <c r="C4" t="s">
        <v>146</v>
      </c>
      <c r="D4" t="s">
        <v>147</v>
      </c>
      <c r="E4" t="s">
        <v>148</v>
      </c>
      <c r="G4" t="s">
        <v>149</v>
      </c>
      <c r="H4" t="s">
        <v>150</v>
      </c>
      <c r="I4" t="s">
        <v>151</v>
      </c>
      <c r="J4" t="s">
        <v>152</v>
      </c>
    </row>
    <row r="5" spans="1:10" x14ac:dyDescent="0.2">
      <c r="A5" s="420" t="s">
        <v>153</v>
      </c>
      <c r="B5" s="420">
        <v>1.373</v>
      </c>
      <c r="C5" s="420">
        <v>1.458</v>
      </c>
      <c r="D5" s="420">
        <v>5.4059999999999997E-2</v>
      </c>
      <c r="E5" s="420">
        <v>5.74E-2</v>
      </c>
      <c r="F5" s="420"/>
      <c r="G5" s="420">
        <v>1.3540000000000001</v>
      </c>
      <c r="H5" s="420">
        <v>1.2909999999999999</v>
      </c>
      <c r="I5" s="420">
        <v>5.3310000000000003E-2</v>
      </c>
      <c r="J5" s="420">
        <v>5.083E-2</v>
      </c>
    </row>
    <row r="6" spans="1:10" x14ac:dyDescent="0.2">
      <c r="A6" s="421" t="s">
        <v>154</v>
      </c>
      <c r="B6" s="421">
        <v>1.573</v>
      </c>
      <c r="C6" s="421">
        <v>1.6579999999999999</v>
      </c>
      <c r="D6" s="421">
        <v>6.1929999999999999E-2</v>
      </c>
      <c r="E6" s="421">
        <v>6.5280000000000005E-2</v>
      </c>
      <c r="F6" s="421"/>
      <c r="G6" s="421">
        <v>1.554</v>
      </c>
      <c r="H6" s="421">
        <v>1.4910000000000001</v>
      </c>
      <c r="I6" s="421">
        <v>6.1179999999999998E-2</v>
      </c>
      <c r="J6" s="421">
        <v>95870</v>
      </c>
    </row>
    <row r="7" spans="1:10" x14ac:dyDescent="0.2">
      <c r="A7" s="420" t="s">
        <v>155</v>
      </c>
      <c r="B7" s="420">
        <v>1.74</v>
      </c>
      <c r="C7" s="420">
        <v>1.83</v>
      </c>
      <c r="D7" s="420">
        <v>6.8500000000000005E-2</v>
      </c>
      <c r="E7" s="420">
        <v>7.2050000000000003E-2</v>
      </c>
      <c r="F7" s="420"/>
      <c r="G7" s="420">
        <v>1.7210000000000001</v>
      </c>
      <c r="H7" s="420">
        <v>1.6539999999999999</v>
      </c>
      <c r="I7" s="420">
        <v>6.7760000000000001E-2</v>
      </c>
      <c r="J7" s="420">
        <v>6.5119999999999997E-2</v>
      </c>
    </row>
    <row r="8" spans="1:10" x14ac:dyDescent="0.2">
      <c r="A8" s="421" t="s">
        <v>156</v>
      </c>
      <c r="B8" s="421">
        <v>1.9079999999999999</v>
      </c>
      <c r="C8" s="421">
        <v>2.0030000000000001</v>
      </c>
      <c r="D8" s="421">
        <v>7.5120000000000006E-2</v>
      </c>
      <c r="E8" s="421">
        <v>7.886E-2</v>
      </c>
      <c r="F8" s="421"/>
      <c r="G8" s="421">
        <v>1.8879999999999999</v>
      </c>
      <c r="H8" s="421">
        <v>1.8169999999999999</v>
      </c>
      <c r="I8" s="421">
        <v>7.4329999999999993E-2</v>
      </c>
      <c r="J8" s="421">
        <v>7.1540000000000006E-2</v>
      </c>
    </row>
    <row r="9" spans="1:10" x14ac:dyDescent="0.2">
      <c r="A9" s="420" t="s">
        <v>157</v>
      </c>
      <c r="B9" s="420">
        <v>2.2080000000000002</v>
      </c>
      <c r="C9" s="420">
        <v>2.3029999999999999</v>
      </c>
      <c r="D9" s="420">
        <v>8.6929999999999993E-2</v>
      </c>
      <c r="E9" s="420">
        <v>9.0670000000000001E-2</v>
      </c>
      <c r="F9" s="420"/>
      <c r="G9" s="420">
        <v>2.1880000000000002</v>
      </c>
      <c r="H9" s="420">
        <v>2.117</v>
      </c>
      <c r="I9" s="420">
        <v>8.6139999999999994E-2</v>
      </c>
      <c r="J9" s="420">
        <v>8.3349999999999994E-2</v>
      </c>
    </row>
    <row r="10" spans="1:10" x14ac:dyDescent="0.2">
      <c r="A10" s="421" t="s">
        <v>158</v>
      </c>
      <c r="B10" s="421">
        <v>2.6749999999999998</v>
      </c>
      <c r="C10" s="421">
        <v>2.7749999999999999</v>
      </c>
      <c r="D10" s="421">
        <v>0.10531</v>
      </c>
      <c r="E10" s="421">
        <v>0.10925</v>
      </c>
      <c r="F10" s="421"/>
      <c r="G10" s="421">
        <v>2.6549999999999998</v>
      </c>
      <c r="H10" s="421">
        <v>2.58</v>
      </c>
      <c r="I10" s="421">
        <v>0.10453</v>
      </c>
      <c r="J10" s="421">
        <v>0.10156999999999999</v>
      </c>
    </row>
    <row r="11" spans="1:10" x14ac:dyDescent="0.2">
      <c r="A11" s="420" t="s">
        <v>159</v>
      </c>
      <c r="B11" s="420">
        <v>3.11</v>
      </c>
      <c r="C11" s="420">
        <v>3.222</v>
      </c>
      <c r="D11" s="420">
        <v>0.12243999999999999</v>
      </c>
      <c r="E11" s="420">
        <v>0.12684999999999999</v>
      </c>
      <c r="F11" s="420"/>
      <c r="G11" s="420">
        <v>3.089</v>
      </c>
      <c r="H11" s="420">
        <v>3.004</v>
      </c>
      <c r="I11" s="420">
        <v>0.12161</v>
      </c>
      <c r="J11" s="420">
        <v>0.11827</v>
      </c>
    </row>
    <row r="12" spans="1:10" x14ac:dyDescent="0.2">
      <c r="A12" s="421" t="s">
        <v>160</v>
      </c>
      <c r="B12" s="421">
        <v>3.5449999999999999</v>
      </c>
      <c r="C12" s="421">
        <v>3.6629999999999998</v>
      </c>
      <c r="D12" s="421">
        <v>0.13957</v>
      </c>
      <c r="E12" s="421">
        <v>0.14421</v>
      </c>
      <c r="F12" s="421"/>
      <c r="G12" s="421">
        <v>3.5230000000000001</v>
      </c>
      <c r="H12" s="421">
        <v>3.4329999999999998</v>
      </c>
      <c r="I12" s="421">
        <v>0.13869999999999999</v>
      </c>
      <c r="J12" s="421">
        <v>0.13516</v>
      </c>
    </row>
    <row r="13" spans="1:10" x14ac:dyDescent="0.2">
      <c r="A13" s="420" t="s">
        <v>161</v>
      </c>
      <c r="B13" s="420">
        <v>4.0129999999999999</v>
      </c>
      <c r="C13" s="420">
        <v>4.1310000000000002</v>
      </c>
      <c r="D13" s="420">
        <v>0.15798999999999999</v>
      </c>
      <c r="E13" s="420">
        <v>0.16264000000000001</v>
      </c>
      <c r="F13" s="420"/>
      <c r="G13" s="420">
        <v>3.9910000000000001</v>
      </c>
      <c r="H13" s="420">
        <v>3.9009999999999998</v>
      </c>
      <c r="I13" s="420">
        <v>0.15712999999999999</v>
      </c>
      <c r="J13" s="420">
        <v>0.15357999999999999</v>
      </c>
    </row>
    <row r="14" spans="1:10" x14ac:dyDescent="0.2">
      <c r="A14" s="421" t="s">
        <v>162</v>
      </c>
      <c r="B14" s="421">
        <v>4.4800000000000004</v>
      </c>
      <c r="C14" s="421">
        <v>4.6050000000000004</v>
      </c>
      <c r="D14" s="421">
        <v>0.17638000000000001</v>
      </c>
      <c r="E14" s="421">
        <v>0.18129999999999999</v>
      </c>
      <c r="F14" s="421"/>
      <c r="G14" s="421">
        <v>4.4560000000000004</v>
      </c>
      <c r="H14" s="421">
        <v>4.3609999999999998</v>
      </c>
      <c r="I14" s="421">
        <v>0.17543</v>
      </c>
      <c r="J14" s="421">
        <v>0.17169000000000001</v>
      </c>
    </row>
    <row r="15" spans="1:10" x14ac:dyDescent="0.2">
      <c r="A15" s="420" t="s">
        <v>163</v>
      </c>
      <c r="B15" s="420">
        <v>5.0129999999999999</v>
      </c>
      <c r="C15" s="420">
        <v>5.1310000000000002</v>
      </c>
      <c r="D15" s="420">
        <v>0.19736000000000001</v>
      </c>
      <c r="E15" s="420">
        <v>0.20201</v>
      </c>
      <c r="F15" s="420"/>
      <c r="G15" s="420">
        <v>4.9909999999999997</v>
      </c>
      <c r="H15" s="420">
        <v>4.9009999999999998</v>
      </c>
      <c r="I15" s="420">
        <v>0.19650000000000001</v>
      </c>
      <c r="J15" s="420">
        <v>0.19295000000000001</v>
      </c>
    </row>
    <row r="16" spans="1:10" x14ac:dyDescent="0.2">
      <c r="A16" s="421" t="s">
        <v>164</v>
      </c>
      <c r="B16" s="421">
        <v>5.35</v>
      </c>
      <c r="C16" s="421">
        <v>5.5</v>
      </c>
      <c r="D16" s="421">
        <v>0.21063000000000001</v>
      </c>
      <c r="E16" s="421">
        <v>0.21654000000000001</v>
      </c>
      <c r="F16" s="421"/>
      <c r="G16" s="421">
        <v>5.3239999999999998</v>
      </c>
      <c r="H16" s="421">
        <v>5.2119999999999997</v>
      </c>
      <c r="I16" s="421">
        <v>0.20960999999999999</v>
      </c>
      <c r="J16" s="421">
        <v>0.20519999999999999</v>
      </c>
    </row>
    <row r="17" spans="1:10" x14ac:dyDescent="0.2">
      <c r="A17" s="420" t="s">
        <v>165</v>
      </c>
      <c r="B17" s="420">
        <v>5.65</v>
      </c>
      <c r="C17" s="420">
        <v>5.8</v>
      </c>
      <c r="D17" s="420">
        <v>0.22244</v>
      </c>
      <c r="E17" s="420">
        <v>0.22835</v>
      </c>
      <c r="F17" s="420"/>
      <c r="G17" s="420">
        <v>5.6239999999999997</v>
      </c>
      <c r="H17" s="420">
        <v>5.5119999999999996</v>
      </c>
      <c r="I17" s="420">
        <v>0.22142000000000001</v>
      </c>
      <c r="J17" s="420">
        <v>0.21701000000000001</v>
      </c>
    </row>
    <row r="18" spans="1:10" x14ac:dyDescent="0.2">
      <c r="A18" s="421" t="s">
        <v>166</v>
      </c>
      <c r="B18" s="421">
        <v>6.35</v>
      </c>
      <c r="C18" s="421">
        <v>6.5</v>
      </c>
      <c r="D18" s="421">
        <v>0.25</v>
      </c>
      <c r="E18" s="421">
        <v>0.25591000000000003</v>
      </c>
      <c r="F18" s="421"/>
      <c r="G18" s="421">
        <v>6.3239999999999998</v>
      </c>
      <c r="H18" s="421">
        <v>6.2119999999999997</v>
      </c>
      <c r="I18" s="421">
        <v>0.24898000000000001</v>
      </c>
      <c r="J18" s="421">
        <v>0.24457000000000001</v>
      </c>
    </row>
    <row r="19" spans="1:10" x14ac:dyDescent="0.2">
      <c r="A19" s="420" t="s">
        <v>167</v>
      </c>
      <c r="B19" s="420">
        <v>7.1879999999999997</v>
      </c>
      <c r="C19" s="420">
        <v>7.3479999999999999</v>
      </c>
      <c r="D19" s="420">
        <v>0.28299000000000002</v>
      </c>
      <c r="E19" s="420">
        <v>0.28928999999999999</v>
      </c>
      <c r="F19" s="420"/>
      <c r="G19" s="420">
        <v>7.16</v>
      </c>
      <c r="H19" s="420">
        <v>7.0419999999999998</v>
      </c>
      <c r="I19" s="420">
        <v>0.28188999999999997</v>
      </c>
      <c r="J19" s="420">
        <v>0.27723999999999999</v>
      </c>
    </row>
    <row r="20" spans="1:10" x14ac:dyDescent="0.2">
      <c r="A20" s="421" t="s">
        <v>168</v>
      </c>
      <c r="B20" s="421">
        <v>7.35</v>
      </c>
      <c r="C20" s="421">
        <v>7.5</v>
      </c>
      <c r="D20" s="421">
        <v>0.28937000000000002</v>
      </c>
      <c r="E20" s="421">
        <v>0.29527999999999999</v>
      </c>
      <c r="F20" s="421"/>
      <c r="G20" s="421">
        <v>7.3239999999999998</v>
      </c>
      <c r="H20" s="421">
        <v>7.2119999999999997</v>
      </c>
      <c r="I20" s="421">
        <v>0.28835</v>
      </c>
      <c r="J20" s="421">
        <v>0.28394000000000003</v>
      </c>
    </row>
    <row r="21" spans="1:10" x14ac:dyDescent="0.2">
      <c r="A21" s="420" t="s">
        <v>169</v>
      </c>
      <c r="B21" s="420">
        <v>8.1880000000000006</v>
      </c>
      <c r="C21" s="420">
        <v>8.3480000000000008</v>
      </c>
      <c r="D21" s="420">
        <v>0.32235999999999998</v>
      </c>
      <c r="E21" s="420">
        <v>0.32866000000000001</v>
      </c>
      <c r="F21" s="420"/>
      <c r="G21" s="420">
        <v>8.16</v>
      </c>
      <c r="H21" s="420">
        <v>8.0419999999999998</v>
      </c>
      <c r="I21" s="420">
        <v>0.32125999999999999</v>
      </c>
      <c r="J21" s="420">
        <v>0.31661</v>
      </c>
    </row>
    <row r="22" spans="1:10" x14ac:dyDescent="0.2">
      <c r="A22" s="421" t="s">
        <v>170</v>
      </c>
      <c r="B22" s="421">
        <v>9.5129999999999999</v>
      </c>
      <c r="C22" s="421">
        <v>9.6449999999999996</v>
      </c>
      <c r="D22" s="421">
        <v>0.37452999999999997</v>
      </c>
      <c r="E22" s="421">
        <v>0.37972</v>
      </c>
      <c r="F22" s="421"/>
      <c r="G22" s="421">
        <v>9.4909999999999997</v>
      </c>
      <c r="H22" s="421">
        <v>9.391</v>
      </c>
      <c r="I22" s="421">
        <v>0.37365999999999999</v>
      </c>
      <c r="J22" s="421">
        <v>0.36971999999999999</v>
      </c>
    </row>
    <row r="23" spans="1:10" x14ac:dyDescent="0.2">
      <c r="A23" s="420" t="s">
        <v>171</v>
      </c>
      <c r="B23" s="420">
        <v>9.0259999999999998</v>
      </c>
      <c r="C23" s="420">
        <v>9.2059999999999995</v>
      </c>
      <c r="D23" s="420">
        <v>0.35535</v>
      </c>
      <c r="E23" s="420">
        <v>0.36243999999999998</v>
      </c>
      <c r="F23" s="420"/>
      <c r="G23" s="420">
        <v>8.9939999999999998</v>
      </c>
      <c r="H23" s="420">
        <v>8.8620000000000001</v>
      </c>
      <c r="I23" s="420">
        <v>0.35409000000000002</v>
      </c>
      <c r="J23" s="420">
        <v>0.34889999999999999</v>
      </c>
    </row>
    <row r="24" spans="1:10" x14ac:dyDescent="0.2">
      <c r="A24" s="421" t="s">
        <v>172</v>
      </c>
      <c r="B24" s="421">
        <v>9.1880000000000006</v>
      </c>
      <c r="C24" s="421">
        <v>9.3480000000000008</v>
      </c>
      <c r="D24" s="421">
        <v>0.36173</v>
      </c>
      <c r="E24" s="421">
        <v>0.36803000000000002</v>
      </c>
      <c r="F24" s="421"/>
      <c r="G24" s="421">
        <v>9.16</v>
      </c>
      <c r="H24" s="421">
        <v>9.0419999999999998</v>
      </c>
      <c r="I24" s="421">
        <v>0.36063000000000001</v>
      </c>
      <c r="J24" s="421">
        <v>0.35598000000000002</v>
      </c>
    </row>
    <row r="25" spans="1:10" x14ac:dyDescent="0.2">
      <c r="A25" s="420" t="s">
        <v>173</v>
      </c>
      <c r="B25" s="420">
        <v>10.026</v>
      </c>
      <c r="C25" s="420">
        <v>10.206</v>
      </c>
      <c r="D25" s="420">
        <v>0.39472000000000002</v>
      </c>
      <c r="E25" s="420">
        <v>0.40181</v>
      </c>
      <c r="F25" s="420"/>
      <c r="G25" s="420">
        <v>9.9939999999999998</v>
      </c>
      <c r="H25" s="420">
        <v>9.8620000000000001</v>
      </c>
      <c r="I25" s="420">
        <v>0.39345999999999998</v>
      </c>
      <c r="J25" s="420">
        <v>0.38827</v>
      </c>
    </row>
    <row r="26" spans="1:10" x14ac:dyDescent="0.2">
      <c r="A26" s="421" t="s">
        <v>174</v>
      </c>
      <c r="B26" s="421">
        <v>11.35</v>
      </c>
      <c r="C26" s="421">
        <v>11.51</v>
      </c>
      <c r="D26" s="421">
        <v>0.44685000000000002</v>
      </c>
      <c r="E26" s="421">
        <v>0.45315</v>
      </c>
      <c r="F26" s="421"/>
      <c r="G26" s="421">
        <v>11.324</v>
      </c>
      <c r="H26" s="421">
        <v>11.206</v>
      </c>
      <c r="I26" s="421">
        <v>0.44583</v>
      </c>
      <c r="J26" s="421">
        <v>0.44118000000000002</v>
      </c>
    </row>
    <row r="27" spans="1:10" x14ac:dyDescent="0.2">
      <c r="A27" s="420" t="s">
        <v>175</v>
      </c>
      <c r="B27" s="420">
        <v>11.026</v>
      </c>
      <c r="C27" s="420">
        <v>11.215999999999999</v>
      </c>
      <c r="D27" s="420">
        <v>0.43408999999999998</v>
      </c>
      <c r="E27" s="420">
        <v>0.44157000000000002</v>
      </c>
      <c r="F27" s="420"/>
      <c r="G27" s="420">
        <v>10.994</v>
      </c>
      <c r="H27" s="420">
        <v>10.853999999999999</v>
      </c>
      <c r="I27" s="420">
        <v>0.43282999999999999</v>
      </c>
      <c r="J27" s="420">
        <v>0.42731999999999998</v>
      </c>
    </row>
    <row r="28" spans="1:10" x14ac:dyDescent="0.2">
      <c r="A28" s="421" t="s">
        <v>176</v>
      </c>
      <c r="B28" s="421">
        <v>10.863</v>
      </c>
      <c r="C28" s="421">
        <v>11.063000000000001</v>
      </c>
      <c r="D28" s="421">
        <v>0.42768</v>
      </c>
      <c r="E28" s="421">
        <v>0.43554999999999999</v>
      </c>
      <c r="F28" s="421"/>
      <c r="G28" s="421">
        <v>10.829000000000001</v>
      </c>
      <c r="H28" s="421">
        <v>10.679</v>
      </c>
      <c r="I28" s="421">
        <v>0.42634</v>
      </c>
      <c r="J28" s="421">
        <v>0.42043000000000003</v>
      </c>
    </row>
    <row r="29" spans="1:10" x14ac:dyDescent="0.2">
      <c r="A29" s="420" t="s">
        <v>177</v>
      </c>
      <c r="B29" s="420">
        <v>11.188000000000001</v>
      </c>
      <c r="C29" s="420">
        <v>11.368</v>
      </c>
      <c r="D29" s="420">
        <v>0.44046999999999997</v>
      </c>
      <c r="E29" s="420">
        <v>0.44756000000000001</v>
      </c>
      <c r="F29" s="420"/>
      <c r="G29" s="420">
        <v>11.16</v>
      </c>
      <c r="H29" s="420">
        <v>11.028</v>
      </c>
      <c r="I29" s="420">
        <v>0.43936999999999998</v>
      </c>
      <c r="J29" s="420">
        <v>0.43417</v>
      </c>
    </row>
    <row r="30" spans="1:10" x14ac:dyDescent="0.2">
      <c r="A30" s="421" t="s">
        <v>178</v>
      </c>
      <c r="B30" s="421">
        <v>12.701000000000001</v>
      </c>
      <c r="C30" s="421">
        <v>12.913</v>
      </c>
      <c r="D30" s="421">
        <v>0.50004000000000004</v>
      </c>
      <c r="E30" s="421">
        <v>0.50838000000000005</v>
      </c>
      <c r="F30" s="421"/>
      <c r="G30" s="421">
        <v>12.663</v>
      </c>
      <c r="H30" s="421">
        <v>12.503</v>
      </c>
      <c r="I30" s="421">
        <v>0.49853999999999998</v>
      </c>
      <c r="J30" s="421">
        <v>0.49224000000000001</v>
      </c>
    </row>
    <row r="31" spans="1:10" x14ac:dyDescent="0.2">
      <c r="A31" s="420" t="s">
        <v>179</v>
      </c>
      <c r="B31" s="420">
        <v>13.026</v>
      </c>
      <c r="C31" s="420">
        <v>13.215999999999999</v>
      </c>
      <c r="D31" s="420">
        <v>0.51283000000000001</v>
      </c>
      <c r="E31" s="420">
        <v>0.52031000000000005</v>
      </c>
      <c r="F31" s="420"/>
      <c r="G31" s="420">
        <v>12.994</v>
      </c>
      <c r="H31" s="420">
        <v>12.853999999999999</v>
      </c>
      <c r="I31" s="420">
        <v>0.51156999999999997</v>
      </c>
      <c r="J31" s="420">
        <v>0.50605999999999995</v>
      </c>
    </row>
    <row r="32" spans="1:10" x14ac:dyDescent="0.2">
      <c r="A32" s="421" t="s">
        <v>180</v>
      </c>
      <c r="B32" s="421">
        <v>14.026</v>
      </c>
      <c r="C32" s="421">
        <v>14.215999999999999</v>
      </c>
      <c r="D32" s="421">
        <v>0.55220000000000002</v>
      </c>
      <c r="E32" s="421">
        <v>0.55967999999999996</v>
      </c>
      <c r="F32" s="421"/>
      <c r="G32" s="421">
        <v>13.994</v>
      </c>
      <c r="H32" s="421">
        <v>13.853999999999999</v>
      </c>
      <c r="I32" s="421">
        <v>0.55093999999999999</v>
      </c>
      <c r="J32" s="421">
        <v>0.54542999999999997</v>
      </c>
    </row>
    <row r="33" spans="1:10" x14ac:dyDescent="0.2">
      <c r="A33" s="420" t="s">
        <v>181</v>
      </c>
      <c r="B33" s="420">
        <v>14.35</v>
      </c>
      <c r="C33" s="420">
        <v>14.51</v>
      </c>
      <c r="D33" s="420">
        <v>0.56496000000000002</v>
      </c>
      <c r="E33" s="420">
        <v>0.57125999999999999</v>
      </c>
      <c r="F33" s="420"/>
      <c r="G33" s="420">
        <v>14.324</v>
      </c>
      <c r="H33" s="420">
        <v>14.206</v>
      </c>
      <c r="I33" s="420">
        <v>0.56394</v>
      </c>
      <c r="J33" s="420">
        <v>0.55928999999999995</v>
      </c>
    </row>
    <row r="34" spans="1:10" x14ac:dyDescent="0.2">
      <c r="A34" s="421" t="s">
        <v>182</v>
      </c>
      <c r="B34" s="421">
        <v>14.701000000000001</v>
      </c>
      <c r="C34" s="421">
        <v>14.913</v>
      </c>
      <c r="D34" s="421">
        <v>0.57877999999999996</v>
      </c>
      <c r="E34" s="421">
        <v>0.58711999999999998</v>
      </c>
      <c r="F34" s="421"/>
      <c r="G34" s="421">
        <v>14.663</v>
      </c>
      <c r="H34" s="421">
        <v>14.503</v>
      </c>
      <c r="I34" s="421">
        <v>0.57728000000000002</v>
      </c>
      <c r="J34" s="421">
        <v>0.57098000000000004</v>
      </c>
    </row>
    <row r="35" spans="1:10" x14ac:dyDescent="0.2">
      <c r="A35" s="420" t="s">
        <v>183</v>
      </c>
      <c r="B35" s="420">
        <v>15.026</v>
      </c>
      <c r="C35" s="420">
        <v>15.215999999999999</v>
      </c>
      <c r="D35" s="420">
        <v>0.59157000000000004</v>
      </c>
      <c r="E35" s="420">
        <v>0.59904999999999997</v>
      </c>
      <c r="F35" s="420"/>
      <c r="G35" s="420">
        <v>14.994</v>
      </c>
      <c r="H35" s="420">
        <v>14.853999999999999</v>
      </c>
      <c r="I35" s="420">
        <v>0.59031</v>
      </c>
      <c r="J35" s="420">
        <v>0.58479999999999999</v>
      </c>
    </row>
    <row r="36" spans="1:10" x14ac:dyDescent="0.2">
      <c r="A36" s="421" t="s">
        <v>184</v>
      </c>
      <c r="B36" s="421">
        <v>16.350000000000001</v>
      </c>
      <c r="C36" s="421">
        <v>16.510000000000002</v>
      </c>
      <c r="D36" s="421">
        <v>0.64370000000000005</v>
      </c>
      <c r="E36" s="421">
        <v>0.65</v>
      </c>
      <c r="F36" s="421"/>
      <c r="G36" s="421">
        <v>16.324000000000002</v>
      </c>
      <c r="H36" s="421">
        <v>16.206</v>
      </c>
      <c r="I36" s="421">
        <v>0.64268000000000003</v>
      </c>
      <c r="J36" s="421">
        <v>0.63802999999999999</v>
      </c>
    </row>
    <row r="37" spans="1:10" x14ac:dyDescent="0.2">
      <c r="A37" s="420" t="s">
        <v>185</v>
      </c>
      <c r="B37" s="420">
        <v>16.026</v>
      </c>
      <c r="C37" s="420">
        <v>16.216000000000001</v>
      </c>
      <c r="D37" s="420">
        <v>0.63093999999999995</v>
      </c>
      <c r="E37" s="420">
        <v>0.63841999999999999</v>
      </c>
      <c r="F37" s="420"/>
      <c r="G37" s="420">
        <v>15.994</v>
      </c>
      <c r="H37" s="420">
        <v>15.853999999999999</v>
      </c>
      <c r="I37" s="420">
        <v>0.62968000000000002</v>
      </c>
      <c r="J37" s="420">
        <v>0.62417</v>
      </c>
    </row>
    <row r="38" spans="1:10" x14ac:dyDescent="0.2">
      <c r="A38" s="421" t="s">
        <v>186</v>
      </c>
      <c r="B38" s="421">
        <v>16.376000000000001</v>
      </c>
      <c r="C38" s="421">
        <v>16.600000000000001</v>
      </c>
      <c r="D38" s="421">
        <v>0.64471999999999996</v>
      </c>
      <c r="E38" s="421">
        <v>0.65354000000000001</v>
      </c>
      <c r="F38" s="421"/>
      <c r="G38" s="421">
        <v>16.334</v>
      </c>
      <c r="H38" s="421">
        <v>16.164000000000001</v>
      </c>
      <c r="I38" s="421">
        <v>0.64307000000000003</v>
      </c>
      <c r="J38" s="421">
        <v>0.63637999999999995</v>
      </c>
    </row>
    <row r="39" spans="1:10" x14ac:dyDescent="0.2">
      <c r="A39" s="420" t="s">
        <v>187</v>
      </c>
      <c r="B39" s="420">
        <v>17.026</v>
      </c>
      <c r="C39" s="420">
        <v>17.216000000000001</v>
      </c>
      <c r="D39" s="420">
        <v>0.67030999999999996</v>
      </c>
      <c r="E39" s="420">
        <v>0.67779</v>
      </c>
      <c r="F39" s="420"/>
      <c r="G39" s="420">
        <v>16.994</v>
      </c>
      <c r="H39" s="420">
        <v>16.853999999999999</v>
      </c>
      <c r="I39" s="420">
        <v>0.66905000000000003</v>
      </c>
      <c r="J39" s="420">
        <v>0.66354000000000002</v>
      </c>
    </row>
    <row r="40" spans="1:10" x14ac:dyDescent="0.2">
      <c r="A40" s="421" t="s">
        <v>188</v>
      </c>
      <c r="B40" s="421">
        <v>19.350000000000001</v>
      </c>
      <c r="C40" s="421">
        <v>19.510000000000002</v>
      </c>
      <c r="D40" s="421">
        <v>0.76180999999999999</v>
      </c>
      <c r="E40" s="421">
        <v>0.76810999999999996</v>
      </c>
      <c r="F40" s="421"/>
      <c r="G40" s="421">
        <v>19.324000000000002</v>
      </c>
      <c r="H40" s="421">
        <v>0.93472222222222223</v>
      </c>
      <c r="I40" s="421">
        <v>0.76078999999999997</v>
      </c>
      <c r="J40" s="421">
        <v>0.75614000000000003</v>
      </c>
    </row>
    <row r="41" spans="1:10" x14ac:dyDescent="0.2">
      <c r="A41" s="420" t="s">
        <v>189</v>
      </c>
      <c r="B41" s="420">
        <v>18.376000000000001</v>
      </c>
      <c r="C41" s="420">
        <v>18.600000000000001</v>
      </c>
      <c r="D41" s="420">
        <v>0.72345999999999999</v>
      </c>
      <c r="E41" s="420">
        <v>0.73228000000000004</v>
      </c>
      <c r="F41" s="420"/>
      <c r="G41" s="420">
        <v>18.334</v>
      </c>
      <c r="H41" s="420">
        <v>18.164000000000001</v>
      </c>
      <c r="I41" s="420">
        <v>0.72180999999999995</v>
      </c>
      <c r="J41" s="420">
        <v>0.71511999999999998</v>
      </c>
    </row>
    <row r="42" spans="1:10" x14ac:dyDescent="0.2">
      <c r="A42" s="421" t="s">
        <v>190</v>
      </c>
      <c r="B42" s="421">
        <v>19.026</v>
      </c>
      <c r="C42" s="421">
        <v>19.216000000000001</v>
      </c>
      <c r="D42" s="421">
        <v>0.74904999999999999</v>
      </c>
      <c r="E42" s="421">
        <v>0.75653000000000004</v>
      </c>
      <c r="F42" s="421"/>
      <c r="G42" s="421">
        <v>18.994</v>
      </c>
      <c r="H42" s="421">
        <v>18.853999999999999</v>
      </c>
      <c r="I42" s="421">
        <v>0.74778999999999995</v>
      </c>
      <c r="J42" s="421">
        <v>0.74228000000000005</v>
      </c>
    </row>
    <row r="43" spans="1:10" x14ac:dyDescent="0.2">
      <c r="A43" s="420" t="s">
        <v>191</v>
      </c>
      <c r="B43" s="420">
        <v>20.376000000000001</v>
      </c>
      <c r="C43" s="420">
        <v>20.6</v>
      </c>
      <c r="D43" s="420">
        <v>0.80220000000000002</v>
      </c>
      <c r="E43" s="420">
        <v>0.81101999999999996</v>
      </c>
      <c r="F43" s="420"/>
      <c r="G43" s="420">
        <v>20.334</v>
      </c>
      <c r="H43" s="420">
        <v>20.164000000000001</v>
      </c>
      <c r="I43" s="420">
        <v>0.80054999999999998</v>
      </c>
      <c r="J43" s="420">
        <v>0.79386000000000001</v>
      </c>
    </row>
    <row r="44" spans="1:10" x14ac:dyDescent="0.2">
      <c r="A44" s="421" t="s">
        <v>192</v>
      </c>
      <c r="B44" s="421">
        <v>21.026</v>
      </c>
      <c r="C44" s="421">
        <v>21.216000000000001</v>
      </c>
      <c r="D44" s="421">
        <v>0.82779000000000003</v>
      </c>
      <c r="E44" s="421">
        <v>0.83526999999999996</v>
      </c>
      <c r="F44" s="421"/>
      <c r="G44" s="421">
        <v>20.994</v>
      </c>
      <c r="H44" s="421">
        <v>20.853999999999999</v>
      </c>
      <c r="I44" s="421">
        <v>0.82652999999999999</v>
      </c>
      <c r="J44" s="421">
        <v>0.82101999999999997</v>
      </c>
    </row>
    <row r="45" spans="1:10" x14ac:dyDescent="0.2">
      <c r="A45" s="420" t="s">
        <v>193</v>
      </c>
      <c r="B45" s="420">
        <v>22.050999999999998</v>
      </c>
      <c r="C45" s="420">
        <v>22.315999999999999</v>
      </c>
      <c r="D45" s="420">
        <v>0.86814999999999998</v>
      </c>
      <c r="E45" s="420">
        <v>0.87858000000000003</v>
      </c>
      <c r="F45" s="420"/>
      <c r="G45" s="420">
        <v>22.003</v>
      </c>
      <c r="H45" s="420" t="s">
        <v>194</v>
      </c>
      <c r="I45" s="420">
        <v>0.86626000000000003</v>
      </c>
      <c r="J45" s="420">
        <v>0.85838000000000003</v>
      </c>
    </row>
    <row r="46" spans="1:10" x14ac:dyDescent="0.2">
      <c r="A46" s="421" t="s">
        <v>195</v>
      </c>
      <c r="B46" s="421">
        <v>22.701000000000001</v>
      </c>
      <c r="C46" s="421">
        <v>22.925000000000001</v>
      </c>
      <c r="D46" s="421">
        <v>0.89373999999999998</v>
      </c>
      <c r="E46" s="421">
        <v>0.90256000000000003</v>
      </c>
      <c r="F46" s="421"/>
      <c r="G46" s="421">
        <v>22.663</v>
      </c>
      <c r="H46" s="421">
        <v>22.492999999999999</v>
      </c>
      <c r="I46" s="421">
        <v>0.89224000000000003</v>
      </c>
      <c r="J46" s="421">
        <v>0.88554999999999995</v>
      </c>
    </row>
    <row r="47" spans="1:10" x14ac:dyDescent="0.2">
      <c r="A47" s="420" t="s">
        <v>196</v>
      </c>
      <c r="B47" s="420">
        <v>23.701000000000001</v>
      </c>
      <c r="C47" s="420">
        <v>23.925000000000001</v>
      </c>
      <c r="D47" s="420">
        <v>0.93310999999999999</v>
      </c>
      <c r="E47" s="420">
        <v>0.94193000000000005</v>
      </c>
      <c r="F47" s="420"/>
      <c r="G47" s="420">
        <v>23.663</v>
      </c>
      <c r="H47" s="420">
        <v>23.492999999999999</v>
      </c>
      <c r="I47" s="420">
        <v>0.93161000000000005</v>
      </c>
      <c r="J47" s="420">
        <v>0.92491999999999996</v>
      </c>
    </row>
    <row r="48" spans="1:10" x14ac:dyDescent="0.2">
      <c r="A48" s="421" t="s">
        <v>197</v>
      </c>
      <c r="B48" s="421">
        <v>24.026</v>
      </c>
      <c r="C48" s="421">
        <v>24.225999999999999</v>
      </c>
      <c r="D48" s="421">
        <v>0.94589999999999996</v>
      </c>
      <c r="E48" s="421">
        <v>0.95377999999999996</v>
      </c>
      <c r="F48" s="421"/>
      <c r="G48" s="421">
        <v>23.994</v>
      </c>
      <c r="H48" s="421">
        <v>23.844000000000001</v>
      </c>
      <c r="I48" s="421">
        <v>0.94464000000000004</v>
      </c>
      <c r="J48" s="421">
        <v>0.93874000000000002</v>
      </c>
    </row>
    <row r="49" spans="1:10" x14ac:dyDescent="0.2">
      <c r="A49" s="420" t="s">
        <v>198</v>
      </c>
      <c r="B49" s="420">
        <v>25.026</v>
      </c>
      <c r="C49" s="420">
        <v>25.225999999999999</v>
      </c>
      <c r="D49" s="420">
        <v>0.98526999999999998</v>
      </c>
      <c r="E49" s="420">
        <v>0.99314999999999998</v>
      </c>
      <c r="F49" s="420"/>
      <c r="G49" s="420">
        <v>24.994</v>
      </c>
      <c r="H49" s="420">
        <v>24.844000000000001</v>
      </c>
      <c r="I49" s="420">
        <v>0.98401000000000005</v>
      </c>
      <c r="J49" s="420">
        <v>0.97811000000000003</v>
      </c>
    </row>
    <row r="50" spans="1:10" x14ac:dyDescent="0.2">
      <c r="A50" s="421" t="s">
        <v>199</v>
      </c>
      <c r="B50" s="421">
        <v>25.35</v>
      </c>
      <c r="C50" s="421">
        <v>25.52</v>
      </c>
      <c r="D50" s="421">
        <v>0.99802999999999997</v>
      </c>
      <c r="E50" s="421">
        <v>1.0047200000000001</v>
      </c>
      <c r="F50" s="421"/>
      <c r="G50" s="421">
        <v>25.324000000000002</v>
      </c>
      <c r="H50" s="421">
        <v>25.212</v>
      </c>
      <c r="I50" s="421">
        <v>0.99700999999999995</v>
      </c>
      <c r="J50" s="421">
        <v>0.99260000000000004</v>
      </c>
    </row>
    <row r="51" spans="1:10" x14ac:dyDescent="0.2">
      <c r="A51" s="420" t="s">
        <v>200</v>
      </c>
      <c r="B51" s="420">
        <v>25.050999999999998</v>
      </c>
      <c r="C51" s="420">
        <v>25.315999999999999</v>
      </c>
      <c r="D51" s="420">
        <v>0.98626000000000003</v>
      </c>
      <c r="E51" s="420">
        <v>0.99668999999999996</v>
      </c>
      <c r="F51" s="420"/>
      <c r="G51" s="420">
        <v>25.003</v>
      </c>
      <c r="H51" s="420">
        <v>24.803000000000001</v>
      </c>
      <c r="I51" s="420">
        <v>0.98436999999999997</v>
      </c>
      <c r="J51" s="420">
        <v>0.97648999999999997</v>
      </c>
    </row>
    <row r="52" spans="1:10" x14ac:dyDescent="0.2">
      <c r="A52" s="421" t="s">
        <v>201</v>
      </c>
      <c r="B52" s="421">
        <v>25.701000000000001</v>
      </c>
      <c r="C52" s="421">
        <v>25.925000000000001</v>
      </c>
      <c r="D52" s="421">
        <v>1.0118499999999999</v>
      </c>
      <c r="E52" s="421">
        <v>1.02067</v>
      </c>
      <c r="F52" s="421"/>
      <c r="G52" s="421">
        <v>25.663</v>
      </c>
      <c r="H52" s="421">
        <v>25.492999999999999</v>
      </c>
      <c r="I52" s="421">
        <v>1.0103500000000001</v>
      </c>
      <c r="J52" s="421">
        <v>1.00366</v>
      </c>
    </row>
    <row r="53" spans="1:10" x14ac:dyDescent="0.2">
      <c r="A53" s="420" t="s">
        <v>202</v>
      </c>
      <c r="B53" s="420">
        <v>26.701000000000001</v>
      </c>
      <c r="C53" s="420">
        <v>26.925000000000001</v>
      </c>
      <c r="D53" s="420">
        <v>1.05122</v>
      </c>
      <c r="E53" s="420">
        <v>1.0600400000000001</v>
      </c>
      <c r="F53" s="420"/>
      <c r="G53" s="420">
        <v>26.663</v>
      </c>
      <c r="H53" s="420">
        <v>26.492999999999999</v>
      </c>
      <c r="I53" s="420">
        <v>1.04972</v>
      </c>
      <c r="J53" s="420">
        <v>1.0430299999999999</v>
      </c>
    </row>
    <row r="54" spans="1:10" x14ac:dyDescent="0.2">
      <c r="A54" s="421" t="s">
        <v>203</v>
      </c>
      <c r="B54" s="421">
        <v>27.026</v>
      </c>
      <c r="C54" s="421">
        <v>27.225999999999999</v>
      </c>
      <c r="D54" s="421">
        <v>1.0640099999999999</v>
      </c>
      <c r="E54" s="421">
        <v>1.07189</v>
      </c>
      <c r="F54" s="421"/>
      <c r="G54" s="421">
        <v>26.994</v>
      </c>
      <c r="H54" s="421">
        <v>26.844000000000001</v>
      </c>
      <c r="I54" s="421">
        <v>1.0762499999999999</v>
      </c>
      <c r="J54" s="421">
        <v>1.05684</v>
      </c>
    </row>
    <row r="55" spans="1:10" x14ac:dyDescent="0.2">
      <c r="A55" s="420" t="s">
        <v>204</v>
      </c>
      <c r="B55" s="420">
        <v>27.35</v>
      </c>
      <c r="C55" s="420">
        <v>27.52</v>
      </c>
      <c r="D55" s="420">
        <v>1.07677</v>
      </c>
      <c r="E55" s="420">
        <v>1.0834600000000001</v>
      </c>
      <c r="F55" s="420"/>
      <c r="G55" s="420">
        <v>27.324000000000002</v>
      </c>
      <c r="H55" s="420">
        <v>27.212</v>
      </c>
      <c r="I55" s="420">
        <v>1.07575</v>
      </c>
      <c r="J55" s="420">
        <v>1.0708200000000001</v>
      </c>
    </row>
    <row r="56" spans="1:10" x14ac:dyDescent="0.2">
      <c r="A56" s="421" t="s">
        <v>205</v>
      </c>
      <c r="B56" s="421">
        <v>29.026</v>
      </c>
      <c r="C56" s="421">
        <v>29.225999999999999</v>
      </c>
      <c r="D56" s="421">
        <v>1.14276</v>
      </c>
      <c r="E56" s="421">
        <v>1.15063</v>
      </c>
      <c r="F56" s="421"/>
      <c r="G56" s="421">
        <v>28.994</v>
      </c>
      <c r="H56" s="421">
        <v>28.844000000000001</v>
      </c>
      <c r="I56" s="421">
        <v>1.1415</v>
      </c>
      <c r="J56" s="421">
        <v>1.1355900000000001</v>
      </c>
    </row>
    <row r="57" spans="1:10" x14ac:dyDescent="0.2">
      <c r="A57" s="420" t="s">
        <v>206</v>
      </c>
      <c r="B57" s="420">
        <v>27.727</v>
      </c>
      <c r="C57" s="420">
        <v>28.007000000000001</v>
      </c>
      <c r="D57" s="420">
        <v>1.09161</v>
      </c>
      <c r="E57" s="420">
        <v>1.1026400000000001</v>
      </c>
      <c r="F57" s="420"/>
      <c r="G57" s="420">
        <v>27.673999999999999</v>
      </c>
      <c r="H57" s="420">
        <v>27.462</v>
      </c>
      <c r="I57" s="420">
        <v>1.0895300000000001</v>
      </c>
      <c r="J57" s="420">
        <v>1.08118</v>
      </c>
    </row>
    <row r="58" spans="1:10" x14ac:dyDescent="0.2">
      <c r="A58" s="421" t="s">
        <v>207</v>
      </c>
      <c r="B58" s="421">
        <v>28.701000000000001</v>
      </c>
      <c r="C58" s="421">
        <v>28.925000000000001</v>
      </c>
      <c r="D58" s="421">
        <v>1.1299600000000001</v>
      </c>
      <c r="E58" s="421">
        <v>1.1387799999999999</v>
      </c>
      <c r="F58" s="421"/>
      <c r="G58" s="421">
        <v>28.663</v>
      </c>
      <c r="H58" s="421">
        <v>28.492999999999999</v>
      </c>
      <c r="I58" s="421">
        <v>1.12846</v>
      </c>
      <c r="J58" s="421">
        <v>1.1217699999999999</v>
      </c>
    </row>
    <row r="59" spans="1:10" x14ac:dyDescent="0.2">
      <c r="A59" s="420" t="s">
        <v>208</v>
      </c>
      <c r="B59" s="420">
        <v>30.701000000000001</v>
      </c>
      <c r="C59" s="420">
        <v>30.925000000000001</v>
      </c>
      <c r="D59" s="420">
        <v>1.2087000000000001</v>
      </c>
      <c r="E59" s="420">
        <v>1.2175199999999999</v>
      </c>
      <c r="F59" s="420"/>
      <c r="G59" s="420">
        <v>30.663</v>
      </c>
      <c r="H59" s="420">
        <v>30.492999999999999</v>
      </c>
      <c r="I59" s="420">
        <v>1.2072000000000001</v>
      </c>
      <c r="J59" s="420">
        <v>1.20051</v>
      </c>
    </row>
    <row r="60" spans="1:10" x14ac:dyDescent="0.2">
      <c r="A60" s="421" t="s">
        <v>209</v>
      </c>
      <c r="B60" s="421">
        <v>31.026</v>
      </c>
      <c r="C60" s="421">
        <v>31.225999999999999</v>
      </c>
      <c r="D60" s="421">
        <v>1.22149</v>
      </c>
      <c r="E60" s="421">
        <v>1.2293700000000001</v>
      </c>
      <c r="F60" s="421"/>
      <c r="G60" s="421">
        <v>30.994</v>
      </c>
      <c r="H60" s="421">
        <v>30.844000000000001</v>
      </c>
      <c r="I60" s="421">
        <v>1.2202299999999999</v>
      </c>
      <c r="J60" s="421">
        <v>1.2143200000000001</v>
      </c>
    </row>
    <row r="61" spans="1:10" x14ac:dyDescent="0.2">
      <c r="A61" s="420" t="s">
        <v>210</v>
      </c>
      <c r="B61" s="420">
        <v>30.727</v>
      </c>
      <c r="C61" s="420">
        <v>31.007000000000001</v>
      </c>
      <c r="D61" s="420">
        <v>1.2097199999999999</v>
      </c>
      <c r="E61" s="420">
        <v>1.22075</v>
      </c>
      <c r="F61" s="420"/>
      <c r="G61" s="420">
        <v>30.673999999999999</v>
      </c>
      <c r="H61" s="420">
        <v>30.462</v>
      </c>
      <c r="I61" s="420">
        <v>1.20764</v>
      </c>
      <c r="J61" s="420">
        <v>1.19929</v>
      </c>
    </row>
    <row r="62" spans="1:10" x14ac:dyDescent="0.2">
      <c r="A62" s="421" t="s">
        <v>211</v>
      </c>
      <c r="B62" s="421">
        <v>31.701000000000001</v>
      </c>
      <c r="C62" s="421">
        <v>31.925000000000001</v>
      </c>
      <c r="D62" s="421">
        <v>1.24807</v>
      </c>
      <c r="E62" s="421">
        <v>1.2568900000000001</v>
      </c>
      <c r="F62" s="421"/>
      <c r="G62" s="421">
        <v>31.663</v>
      </c>
      <c r="H62" s="421">
        <v>31.492999999999999</v>
      </c>
      <c r="I62" s="421">
        <v>1.24657</v>
      </c>
      <c r="J62" s="421">
        <v>1.2398800000000001</v>
      </c>
    </row>
    <row r="63" spans="1:10" x14ac:dyDescent="0.2">
      <c r="A63" s="420" t="s">
        <v>212</v>
      </c>
      <c r="B63" s="420">
        <v>34.026000000000003</v>
      </c>
      <c r="C63" s="420">
        <v>34.225999999999999</v>
      </c>
      <c r="D63" s="420">
        <v>1.3395999999999999</v>
      </c>
      <c r="E63" s="420">
        <v>1.34748</v>
      </c>
      <c r="F63" s="420"/>
      <c r="G63" s="420">
        <v>33.994</v>
      </c>
      <c r="H63" s="420">
        <v>33.844000000000001</v>
      </c>
      <c r="I63" s="420">
        <v>1.3383400000000001</v>
      </c>
      <c r="J63" s="420">
        <v>1.3324400000000001</v>
      </c>
    </row>
    <row r="64" spans="1:10" x14ac:dyDescent="0.2">
      <c r="A64" s="421" t="s">
        <v>213</v>
      </c>
      <c r="B64" s="421" t="s">
        <v>214</v>
      </c>
      <c r="C64" s="421">
        <v>34.924999999999997</v>
      </c>
      <c r="D64" s="421">
        <v>1.3661799999999999</v>
      </c>
      <c r="E64" s="421">
        <v>1.375</v>
      </c>
      <c r="F64" s="421"/>
      <c r="G64" s="421">
        <v>34.662999999999997</v>
      </c>
      <c r="H64" s="421">
        <v>34.493000000000002</v>
      </c>
      <c r="I64" s="421">
        <v>1.36469</v>
      </c>
      <c r="J64" s="421">
        <v>1.35799</v>
      </c>
    </row>
    <row r="65" spans="1:10" x14ac:dyDescent="0.2">
      <c r="A65" s="420" t="s">
        <v>215</v>
      </c>
      <c r="B65" s="420">
        <v>33.402000000000001</v>
      </c>
      <c r="C65" s="420">
        <v>33.701999999999998</v>
      </c>
      <c r="D65" s="420">
        <v>1.31504</v>
      </c>
      <c r="E65" s="420">
        <v>1.3268500000000001</v>
      </c>
      <c r="F65" s="420"/>
      <c r="G65" s="420">
        <v>33.341999999999999</v>
      </c>
      <c r="H65" s="420">
        <v>33.118000000000002</v>
      </c>
      <c r="I65" s="420">
        <v>1.31267</v>
      </c>
      <c r="J65" s="420">
        <v>1.30386</v>
      </c>
    </row>
    <row r="66" spans="1:10" x14ac:dyDescent="0.2">
      <c r="A66" s="421" t="s">
        <v>216</v>
      </c>
      <c r="B66" s="421">
        <v>34.051000000000002</v>
      </c>
      <c r="C66" s="421">
        <v>34.316000000000003</v>
      </c>
      <c r="D66" s="421">
        <v>1.3405899999999999</v>
      </c>
      <c r="E66" s="421">
        <v>1.3510200000000001</v>
      </c>
      <c r="F66" s="421"/>
      <c r="G66" s="421">
        <v>34.003</v>
      </c>
      <c r="H66" s="421">
        <v>33.802999999999997</v>
      </c>
      <c r="I66" s="421">
        <v>1.3387</v>
      </c>
      <c r="J66" s="421">
        <v>1.3308199999999999</v>
      </c>
    </row>
    <row r="67" spans="1:10" x14ac:dyDescent="0.2">
      <c r="A67" s="420" t="s">
        <v>217</v>
      </c>
      <c r="B67" s="420">
        <v>37.026000000000003</v>
      </c>
      <c r="C67" s="420">
        <v>37.225999999999999</v>
      </c>
      <c r="D67" s="420">
        <v>1.4577100000000001</v>
      </c>
      <c r="E67" s="420">
        <v>1.4655899999999999</v>
      </c>
      <c r="F67" s="420"/>
      <c r="G67" s="420">
        <v>36.994</v>
      </c>
      <c r="H67" s="420">
        <v>36.844000000000001</v>
      </c>
      <c r="I67" s="420">
        <v>1.45645</v>
      </c>
      <c r="J67" s="420">
        <v>1.45055</v>
      </c>
    </row>
    <row r="68" spans="1:10" x14ac:dyDescent="0.2">
      <c r="A68" s="421" t="s">
        <v>218</v>
      </c>
      <c r="B68" s="421">
        <v>37.701000000000001</v>
      </c>
      <c r="C68" s="421">
        <v>37.924999999999997</v>
      </c>
      <c r="D68" s="421">
        <v>1.4842900000000001</v>
      </c>
      <c r="E68" s="421">
        <v>1.4931099999999999</v>
      </c>
      <c r="F68" s="421"/>
      <c r="G68" s="421">
        <v>37.662999999999997</v>
      </c>
      <c r="H68" s="421">
        <v>37.493000000000002</v>
      </c>
      <c r="I68" s="421">
        <v>1.4827999999999999</v>
      </c>
      <c r="J68" s="421">
        <v>1.4761</v>
      </c>
    </row>
    <row r="71" spans="1:10" x14ac:dyDescent="0.2">
      <c r="A71" s="61" t="s">
        <v>219</v>
      </c>
    </row>
  </sheetData>
  <sheetProtection sheet="1" objects="1" scenarios="1" selectLockedCells="1"/>
  <phoneticPr fontId="13" type="noConversion"/>
  <hyperlinks>
    <hyperlink ref="A71" r:id="rId1" display="If you have trouble reading this, click here" xr:uid="{00000000-0004-0000-0200-000000000000}"/>
  </hyperlinks>
  <pageMargins left="0.75" right="0.75" top="1" bottom="1" header="0.5" footer="0.5"/>
  <pageSetup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6884" r:id="rId5" name="Button 20">
              <controlPr defaultSize="0" print="0" autoFill="0" autoPict="0" macro="[0]!ReturnToMain">
                <anchor moveWithCells="1" sizeWithCells="1">
                  <from>
                    <xdr:col>0</xdr:col>
                    <xdr:colOff>47625</xdr:colOff>
                    <xdr:row>0</xdr:row>
                    <xdr:rowOff>28575</xdr:rowOff>
                  </from>
                  <to>
                    <xdr:col>2</xdr:col>
                    <xdr:colOff>28575</xdr:colOff>
                    <xdr:row>2</xdr:row>
                    <xdr:rowOff>0</xdr:rowOff>
                  </to>
                </anchor>
              </controlPr>
            </control>
          </mc:Choice>
        </mc:AlternateContent>
        <mc:AlternateContent xmlns:mc="http://schemas.openxmlformats.org/markup-compatibility/2006">
          <mc:Choice Requires="x14">
            <control shapeId="36885" r:id="rId6" name="Button 21">
              <controlPr defaultSize="0" print="0" autoFill="0" autoPict="0" macro="[0]!MetricThreadPlugCalc">
                <anchor moveWithCells="1" sizeWithCells="1">
                  <from>
                    <xdr:col>2</xdr:col>
                    <xdr:colOff>104775</xdr:colOff>
                    <xdr:row>0</xdr:row>
                    <xdr:rowOff>28575</xdr:rowOff>
                  </from>
                  <to>
                    <xdr:col>4</xdr:col>
                    <xdr:colOff>76200</xdr:colOff>
                    <xdr:row>2</xdr:row>
                    <xdr:rowOff>0</xdr:rowOff>
                  </to>
                </anchor>
              </controlPr>
            </control>
          </mc:Choice>
        </mc:AlternateContent>
        <mc:AlternateContent xmlns:mc="http://schemas.openxmlformats.org/markup-compatibility/2006">
          <mc:Choice Requires="x14">
            <control shapeId="36886" r:id="rId7" name="Button 22">
              <controlPr defaultSize="0" print="0" autoFill="0" autoPict="0" macro="[0]!MetricThreadPlugTolW">
                <anchor moveWithCells="1" sizeWithCells="1">
                  <from>
                    <xdr:col>7</xdr:col>
                    <xdr:colOff>104775</xdr:colOff>
                    <xdr:row>0</xdr:row>
                    <xdr:rowOff>28575</xdr:rowOff>
                  </from>
                  <to>
                    <xdr:col>9</xdr:col>
                    <xdr:colOff>257175</xdr:colOff>
                    <xdr:row>2</xdr:row>
                    <xdr:rowOff>0</xdr:rowOff>
                  </to>
                </anchor>
              </controlPr>
            </control>
          </mc:Choice>
        </mc:AlternateContent>
        <mc:AlternateContent xmlns:mc="http://schemas.openxmlformats.org/markup-compatibility/2006">
          <mc:Choice Requires="x14">
            <control shapeId="36887" r:id="rId8" name="Button 23">
              <controlPr defaultSize="0" print="0" autoFill="0" autoPict="0" macro="[0]!MetricThreadPlugTolX">
                <anchor moveWithCells="1" sizeWithCells="1">
                  <from>
                    <xdr:col>4</xdr:col>
                    <xdr:colOff>142875</xdr:colOff>
                    <xdr:row>0</xdr:row>
                    <xdr:rowOff>28575</xdr:rowOff>
                  </from>
                  <to>
                    <xdr:col>7</xdr:col>
                    <xdr:colOff>38100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3">
    <tabColor indexed="16"/>
  </sheetPr>
  <dimension ref="A1:E32"/>
  <sheetViews>
    <sheetView workbookViewId="0"/>
  </sheetViews>
  <sheetFormatPr defaultRowHeight="12.75" x14ac:dyDescent="0.2"/>
  <cols>
    <col min="2" max="2" width="20.42578125" bestFit="1" customWidth="1"/>
    <col min="3" max="3" width="20.85546875" bestFit="1" customWidth="1"/>
    <col min="4" max="5" width="22.5703125" bestFit="1" customWidth="1"/>
  </cols>
  <sheetData>
    <row r="1" spans="1:5" ht="24.75" customHeight="1" x14ac:dyDescent="0.2"/>
    <row r="2" spans="1:5" x14ac:dyDescent="0.2">
      <c r="A2" s="5" t="s">
        <v>220</v>
      </c>
      <c r="B2" s="1127" t="s">
        <v>221</v>
      </c>
      <c r="C2" s="1127"/>
      <c r="D2" s="1127"/>
      <c r="E2" s="1127"/>
    </row>
    <row r="3" spans="1:5" x14ac:dyDescent="0.2">
      <c r="A3" s="5"/>
      <c r="B3" s="5" t="s">
        <v>222</v>
      </c>
      <c r="C3" s="5" t="s">
        <v>223</v>
      </c>
      <c r="D3" s="5" t="s">
        <v>224</v>
      </c>
      <c r="E3" s="5" t="s">
        <v>225</v>
      </c>
    </row>
    <row r="4" spans="1:5" x14ac:dyDescent="0.2">
      <c r="A4" s="5">
        <v>0.2</v>
      </c>
      <c r="B4" s="5">
        <v>5.0000000000000001E-3</v>
      </c>
      <c r="C4" s="41" t="s">
        <v>226</v>
      </c>
      <c r="D4" s="41" t="s">
        <v>226</v>
      </c>
      <c r="E4" s="41" t="s">
        <v>226</v>
      </c>
    </row>
    <row r="5" spans="1:5" x14ac:dyDescent="0.2">
      <c r="A5" s="5">
        <v>0.25</v>
      </c>
      <c r="B5" s="5">
        <v>5.0000000000000001E-3</v>
      </c>
      <c r="C5" s="41" t="s">
        <v>226</v>
      </c>
      <c r="D5" s="41" t="s">
        <v>226</v>
      </c>
      <c r="E5" s="41" t="s">
        <v>226</v>
      </c>
    </row>
    <row r="6" spans="1:5" x14ac:dyDescent="0.2">
      <c r="A6" s="5">
        <v>0.3</v>
      </c>
      <c r="B6" s="5">
        <v>5.0000000000000001E-3</v>
      </c>
      <c r="C6" s="41" t="s">
        <v>226</v>
      </c>
      <c r="D6" s="41" t="s">
        <v>226</v>
      </c>
      <c r="E6" s="41" t="s">
        <v>226</v>
      </c>
    </row>
    <row r="7" spans="1:5" x14ac:dyDescent="0.2">
      <c r="A7" s="5">
        <v>0.35</v>
      </c>
      <c r="B7" s="5">
        <v>5.0000000000000001E-3</v>
      </c>
      <c r="C7" s="41" t="s">
        <v>226</v>
      </c>
      <c r="D7" s="41" t="s">
        <v>226</v>
      </c>
      <c r="E7" s="41" t="s">
        <v>226</v>
      </c>
    </row>
    <row r="8" spans="1:5" x14ac:dyDescent="0.2">
      <c r="A8" s="5">
        <v>0.4</v>
      </c>
      <c r="B8" s="5">
        <v>5.0000000000000001E-3</v>
      </c>
      <c r="C8" s="41" t="s">
        <v>226</v>
      </c>
      <c r="D8" s="41" t="s">
        <v>226</v>
      </c>
      <c r="E8" s="41" t="s">
        <v>226</v>
      </c>
    </row>
    <row r="9" spans="1:5" x14ac:dyDescent="0.2">
      <c r="A9" s="5">
        <v>0.45</v>
      </c>
      <c r="B9" s="5">
        <v>5.0000000000000001E-3</v>
      </c>
      <c r="C9" s="472">
        <v>8.0000000000000002E-3</v>
      </c>
      <c r="D9" s="41" t="s">
        <v>226</v>
      </c>
      <c r="E9" s="41" t="s">
        <v>226</v>
      </c>
    </row>
    <row r="10" spans="1:5" x14ac:dyDescent="0.2">
      <c r="A10" s="5">
        <v>0.5</v>
      </c>
      <c r="B10" s="5">
        <v>5.0000000000000001E-3</v>
      </c>
      <c r="C10" s="472">
        <v>8.0000000000000002E-3</v>
      </c>
      <c r="D10" s="41" t="s">
        <v>226</v>
      </c>
      <c r="E10" s="41" t="s">
        <v>226</v>
      </c>
    </row>
    <row r="11" spans="1:5" x14ac:dyDescent="0.2">
      <c r="A11" s="5">
        <v>0.55000000000000004</v>
      </c>
      <c r="B11" s="5">
        <v>5.0000000000000001E-3</v>
      </c>
      <c r="C11" s="472">
        <v>8.0000000000000002E-3</v>
      </c>
      <c r="D11" s="41" t="s">
        <v>226</v>
      </c>
      <c r="E11" s="41" t="s">
        <v>226</v>
      </c>
    </row>
    <row r="12" spans="1:5" x14ac:dyDescent="0.2">
      <c r="A12" s="5">
        <v>0.6</v>
      </c>
      <c r="B12" s="5">
        <v>5.0000000000000001E-3</v>
      </c>
      <c r="C12" s="472">
        <v>8.0000000000000002E-3</v>
      </c>
      <c r="D12" s="41" t="s">
        <v>226</v>
      </c>
      <c r="E12" s="41" t="s">
        <v>226</v>
      </c>
    </row>
    <row r="13" spans="1:5" x14ac:dyDescent="0.2">
      <c r="A13" s="5">
        <v>0.65</v>
      </c>
      <c r="B13" s="5">
        <v>5.0000000000000001E-3</v>
      </c>
      <c r="C13" s="472">
        <v>8.0000000000000002E-3</v>
      </c>
      <c r="D13" s="41" t="s">
        <v>226</v>
      </c>
      <c r="E13" s="41" t="s">
        <v>226</v>
      </c>
    </row>
    <row r="14" spans="1:5" x14ac:dyDescent="0.2">
      <c r="A14" s="5">
        <v>0.7</v>
      </c>
      <c r="B14" s="5">
        <v>5.0000000000000001E-3</v>
      </c>
      <c r="C14" s="472">
        <v>8.0000000000000002E-3</v>
      </c>
      <c r="D14" s="41" t="s">
        <v>226</v>
      </c>
      <c r="E14" s="41" t="s">
        <v>226</v>
      </c>
    </row>
    <row r="15" spans="1:5" x14ac:dyDescent="0.2">
      <c r="A15" s="5">
        <v>0.75</v>
      </c>
      <c r="B15" s="5">
        <v>5.0000000000000001E-3</v>
      </c>
      <c r="C15" s="472">
        <v>8.0000000000000002E-3</v>
      </c>
      <c r="D15" s="41" t="s">
        <v>226</v>
      </c>
      <c r="E15" s="41" t="s">
        <v>226</v>
      </c>
    </row>
    <row r="16" spans="1:5" x14ac:dyDescent="0.2">
      <c r="A16" s="5">
        <v>0.8</v>
      </c>
      <c r="B16" s="5">
        <v>8.0000000000000002E-3</v>
      </c>
      <c r="C16" s="472">
        <v>0.01</v>
      </c>
      <c r="D16" s="5">
        <v>1.2999999999999999E-2</v>
      </c>
      <c r="E16" s="5">
        <v>1.4999999999999999E-2</v>
      </c>
    </row>
    <row r="17" spans="1:5" x14ac:dyDescent="0.2">
      <c r="A17" s="5">
        <v>1</v>
      </c>
      <c r="B17" s="5">
        <v>8.0000000000000002E-3</v>
      </c>
      <c r="C17" s="472">
        <v>0.01</v>
      </c>
      <c r="D17" s="5">
        <v>1.2999999999999999E-2</v>
      </c>
      <c r="E17" s="5">
        <v>1.4999999999999999E-2</v>
      </c>
    </row>
    <row r="18" spans="1:5" x14ac:dyDescent="0.2">
      <c r="A18" s="5">
        <v>1.25</v>
      </c>
      <c r="B18" s="5">
        <v>8.0000000000000002E-3</v>
      </c>
      <c r="C18" s="472">
        <v>0.01</v>
      </c>
      <c r="D18" s="5">
        <v>1.2999999999999999E-2</v>
      </c>
      <c r="E18" s="5">
        <v>1.4999999999999999E-2</v>
      </c>
    </row>
    <row r="19" spans="1:5" x14ac:dyDescent="0.2">
      <c r="A19" s="5">
        <v>1.5</v>
      </c>
      <c r="B19" s="5">
        <v>8.0000000000000002E-3</v>
      </c>
      <c r="C19" s="472">
        <v>0.01</v>
      </c>
      <c r="D19" s="5">
        <v>1.4999999999999999E-2</v>
      </c>
      <c r="E19" s="5">
        <v>1.7999999999999999E-2</v>
      </c>
    </row>
    <row r="20" spans="1:5" x14ac:dyDescent="0.2">
      <c r="A20" s="5">
        <v>1.75</v>
      </c>
      <c r="B20" s="5">
        <v>8.0000000000000002E-3</v>
      </c>
      <c r="C20" s="472">
        <v>0.01</v>
      </c>
      <c r="D20" s="5">
        <v>1.4999999999999999E-2</v>
      </c>
      <c r="E20" s="5">
        <v>1.7999999999999999E-2</v>
      </c>
    </row>
    <row r="21" spans="1:5" x14ac:dyDescent="0.2">
      <c r="A21" s="5">
        <v>2</v>
      </c>
      <c r="B21" s="5">
        <v>8.0000000000000002E-3</v>
      </c>
      <c r="C21" s="472">
        <v>0.01</v>
      </c>
      <c r="D21" s="5">
        <v>1.4999999999999999E-2</v>
      </c>
      <c r="E21" s="5">
        <v>1.7999999999999999E-2</v>
      </c>
    </row>
    <row r="22" spans="1:5" x14ac:dyDescent="0.2">
      <c r="A22" s="5">
        <v>2.5</v>
      </c>
      <c r="B22" s="5">
        <v>8.0000000000000002E-3</v>
      </c>
      <c r="C22" s="472">
        <v>0.01</v>
      </c>
      <c r="D22" s="5">
        <v>1.4999999999999999E-2</v>
      </c>
      <c r="E22" s="5">
        <v>1.7999999999999999E-2</v>
      </c>
    </row>
    <row r="23" spans="1:5" x14ac:dyDescent="0.2">
      <c r="A23" s="5">
        <v>3</v>
      </c>
      <c r="B23" s="472">
        <v>0.01</v>
      </c>
      <c r="C23" s="472">
        <v>1.2999999999999999E-2</v>
      </c>
      <c r="D23" s="5">
        <v>1.4999999999999999E-2</v>
      </c>
      <c r="E23" s="5">
        <v>1.7999999999999999E-2</v>
      </c>
    </row>
    <row r="24" spans="1:5" x14ac:dyDescent="0.2">
      <c r="A24" s="5">
        <v>3.5</v>
      </c>
      <c r="B24" s="472">
        <v>0.01</v>
      </c>
      <c r="C24" s="472">
        <v>1.2999999999999999E-2</v>
      </c>
      <c r="D24" s="5">
        <v>1.4999999999999999E-2</v>
      </c>
      <c r="E24" s="5">
        <v>1.7999999999999999E-2</v>
      </c>
    </row>
    <row r="25" spans="1:5" x14ac:dyDescent="0.2">
      <c r="A25" s="5">
        <v>4</v>
      </c>
      <c r="B25" s="472">
        <v>0.01</v>
      </c>
      <c r="C25" s="472">
        <v>1.2999999999999999E-2</v>
      </c>
      <c r="D25" s="5">
        <v>1.4999999999999999E-2</v>
      </c>
      <c r="E25" s="5">
        <v>1.7999999999999999E-2</v>
      </c>
    </row>
    <row r="26" spans="1:5" x14ac:dyDescent="0.2">
      <c r="A26" s="5">
        <v>4.5</v>
      </c>
      <c r="B26" s="472">
        <v>0.01</v>
      </c>
      <c r="C26" s="472">
        <v>1.2999999999999999E-2</v>
      </c>
      <c r="D26" s="5">
        <v>1.4999999999999999E-2</v>
      </c>
      <c r="E26" s="472">
        <v>0.02</v>
      </c>
    </row>
    <row r="27" spans="1:5" x14ac:dyDescent="0.2">
      <c r="A27" s="5">
        <v>5</v>
      </c>
      <c r="B27" s="472">
        <v>0.01</v>
      </c>
      <c r="C27" s="472">
        <v>1.2999999999999999E-2</v>
      </c>
      <c r="D27" s="5">
        <v>1.4999999999999999E-2</v>
      </c>
      <c r="E27" s="472">
        <v>0.02</v>
      </c>
    </row>
    <row r="28" spans="1:5" x14ac:dyDescent="0.2">
      <c r="A28" s="5">
        <v>5.5</v>
      </c>
      <c r="B28" s="472">
        <v>0.01</v>
      </c>
      <c r="C28" s="472">
        <v>1.2999999999999999E-2</v>
      </c>
      <c r="D28" s="5">
        <v>1.4999999999999999E-2</v>
      </c>
      <c r="E28" s="472">
        <v>0.02</v>
      </c>
    </row>
    <row r="29" spans="1:5" x14ac:dyDescent="0.2">
      <c r="A29" s="5">
        <v>6</v>
      </c>
      <c r="B29" s="472">
        <v>0.01</v>
      </c>
      <c r="C29" s="472">
        <v>1.2999999999999999E-2</v>
      </c>
      <c r="D29" s="5">
        <v>1.4999999999999999E-2</v>
      </c>
      <c r="E29" s="472">
        <v>0.02</v>
      </c>
    </row>
    <row r="30" spans="1:5" x14ac:dyDescent="0.2">
      <c r="A30" s="5">
        <v>8</v>
      </c>
      <c r="B30" s="472">
        <v>0.01</v>
      </c>
      <c r="C30" s="472">
        <v>1.2999999999999999E-2</v>
      </c>
      <c r="D30" s="5">
        <v>1.4999999999999999E-2</v>
      </c>
      <c r="E30" s="472">
        <v>0.02</v>
      </c>
    </row>
    <row r="32" spans="1:5" x14ac:dyDescent="0.2">
      <c r="A32" t="s">
        <v>227</v>
      </c>
    </row>
  </sheetData>
  <sheetProtection sheet="1" objects="1" scenarios="1"/>
  <mergeCells count="1">
    <mergeCell ref="B2:E2"/>
  </mergeCells>
  <phoneticPr fontId="13" type="noConversion"/>
  <conditionalFormatting sqref="A4:E30">
    <cfRule type="expression" dxfId="101" priority="1" stopIfTrue="1">
      <formula>MOD(ROW(),2)=1</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ReturnToMain">
                <anchor moveWithCells="1" sizeWithCells="1">
                  <from>
                    <xdr:col>0</xdr:col>
                    <xdr:colOff>47625</xdr:colOff>
                    <xdr:row>0</xdr:row>
                    <xdr:rowOff>19050</xdr:rowOff>
                  </from>
                  <to>
                    <xdr:col>1</xdr:col>
                    <xdr:colOff>504825</xdr:colOff>
                    <xdr:row>0</xdr:row>
                    <xdr:rowOff>152400</xdr:rowOff>
                  </to>
                </anchor>
              </controlPr>
            </control>
          </mc:Choice>
        </mc:AlternateContent>
        <mc:AlternateContent xmlns:mc="http://schemas.openxmlformats.org/markup-compatibility/2006">
          <mc:Choice Requires="x14">
            <control shapeId="90114" r:id="rId5" name="Button 2">
              <controlPr defaultSize="0" print="0" autoFill="0" autoPict="0" macro="[0]!MetricThreadPlugCalc">
                <anchor moveWithCells="1" sizeWithCells="1">
                  <from>
                    <xdr:col>1</xdr:col>
                    <xdr:colOff>571500</xdr:colOff>
                    <xdr:row>0</xdr:row>
                    <xdr:rowOff>19050</xdr:rowOff>
                  </from>
                  <to>
                    <xdr:col>2</xdr:col>
                    <xdr:colOff>647700</xdr:colOff>
                    <xdr:row>0</xdr:row>
                    <xdr:rowOff>152400</xdr:rowOff>
                  </to>
                </anchor>
              </controlPr>
            </control>
          </mc:Choice>
        </mc:AlternateContent>
        <mc:AlternateContent xmlns:mc="http://schemas.openxmlformats.org/markup-compatibility/2006">
          <mc:Choice Requires="x14">
            <control shapeId="90115" r:id="rId6" name="Button 3">
              <controlPr defaultSize="0" print="0" autoFill="0" autoPict="0" macro="[0]!MetricThreadPlugTolW">
                <anchor moveWithCells="1" sizeWithCells="1">
                  <from>
                    <xdr:col>4</xdr:col>
                    <xdr:colOff>76200</xdr:colOff>
                    <xdr:row>0</xdr:row>
                    <xdr:rowOff>19050</xdr:rowOff>
                  </from>
                  <to>
                    <xdr:col>5</xdr:col>
                    <xdr:colOff>85725</xdr:colOff>
                    <xdr:row>0</xdr:row>
                    <xdr:rowOff>152400</xdr:rowOff>
                  </to>
                </anchor>
              </controlPr>
            </control>
          </mc:Choice>
        </mc:AlternateContent>
        <mc:AlternateContent xmlns:mc="http://schemas.openxmlformats.org/markup-compatibility/2006">
          <mc:Choice Requires="x14">
            <control shapeId="90116" r:id="rId7" name="Button 4">
              <controlPr defaultSize="0" print="0" autoFill="0" autoPict="0" macro="[0]!MetricPDs">
                <anchor moveWithCells="1" sizeWithCells="1">
                  <from>
                    <xdr:col>3</xdr:col>
                    <xdr:colOff>19050</xdr:colOff>
                    <xdr:row>0</xdr:row>
                    <xdr:rowOff>19050</xdr:rowOff>
                  </from>
                  <to>
                    <xdr:col>4</xdr:col>
                    <xdr:colOff>19050</xdr:colOff>
                    <xdr:row>0</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2">
    <tabColor indexed="16"/>
  </sheetPr>
  <dimension ref="A1:E32"/>
  <sheetViews>
    <sheetView workbookViewId="0"/>
  </sheetViews>
  <sheetFormatPr defaultRowHeight="12.75" x14ac:dyDescent="0.2"/>
  <cols>
    <col min="2" max="2" width="22.85546875" customWidth="1"/>
    <col min="3" max="3" width="22" customWidth="1"/>
    <col min="4" max="4" width="22.85546875" customWidth="1"/>
    <col min="5" max="5" width="24" customWidth="1"/>
  </cols>
  <sheetData>
    <row r="1" spans="1:5" ht="24" customHeight="1" x14ac:dyDescent="0.2"/>
    <row r="2" spans="1:5" x14ac:dyDescent="0.2">
      <c r="A2" s="5" t="s">
        <v>220</v>
      </c>
      <c r="B2" s="1127" t="s">
        <v>228</v>
      </c>
      <c r="C2" s="1127"/>
      <c r="D2" s="1127"/>
      <c r="E2" s="1127"/>
    </row>
    <row r="3" spans="1:5" x14ac:dyDescent="0.2">
      <c r="A3" s="5"/>
      <c r="B3" s="5" t="s">
        <v>222</v>
      </c>
      <c r="C3" s="5" t="s">
        <v>223</v>
      </c>
      <c r="D3" s="5" t="s">
        <v>224</v>
      </c>
      <c r="E3" s="5" t="s">
        <v>225</v>
      </c>
    </row>
    <row r="4" spans="1:5" x14ac:dyDescent="0.2">
      <c r="A4" s="5">
        <v>0.2</v>
      </c>
      <c r="B4" s="5">
        <v>3.0000000000000001E-3</v>
      </c>
      <c r="C4" s="41" t="s">
        <v>226</v>
      </c>
      <c r="D4" s="41" t="s">
        <v>226</v>
      </c>
      <c r="E4" s="41" t="s">
        <v>226</v>
      </c>
    </row>
    <row r="5" spans="1:5" x14ac:dyDescent="0.2">
      <c r="A5" s="5">
        <v>0.25</v>
      </c>
      <c r="B5" s="5">
        <v>3.0000000000000001E-3</v>
      </c>
      <c r="C5" s="41" t="s">
        <v>226</v>
      </c>
      <c r="D5" s="41" t="s">
        <v>226</v>
      </c>
      <c r="E5" s="41" t="s">
        <v>226</v>
      </c>
    </row>
    <row r="6" spans="1:5" x14ac:dyDescent="0.2">
      <c r="A6" s="5">
        <v>0.3</v>
      </c>
      <c r="B6" s="5">
        <v>3.0000000000000001E-3</v>
      </c>
      <c r="C6" s="41" t="s">
        <v>226</v>
      </c>
      <c r="D6" s="41" t="s">
        <v>226</v>
      </c>
      <c r="E6" s="41" t="s">
        <v>226</v>
      </c>
    </row>
    <row r="7" spans="1:5" x14ac:dyDescent="0.2">
      <c r="A7" s="5">
        <v>0.35</v>
      </c>
      <c r="B7" s="5">
        <v>3.0000000000000001E-3</v>
      </c>
      <c r="C7" s="40">
        <v>4.0000000000000001E-3</v>
      </c>
      <c r="D7" s="41" t="s">
        <v>226</v>
      </c>
      <c r="E7" s="41" t="s">
        <v>226</v>
      </c>
    </row>
    <row r="8" spans="1:5" x14ac:dyDescent="0.2">
      <c r="A8" s="5">
        <v>0.4</v>
      </c>
      <c r="B8" s="5">
        <v>3.0000000000000001E-3</v>
      </c>
      <c r="C8" s="40">
        <v>4.0000000000000001E-3</v>
      </c>
      <c r="D8" s="41" t="s">
        <v>226</v>
      </c>
      <c r="E8" s="41" t="s">
        <v>226</v>
      </c>
    </row>
    <row r="9" spans="1:5" x14ac:dyDescent="0.2">
      <c r="A9" s="5">
        <v>0.45</v>
      </c>
      <c r="B9" s="5">
        <v>3.0000000000000001E-3</v>
      </c>
      <c r="C9" s="40">
        <v>4.0000000000000001E-3</v>
      </c>
      <c r="D9" s="41" t="s">
        <v>226</v>
      </c>
      <c r="E9" s="41" t="s">
        <v>226</v>
      </c>
    </row>
    <row r="10" spans="1:5" x14ac:dyDescent="0.2">
      <c r="A10" s="5">
        <v>0.5</v>
      </c>
      <c r="B10" s="5">
        <v>3.0000000000000001E-3</v>
      </c>
      <c r="C10" s="40">
        <v>4.0000000000000001E-3</v>
      </c>
      <c r="D10" s="40">
        <v>5.0000000000000001E-3</v>
      </c>
      <c r="E10" s="41" t="s">
        <v>226</v>
      </c>
    </row>
    <row r="11" spans="1:5" x14ac:dyDescent="0.2">
      <c r="A11" s="5">
        <v>0.55000000000000004</v>
      </c>
      <c r="B11" s="5">
        <v>3.0000000000000001E-3</v>
      </c>
      <c r="C11" s="40">
        <v>4.0000000000000001E-3</v>
      </c>
      <c r="D11" s="40">
        <v>5.0000000000000001E-3</v>
      </c>
      <c r="E11" s="41" t="s">
        <v>226</v>
      </c>
    </row>
    <row r="12" spans="1:5" x14ac:dyDescent="0.2">
      <c r="A12" s="5">
        <v>0.6</v>
      </c>
      <c r="B12" s="5">
        <v>3.0000000000000001E-3</v>
      </c>
      <c r="C12" s="40">
        <v>4.0000000000000001E-3</v>
      </c>
      <c r="D12" s="40">
        <v>5.0000000000000001E-3</v>
      </c>
      <c r="E12" s="41" t="s">
        <v>226</v>
      </c>
    </row>
    <row r="13" spans="1:5" x14ac:dyDescent="0.2">
      <c r="A13" s="5">
        <v>0.65</v>
      </c>
      <c r="B13" s="5">
        <v>3.0000000000000001E-3</v>
      </c>
      <c r="C13" s="40">
        <v>4.0000000000000001E-3</v>
      </c>
      <c r="D13" s="40">
        <v>5.0000000000000001E-3</v>
      </c>
      <c r="E13" s="41" t="s">
        <v>226</v>
      </c>
    </row>
    <row r="14" spans="1:5" x14ac:dyDescent="0.2">
      <c r="A14" s="5">
        <v>0.7</v>
      </c>
      <c r="B14" s="5">
        <v>3.0000000000000001E-3</v>
      </c>
      <c r="C14" s="40">
        <v>4.0000000000000001E-3</v>
      </c>
      <c r="D14" s="40">
        <v>5.0000000000000001E-3</v>
      </c>
      <c r="E14" s="41" t="s">
        <v>226</v>
      </c>
    </row>
    <row r="15" spans="1:5" x14ac:dyDescent="0.2">
      <c r="A15" s="5">
        <v>0.75</v>
      </c>
      <c r="B15" s="5">
        <v>3.0000000000000001E-3</v>
      </c>
      <c r="C15" s="40">
        <v>4.0000000000000001E-3</v>
      </c>
      <c r="D15" s="40">
        <v>5.0000000000000001E-3</v>
      </c>
      <c r="E15" s="41" t="s">
        <v>226</v>
      </c>
    </row>
    <row r="16" spans="1:5" x14ac:dyDescent="0.2">
      <c r="A16" s="5">
        <v>0.8</v>
      </c>
      <c r="B16" s="5">
        <v>3.0000000000000001E-3</v>
      </c>
      <c r="C16" s="40">
        <v>4.0000000000000001E-3</v>
      </c>
      <c r="D16" s="40">
        <v>5.0000000000000001E-3</v>
      </c>
      <c r="E16" s="5">
        <v>8.0000000000000002E-3</v>
      </c>
    </row>
    <row r="17" spans="1:5" x14ac:dyDescent="0.2">
      <c r="A17" s="5">
        <v>1</v>
      </c>
      <c r="B17" s="5">
        <v>3.0000000000000001E-3</v>
      </c>
      <c r="C17" s="40">
        <v>4.0000000000000001E-3</v>
      </c>
      <c r="D17" s="40">
        <v>5.0000000000000001E-3</v>
      </c>
      <c r="E17" s="5">
        <v>8.0000000000000002E-3</v>
      </c>
    </row>
    <row r="18" spans="1:5" x14ac:dyDescent="0.2">
      <c r="A18" s="5">
        <v>1.25</v>
      </c>
      <c r="B18" s="5">
        <v>3.0000000000000001E-3</v>
      </c>
      <c r="C18" s="40">
        <v>4.0000000000000001E-3</v>
      </c>
      <c r="D18" s="40">
        <v>5.0000000000000001E-3</v>
      </c>
      <c r="E18" s="5">
        <v>8.0000000000000002E-3</v>
      </c>
    </row>
    <row r="19" spans="1:5" x14ac:dyDescent="0.2">
      <c r="A19" s="5">
        <v>1.5</v>
      </c>
      <c r="B19" s="5">
        <v>3.0000000000000001E-3</v>
      </c>
      <c r="C19" s="472">
        <v>4.0000000000000001E-3</v>
      </c>
      <c r="D19" s="40">
        <v>5.0000000000000001E-3</v>
      </c>
      <c r="E19" s="5">
        <v>8.0000000000000002E-3</v>
      </c>
    </row>
    <row r="20" spans="1:5" x14ac:dyDescent="0.2">
      <c r="A20" s="5">
        <v>1.75</v>
      </c>
      <c r="B20" s="5">
        <v>3.0000000000000001E-3</v>
      </c>
      <c r="C20" s="472">
        <v>5.0000000000000001E-3</v>
      </c>
      <c r="D20" s="5">
        <v>6.0000000000000001E-3</v>
      </c>
      <c r="E20" s="472">
        <v>0.01</v>
      </c>
    </row>
    <row r="21" spans="1:5" x14ac:dyDescent="0.2">
      <c r="A21" s="5">
        <v>2</v>
      </c>
      <c r="B21" s="5">
        <v>4.0000000000000001E-3</v>
      </c>
      <c r="C21" s="472">
        <v>5.0000000000000001E-3</v>
      </c>
      <c r="D21" s="5">
        <v>6.0000000000000001E-3</v>
      </c>
      <c r="E21" s="472">
        <v>0.01</v>
      </c>
    </row>
    <row r="22" spans="1:5" x14ac:dyDescent="0.2">
      <c r="A22" s="5">
        <v>2.5</v>
      </c>
      <c r="B22" s="41" t="s">
        <v>226</v>
      </c>
      <c r="C22" s="472">
        <v>5.0000000000000001E-3</v>
      </c>
      <c r="D22" s="5">
        <v>6.0000000000000001E-3</v>
      </c>
      <c r="E22" s="472">
        <v>0.01</v>
      </c>
    </row>
    <row r="23" spans="1:5" x14ac:dyDescent="0.2">
      <c r="A23" s="5">
        <v>3</v>
      </c>
      <c r="B23" s="41" t="s">
        <v>226</v>
      </c>
      <c r="C23" s="472">
        <v>5.0000000000000001E-3</v>
      </c>
      <c r="D23" s="5">
        <v>6.0000000000000001E-3</v>
      </c>
      <c r="E23" s="472">
        <v>0.01</v>
      </c>
    </row>
    <row r="24" spans="1:5" x14ac:dyDescent="0.2">
      <c r="A24" s="5">
        <v>3.5</v>
      </c>
      <c r="B24" s="41" t="s">
        <v>226</v>
      </c>
      <c r="C24" s="472">
        <v>5.0000000000000001E-3</v>
      </c>
      <c r="D24" s="5">
        <v>6.0000000000000001E-3</v>
      </c>
      <c r="E24" s="472">
        <v>0.01</v>
      </c>
    </row>
    <row r="25" spans="1:5" x14ac:dyDescent="0.2">
      <c r="A25" s="5">
        <v>4</v>
      </c>
      <c r="B25" s="41" t="s">
        <v>226</v>
      </c>
      <c r="C25" s="472">
        <v>5.0000000000000001E-3</v>
      </c>
      <c r="D25" s="5">
        <v>6.0000000000000001E-3</v>
      </c>
      <c r="E25" s="472">
        <v>0.01</v>
      </c>
    </row>
    <row r="26" spans="1:5" x14ac:dyDescent="0.2">
      <c r="A26" s="5">
        <v>4.5</v>
      </c>
      <c r="B26" s="41" t="s">
        <v>226</v>
      </c>
      <c r="C26" s="472">
        <v>5.0000000000000001E-3</v>
      </c>
      <c r="D26" s="5">
        <v>6.0000000000000001E-3</v>
      </c>
      <c r="E26" s="472">
        <v>0.01</v>
      </c>
    </row>
    <row r="27" spans="1:5" x14ac:dyDescent="0.2">
      <c r="A27" s="5">
        <v>5</v>
      </c>
      <c r="B27" s="41" t="s">
        <v>226</v>
      </c>
      <c r="C27" s="472">
        <v>5.0000000000000001E-3</v>
      </c>
      <c r="D27" s="5">
        <v>6.0000000000000001E-3</v>
      </c>
      <c r="E27" s="472">
        <v>0.01</v>
      </c>
    </row>
    <row r="28" spans="1:5" x14ac:dyDescent="0.2">
      <c r="A28" s="5">
        <v>5.5</v>
      </c>
      <c r="B28" s="41" t="s">
        <v>226</v>
      </c>
      <c r="C28" s="472">
        <v>5.0000000000000001E-3</v>
      </c>
      <c r="D28" s="5">
        <v>6.0000000000000001E-3</v>
      </c>
      <c r="E28" s="472">
        <v>0.01</v>
      </c>
    </row>
    <row r="29" spans="1:5" x14ac:dyDescent="0.2">
      <c r="A29" s="5">
        <v>6</v>
      </c>
      <c r="B29" s="41" t="s">
        <v>226</v>
      </c>
      <c r="C29" s="472">
        <v>5.0000000000000001E-3</v>
      </c>
      <c r="D29" s="5">
        <v>6.0000000000000001E-3</v>
      </c>
      <c r="E29" s="472">
        <v>0.01</v>
      </c>
    </row>
    <row r="30" spans="1:5" x14ac:dyDescent="0.2">
      <c r="A30" s="5">
        <v>8</v>
      </c>
      <c r="B30" s="41" t="s">
        <v>226</v>
      </c>
      <c r="C30" s="472">
        <v>5.0000000000000001E-3</v>
      </c>
      <c r="D30" s="5">
        <v>6.0000000000000001E-3</v>
      </c>
      <c r="E30" s="472">
        <v>0.01</v>
      </c>
    </row>
    <row r="32" spans="1:5" x14ac:dyDescent="0.2">
      <c r="A32" t="s">
        <v>227</v>
      </c>
    </row>
  </sheetData>
  <sheetProtection sheet="1" objects="1" scenarios="1" selectLockedCells="1"/>
  <mergeCells count="1">
    <mergeCell ref="B2:E2"/>
  </mergeCells>
  <phoneticPr fontId="13" type="noConversion"/>
  <conditionalFormatting sqref="A4:E30">
    <cfRule type="expression" dxfId="100" priority="1" stopIfTrue="1">
      <formula>MOD(ROW(),2)=1</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8131" r:id="rId3" name="Button 3">
              <controlPr defaultSize="0" print="0" autoFill="0" autoPict="0" macro="[0]!ReturnToMain">
                <anchor moveWithCells="1" sizeWithCells="1">
                  <from>
                    <xdr:col>0</xdr:col>
                    <xdr:colOff>28575</xdr:colOff>
                    <xdr:row>0</xdr:row>
                    <xdr:rowOff>19050</xdr:rowOff>
                  </from>
                  <to>
                    <xdr:col>1</xdr:col>
                    <xdr:colOff>495300</xdr:colOff>
                    <xdr:row>0</xdr:row>
                    <xdr:rowOff>152400</xdr:rowOff>
                  </to>
                </anchor>
              </controlPr>
            </control>
          </mc:Choice>
        </mc:AlternateContent>
        <mc:AlternateContent xmlns:mc="http://schemas.openxmlformats.org/markup-compatibility/2006">
          <mc:Choice Requires="x14">
            <control shapeId="48132" r:id="rId4" name="Button 4">
              <controlPr defaultSize="0" print="0" autoFill="0" autoPict="0" macro="[0]!MetricThreadPlugCalc">
                <anchor moveWithCells="1" sizeWithCells="1">
                  <from>
                    <xdr:col>1</xdr:col>
                    <xdr:colOff>561975</xdr:colOff>
                    <xdr:row>0</xdr:row>
                    <xdr:rowOff>19050</xdr:rowOff>
                  </from>
                  <to>
                    <xdr:col>2</xdr:col>
                    <xdr:colOff>561975</xdr:colOff>
                    <xdr:row>0</xdr:row>
                    <xdr:rowOff>152400</xdr:rowOff>
                  </to>
                </anchor>
              </controlPr>
            </control>
          </mc:Choice>
        </mc:AlternateContent>
        <mc:AlternateContent xmlns:mc="http://schemas.openxmlformats.org/markup-compatibility/2006">
          <mc:Choice Requires="x14">
            <control shapeId="48133" r:id="rId5" name="Button 5">
              <controlPr defaultSize="0" print="0" autoFill="0" autoPict="0" macro="[0]!MetricPDs">
                <anchor moveWithCells="1" sizeWithCells="1">
                  <from>
                    <xdr:col>3</xdr:col>
                    <xdr:colOff>714375</xdr:colOff>
                    <xdr:row>0</xdr:row>
                    <xdr:rowOff>19050</xdr:rowOff>
                  </from>
                  <to>
                    <xdr:col>4</xdr:col>
                    <xdr:colOff>714375</xdr:colOff>
                    <xdr:row>0</xdr:row>
                    <xdr:rowOff>152400</xdr:rowOff>
                  </to>
                </anchor>
              </controlPr>
            </control>
          </mc:Choice>
        </mc:AlternateContent>
        <mc:AlternateContent xmlns:mc="http://schemas.openxmlformats.org/markup-compatibility/2006">
          <mc:Choice Requires="x14">
            <control shapeId="48134" r:id="rId6" name="Button 6">
              <controlPr defaultSize="0" print="0" autoFill="0" autoPict="0" macro="[0]!MetricThreadPlugTolX">
                <anchor moveWithCells="1" sizeWithCells="1">
                  <from>
                    <xdr:col>2</xdr:col>
                    <xdr:colOff>619125</xdr:colOff>
                    <xdr:row>0</xdr:row>
                    <xdr:rowOff>19050</xdr:rowOff>
                  </from>
                  <to>
                    <xdr:col>3</xdr:col>
                    <xdr:colOff>647700</xdr:colOff>
                    <xdr:row>0</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indexed="16"/>
  </sheetPr>
  <dimension ref="A1:J16"/>
  <sheetViews>
    <sheetView workbookViewId="0">
      <selection activeCell="A16" sqref="A16"/>
    </sheetView>
  </sheetViews>
  <sheetFormatPr defaultRowHeight="12.75" x14ac:dyDescent="0.2"/>
  <cols>
    <col min="1" max="1" width="24" bestFit="1" customWidth="1"/>
    <col min="2" max="2" width="22.85546875" bestFit="1" customWidth="1"/>
    <col min="3" max="5" width="10.28515625" bestFit="1" customWidth="1"/>
    <col min="6" max="6" width="13.140625" customWidth="1"/>
  </cols>
  <sheetData>
    <row r="1" spans="1:10" ht="24" customHeight="1" thickBot="1" x14ac:dyDescent="0.25"/>
    <row r="2" spans="1:10" ht="15.75" x14ac:dyDescent="0.25">
      <c r="A2" s="1128" t="s">
        <v>229</v>
      </c>
      <c r="B2" s="1129"/>
      <c r="C2" s="1129"/>
      <c r="D2" s="1129"/>
      <c r="E2" s="1129"/>
      <c r="F2" s="1130"/>
      <c r="J2" s="335"/>
    </row>
    <row r="3" spans="1:10" x14ac:dyDescent="0.2">
      <c r="A3" s="840" t="s">
        <v>230</v>
      </c>
      <c r="B3" s="841" t="s">
        <v>231</v>
      </c>
      <c r="C3" s="841" t="s">
        <v>117</v>
      </c>
      <c r="D3" s="841" t="s">
        <v>232</v>
      </c>
      <c r="E3" s="841" t="s">
        <v>233</v>
      </c>
      <c r="F3" s="842" t="s">
        <v>234</v>
      </c>
    </row>
    <row r="4" spans="1:10" x14ac:dyDescent="0.2">
      <c r="A4" s="843" t="s">
        <v>235</v>
      </c>
      <c r="B4" s="845" t="s">
        <v>236</v>
      </c>
      <c r="C4" s="845" t="s">
        <v>237</v>
      </c>
      <c r="D4" s="845" t="s">
        <v>238</v>
      </c>
      <c r="E4" s="845" t="s">
        <v>239</v>
      </c>
      <c r="F4" s="846" t="s">
        <v>240</v>
      </c>
    </row>
    <row r="5" spans="1:10" x14ac:dyDescent="0.2">
      <c r="A5" s="843" t="s">
        <v>241</v>
      </c>
      <c r="B5" s="847" t="s">
        <v>242</v>
      </c>
      <c r="C5" s="847" t="s">
        <v>238</v>
      </c>
      <c r="D5" s="847" t="s">
        <v>243</v>
      </c>
      <c r="E5" s="847" t="s">
        <v>244</v>
      </c>
      <c r="F5" s="848" t="s">
        <v>245</v>
      </c>
    </row>
    <row r="6" spans="1:10" x14ac:dyDescent="0.2">
      <c r="A6" s="843" t="s">
        <v>246</v>
      </c>
      <c r="B6" s="845" t="s">
        <v>237</v>
      </c>
      <c r="C6" s="845" t="s">
        <v>247</v>
      </c>
      <c r="D6" s="845" t="s">
        <v>244</v>
      </c>
      <c r="E6" s="845" t="s">
        <v>248</v>
      </c>
      <c r="F6" s="846" t="s">
        <v>249</v>
      </c>
    </row>
    <row r="7" spans="1:10" x14ac:dyDescent="0.2">
      <c r="A7" s="843" t="s">
        <v>250</v>
      </c>
      <c r="B7" s="847" t="s">
        <v>251</v>
      </c>
      <c r="C7" s="847" t="s">
        <v>239</v>
      </c>
      <c r="D7" s="847" t="s">
        <v>252</v>
      </c>
      <c r="E7" s="847" t="s">
        <v>240</v>
      </c>
      <c r="F7" s="848" t="s">
        <v>253</v>
      </c>
    </row>
    <row r="8" spans="1:10" x14ac:dyDescent="0.2">
      <c r="A8" s="843" t="s">
        <v>254</v>
      </c>
      <c r="B8" s="845" t="s">
        <v>255</v>
      </c>
      <c r="C8" s="845" t="s">
        <v>256</v>
      </c>
      <c r="D8" s="845" t="s">
        <v>257</v>
      </c>
      <c r="E8" s="845" t="s">
        <v>258</v>
      </c>
      <c r="F8" s="846" t="s">
        <v>259</v>
      </c>
    </row>
    <row r="9" spans="1:10" x14ac:dyDescent="0.2">
      <c r="A9" s="844"/>
      <c r="B9" s="847"/>
      <c r="C9" s="847"/>
      <c r="D9" s="847"/>
      <c r="E9" s="847"/>
      <c r="F9" s="848"/>
    </row>
    <row r="10" spans="1:10" x14ac:dyDescent="0.2">
      <c r="A10" s="311" t="s">
        <v>260</v>
      </c>
      <c r="B10" s="845" t="s">
        <v>261</v>
      </c>
      <c r="C10" s="845" t="s">
        <v>262</v>
      </c>
      <c r="D10" s="845" t="s">
        <v>263</v>
      </c>
      <c r="E10" s="845" t="s">
        <v>264</v>
      </c>
      <c r="F10" s="846" t="s">
        <v>265</v>
      </c>
    </row>
    <row r="11" spans="1:10" x14ac:dyDescent="0.2">
      <c r="A11" s="311" t="s">
        <v>266</v>
      </c>
      <c r="B11" s="847" t="s">
        <v>267</v>
      </c>
      <c r="C11" s="847" t="s">
        <v>268</v>
      </c>
      <c r="D11" s="847" t="s">
        <v>269</v>
      </c>
      <c r="E11" s="847" t="s">
        <v>270</v>
      </c>
      <c r="F11" s="848" t="s">
        <v>271</v>
      </c>
      <c r="J11" s="335"/>
    </row>
    <row r="12" spans="1:10" x14ac:dyDescent="0.2">
      <c r="A12" s="311" t="s">
        <v>272</v>
      </c>
      <c r="B12" s="845" t="s">
        <v>262</v>
      </c>
      <c r="C12" s="845" t="s">
        <v>273</v>
      </c>
      <c r="D12" s="845" t="s">
        <v>270</v>
      </c>
      <c r="E12" s="845" t="s">
        <v>274</v>
      </c>
      <c r="F12" s="846" t="s">
        <v>275</v>
      </c>
    </row>
    <row r="13" spans="1:10" ht="13.5" thickBot="1" x14ac:dyDescent="0.25">
      <c r="A13" s="489" t="s">
        <v>276</v>
      </c>
      <c r="B13" s="849" t="s">
        <v>277</v>
      </c>
      <c r="C13" s="849" t="s">
        <v>264</v>
      </c>
      <c r="D13" s="849" t="s">
        <v>278</v>
      </c>
      <c r="E13" s="849" t="s">
        <v>265</v>
      </c>
      <c r="F13" s="850" t="s">
        <v>279</v>
      </c>
    </row>
    <row r="15" spans="1:10" x14ac:dyDescent="0.2">
      <c r="A15" s="1" t="s">
        <v>280</v>
      </c>
      <c r="B15" s="313" t="s">
        <v>281</v>
      </c>
    </row>
    <row r="16" spans="1:10" x14ac:dyDescent="0.2">
      <c r="A16" s="2"/>
      <c r="B16" s="5">
        <f>A16*25.4</f>
        <v>0</v>
      </c>
    </row>
  </sheetData>
  <sheetProtection sheet="1" objects="1" scenarios="1" selectLockedCells="1"/>
  <mergeCells count="1">
    <mergeCell ref="A2:F2"/>
  </mergeCells>
  <phoneticPr fontId="13"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4" r:id="rId4" name="Button 4">
              <controlPr defaultSize="0" print="0" autoFill="0" autoPict="0" macro="[0]!ReturnToMain">
                <anchor moveWithCells="1" sizeWithCells="1">
                  <from>
                    <xdr:col>0</xdr:col>
                    <xdr:colOff>9525</xdr:colOff>
                    <xdr:row>0</xdr:row>
                    <xdr:rowOff>9525</xdr:rowOff>
                  </from>
                  <to>
                    <xdr:col>0</xdr:col>
                    <xdr:colOff>790575</xdr:colOff>
                    <xdr:row>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30"/>
  </sheetPr>
  <dimension ref="A1:J62"/>
  <sheetViews>
    <sheetView workbookViewId="0">
      <selection activeCell="H9" sqref="H9"/>
    </sheetView>
  </sheetViews>
  <sheetFormatPr defaultRowHeight="12.75" x14ac:dyDescent="0.2"/>
  <cols>
    <col min="1" max="1" width="21.5703125" customWidth="1"/>
    <col min="3" max="3" width="16" customWidth="1"/>
    <col min="5" max="5" width="12.85546875" customWidth="1"/>
    <col min="8" max="8" width="10.5703125" customWidth="1"/>
    <col min="9" max="9" width="22.42578125" customWidth="1"/>
    <col min="10" max="10" width="20.42578125" bestFit="1" customWidth="1"/>
  </cols>
  <sheetData>
    <row r="1" spans="1:10" s="10" customFormat="1" ht="25.5" customHeight="1" thickBot="1" x14ac:dyDescent="0.25"/>
    <row r="2" spans="1:10" s="10" customFormat="1" ht="18.75" thickBot="1" x14ac:dyDescent="0.3">
      <c r="A2" s="1131" t="s">
        <v>282</v>
      </c>
      <c r="B2" s="1132"/>
      <c r="C2" s="1132"/>
      <c r="D2" s="1132"/>
      <c r="E2" s="1132"/>
      <c r="F2" s="1132"/>
      <c r="G2" s="1132"/>
      <c r="H2" s="1132"/>
      <c r="I2" s="1132"/>
      <c r="J2" s="1133"/>
    </row>
    <row r="3" spans="1:10" s="10" customFormat="1" ht="18.75" thickBot="1" x14ac:dyDescent="0.3">
      <c r="A3" s="1137" t="s">
        <v>283</v>
      </c>
      <c r="B3" s="1138"/>
      <c r="C3" s="1138"/>
      <c r="D3" s="1138"/>
      <c r="E3" s="1138"/>
      <c r="F3" s="1138"/>
      <c r="G3" s="1138"/>
      <c r="H3" s="1138"/>
      <c r="I3" s="1138"/>
      <c r="J3" s="1139"/>
    </row>
    <row r="4" spans="1:10" ht="13.5" thickBot="1" x14ac:dyDescent="0.25">
      <c r="A4" s="1134" t="s">
        <v>284</v>
      </c>
      <c r="B4" s="1135"/>
      <c r="C4" s="1135"/>
      <c r="D4" s="1135"/>
      <c r="E4" s="1135"/>
      <c r="F4" s="1135"/>
      <c r="G4" s="1135"/>
      <c r="H4" s="1135"/>
      <c r="I4" s="1135"/>
      <c r="J4" s="1136"/>
    </row>
    <row r="5" spans="1:10" ht="16.5" thickBot="1" x14ac:dyDescent="0.3">
      <c r="A5" s="25" t="s">
        <v>285</v>
      </c>
      <c r="B5" s="26" t="s">
        <v>286</v>
      </c>
      <c r="C5" s="26" t="s">
        <v>287</v>
      </c>
      <c r="D5" s="26" t="s">
        <v>288</v>
      </c>
      <c r="E5" s="26" t="s">
        <v>289</v>
      </c>
      <c r="F5" s="26" t="s">
        <v>290</v>
      </c>
      <c r="G5" s="26" t="s">
        <v>291</v>
      </c>
      <c r="H5" s="27" t="s">
        <v>292</v>
      </c>
      <c r="I5" s="495" t="s">
        <v>293</v>
      </c>
      <c r="J5" s="495" t="s">
        <v>294</v>
      </c>
    </row>
    <row r="6" spans="1:10" x14ac:dyDescent="0.2">
      <c r="A6" s="736">
        <v>6.25E-2</v>
      </c>
      <c r="B6" s="29">
        <v>0.3125</v>
      </c>
      <c r="C6" s="30">
        <v>27</v>
      </c>
      <c r="D6" s="31">
        <v>0.27117999999999998</v>
      </c>
      <c r="E6" s="31">
        <v>2.0000000000000001E-4</v>
      </c>
      <c r="F6" s="31">
        <f>D6-E6</f>
        <v>0.27098</v>
      </c>
      <c r="G6" s="31">
        <f t="shared" ref="G6:G20" si="0">D6+E6</f>
        <v>0.27137999999999995</v>
      </c>
      <c r="H6" s="824"/>
      <c r="I6" s="33" t="s">
        <v>295</v>
      </c>
      <c r="J6" s="743">
        <f>((H6-'X600 Block Standard Info'!$D$9)/0.99951)-VLOOKUP(C6,'JGI Thread Wire Sizes-Constants'!A$3:C$30, 3, FALSE)</f>
        <v>-1.0325502402177067</v>
      </c>
    </row>
    <row r="7" spans="1:10" x14ac:dyDescent="0.2">
      <c r="A7" s="731">
        <v>0.125</v>
      </c>
      <c r="B7" s="35">
        <v>0.40500000000000003</v>
      </c>
      <c r="C7" s="36">
        <v>27</v>
      </c>
      <c r="D7" s="37">
        <v>0.36351</v>
      </c>
      <c r="E7" s="37">
        <v>2.0000000000000001E-4</v>
      </c>
      <c r="F7" s="37">
        <f t="shared" ref="F7:F20" si="1">D7-E7</f>
        <v>0.36331000000000002</v>
      </c>
      <c r="G7" s="37">
        <f t="shared" si="0"/>
        <v>0.36370999999999998</v>
      </c>
      <c r="H7" s="825">
        <v>1.3952800000000001</v>
      </c>
      <c r="I7" s="38" t="s">
        <v>295</v>
      </c>
      <c r="J7" s="743">
        <f>((H7-'X600 Block Standard Info'!$D$9)/0.99951)-VLOOKUP(C7,'JGI Thread Wire Sizes-Constants'!A$3:C$30, 3, FALSE)</f>
        <v>0.3634137821532552</v>
      </c>
    </row>
    <row r="8" spans="1:10" x14ac:dyDescent="0.2">
      <c r="A8" s="732">
        <v>0.25</v>
      </c>
      <c r="B8" s="40">
        <v>0.54</v>
      </c>
      <c r="C8" s="41">
        <v>18</v>
      </c>
      <c r="D8" s="5">
        <v>0.47738999999999998</v>
      </c>
      <c r="E8" s="5">
        <v>2.0000000000000001E-4</v>
      </c>
      <c r="F8" s="5">
        <f t="shared" si="1"/>
        <v>0.47719</v>
      </c>
      <c r="G8" s="5">
        <f t="shared" si="0"/>
        <v>0.47758999999999996</v>
      </c>
      <c r="H8" s="826">
        <v>1.52532</v>
      </c>
      <c r="I8" s="128">
        <f>((H8-'X600 Block Standard Info'!$D$10)/0.99951)-VLOOKUP(C8,'JGI Thread Wire Sizes-Constants'!A$3:C$30, 3, FALSE)</f>
        <v>0.47745753789356782</v>
      </c>
      <c r="J8" s="733" t="s">
        <v>295</v>
      </c>
    </row>
    <row r="9" spans="1:10" x14ac:dyDescent="0.2">
      <c r="A9" s="731">
        <v>0.375</v>
      </c>
      <c r="B9" s="35">
        <v>0.67500000000000004</v>
      </c>
      <c r="C9" s="36">
        <v>18</v>
      </c>
      <c r="D9" s="37">
        <v>0.61201000000000005</v>
      </c>
      <c r="E9" s="37">
        <v>2.0000000000000001E-4</v>
      </c>
      <c r="F9" s="37">
        <f t="shared" si="1"/>
        <v>0.61181000000000008</v>
      </c>
      <c r="G9" s="37">
        <f t="shared" si="0"/>
        <v>0.61221000000000003</v>
      </c>
      <c r="H9" s="827">
        <v>1.6597</v>
      </c>
      <c r="I9" s="128">
        <f>((H9-'X600 Block Standard Info'!$D$10)/0.99951)-VLOOKUP(C9,'JGI Thread Wire Sizes-Constants'!A$3:C$30, 3, FALSE)</f>
        <v>0.61190341637402312</v>
      </c>
      <c r="J9" s="733" t="s">
        <v>295</v>
      </c>
    </row>
    <row r="10" spans="1:10" x14ac:dyDescent="0.2">
      <c r="A10" s="732">
        <v>0.5</v>
      </c>
      <c r="B10" s="40">
        <v>0.84</v>
      </c>
      <c r="C10" s="41">
        <v>14</v>
      </c>
      <c r="D10" s="5">
        <v>0.75843000000000005</v>
      </c>
      <c r="E10" s="5">
        <v>2.9999999999999997E-4</v>
      </c>
      <c r="F10" s="5">
        <f t="shared" si="1"/>
        <v>0.75813000000000008</v>
      </c>
      <c r="G10" s="5">
        <f t="shared" si="0"/>
        <v>0.75873000000000002</v>
      </c>
      <c r="H10" s="826">
        <v>1.81986</v>
      </c>
      <c r="I10" s="128">
        <f>((H10-'X600 Block Standard Info'!$D$10)/0.99951)-VLOOKUP(C10,'JGI Thread Wire Sizes-Constants'!A$3:C$30, 3, FALSE)</f>
        <v>0.75847193324729123</v>
      </c>
      <c r="J10" s="733" t="s">
        <v>295</v>
      </c>
    </row>
    <row r="11" spans="1:10" x14ac:dyDescent="0.2">
      <c r="A11" s="731">
        <v>0.75</v>
      </c>
      <c r="B11" s="35">
        <v>1.05</v>
      </c>
      <c r="C11" s="36">
        <v>14</v>
      </c>
      <c r="D11" s="37">
        <v>0.96767999999999998</v>
      </c>
      <c r="E11" s="37">
        <v>2.9999999999999997E-4</v>
      </c>
      <c r="F11" s="37">
        <f t="shared" si="1"/>
        <v>0.96738000000000002</v>
      </c>
      <c r="G11" s="37">
        <f t="shared" si="0"/>
        <v>0.96797999999999995</v>
      </c>
      <c r="H11" s="827">
        <v>2.0289999999999999</v>
      </c>
      <c r="I11" s="128">
        <f>((H11-'X600 Block Standard Info'!$D$10)/0.99951)-VLOOKUP(C11,'JGI Thread Wire Sizes-Constants'!A$3:C$30, 3, FALSE)</f>
        <v>0.96771446208642231</v>
      </c>
      <c r="J11" s="733" t="s">
        <v>295</v>
      </c>
    </row>
    <row r="12" spans="1:10" x14ac:dyDescent="0.2">
      <c r="A12" s="732">
        <v>1</v>
      </c>
      <c r="B12" s="40">
        <v>1.3149999999999999</v>
      </c>
      <c r="C12" s="41">
        <v>11.5</v>
      </c>
      <c r="D12" s="5">
        <v>1.21363</v>
      </c>
      <c r="E12" s="5">
        <v>2.9999999999999997E-4</v>
      </c>
      <c r="F12" s="5">
        <f t="shared" si="1"/>
        <v>1.21333</v>
      </c>
      <c r="G12" s="5">
        <f t="shared" si="0"/>
        <v>1.21393</v>
      </c>
      <c r="H12" s="826">
        <v>2.2881800000000001</v>
      </c>
      <c r="I12" s="128">
        <f>((H12-'X600 Block Standard Info'!$D$10)/0.99951)-VLOOKUP(C12,'JGI Thread Wire Sizes-Constants'!A$3:C$30, 3, FALSE)</f>
        <v>1.2135015225460477</v>
      </c>
      <c r="J12" s="733" t="s">
        <v>295</v>
      </c>
    </row>
    <row r="13" spans="1:10" x14ac:dyDescent="0.2">
      <c r="A13" s="731">
        <v>1.25</v>
      </c>
      <c r="B13" s="35">
        <v>1.66</v>
      </c>
      <c r="C13" s="36">
        <v>11.5</v>
      </c>
      <c r="D13" s="37">
        <v>1.5571299999999999</v>
      </c>
      <c r="E13" s="37">
        <v>2.9999999999999997E-4</v>
      </c>
      <c r="F13" s="37">
        <f t="shared" si="1"/>
        <v>1.5568299999999999</v>
      </c>
      <c r="G13" s="37">
        <f t="shared" si="0"/>
        <v>1.5574299999999999</v>
      </c>
      <c r="H13" s="827">
        <v>2.6318199999999998</v>
      </c>
      <c r="I13" s="128">
        <f>((H13-'X600 Block Standard Info'!$D$10)/0.99951)-VLOOKUP(C13,'JGI Thread Wire Sizes-Constants'!A$3:C$30, 3, FALSE)</f>
        <v>1.5573099886944601</v>
      </c>
      <c r="J13" s="733" t="s">
        <v>295</v>
      </c>
    </row>
    <row r="14" spans="1:10" x14ac:dyDescent="0.2">
      <c r="A14" s="732">
        <v>1.5</v>
      </c>
      <c r="B14" s="40">
        <v>1.9</v>
      </c>
      <c r="C14" s="41">
        <v>11.5</v>
      </c>
      <c r="D14" s="5">
        <v>1.79609</v>
      </c>
      <c r="E14" s="5">
        <v>2.9999999999999997E-4</v>
      </c>
      <c r="F14" s="5">
        <f t="shared" si="1"/>
        <v>1.79579</v>
      </c>
      <c r="G14" s="5">
        <f t="shared" si="0"/>
        <v>1.7963899999999999</v>
      </c>
      <c r="H14" s="826">
        <v>2.8704499999999999</v>
      </c>
      <c r="I14" s="128">
        <f>((H14-'X600 Block Standard Info'!$D$10)/0.99951)-VLOOKUP(C14,'JGI Thread Wire Sizes-Constants'!A$3:C$30, 3, FALSE)</f>
        <v>1.7960569747176116</v>
      </c>
      <c r="J14" s="733" t="s">
        <v>295</v>
      </c>
    </row>
    <row r="15" spans="1:10" x14ac:dyDescent="0.2">
      <c r="A15" s="731">
        <v>2</v>
      </c>
      <c r="B15" s="35">
        <v>2.375</v>
      </c>
      <c r="C15" s="36">
        <v>11.5</v>
      </c>
      <c r="D15" s="37">
        <v>2.2690199999999998</v>
      </c>
      <c r="E15" s="37">
        <v>2.9999999999999997E-4</v>
      </c>
      <c r="F15" s="37">
        <f t="shared" si="1"/>
        <v>2.2687199999999996</v>
      </c>
      <c r="G15" s="37">
        <f t="shared" si="0"/>
        <v>2.26932</v>
      </c>
      <c r="H15" s="827"/>
      <c r="I15" s="128">
        <f>((H15-'X600 Block Standard Info'!$D$10)/0.99951)-VLOOKUP(C15,'JGI Thread Wire Sizes-Constants'!A$3:C$30, 3, FALSE)</f>
        <v>-1.0758002353153047</v>
      </c>
      <c r="J15" s="733" t="s">
        <v>295</v>
      </c>
    </row>
    <row r="16" spans="1:10" x14ac:dyDescent="0.2">
      <c r="A16" s="732">
        <v>2.5</v>
      </c>
      <c r="B16" s="40">
        <v>2.875</v>
      </c>
      <c r="C16" s="41">
        <v>8</v>
      </c>
      <c r="D16" s="5">
        <v>2.7195299999999998</v>
      </c>
      <c r="E16" s="5">
        <v>5.0000000000000001E-4</v>
      </c>
      <c r="F16" s="5">
        <f t="shared" si="1"/>
        <v>2.7190299999999996</v>
      </c>
      <c r="G16" s="5">
        <f t="shared" si="0"/>
        <v>2.7200299999999999</v>
      </c>
      <c r="H16" s="826"/>
      <c r="I16" s="128">
        <f>((H16-'X600 Block Standard Info'!$D$10)/0.99951)-VLOOKUP(C16,'JGI Thread Wire Sizes-Constants'!A$3:C$30, 3, FALSE)</f>
        <v>-1.1086802353153047</v>
      </c>
      <c r="J16" s="733" t="s">
        <v>295</v>
      </c>
    </row>
    <row r="17" spans="1:10" x14ac:dyDescent="0.2">
      <c r="A17" s="731">
        <v>3</v>
      </c>
      <c r="B17" s="35">
        <v>3.5</v>
      </c>
      <c r="C17" s="36">
        <v>8</v>
      </c>
      <c r="D17" s="37">
        <v>3.3406199999999999</v>
      </c>
      <c r="E17" s="37">
        <v>5.0000000000000001E-4</v>
      </c>
      <c r="F17" s="37">
        <f t="shared" si="1"/>
        <v>3.3401199999999998</v>
      </c>
      <c r="G17" s="37">
        <f t="shared" si="0"/>
        <v>3.3411200000000001</v>
      </c>
      <c r="H17" s="827">
        <v>4.4473500000000001</v>
      </c>
      <c r="I17" s="128">
        <f>((H17-'X600 Block Standard Info'!$D$10)/0.99951)-VLOOKUP(C17,'JGI Thread Wire Sizes-Constants'!A$3:C$30, 3, FALSE)</f>
        <v>3.3408500345169134</v>
      </c>
      <c r="J17" s="733" t="s">
        <v>295</v>
      </c>
    </row>
    <row r="18" spans="1:10" x14ac:dyDescent="0.2">
      <c r="A18" s="732">
        <v>3.5</v>
      </c>
      <c r="B18" s="40">
        <v>4</v>
      </c>
      <c r="C18" s="41">
        <v>8</v>
      </c>
      <c r="D18" s="5">
        <v>3.8374999999999999</v>
      </c>
      <c r="E18" s="5">
        <v>5.0000000000000001E-4</v>
      </c>
      <c r="F18" s="5">
        <f t="shared" si="1"/>
        <v>3.8369999999999997</v>
      </c>
      <c r="G18" s="5">
        <f t="shared" si="0"/>
        <v>3.8380000000000001</v>
      </c>
      <c r="H18" s="826"/>
      <c r="I18" s="128">
        <f>((H18-'X600 Block Standard Info'!$D$10)/0.99951)-VLOOKUP(C18,'JGI Thread Wire Sizes-Constants'!A$3:C$30, 3, FALSE)</f>
        <v>-1.1086802353153047</v>
      </c>
      <c r="J18" s="733" t="s">
        <v>295</v>
      </c>
    </row>
    <row r="19" spans="1:10" x14ac:dyDescent="0.2">
      <c r="A19" s="731">
        <v>4</v>
      </c>
      <c r="B19" s="35">
        <v>4.5</v>
      </c>
      <c r="C19" s="36">
        <v>8</v>
      </c>
      <c r="D19" s="37">
        <v>4.3343800000000003</v>
      </c>
      <c r="E19" s="37">
        <v>5.0000000000000001E-4</v>
      </c>
      <c r="F19" s="37">
        <f t="shared" si="1"/>
        <v>4.3338800000000006</v>
      </c>
      <c r="G19" s="37">
        <f t="shared" si="0"/>
        <v>4.3348800000000001</v>
      </c>
      <c r="H19" s="827"/>
      <c r="I19" s="128">
        <f>((H19-'X600 Block Standard Info'!$D$10)/0.99951)-VLOOKUP(C19,'JGI Thread Wire Sizes-Constants'!A$3:C$30, 3, FALSE)</f>
        <v>-1.1086802353153047</v>
      </c>
      <c r="J19" s="733" t="s">
        <v>295</v>
      </c>
    </row>
    <row r="20" spans="1:10" x14ac:dyDescent="0.2">
      <c r="A20" s="732">
        <v>5</v>
      </c>
      <c r="B20" s="40">
        <v>5.5629999999999997</v>
      </c>
      <c r="C20" s="41">
        <v>8</v>
      </c>
      <c r="D20" s="5">
        <v>5.3907299999999996</v>
      </c>
      <c r="E20" s="5">
        <v>5.0000000000000001E-4</v>
      </c>
      <c r="F20" s="5">
        <f t="shared" si="1"/>
        <v>5.3902299999999999</v>
      </c>
      <c r="G20" s="5">
        <f t="shared" si="0"/>
        <v>5.3912299999999993</v>
      </c>
      <c r="H20" s="826"/>
      <c r="I20" s="128">
        <f>((H20-'X600 Block Standard Info'!$D$10)/0.99951)-VLOOKUP(C20,'JGI Thread Wire Sizes-Constants'!A$3:C$30, 3, FALSE)</f>
        <v>-1.1086802353153047</v>
      </c>
      <c r="J20" s="733" t="s">
        <v>295</v>
      </c>
    </row>
    <row r="21" spans="1:10" x14ac:dyDescent="0.2">
      <c r="A21" s="1000" t="s">
        <v>296</v>
      </c>
      <c r="B21" s="86"/>
      <c r="C21" s="289"/>
      <c r="H21" s="60"/>
      <c r="I21" s="287"/>
      <c r="J21" s="609"/>
    </row>
    <row r="22" spans="1:10" x14ac:dyDescent="0.2">
      <c r="A22" s="1000" t="s">
        <v>297</v>
      </c>
      <c r="B22" s="86"/>
      <c r="C22" s="289"/>
      <c r="H22" s="60"/>
      <c r="I22" s="287"/>
      <c r="J22" s="609"/>
    </row>
    <row r="23" spans="1:10" ht="13.5" thickBot="1" x14ac:dyDescent="0.25">
      <c r="A23" s="737"/>
      <c r="B23" s="4"/>
      <c r="C23" s="4"/>
      <c r="D23" s="4"/>
      <c r="E23" s="4"/>
      <c r="F23" s="4"/>
      <c r="G23" s="4"/>
      <c r="H23" s="4"/>
      <c r="I23" s="4"/>
      <c r="J23" s="293"/>
    </row>
    <row r="24" spans="1:10" ht="18.75" thickBot="1" x14ac:dyDescent="0.3">
      <c r="A24" s="1137" t="s">
        <v>283</v>
      </c>
      <c r="B24" s="1138"/>
      <c r="C24" s="1138"/>
      <c r="D24" s="1138"/>
      <c r="E24" s="1138"/>
      <c r="F24" s="1138"/>
      <c r="G24" s="1138"/>
      <c r="H24" s="1138"/>
      <c r="I24" s="1138"/>
      <c r="J24" s="1139"/>
    </row>
    <row r="25" spans="1:10" ht="13.5" thickBot="1" x14ac:dyDescent="0.25">
      <c r="A25" s="1134" t="s">
        <v>298</v>
      </c>
      <c r="B25" s="1135"/>
      <c r="C25" s="1135"/>
      <c r="D25" s="1135"/>
      <c r="E25" s="1135"/>
      <c r="F25" s="1135"/>
      <c r="G25" s="1135"/>
      <c r="H25" s="1135"/>
      <c r="I25" s="1135"/>
      <c r="J25" s="1136"/>
    </row>
    <row r="26" spans="1:10" x14ac:dyDescent="0.2">
      <c r="A26" s="736">
        <v>6.25E-2</v>
      </c>
      <c r="B26" s="29"/>
      <c r="C26" s="30">
        <v>27</v>
      </c>
      <c r="D26" s="31">
        <v>0.26419999999999999</v>
      </c>
      <c r="E26" s="31">
        <v>2.0000000000000001E-4</v>
      </c>
      <c r="F26" s="31">
        <v>0.26419999999999999</v>
      </c>
      <c r="G26" s="31">
        <f>D26+E26</f>
        <v>0.26439999999999997</v>
      </c>
      <c r="H26" s="824"/>
      <c r="I26" s="33" t="s">
        <v>295</v>
      </c>
      <c r="J26" s="742">
        <f>((H26-'X600 Block Standard Info'!$D$9)/0.99951)-VLOOKUP(C26,'JGI Thread Wire Sizes-Constants'!A$3:C$30, 3, FALSE)</f>
        <v>-1.0325502402177067</v>
      </c>
    </row>
    <row r="27" spans="1:10" x14ac:dyDescent="0.2">
      <c r="A27" s="731">
        <v>0.125</v>
      </c>
      <c r="B27" s="35"/>
      <c r="C27" s="36">
        <v>27</v>
      </c>
      <c r="D27" s="37">
        <v>0.35659999999999997</v>
      </c>
      <c r="E27" s="37">
        <v>2.0000000000000001E-4</v>
      </c>
      <c r="F27" s="37">
        <v>0.35659999999999997</v>
      </c>
      <c r="G27" s="37">
        <f t="shared" ref="G27:G40" si="2">D27+E27</f>
        <v>0.35679999999999995</v>
      </c>
      <c r="H27" s="827"/>
      <c r="I27" s="38" t="s">
        <v>295</v>
      </c>
      <c r="J27" s="742">
        <f>((H27-'X600 Block Standard Info'!$D$9)/0.99951)-VLOOKUP(C27,'JGI Thread Wire Sizes-Constants'!A$3:C$30, 3, FALSE)</f>
        <v>-1.0325502402177067</v>
      </c>
    </row>
    <row r="28" spans="1:10" x14ac:dyDescent="0.2">
      <c r="A28" s="732">
        <v>0.25</v>
      </c>
      <c r="B28" s="40"/>
      <c r="C28" s="41">
        <v>18</v>
      </c>
      <c r="D28" s="5">
        <v>0.46700000000000003</v>
      </c>
      <c r="E28" s="5">
        <v>2.9999999999999997E-4</v>
      </c>
      <c r="F28" s="5">
        <v>0.46700000000000003</v>
      </c>
      <c r="G28" s="5">
        <f t="shared" si="2"/>
        <v>0.46730000000000005</v>
      </c>
      <c r="H28" s="826"/>
      <c r="I28" s="128">
        <f>((H28-'X600 Block Standard Info'!$D$10)/0.99951)-VLOOKUP(C28,'JGI Thread Wire Sizes-Constants'!A$3:C$30, 3, FALSE)</f>
        <v>-1.0486102353153046</v>
      </c>
      <c r="J28" s="733" t="s">
        <v>295</v>
      </c>
    </row>
    <row r="29" spans="1:10" x14ac:dyDescent="0.2">
      <c r="A29" s="731">
        <v>0.375</v>
      </c>
      <c r="B29" s="35"/>
      <c r="C29" s="36">
        <v>18</v>
      </c>
      <c r="D29" s="37">
        <v>0.60160000000000002</v>
      </c>
      <c r="E29" s="37">
        <v>2.9999999999999997E-4</v>
      </c>
      <c r="F29" s="37">
        <v>0.60160000000000002</v>
      </c>
      <c r="G29" s="37">
        <f t="shared" si="2"/>
        <v>0.60189999999999999</v>
      </c>
      <c r="H29" s="827"/>
      <c r="I29" s="128">
        <f>((H29-'X600 Block Standard Info'!$D$10)/0.99951)-VLOOKUP(C29,'JGI Thread Wire Sizes-Constants'!A$3:C$30, 3, FALSE)</f>
        <v>-1.0486102353153046</v>
      </c>
      <c r="J29" s="733" t="s">
        <v>295</v>
      </c>
    </row>
    <row r="30" spans="1:10" x14ac:dyDescent="0.2">
      <c r="A30" s="732">
        <v>0.5</v>
      </c>
      <c r="B30" s="40"/>
      <c r="C30" s="41">
        <v>14</v>
      </c>
      <c r="D30" s="5">
        <v>0.74509999999999998</v>
      </c>
      <c r="E30" s="5">
        <v>2.9999999999999997E-4</v>
      </c>
      <c r="F30" s="5">
        <v>0.74509999999999998</v>
      </c>
      <c r="G30" s="5">
        <f t="shared" si="2"/>
        <v>0.74539999999999995</v>
      </c>
      <c r="H30" s="826"/>
      <c r="I30" s="128">
        <f>((H30-'X600 Block Standard Info'!$D$10)/0.99951)-VLOOKUP(C30,'JGI Thread Wire Sizes-Constants'!A$3:C$30, 3, FALSE)</f>
        <v>-1.0622802353153047</v>
      </c>
      <c r="J30" s="733" t="s">
        <v>295</v>
      </c>
    </row>
    <row r="31" spans="1:10" x14ac:dyDescent="0.2">
      <c r="A31" s="731">
        <v>0.75</v>
      </c>
      <c r="B31" s="35"/>
      <c r="C31" s="36">
        <v>14</v>
      </c>
      <c r="D31" s="37">
        <v>0.95430000000000004</v>
      </c>
      <c r="E31" s="37">
        <v>2.9999999999999997E-4</v>
      </c>
      <c r="F31" s="37">
        <v>0.95430000000000004</v>
      </c>
      <c r="G31" s="37">
        <f t="shared" si="2"/>
        <v>0.9546</v>
      </c>
      <c r="H31" s="827"/>
      <c r="I31" s="128">
        <f>((H31-'X600 Block Standard Info'!$D$10)/0.99951)-VLOOKUP(C31,'JGI Thread Wire Sizes-Constants'!A$3:C$30, 3, FALSE)</f>
        <v>-1.0622802353153047</v>
      </c>
      <c r="J31" s="733" t="s">
        <v>295</v>
      </c>
    </row>
    <row r="32" spans="1:10" x14ac:dyDescent="0.2">
      <c r="A32" s="732">
        <v>1</v>
      </c>
      <c r="B32" s="40"/>
      <c r="C32" s="440">
        <v>11.5</v>
      </c>
      <c r="D32" s="5">
        <v>1.1973</v>
      </c>
      <c r="E32" s="5">
        <v>2.9999999999999997E-4</v>
      </c>
      <c r="F32" s="5">
        <v>1.1973</v>
      </c>
      <c r="G32" s="5">
        <f t="shared" si="2"/>
        <v>1.1976</v>
      </c>
      <c r="H32" s="826"/>
      <c r="I32" s="128">
        <f>((H32-'X600 Block Standard Info'!$D$10)/0.99951)-VLOOKUP(C32,'JGI Thread Wire Sizes-Constants'!A$3:C$30, 3, FALSE)</f>
        <v>-1.0758002353153047</v>
      </c>
      <c r="J32" s="733" t="s">
        <v>295</v>
      </c>
    </row>
    <row r="33" spans="1:10" x14ac:dyDescent="0.2">
      <c r="A33" s="731">
        <v>1.25</v>
      </c>
      <c r="B33" s="35"/>
      <c r="C33" s="441">
        <v>11.5</v>
      </c>
      <c r="D33" s="37">
        <v>1.5407999999999999</v>
      </c>
      <c r="E33" s="37">
        <v>2.9999999999999997E-4</v>
      </c>
      <c r="F33" s="37">
        <v>1.5407999999999999</v>
      </c>
      <c r="G33" s="37">
        <f t="shared" si="2"/>
        <v>1.5410999999999999</v>
      </c>
      <c r="H33" s="827"/>
      <c r="I33" s="128">
        <f>((H33-'X600 Block Standard Info'!$D$10)/0.99951)-VLOOKUP(C33,'JGI Thread Wire Sizes-Constants'!A$3:C$30, 3, FALSE)</f>
        <v>-1.0758002353153047</v>
      </c>
      <c r="J33" s="733" t="s">
        <v>295</v>
      </c>
    </row>
    <row r="34" spans="1:10" x14ac:dyDescent="0.2">
      <c r="A34" s="732">
        <v>1.5</v>
      </c>
      <c r="B34" s="40"/>
      <c r="C34" s="440">
        <v>11.5</v>
      </c>
      <c r="D34" s="5">
        <v>1.7798</v>
      </c>
      <c r="E34" s="5">
        <v>2.9999999999999997E-4</v>
      </c>
      <c r="F34" s="5">
        <v>1.7798</v>
      </c>
      <c r="G34" s="5">
        <f t="shared" si="2"/>
        <v>1.7801</v>
      </c>
      <c r="H34" s="826"/>
      <c r="I34" s="128">
        <f>((H34-'X600 Block Standard Info'!$D$10)/0.99951)-VLOOKUP(C34,'JGI Thread Wire Sizes-Constants'!A$3:C$30, 3, FALSE)</f>
        <v>-1.0758002353153047</v>
      </c>
      <c r="J34" s="733" t="s">
        <v>295</v>
      </c>
    </row>
    <row r="35" spans="1:10" x14ac:dyDescent="0.2">
      <c r="A35" s="731">
        <v>2</v>
      </c>
      <c r="B35" s="35"/>
      <c r="C35" s="441">
        <v>11.5</v>
      </c>
      <c r="D35" s="37">
        <v>2.2526999999999999</v>
      </c>
      <c r="E35" s="37">
        <v>2.9999999999999997E-4</v>
      </c>
      <c r="F35" s="37">
        <v>2.2526999999999999</v>
      </c>
      <c r="G35" s="37">
        <f t="shared" si="2"/>
        <v>2.2530000000000001</v>
      </c>
      <c r="H35" s="827"/>
      <c r="I35" s="128">
        <f>((H35-'X600 Block Standard Info'!$D$10)/0.99951)-VLOOKUP(C35,'JGI Thread Wire Sizes-Constants'!A$3:C$30, 3, FALSE)</f>
        <v>-1.0758002353153047</v>
      </c>
      <c r="J35" s="733" t="s">
        <v>295</v>
      </c>
    </row>
    <row r="36" spans="1:10" x14ac:dyDescent="0.2">
      <c r="A36" s="732">
        <v>2.5</v>
      </c>
      <c r="B36" s="40"/>
      <c r="C36" s="437">
        <v>8</v>
      </c>
      <c r="D36" s="5">
        <v>2.6960999999999999</v>
      </c>
      <c r="E36" s="5">
        <v>4.0000000000000002E-4</v>
      </c>
      <c r="F36" s="5">
        <v>2.6960999999999999</v>
      </c>
      <c r="G36" s="5">
        <f t="shared" si="2"/>
        <v>2.6964999999999999</v>
      </c>
      <c r="H36" s="826"/>
      <c r="I36" s="128">
        <f>((H36-'X600 Block Standard Info'!$D$10)/0.99951)-VLOOKUP(C36,'JGI Thread Wire Sizes-Constants'!A$3:C$30, 3, FALSE)</f>
        <v>-1.1086802353153047</v>
      </c>
      <c r="J36" s="733" t="s">
        <v>295</v>
      </c>
    </row>
    <row r="37" spans="1:10" x14ac:dyDescent="0.2">
      <c r="A37" s="731">
        <v>3</v>
      </c>
      <c r="B37" s="35"/>
      <c r="C37" s="438">
        <v>8</v>
      </c>
      <c r="D37" s="37">
        <v>3.3172000000000001</v>
      </c>
      <c r="E37" s="37">
        <v>4.0000000000000002E-4</v>
      </c>
      <c r="F37" s="37">
        <v>3.3172000000000001</v>
      </c>
      <c r="G37" s="37">
        <f t="shared" si="2"/>
        <v>3.3176000000000001</v>
      </c>
      <c r="H37" s="827"/>
      <c r="I37" s="128">
        <f>((H37-'X600 Block Standard Info'!$D$10)/0.99951)-VLOOKUP(C37,'JGI Thread Wire Sizes-Constants'!A$3:C$30, 3, FALSE)</f>
        <v>-1.1086802353153047</v>
      </c>
      <c r="J37" s="733" t="s">
        <v>295</v>
      </c>
    </row>
    <row r="38" spans="1:10" x14ac:dyDescent="0.2">
      <c r="A38" s="732">
        <v>3.5</v>
      </c>
      <c r="B38" s="40"/>
      <c r="C38" s="437">
        <v>8</v>
      </c>
      <c r="D38" s="5"/>
      <c r="E38" s="5"/>
      <c r="F38" s="5"/>
      <c r="G38" s="5">
        <f t="shared" si="2"/>
        <v>0</v>
      </c>
      <c r="H38" s="826"/>
      <c r="I38" s="128">
        <f>((H38-'X600 Block Standard Info'!$D$10)/0.99951)-VLOOKUP(C38,'JGI Thread Wire Sizes-Constants'!A$3:C$30, 3, FALSE)</f>
        <v>-1.1086802353153047</v>
      </c>
      <c r="J38" s="733" t="s">
        <v>295</v>
      </c>
    </row>
    <row r="39" spans="1:10" x14ac:dyDescent="0.2">
      <c r="A39" s="731">
        <v>4</v>
      </c>
      <c r="B39" s="35"/>
      <c r="C39" s="438">
        <v>8</v>
      </c>
      <c r="D39" s="37"/>
      <c r="E39" s="37"/>
      <c r="F39" s="37"/>
      <c r="G39" s="37">
        <f t="shared" si="2"/>
        <v>0</v>
      </c>
      <c r="H39" s="827"/>
      <c r="I39" s="128">
        <f>((H39-'X600 Block Standard Info'!$D$10)/0.99951)-VLOOKUP(C39,'JGI Thread Wire Sizes-Constants'!A$3:C$30, 3, FALSE)</f>
        <v>-1.1086802353153047</v>
      </c>
      <c r="J39" s="733" t="s">
        <v>295</v>
      </c>
    </row>
    <row r="40" spans="1:10" x14ac:dyDescent="0.2">
      <c r="A40" s="736">
        <v>5</v>
      </c>
      <c r="B40" s="29"/>
      <c r="C40" s="439">
        <v>8</v>
      </c>
      <c r="D40" s="5"/>
      <c r="E40" s="5"/>
      <c r="F40" s="5"/>
      <c r="G40" s="5">
        <f t="shared" si="2"/>
        <v>0</v>
      </c>
      <c r="H40" s="826"/>
      <c r="I40" s="128">
        <f>((H40-'X600 Block Standard Info'!$D$10)/0.99951)-VLOOKUP(C40,'JGI Thread Wire Sizes-Constants'!A$3:C$30, 3, FALSE)</f>
        <v>-1.1086802353153047</v>
      </c>
      <c r="J40" s="733" t="s">
        <v>295</v>
      </c>
    </row>
    <row r="41" spans="1:10" x14ac:dyDescent="0.2">
      <c r="A41" s="1001" t="s">
        <v>299</v>
      </c>
      <c r="J41" s="168"/>
    </row>
    <row r="42" spans="1:10" ht="13.5" thickBot="1" x14ac:dyDescent="0.25">
      <c r="A42" s="1002" t="s">
        <v>300</v>
      </c>
      <c r="B42" s="164"/>
      <c r="C42" s="164"/>
      <c r="D42" s="164"/>
      <c r="E42" s="164"/>
      <c r="F42" s="164"/>
      <c r="G42" s="164"/>
      <c r="H42" s="164"/>
      <c r="I42" s="164"/>
      <c r="J42" s="561"/>
    </row>
    <row r="43" spans="1:10" ht="13.5" thickBot="1" x14ac:dyDescent="0.25">
      <c r="A43" s="106"/>
      <c r="B43" s="106"/>
      <c r="C43" s="106"/>
      <c r="D43" s="106"/>
      <c r="E43" s="106"/>
      <c r="F43" s="106"/>
      <c r="G43" s="106"/>
      <c r="H43" s="106"/>
      <c r="I43" s="106"/>
      <c r="J43" s="106"/>
    </row>
    <row r="44" spans="1:10" ht="18.75" thickBot="1" x14ac:dyDescent="0.3">
      <c r="A44" s="1131" t="s">
        <v>301</v>
      </c>
      <c r="B44" s="1132"/>
      <c r="C44" s="1132"/>
      <c r="D44" s="1132"/>
      <c r="E44" s="1132"/>
      <c r="F44" s="1132"/>
      <c r="G44" s="1132"/>
      <c r="H44" s="1132"/>
      <c r="I44" s="1132"/>
      <c r="J44" s="1133"/>
    </row>
    <row r="45" spans="1:10" ht="13.5" thickBot="1" x14ac:dyDescent="0.25">
      <c r="A45" s="1134" t="s">
        <v>284</v>
      </c>
      <c r="B45" s="1135"/>
      <c r="C45" s="1135"/>
      <c r="D45" s="1135"/>
      <c r="E45" s="1135"/>
      <c r="F45" s="1135"/>
      <c r="G45" s="1135"/>
      <c r="H45" s="1135"/>
      <c r="I45" s="1135"/>
      <c r="J45" s="1136"/>
    </row>
    <row r="46" spans="1:10" ht="16.5" thickBot="1" x14ac:dyDescent="0.3">
      <c r="A46" s="25" t="s">
        <v>285</v>
      </c>
      <c r="B46" s="26" t="s">
        <v>286</v>
      </c>
      <c r="C46" s="26" t="s">
        <v>287</v>
      </c>
      <c r="D46" s="26" t="s">
        <v>288</v>
      </c>
      <c r="E46" s="26" t="s">
        <v>289</v>
      </c>
      <c r="F46" s="26" t="s">
        <v>290</v>
      </c>
      <c r="G46" s="26" t="s">
        <v>291</v>
      </c>
      <c r="H46" s="27" t="s">
        <v>292</v>
      </c>
      <c r="I46" s="495" t="s">
        <v>293</v>
      </c>
      <c r="J46" s="495" t="s">
        <v>294</v>
      </c>
    </row>
    <row r="47" spans="1:10" x14ac:dyDescent="0.2">
      <c r="A47" s="736">
        <v>6.25E-2</v>
      </c>
      <c r="B47" s="29">
        <v>0.3125</v>
      </c>
      <c r="C47" s="30">
        <v>27</v>
      </c>
      <c r="D47" s="31">
        <v>0.27117999999999998</v>
      </c>
      <c r="E47" s="31">
        <v>1E-4</v>
      </c>
      <c r="F47" s="31">
        <f>D47-E47</f>
        <v>0.27107999999999999</v>
      </c>
      <c r="G47" s="31">
        <f t="shared" ref="G47:G61" si="3">D47+E47</f>
        <v>0.27127999999999997</v>
      </c>
      <c r="H47" s="824"/>
      <c r="I47" s="33" t="s">
        <v>295</v>
      </c>
      <c r="J47" s="743">
        <f>((H47-0.99995)/0.99951)-VLOOKUP(C47,'JGI Thread Wire Sizes-Constants'!A$3:C$30, 3, FALSE)</f>
        <v>-1.0325002157056957</v>
      </c>
    </row>
    <row r="48" spans="1:10" x14ac:dyDescent="0.2">
      <c r="A48" s="731">
        <v>0.125</v>
      </c>
      <c r="B48" s="35">
        <v>0.40500000000000003</v>
      </c>
      <c r="C48" s="36">
        <v>27</v>
      </c>
      <c r="D48" s="37">
        <v>0.36351</v>
      </c>
      <c r="E48" s="49">
        <v>1E-4</v>
      </c>
      <c r="F48" s="37">
        <f t="shared" ref="F48:F61" si="4">D48-E48</f>
        <v>0.36341000000000001</v>
      </c>
      <c r="G48" s="37">
        <f t="shared" si="3"/>
        <v>0.36360999999999999</v>
      </c>
      <c r="H48" s="825"/>
      <c r="I48" s="38" t="s">
        <v>295</v>
      </c>
      <c r="J48" s="743">
        <f>((H48-0.99995)/0.99951)-VLOOKUP(C48,'JGI Thread Wire Sizes-Constants'!A$3:C$30, 3, FALSE)</f>
        <v>-1.0325002157056957</v>
      </c>
    </row>
    <row r="49" spans="1:10" x14ac:dyDescent="0.2">
      <c r="A49" s="732">
        <v>0.25</v>
      </c>
      <c r="B49" s="40">
        <v>0.54</v>
      </c>
      <c r="C49" s="41">
        <v>18</v>
      </c>
      <c r="D49" s="5">
        <v>0.47738999999999998</v>
      </c>
      <c r="E49" s="31">
        <v>1E-4</v>
      </c>
      <c r="F49" s="5">
        <f t="shared" si="4"/>
        <v>0.47728999999999999</v>
      </c>
      <c r="G49" s="5">
        <f t="shared" si="3"/>
        <v>0.47748999999999997</v>
      </c>
      <c r="H49" s="826"/>
      <c r="I49" s="128">
        <f>((H49-0.99996)/0.99951)-VLOOKUP(C49,'JGI Thread Wire Sizes-Constants'!A$3:C$30, 3, FALSE)</f>
        <v>-1.0485802206080979</v>
      </c>
      <c r="J49" s="733" t="s">
        <v>295</v>
      </c>
    </row>
    <row r="50" spans="1:10" x14ac:dyDescent="0.2">
      <c r="A50" s="731">
        <v>0.375</v>
      </c>
      <c r="B50" s="35">
        <v>0.67500000000000004</v>
      </c>
      <c r="C50" s="36">
        <v>18</v>
      </c>
      <c r="D50" s="37">
        <v>0.61201000000000005</v>
      </c>
      <c r="E50" s="49">
        <v>1E-4</v>
      </c>
      <c r="F50" s="37">
        <f t="shared" si="4"/>
        <v>0.61191000000000006</v>
      </c>
      <c r="G50" s="37">
        <f t="shared" si="3"/>
        <v>0.61211000000000004</v>
      </c>
      <c r="H50" s="827"/>
      <c r="I50" s="128">
        <f>((H50-0.99996)/0.99951)-VLOOKUP(C50,'JGI Thread Wire Sizes-Constants'!A$3:C$30, 3, FALSE)</f>
        <v>-1.0485802206080979</v>
      </c>
      <c r="J50" s="733" t="s">
        <v>295</v>
      </c>
    </row>
    <row r="51" spans="1:10" x14ac:dyDescent="0.2">
      <c r="A51" s="732">
        <v>0.5</v>
      </c>
      <c r="B51" s="40">
        <v>0.84</v>
      </c>
      <c r="C51" s="41">
        <v>14</v>
      </c>
      <c r="D51" s="5">
        <v>0.75843000000000005</v>
      </c>
      <c r="E51" s="5">
        <v>1.4999999999999999E-4</v>
      </c>
      <c r="F51" s="5">
        <f t="shared" si="4"/>
        <v>0.75828000000000007</v>
      </c>
      <c r="G51" s="5">
        <f t="shared" si="3"/>
        <v>0.75858000000000003</v>
      </c>
      <c r="H51" s="826">
        <v>1.81993</v>
      </c>
      <c r="I51" s="128">
        <f>((H51-0.99996)/0.99951)-VLOOKUP(C51,'JGI Thread Wire Sizes-Constants'!A$3:C$30, 3, FALSE)</f>
        <v>0.75857198227131306</v>
      </c>
      <c r="J51" s="733" t="s">
        <v>295</v>
      </c>
    </row>
    <row r="52" spans="1:10" x14ac:dyDescent="0.2">
      <c r="A52" s="731">
        <v>0.75</v>
      </c>
      <c r="B52" s="35">
        <v>1.05</v>
      </c>
      <c r="C52" s="36">
        <v>14</v>
      </c>
      <c r="D52" s="37">
        <v>0.96767999999999998</v>
      </c>
      <c r="E52" s="37">
        <v>1.4999999999999999E-4</v>
      </c>
      <c r="F52" s="37">
        <f t="shared" si="4"/>
        <v>0.96753</v>
      </c>
      <c r="G52" s="37">
        <f t="shared" si="3"/>
        <v>0.96782999999999997</v>
      </c>
      <c r="H52" s="827"/>
      <c r="I52" s="128">
        <f>((H52-0.99996)/0.99951)-VLOOKUP(C52,'JGI Thread Wire Sizes-Constants'!A$3:C$30, 3, FALSE)</f>
        <v>-1.0622502206080979</v>
      </c>
      <c r="J52" s="733" t="s">
        <v>295</v>
      </c>
    </row>
    <row r="53" spans="1:10" x14ac:dyDescent="0.2">
      <c r="A53" s="732">
        <v>1</v>
      </c>
      <c r="B53" s="40">
        <v>1.3149999999999999</v>
      </c>
      <c r="C53" s="41">
        <v>11.5</v>
      </c>
      <c r="D53" s="5">
        <v>1.21363</v>
      </c>
      <c r="E53" s="5">
        <v>1.4999999999999999E-4</v>
      </c>
      <c r="F53" s="5">
        <f t="shared" si="4"/>
        <v>1.2134799999999999</v>
      </c>
      <c r="G53" s="5">
        <f t="shared" si="3"/>
        <v>1.2137800000000001</v>
      </c>
      <c r="H53" s="826">
        <v>2.27183</v>
      </c>
      <c r="I53" s="128">
        <f>((H53-0.99996)/0.99951)-VLOOKUP(C53,'JGI Thread Wire Sizes-Constants'!A$3:C$30, 3, FALSE)</f>
        <v>1.1971735218256945</v>
      </c>
      <c r="J53" s="733" t="s">
        <v>295</v>
      </c>
    </row>
    <row r="54" spans="1:10" x14ac:dyDescent="0.2">
      <c r="A54" s="731">
        <v>1.25</v>
      </c>
      <c r="B54" s="35">
        <v>1.66</v>
      </c>
      <c r="C54" s="36">
        <v>11.5</v>
      </c>
      <c r="D54" s="37">
        <v>1.5571299999999999</v>
      </c>
      <c r="E54" s="37">
        <v>1.4999999999999999E-4</v>
      </c>
      <c r="F54" s="37">
        <f t="shared" si="4"/>
        <v>1.5569799999999998</v>
      </c>
      <c r="G54" s="37">
        <f t="shared" si="3"/>
        <v>1.55728</v>
      </c>
      <c r="H54" s="827"/>
      <c r="I54" s="128">
        <f>((H54-0.99996)/0.99951)-VLOOKUP(C54,'JGI Thread Wire Sizes-Constants'!A$3:C$30, 3, FALSE)</f>
        <v>-1.0757702206080979</v>
      </c>
      <c r="J54" s="733" t="s">
        <v>295</v>
      </c>
    </row>
    <row r="55" spans="1:10" x14ac:dyDescent="0.2">
      <c r="A55" s="732">
        <v>1.5</v>
      </c>
      <c r="B55" s="40">
        <v>1.9</v>
      </c>
      <c r="C55" s="41">
        <v>11.5</v>
      </c>
      <c r="D55" s="5">
        <v>1.79609</v>
      </c>
      <c r="E55" s="5">
        <v>1.4999999999999999E-4</v>
      </c>
      <c r="F55" s="5">
        <f t="shared" si="4"/>
        <v>1.7959399999999999</v>
      </c>
      <c r="G55" s="5">
        <f t="shared" si="3"/>
        <v>1.7962400000000001</v>
      </c>
      <c r="H55" s="826"/>
      <c r="I55" s="128">
        <f>((H55-0.99996)/0.99951)-VLOOKUP(C55,'JGI Thread Wire Sizes-Constants'!A$3:C$30, 3, FALSE)</f>
        <v>-1.0757702206080979</v>
      </c>
      <c r="J55" s="733" t="s">
        <v>295</v>
      </c>
    </row>
    <row r="56" spans="1:10" x14ac:dyDescent="0.2">
      <c r="A56" s="731">
        <v>2</v>
      </c>
      <c r="B56" s="35">
        <v>2.375</v>
      </c>
      <c r="C56" s="36">
        <v>11.5</v>
      </c>
      <c r="D56" s="37">
        <v>2.2690199999999998</v>
      </c>
      <c r="E56" s="37">
        <v>1.4999999999999999E-4</v>
      </c>
      <c r="F56" s="37">
        <f t="shared" si="4"/>
        <v>2.2688699999999997</v>
      </c>
      <c r="G56" s="37">
        <f t="shared" si="3"/>
        <v>2.2691699999999999</v>
      </c>
      <c r="H56" s="827"/>
      <c r="I56" s="128">
        <f>((H56-0.99996)/0.99951)-VLOOKUP(C56,'JGI Thread Wire Sizes-Constants'!A$3:C$30, 3, FALSE)</f>
        <v>-1.0757702206080979</v>
      </c>
      <c r="J56" s="733" t="s">
        <v>295</v>
      </c>
    </row>
    <row r="57" spans="1:10" x14ac:dyDescent="0.2">
      <c r="A57" s="732">
        <v>2.5</v>
      </c>
      <c r="B57" s="40">
        <v>2.875</v>
      </c>
      <c r="C57" s="41">
        <v>8</v>
      </c>
      <c r="D57" s="5">
        <v>2.7195299999999998</v>
      </c>
      <c r="E57" s="5">
        <v>2.5000000000000001E-4</v>
      </c>
      <c r="F57" s="5">
        <f t="shared" si="4"/>
        <v>2.7192799999999999</v>
      </c>
      <c r="G57" s="5">
        <f t="shared" si="3"/>
        <v>2.7197799999999996</v>
      </c>
      <c r="H57" s="826"/>
      <c r="I57" s="128">
        <f>((H57-0.99996)/0.99951)-VLOOKUP(C57,'JGI Thread Wire Sizes-Constants'!A$3:C$30, 3, FALSE)</f>
        <v>-1.1086502206080979</v>
      </c>
      <c r="J57" s="733" t="s">
        <v>295</v>
      </c>
    </row>
    <row r="58" spans="1:10" x14ac:dyDescent="0.2">
      <c r="A58" s="731">
        <v>3</v>
      </c>
      <c r="B58" s="35">
        <v>3.5</v>
      </c>
      <c r="C58" s="36">
        <v>8</v>
      </c>
      <c r="D58" s="37">
        <v>3.3406199999999999</v>
      </c>
      <c r="E58" s="37">
        <v>2.5000000000000001E-4</v>
      </c>
      <c r="F58" s="37">
        <f t="shared" si="4"/>
        <v>3.3403700000000001</v>
      </c>
      <c r="G58" s="37">
        <f t="shared" si="3"/>
        <v>3.3408699999999998</v>
      </c>
      <c r="H58" s="827"/>
      <c r="I58" s="128">
        <f>((H58-0.99996)/0.99951)-VLOOKUP(C58,'JGI Thread Wire Sizes-Constants'!A$3:C$30, 3, FALSE)</f>
        <v>-1.1086502206080979</v>
      </c>
      <c r="J58" s="733" t="s">
        <v>295</v>
      </c>
    </row>
    <row r="59" spans="1:10" x14ac:dyDescent="0.2">
      <c r="A59" s="732">
        <v>3.5</v>
      </c>
      <c r="B59" s="40">
        <v>4</v>
      </c>
      <c r="C59" s="41">
        <v>8</v>
      </c>
      <c r="D59" s="5">
        <v>3.8374999999999999</v>
      </c>
      <c r="E59" s="5">
        <v>2.5000000000000001E-4</v>
      </c>
      <c r="F59" s="5">
        <f t="shared" si="4"/>
        <v>3.83725</v>
      </c>
      <c r="G59" s="5">
        <f t="shared" si="3"/>
        <v>3.8377499999999998</v>
      </c>
      <c r="H59" s="826"/>
      <c r="I59" s="128">
        <f>((H59-0.99996)/0.99951)-VLOOKUP(C59,'JGI Thread Wire Sizes-Constants'!A$3:C$30, 3, FALSE)</f>
        <v>-1.1086502206080979</v>
      </c>
      <c r="J59" s="733" t="s">
        <v>295</v>
      </c>
    </row>
    <row r="60" spans="1:10" x14ac:dyDescent="0.2">
      <c r="A60" s="731">
        <v>4</v>
      </c>
      <c r="B60" s="35">
        <v>4.5</v>
      </c>
      <c r="C60" s="36">
        <v>8</v>
      </c>
      <c r="D60" s="37">
        <v>4.3343800000000003</v>
      </c>
      <c r="E60" s="37">
        <v>2.5000000000000001E-4</v>
      </c>
      <c r="F60" s="37">
        <f t="shared" si="4"/>
        <v>4.33413</v>
      </c>
      <c r="G60" s="37">
        <f t="shared" si="3"/>
        <v>4.3346300000000006</v>
      </c>
      <c r="H60" s="827"/>
      <c r="I60" s="128">
        <f>((H60-0.99996)/0.99951)-VLOOKUP(C60,'JGI Thread Wire Sizes-Constants'!A$3:C$30, 3, FALSE)</f>
        <v>-1.1086502206080979</v>
      </c>
      <c r="J60" s="733" t="s">
        <v>295</v>
      </c>
    </row>
    <row r="61" spans="1:10" x14ac:dyDescent="0.2">
      <c r="A61" s="732">
        <v>5</v>
      </c>
      <c r="B61" s="40">
        <v>5.5629999999999997</v>
      </c>
      <c r="C61" s="41">
        <v>8</v>
      </c>
      <c r="D61" s="5">
        <v>5.3907299999999996</v>
      </c>
      <c r="E61" s="5">
        <v>2.5000000000000001E-4</v>
      </c>
      <c r="F61" s="5">
        <f t="shared" si="4"/>
        <v>5.3904799999999993</v>
      </c>
      <c r="G61" s="5">
        <f t="shared" si="3"/>
        <v>5.3909799999999999</v>
      </c>
      <c r="H61" s="826"/>
      <c r="I61" s="128">
        <f>((H61-0.99996)/0.99951)-VLOOKUP(C61,'JGI Thread Wire Sizes-Constants'!A$3:C$30, 3, FALSE)</f>
        <v>-1.1086502206080979</v>
      </c>
      <c r="J61" s="733" t="s">
        <v>295</v>
      </c>
    </row>
    <row r="62" spans="1:10" ht="13.5" thickBot="1" x14ac:dyDescent="0.25">
      <c r="A62" s="320" t="s">
        <v>302</v>
      </c>
      <c r="B62" s="164"/>
      <c r="C62" s="164"/>
      <c r="D62" s="164"/>
      <c r="E62" s="164"/>
      <c r="F62" s="164"/>
      <c r="G62" s="164"/>
      <c r="H62" s="164"/>
      <c r="I62" s="164"/>
      <c r="J62" s="561"/>
    </row>
  </sheetData>
  <sheetProtection algorithmName="SHA-512" hashValue="bB1Hrs1nJd06WFVmAgfilOk6SYIfNrTCMxc3++5YdBog94tzGaFtXPOl7Sf+DzzIrAUzMVbaiVviZ+bMMVlAqQ==" saltValue="JWQmxuxPpFOYpyxAoLE+yw==" spinCount="100000" sheet="1" selectLockedCells="1"/>
  <mergeCells count="7">
    <mergeCell ref="A2:J2"/>
    <mergeCell ref="A4:J4"/>
    <mergeCell ref="A25:J25"/>
    <mergeCell ref="A45:J45"/>
    <mergeCell ref="A44:J44"/>
    <mergeCell ref="A3:J3"/>
    <mergeCell ref="A24:J24"/>
  </mergeCells>
  <phoneticPr fontId="0" type="noConversion"/>
  <conditionalFormatting sqref="H12">
    <cfRule type="expression" priority="1" stopIfTrue="1">
      <formula>MOD(ROW(),2)=1</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92" r:id="rId4" name="Button 8">
              <controlPr defaultSize="0" print="0" autoFill="0" autoPict="0" macro="[0]!ReturnToMain">
                <anchor moveWithCells="1" sizeWithCells="1">
                  <from>
                    <xdr:col>0</xdr:col>
                    <xdr:colOff>19050</xdr:colOff>
                    <xdr:row>0</xdr:row>
                    <xdr:rowOff>19050</xdr:rowOff>
                  </from>
                  <to>
                    <xdr:col>1</xdr:col>
                    <xdr:colOff>57150</xdr:colOff>
                    <xdr:row>0</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indexed="30"/>
  </sheetPr>
  <dimension ref="A1:I42"/>
  <sheetViews>
    <sheetView workbookViewId="0">
      <selection activeCell="G29" sqref="G29"/>
    </sheetView>
  </sheetViews>
  <sheetFormatPr defaultRowHeight="12.75" x14ac:dyDescent="0.2"/>
  <cols>
    <col min="1" max="1" width="21.28515625" bestFit="1" customWidth="1"/>
    <col min="2" max="2" width="15.7109375" bestFit="1" customWidth="1"/>
    <col min="4" max="4" width="21" bestFit="1" customWidth="1"/>
    <col min="5" max="6" width="8" bestFit="1" customWidth="1"/>
    <col min="7" max="7" width="10.42578125" bestFit="1" customWidth="1"/>
    <col min="8" max="8" width="22.28515625" bestFit="1" customWidth="1"/>
    <col min="9" max="9" width="19" bestFit="1" customWidth="1"/>
  </cols>
  <sheetData>
    <row r="1" spans="1:9" s="10" customFormat="1" ht="25.5" customHeight="1" x14ac:dyDescent="0.2"/>
    <row r="2" spans="1:9" ht="25.5" customHeight="1" thickBot="1" x14ac:dyDescent="0.3">
      <c r="A2" s="1143" t="s">
        <v>303</v>
      </c>
      <c r="B2" s="1143"/>
      <c r="C2" s="1143"/>
      <c r="D2" s="1143"/>
      <c r="E2" s="1143"/>
      <c r="F2" s="1143"/>
      <c r="G2" s="1143"/>
      <c r="H2" s="1143"/>
      <c r="I2" s="1143"/>
    </row>
    <row r="3" spans="1:9" ht="16.5" thickBot="1" x14ac:dyDescent="0.3">
      <c r="A3" s="1140" t="s">
        <v>304</v>
      </c>
      <c r="B3" s="1141"/>
      <c r="C3" s="1141"/>
      <c r="D3" s="1141"/>
      <c r="E3" s="1141"/>
      <c r="F3" s="1141"/>
      <c r="G3" s="1141"/>
      <c r="H3" s="1141"/>
      <c r="I3" s="1141"/>
    </row>
    <row r="4" spans="1:9" ht="16.5" thickBot="1" x14ac:dyDescent="0.3">
      <c r="A4" s="43" t="s">
        <v>285</v>
      </c>
      <c r="B4" s="44" t="s">
        <v>287</v>
      </c>
      <c r="C4" s="26" t="s">
        <v>288</v>
      </c>
      <c r="D4" s="26" t="s">
        <v>305</v>
      </c>
      <c r="E4" s="26" t="s">
        <v>290</v>
      </c>
      <c r="F4" s="26" t="s">
        <v>291</v>
      </c>
      <c r="G4" s="27" t="s">
        <v>292</v>
      </c>
      <c r="H4" s="495" t="s">
        <v>293</v>
      </c>
      <c r="I4" s="495" t="s">
        <v>294</v>
      </c>
    </row>
    <row r="5" spans="1:9" ht="13.5" thickBot="1" x14ac:dyDescent="0.25">
      <c r="A5" s="28">
        <v>6.25E-2</v>
      </c>
      <c r="B5" s="30">
        <v>27</v>
      </c>
      <c r="C5" s="31">
        <v>0.27117999999999998</v>
      </c>
      <c r="D5" s="31">
        <v>2.0000000000000001E-4</v>
      </c>
      <c r="E5" s="31">
        <v>0.27117999999999998</v>
      </c>
      <c r="F5" s="31">
        <f t="shared" ref="F5:F16" si="0">C5+D5</f>
        <v>0.27137999999999995</v>
      </c>
      <c r="G5" s="824"/>
      <c r="H5" s="33" t="s">
        <v>295</v>
      </c>
      <c r="I5" s="45">
        <f>((G5-'X600 Block Standard Info'!$D$9)/0.99951)-VLOOKUP(B5,'JGI Thread Wire Sizes-Constants'!A$3:C$30, 3, FALSE)</f>
        <v>-1.0325502402177067</v>
      </c>
    </row>
    <row r="6" spans="1:9" x14ac:dyDescent="0.2">
      <c r="A6" s="34">
        <v>0.125</v>
      </c>
      <c r="B6" s="36">
        <v>27</v>
      </c>
      <c r="C6" s="37">
        <v>0.36351</v>
      </c>
      <c r="D6" s="37">
        <v>2.0000000000000001E-4</v>
      </c>
      <c r="E6" s="37">
        <v>0.36351</v>
      </c>
      <c r="F6" s="37">
        <f t="shared" si="0"/>
        <v>0.36370999999999998</v>
      </c>
      <c r="G6" s="827">
        <v>1.3954899999999999</v>
      </c>
      <c r="H6" s="38" t="s">
        <v>295</v>
      </c>
      <c r="I6" s="45">
        <f>((G6-'X600 Block Standard Info'!$D$9)/0.99951)-VLOOKUP(B6,'JGI Thread Wire Sizes-Constants'!A$3:C$30, 3, FALSE)</f>
        <v>0.36362388510370075</v>
      </c>
    </row>
    <row r="7" spans="1:9" x14ac:dyDescent="0.2">
      <c r="A7" s="39">
        <v>0.25</v>
      </c>
      <c r="B7" s="41">
        <v>18</v>
      </c>
      <c r="C7" s="5">
        <v>0.47738999999999998</v>
      </c>
      <c r="D7" s="5">
        <v>2.9999999999999997E-4</v>
      </c>
      <c r="E7" s="5">
        <v>0.47738999999999998</v>
      </c>
      <c r="F7" s="5">
        <f t="shared" si="0"/>
        <v>0.47769</v>
      </c>
      <c r="G7" s="826">
        <v>1.5254399999999999</v>
      </c>
      <c r="H7" s="46">
        <f>((G7-'X600 Block Standard Info'!$D$10)/0.99951)-VLOOKUP(B7,'JGI Thread Wire Sizes-Constants'!A$3:C$30, 3, FALSE)</f>
        <v>0.47757759672239386</v>
      </c>
      <c r="I7" s="38" t="s">
        <v>295</v>
      </c>
    </row>
    <row r="8" spans="1:9" x14ac:dyDescent="0.2">
      <c r="A8" s="34">
        <v>0.375</v>
      </c>
      <c r="B8" s="36">
        <v>18</v>
      </c>
      <c r="C8" s="37">
        <v>0.61201000000000005</v>
      </c>
      <c r="D8" s="37">
        <v>2.9999999999999997E-4</v>
      </c>
      <c r="E8" s="37">
        <v>0.61201000000000005</v>
      </c>
      <c r="F8" s="37">
        <f t="shared" si="0"/>
        <v>0.61231000000000002</v>
      </c>
      <c r="G8" s="827"/>
      <c r="H8" s="46">
        <f>((G8-'X600 Block Standard Info'!$D$10)/0.99951)-VLOOKUP(B8,'JGI Thread Wire Sizes-Constants'!A$3:C$30, 3, FALSE)</f>
        <v>-1.0486102353153046</v>
      </c>
      <c r="I8" s="38" t="s">
        <v>295</v>
      </c>
    </row>
    <row r="9" spans="1:9" x14ac:dyDescent="0.2">
      <c r="A9" s="39">
        <v>0.5</v>
      </c>
      <c r="B9" s="41">
        <v>14</v>
      </c>
      <c r="C9" s="5">
        <v>0.75843000000000005</v>
      </c>
      <c r="D9" s="5">
        <v>2.9999999999999997E-4</v>
      </c>
      <c r="E9" s="5">
        <v>0.75843000000000005</v>
      </c>
      <c r="F9" s="5">
        <f t="shared" si="0"/>
        <v>0.75873000000000002</v>
      </c>
      <c r="G9" s="826"/>
      <c r="H9" s="46">
        <f>((G9-'X600 Block Standard Info'!$D$10)/0.99951)-VLOOKUP(B9,'JGI Thread Wire Sizes-Constants'!A$3:C$30, 3, FALSE)</f>
        <v>-1.0622802353153047</v>
      </c>
      <c r="I9" s="38" t="s">
        <v>295</v>
      </c>
    </row>
    <row r="10" spans="1:9" x14ac:dyDescent="0.2">
      <c r="A10" s="34">
        <v>0.75</v>
      </c>
      <c r="B10" s="36">
        <v>14</v>
      </c>
      <c r="C10" s="37">
        <v>0.96767999999999998</v>
      </c>
      <c r="D10" s="37">
        <v>2.9999999999999997E-4</v>
      </c>
      <c r="E10" s="37">
        <v>0.96767999999999998</v>
      </c>
      <c r="F10" s="37">
        <f t="shared" si="0"/>
        <v>0.96797999999999995</v>
      </c>
      <c r="G10" s="827"/>
      <c r="H10" s="46">
        <f>((G10-'X600 Block Standard Info'!$D$10)/0.99951)-VLOOKUP(B10,'JGI Thread Wire Sizes-Constants'!A$3:C$30, 3, FALSE)</f>
        <v>-1.0622802353153047</v>
      </c>
      <c r="I10" s="38" t="s">
        <v>295</v>
      </c>
    </row>
    <row r="11" spans="1:9" x14ac:dyDescent="0.2">
      <c r="A11" s="39">
        <v>1</v>
      </c>
      <c r="B11" s="41">
        <v>11.5</v>
      </c>
      <c r="C11" s="5">
        <v>1.21363</v>
      </c>
      <c r="D11" s="5">
        <v>2.9999999999999997E-4</v>
      </c>
      <c r="E11" s="5">
        <v>1.21363</v>
      </c>
      <c r="F11" s="5">
        <f t="shared" si="0"/>
        <v>1.21393</v>
      </c>
      <c r="G11" s="826"/>
      <c r="H11" s="46">
        <f>((G11-'X600 Block Standard Info'!$D$10)/0.99951)-VLOOKUP(B11,'JGI Thread Wire Sizes-Constants'!A$3:C$30, 3, FALSE)</f>
        <v>-1.0758002353153047</v>
      </c>
      <c r="I11" s="38" t="s">
        <v>295</v>
      </c>
    </row>
    <row r="12" spans="1:9" x14ac:dyDescent="0.2">
      <c r="A12" s="34">
        <v>1.25</v>
      </c>
      <c r="B12" s="36">
        <v>11.5</v>
      </c>
      <c r="C12" s="37">
        <v>1.5571299999999999</v>
      </c>
      <c r="D12" s="37">
        <v>2.9999999999999997E-4</v>
      </c>
      <c r="E12" s="37">
        <v>1.5571299999999999</v>
      </c>
      <c r="F12" s="37">
        <f t="shared" si="0"/>
        <v>1.5574299999999999</v>
      </c>
      <c r="G12" s="827"/>
      <c r="H12" s="46">
        <f>((G12-'X600 Block Standard Info'!$D$10)/0.99951)-VLOOKUP(B12,'JGI Thread Wire Sizes-Constants'!A$3:C$30, 3, FALSE)</f>
        <v>-1.0758002353153047</v>
      </c>
      <c r="I12" s="38" t="s">
        <v>295</v>
      </c>
    </row>
    <row r="13" spans="1:9" x14ac:dyDescent="0.2">
      <c r="A13" s="39">
        <v>1.5</v>
      </c>
      <c r="B13" s="41">
        <v>11.5</v>
      </c>
      <c r="C13" s="5">
        <v>1.79609</v>
      </c>
      <c r="D13" s="5">
        <v>2.9999999999999997E-4</v>
      </c>
      <c r="E13" s="5">
        <v>1.79609</v>
      </c>
      <c r="F13" s="5">
        <f t="shared" si="0"/>
        <v>1.7963899999999999</v>
      </c>
      <c r="G13" s="826"/>
      <c r="H13" s="46">
        <f>((G13-'X600 Block Standard Info'!$D$10)/0.99951)-VLOOKUP(B13,'JGI Thread Wire Sizes-Constants'!A$3:C$30, 3, FALSE)</f>
        <v>-1.0758002353153047</v>
      </c>
      <c r="I13" s="38" t="s">
        <v>295</v>
      </c>
    </row>
    <row r="14" spans="1:9" x14ac:dyDescent="0.2">
      <c r="A14" s="34">
        <v>2</v>
      </c>
      <c r="B14" s="36">
        <v>11.5</v>
      </c>
      <c r="C14" s="37">
        <v>2.2690199999999998</v>
      </c>
      <c r="D14" s="37">
        <v>2.9999999999999997E-4</v>
      </c>
      <c r="E14" s="37">
        <v>2.2690199999999998</v>
      </c>
      <c r="F14" s="37">
        <f t="shared" si="0"/>
        <v>2.26932</v>
      </c>
      <c r="G14" s="827"/>
      <c r="H14" s="46">
        <f>((G14-'X600 Block Standard Info'!$D$10)/0.99951)-VLOOKUP(B14,'JGI Thread Wire Sizes-Constants'!A$3:C$30, 3, FALSE)</f>
        <v>-1.0758002353153047</v>
      </c>
      <c r="I14" s="38" t="s">
        <v>295</v>
      </c>
    </row>
    <row r="15" spans="1:9" x14ac:dyDescent="0.2">
      <c r="A15" s="39">
        <v>2.5</v>
      </c>
      <c r="B15" s="41">
        <v>8</v>
      </c>
      <c r="C15" s="5">
        <v>2.7195299999999998</v>
      </c>
      <c r="D15" s="5">
        <v>4.0000000000000002E-4</v>
      </c>
      <c r="E15" s="5">
        <v>2.7195299999999998</v>
      </c>
      <c r="F15" s="5">
        <f t="shared" si="0"/>
        <v>2.7199299999999997</v>
      </c>
      <c r="G15" s="826"/>
      <c r="H15" s="46">
        <f>((G15-'X600 Block Standard Info'!$D$10)/0.99951)-VLOOKUP(B15,'JGI Thread Wire Sizes-Constants'!A$3:C$30, 3, FALSE)</f>
        <v>-1.1086802353153047</v>
      </c>
      <c r="I15" s="38" t="s">
        <v>295</v>
      </c>
    </row>
    <row r="16" spans="1:9" x14ac:dyDescent="0.2">
      <c r="A16" s="34">
        <v>3</v>
      </c>
      <c r="B16" s="36">
        <v>8</v>
      </c>
      <c r="C16" s="37">
        <v>3.3406199999999999</v>
      </c>
      <c r="D16" s="37">
        <v>4.0000000000000002E-4</v>
      </c>
      <c r="E16" s="37">
        <v>3.3406199999999999</v>
      </c>
      <c r="F16" s="37">
        <f t="shared" si="0"/>
        <v>3.3410199999999999</v>
      </c>
      <c r="G16" s="827"/>
      <c r="H16" s="46">
        <f>((G16-'X600 Block Standard Info'!$D$10)/0.99951)-VLOOKUP(B16,'JGI Thread Wire Sizes-Constants'!A$3:C$30, 3, FALSE)</f>
        <v>-1.1086802353153047</v>
      </c>
      <c r="I16" s="38" t="s">
        <v>295</v>
      </c>
    </row>
    <row r="17" spans="1:9" x14ac:dyDescent="0.2">
      <c r="A17" s="39">
        <v>3.5</v>
      </c>
      <c r="B17" s="41">
        <v>8</v>
      </c>
      <c r="C17" s="5">
        <v>3.8374999999999999</v>
      </c>
      <c r="D17" s="5"/>
      <c r="E17" s="5"/>
      <c r="F17" s="5"/>
      <c r="G17" s="826"/>
      <c r="H17" s="46">
        <f>((G17-'X600 Block Standard Info'!$D$10)/0.99951)-VLOOKUP(B17,'JGI Thread Wire Sizes-Constants'!A$3:C$30, 3, FALSE)</f>
        <v>-1.1086802353153047</v>
      </c>
      <c r="I17" s="38" t="s">
        <v>295</v>
      </c>
    </row>
    <row r="18" spans="1:9" x14ac:dyDescent="0.2">
      <c r="A18" s="34">
        <v>4</v>
      </c>
      <c r="B18" s="36">
        <v>8</v>
      </c>
      <c r="C18" s="37">
        <v>4.3343800000000003</v>
      </c>
      <c r="D18" s="37"/>
      <c r="E18" s="37"/>
      <c r="F18" s="37"/>
      <c r="G18" s="827"/>
      <c r="H18" s="46">
        <f>((G18-'X600 Block Standard Info'!$D$10)/0.99951)-VLOOKUP(B18,'JGI Thread Wire Sizes-Constants'!A$3:C$30, 3, FALSE)</f>
        <v>-1.1086802353153047</v>
      </c>
      <c r="I18" s="38" t="s">
        <v>295</v>
      </c>
    </row>
    <row r="19" spans="1:9" ht="13.5" customHeight="1" x14ac:dyDescent="0.2">
      <c r="A19" s="39">
        <v>5</v>
      </c>
      <c r="B19" s="41">
        <v>8</v>
      </c>
      <c r="C19" s="5">
        <v>5.3907299999999996</v>
      </c>
      <c r="D19" s="5"/>
      <c r="E19" s="5"/>
      <c r="F19" s="5"/>
      <c r="G19" s="826"/>
      <c r="H19" s="46">
        <f>((G19-'X600 Block Standard Info'!$D$10)/0.99951)-VLOOKUP(B19,'JGI Thread Wire Sizes-Constants'!A$3:C$30, 3, FALSE)</f>
        <v>-1.1086802353153047</v>
      </c>
      <c r="I19" s="38" t="s">
        <v>295</v>
      </c>
    </row>
    <row r="20" spans="1:9" ht="13.5" customHeight="1" x14ac:dyDescent="0.2">
      <c r="A20" s="744" t="s">
        <v>306</v>
      </c>
      <c r="B20" s="289"/>
      <c r="G20" s="60"/>
      <c r="H20" s="319"/>
      <c r="I20" s="554"/>
    </row>
    <row r="21" spans="1:9" x14ac:dyDescent="0.2">
      <c r="A21" s="744" t="s">
        <v>307</v>
      </c>
      <c r="B21" s="289"/>
      <c r="G21" s="60"/>
      <c r="H21" s="319"/>
      <c r="I21" s="554"/>
    </row>
    <row r="22" spans="1:9" x14ac:dyDescent="0.2">
      <c r="A22" s="47"/>
      <c r="B22" s="47"/>
      <c r="C22" s="47"/>
      <c r="D22" s="47"/>
      <c r="E22" s="47"/>
      <c r="F22" s="47"/>
      <c r="G22" s="47"/>
      <c r="H22" s="47"/>
      <c r="I22" s="47"/>
    </row>
    <row r="23" spans="1:9" ht="25.5" customHeight="1" thickBot="1" x14ac:dyDescent="0.3">
      <c r="A23" s="1143" t="s">
        <v>303</v>
      </c>
      <c r="B23" s="1143"/>
      <c r="C23" s="1143"/>
      <c r="D23" s="1143"/>
      <c r="E23" s="1143"/>
      <c r="F23" s="1143"/>
      <c r="G23" s="1143"/>
      <c r="H23" s="1143"/>
      <c r="I23" s="1143"/>
    </row>
    <row r="24" spans="1:9" ht="16.5" thickBot="1" x14ac:dyDescent="0.3">
      <c r="A24" s="1140" t="s">
        <v>308</v>
      </c>
      <c r="B24" s="1141"/>
      <c r="C24" s="1141"/>
      <c r="D24" s="1141"/>
      <c r="E24" s="1141"/>
      <c r="F24" s="1141"/>
      <c r="G24" s="1141"/>
      <c r="H24" s="1141"/>
      <c r="I24" s="1142"/>
    </row>
    <row r="25" spans="1:9" ht="16.5" thickBot="1" x14ac:dyDescent="0.3">
      <c r="A25" s="43" t="s">
        <v>285</v>
      </c>
      <c r="B25" s="44" t="s">
        <v>287</v>
      </c>
      <c r="C25" s="26" t="s">
        <v>288</v>
      </c>
      <c r="D25" s="26" t="s">
        <v>305</v>
      </c>
      <c r="E25" s="26" t="s">
        <v>290</v>
      </c>
      <c r="F25" s="26" t="s">
        <v>291</v>
      </c>
      <c r="G25" s="27" t="s">
        <v>292</v>
      </c>
      <c r="H25" s="495" t="s">
        <v>293</v>
      </c>
      <c r="I25" s="495" t="s">
        <v>294</v>
      </c>
    </row>
    <row r="26" spans="1:9" x14ac:dyDescent="0.2">
      <c r="A26" s="28">
        <v>6.25E-2</v>
      </c>
      <c r="B26" s="30">
        <v>27</v>
      </c>
      <c r="C26" s="5">
        <v>0.26419999999999999</v>
      </c>
      <c r="D26" s="31">
        <v>2.0000000000000001E-4</v>
      </c>
      <c r="E26" s="31">
        <f>C26</f>
        <v>0.26419999999999999</v>
      </c>
      <c r="F26" s="31">
        <f>C26+D26</f>
        <v>0.26439999999999997</v>
      </c>
      <c r="G26" s="824"/>
      <c r="H26" s="33" t="s">
        <v>295</v>
      </c>
      <c r="I26" s="48">
        <f>((G26-'X600 Block Standard Info'!$D$9)/0.99951)-VLOOKUP(B26,'JGI Thread Wire Sizes-Constants'!A$3:C$30, 3, FALSE)</f>
        <v>-1.0325502402177067</v>
      </c>
    </row>
    <row r="27" spans="1:9" x14ac:dyDescent="0.2">
      <c r="A27" s="34">
        <v>0.125</v>
      </c>
      <c r="B27" s="36">
        <v>27</v>
      </c>
      <c r="C27" s="37">
        <v>0.35659999999999997</v>
      </c>
      <c r="D27" s="37">
        <v>2.0000000000000001E-4</v>
      </c>
      <c r="E27" s="49">
        <f t="shared" ref="E27:E37" si="1">C27</f>
        <v>0.35659999999999997</v>
      </c>
      <c r="F27" s="49">
        <f t="shared" ref="F27:F37" si="2">C27+D27</f>
        <v>0.35679999999999995</v>
      </c>
      <c r="G27" s="827">
        <v>1.3882699999999999</v>
      </c>
      <c r="H27" s="38" t="s">
        <v>295</v>
      </c>
      <c r="I27" s="48">
        <f>((G27-'X600 Block Standard Info'!$D$9)/0.99951)-VLOOKUP(B27,'JGI Thread Wire Sizes-Constants'!A$3:C$30, 3, FALSE)</f>
        <v>0.35640034556932887</v>
      </c>
    </row>
    <row r="28" spans="1:9" x14ac:dyDescent="0.2">
      <c r="A28" s="39">
        <v>0.25</v>
      </c>
      <c r="B28" s="41">
        <v>18</v>
      </c>
      <c r="C28" s="5">
        <v>0.46700000000000003</v>
      </c>
      <c r="D28" s="5">
        <v>2.9999999999999997E-4</v>
      </c>
      <c r="E28" s="31">
        <f t="shared" si="1"/>
        <v>0.46700000000000003</v>
      </c>
      <c r="F28" s="31">
        <f t="shared" si="2"/>
        <v>0.46730000000000005</v>
      </c>
      <c r="G28" s="826">
        <v>1.51508</v>
      </c>
      <c r="H28" s="46">
        <f>((G28-'X600 Block Standard Info'!$D$10)/0.99951)-VLOOKUP(B28,'JGI Thread Wire Sizes-Constants'!A$3:C$30, 3, FALSE)</f>
        <v>0.46721251783373841</v>
      </c>
      <c r="I28" s="38" t="s">
        <v>295</v>
      </c>
    </row>
    <row r="29" spans="1:9" x14ac:dyDescent="0.2">
      <c r="A29" s="34">
        <v>0.375</v>
      </c>
      <c r="B29" s="36">
        <v>18</v>
      </c>
      <c r="C29" s="37">
        <v>0.60160000000000002</v>
      </c>
      <c r="D29" s="37">
        <v>2.9999999999999997E-4</v>
      </c>
      <c r="E29" s="49">
        <f t="shared" si="1"/>
        <v>0.60160000000000002</v>
      </c>
      <c r="F29" s="49">
        <f t="shared" si="2"/>
        <v>0.60189999999999999</v>
      </c>
      <c r="G29" s="827"/>
      <c r="H29" s="46">
        <f>((G29-'X600 Block Standard Info'!$D$10)/0.99951)-VLOOKUP(B29,'JGI Thread Wire Sizes-Constants'!A$3:C$30, 3, FALSE)</f>
        <v>-1.0486102353153046</v>
      </c>
      <c r="I29" s="38" t="s">
        <v>295</v>
      </c>
    </row>
    <row r="30" spans="1:9" x14ac:dyDescent="0.2">
      <c r="A30" s="39">
        <v>0.5</v>
      </c>
      <c r="B30" s="41">
        <v>14</v>
      </c>
      <c r="C30" s="5">
        <v>0.74509999999999998</v>
      </c>
      <c r="D30" s="5">
        <v>2.9999999999999997E-4</v>
      </c>
      <c r="E30" s="31">
        <f t="shared" si="1"/>
        <v>0.74509999999999998</v>
      </c>
      <c r="F30" s="31">
        <f t="shared" si="2"/>
        <v>0.74539999999999995</v>
      </c>
      <c r="G30" s="826"/>
      <c r="H30" s="46">
        <f>((G30-'X600 Block Standard Info'!$D$10)/0.99951)-VLOOKUP(B30,'JGI Thread Wire Sizes-Constants'!A$3:C$30, 3, FALSE)</f>
        <v>-1.0622802353153047</v>
      </c>
      <c r="I30" s="38" t="s">
        <v>295</v>
      </c>
    </row>
    <row r="31" spans="1:9" x14ac:dyDescent="0.2">
      <c r="A31" s="34">
        <v>0.75</v>
      </c>
      <c r="B31" s="36">
        <v>14</v>
      </c>
      <c r="C31" s="37">
        <v>0.95430000000000004</v>
      </c>
      <c r="D31" s="37">
        <v>2.9999999999999997E-4</v>
      </c>
      <c r="E31" s="49">
        <f t="shared" si="1"/>
        <v>0.95430000000000004</v>
      </c>
      <c r="F31" s="49">
        <f t="shared" si="2"/>
        <v>0.9546</v>
      </c>
      <c r="G31" s="827"/>
      <c r="H31" s="46">
        <f>((G31-'X600 Block Standard Info'!$D$10)/0.99951)-VLOOKUP(B31,'JGI Thread Wire Sizes-Constants'!A$3:C$30, 3, FALSE)</f>
        <v>-1.0622802353153047</v>
      </c>
      <c r="I31" s="38" t="s">
        <v>295</v>
      </c>
    </row>
    <row r="32" spans="1:9" x14ac:dyDescent="0.2">
      <c r="A32" s="39">
        <v>1</v>
      </c>
      <c r="B32" s="41">
        <v>11.5</v>
      </c>
      <c r="C32" s="5">
        <v>1.1973</v>
      </c>
      <c r="D32" s="5">
        <v>2.9999999999999997E-4</v>
      </c>
      <c r="E32" s="31">
        <f t="shared" si="1"/>
        <v>1.1973</v>
      </c>
      <c r="F32" s="31">
        <f t="shared" si="2"/>
        <v>1.1976</v>
      </c>
      <c r="G32" s="826"/>
      <c r="H32" s="46">
        <f>((G32-'X600 Block Standard Info'!$D$10)/0.99951)-VLOOKUP(B32,'JGI Thread Wire Sizes-Constants'!A$3:C$30, 3, FALSE)</f>
        <v>-1.0758002353153047</v>
      </c>
      <c r="I32" s="38" t="s">
        <v>295</v>
      </c>
    </row>
    <row r="33" spans="1:9" x14ac:dyDescent="0.2">
      <c r="A33" s="34">
        <v>1.25</v>
      </c>
      <c r="B33" s="36">
        <v>11.5</v>
      </c>
      <c r="C33" s="37">
        <v>1.5407999999999999</v>
      </c>
      <c r="D33" s="37">
        <v>2.9999999999999997E-4</v>
      </c>
      <c r="E33" s="49">
        <f t="shared" si="1"/>
        <v>1.5407999999999999</v>
      </c>
      <c r="F33" s="49">
        <f t="shared" si="2"/>
        <v>1.5410999999999999</v>
      </c>
      <c r="G33" s="827"/>
      <c r="H33" s="46">
        <f>((G33-'X600 Block Standard Info'!$D$10)/0.99951)-VLOOKUP(B33,'JGI Thread Wire Sizes-Constants'!A$3:C$30, 3, FALSE)</f>
        <v>-1.0758002353153047</v>
      </c>
      <c r="I33" s="38" t="s">
        <v>295</v>
      </c>
    </row>
    <row r="34" spans="1:9" x14ac:dyDescent="0.2">
      <c r="A34" s="39">
        <v>1.5</v>
      </c>
      <c r="B34" s="41">
        <v>11.5</v>
      </c>
      <c r="C34" s="5">
        <v>1.7798</v>
      </c>
      <c r="D34" s="5">
        <v>2.9999999999999997E-4</v>
      </c>
      <c r="E34" s="31">
        <f t="shared" si="1"/>
        <v>1.7798</v>
      </c>
      <c r="F34" s="31">
        <f t="shared" si="2"/>
        <v>1.7801</v>
      </c>
      <c r="G34" s="826"/>
      <c r="H34" s="46">
        <f>((G34-'X600 Block Standard Info'!$D$10)/0.99951)-VLOOKUP(B34,'JGI Thread Wire Sizes-Constants'!A$3:C$30, 3, FALSE)</f>
        <v>-1.0758002353153047</v>
      </c>
      <c r="I34" s="38" t="s">
        <v>295</v>
      </c>
    </row>
    <row r="35" spans="1:9" x14ac:dyDescent="0.2">
      <c r="A35" s="34">
        <v>2</v>
      </c>
      <c r="B35" s="36">
        <v>11.5</v>
      </c>
      <c r="C35" s="37">
        <v>2.2526999999999999</v>
      </c>
      <c r="D35" s="37">
        <v>2.9999999999999997E-4</v>
      </c>
      <c r="E35" s="49">
        <f t="shared" si="1"/>
        <v>2.2526999999999999</v>
      </c>
      <c r="F35" s="49">
        <f t="shared" si="2"/>
        <v>2.2530000000000001</v>
      </c>
      <c r="G35" s="827"/>
      <c r="H35" s="46">
        <f>((G35-'X600 Block Standard Info'!$D$10)/0.99951)-VLOOKUP(B35,'JGI Thread Wire Sizes-Constants'!A$3:C$30, 3, FALSE)</f>
        <v>-1.0758002353153047</v>
      </c>
      <c r="I35" s="38" t="s">
        <v>295</v>
      </c>
    </row>
    <row r="36" spans="1:9" x14ac:dyDescent="0.2">
      <c r="A36" s="39">
        <v>2.5</v>
      </c>
      <c r="B36" s="41">
        <v>8</v>
      </c>
      <c r="C36" s="5">
        <v>2.6960999999999999</v>
      </c>
      <c r="D36" s="5">
        <v>4.0000000000000002E-4</v>
      </c>
      <c r="E36" s="31">
        <f t="shared" si="1"/>
        <v>2.6960999999999999</v>
      </c>
      <c r="F36" s="31">
        <f t="shared" si="2"/>
        <v>2.6964999999999999</v>
      </c>
      <c r="G36" s="826"/>
      <c r="H36" s="46">
        <f>((G36-'X600 Block Standard Info'!$D$10)/0.99951)-VLOOKUP(B36,'JGI Thread Wire Sizes-Constants'!A$3:C$30, 3, FALSE)</f>
        <v>-1.1086802353153047</v>
      </c>
      <c r="I36" s="38" t="s">
        <v>295</v>
      </c>
    </row>
    <row r="37" spans="1:9" x14ac:dyDescent="0.2">
      <c r="A37" s="34">
        <v>3</v>
      </c>
      <c r="B37" s="36">
        <v>8</v>
      </c>
      <c r="C37" s="37">
        <v>3.3172000000000001</v>
      </c>
      <c r="D37" s="37">
        <v>4.0000000000000002E-4</v>
      </c>
      <c r="E37" s="49">
        <f t="shared" si="1"/>
        <v>3.3172000000000001</v>
      </c>
      <c r="F37" s="49">
        <f t="shared" si="2"/>
        <v>3.3176000000000001</v>
      </c>
      <c r="G37" s="827"/>
      <c r="H37" s="46">
        <f>((G37-'X600 Block Standard Info'!$D$10)/0.99951)-VLOOKUP(B37,'JGI Thread Wire Sizes-Constants'!A$3:C$30, 3, FALSE)</f>
        <v>-1.1086802353153047</v>
      </c>
      <c r="I37" s="38" t="s">
        <v>295</v>
      </c>
    </row>
    <row r="38" spans="1:9" x14ac:dyDescent="0.2">
      <c r="A38" s="50">
        <v>3.5</v>
      </c>
      <c r="B38" s="51">
        <v>8</v>
      </c>
      <c r="C38" s="52">
        <v>3.8374999999999999</v>
      </c>
      <c r="D38" s="52"/>
      <c r="E38" s="52"/>
      <c r="F38" s="52">
        <v>3.8374999999999999</v>
      </c>
      <c r="G38" s="828"/>
      <c r="H38" s="46">
        <f>((G38-'X600 Block Standard Info'!$D$10)/0.99951)-VLOOKUP(B38,'JGI Thread Wire Sizes-Constants'!A$3:C$30, 3, FALSE)</f>
        <v>-1.1086802353153047</v>
      </c>
      <c r="I38" s="38" t="s">
        <v>295</v>
      </c>
    </row>
    <row r="39" spans="1:9" x14ac:dyDescent="0.2">
      <c r="A39" s="34">
        <v>4</v>
      </c>
      <c r="B39" s="36">
        <v>8</v>
      </c>
      <c r="C39" s="37">
        <v>4.3343800000000003</v>
      </c>
      <c r="D39" s="37"/>
      <c r="E39" s="37"/>
      <c r="F39" s="37">
        <v>4.3343800000000003</v>
      </c>
      <c r="G39" s="827"/>
      <c r="H39" s="46">
        <f>((G39-'X600 Block Standard Info'!$D$10)/0.99951)-VLOOKUP(B39,'JGI Thread Wire Sizes-Constants'!A$3:C$30, 3, FALSE)</f>
        <v>-1.1086802353153047</v>
      </c>
      <c r="I39" s="38" t="s">
        <v>295</v>
      </c>
    </row>
    <row r="40" spans="1:9" x14ac:dyDescent="0.2">
      <c r="A40" s="39">
        <v>5</v>
      </c>
      <c r="B40" s="41">
        <v>8</v>
      </c>
      <c r="C40" s="5">
        <v>5.3907299999999996</v>
      </c>
      <c r="D40" s="5"/>
      <c r="E40" s="5"/>
      <c r="F40" s="5">
        <v>5.3907299999999996</v>
      </c>
      <c r="G40" s="826"/>
      <c r="H40" s="46">
        <f>((G40-'X600 Block Standard Info'!$D$10)/0.99951)-VLOOKUP(B40,'JGI Thread Wire Sizes-Constants'!A$3:C$30, 3, FALSE)</f>
        <v>-1.1086802353153047</v>
      </c>
      <c r="I40" s="38" t="s">
        <v>295</v>
      </c>
    </row>
    <row r="41" spans="1:9" x14ac:dyDescent="0.2">
      <c r="A41" s="744" t="s">
        <v>309</v>
      </c>
      <c r="B41" s="289"/>
      <c r="G41" s="60"/>
      <c r="H41" s="319"/>
      <c r="I41" s="554"/>
    </row>
    <row r="42" spans="1:9" x14ac:dyDescent="0.2">
      <c r="A42" s="744" t="s">
        <v>307</v>
      </c>
    </row>
  </sheetData>
  <sheetProtection algorithmName="SHA-512" hashValue="O3xUkzBevDNUcQnAhHR1pqFOFsJ335th1uyTRkIndmA4mjB4yDAUwZZk9D4H/xy6cVBbYUMV9VVyahPdaRtmZg==" saltValue="78+QMnjcY7LI0uKB3O966Q==" spinCount="100000" sheet="1" objects="1" scenarios="1" selectLockedCells="1"/>
  <mergeCells count="4">
    <mergeCell ref="A3:I3"/>
    <mergeCell ref="A24:I24"/>
    <mergeCell ref="A2:I2"/>
    <mergeCell ref="A23:I23"/>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Pict="0" macro="[0]!ReturnToMain">
                <anchor moveWithCells="1" sizeWithCells="1">
                  <from>
                    <xdr:col>0</xdr:col>
                    <xdr:colOff>19050</xdr:colOff>
                    <xdr:row>0</xdr:row>
                    <xdr:rowOff>19050</xdr:rowOff>
                  </from>
                  <to>
                    <xdr:col>1</xdr:col>
                    <xdr:colOff>47625</xdr:colOff>
                    <xdr:row>0</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indexed="30"/>
  </sheetPr>
  <dimension ref="A1:I65"/>
  <sheetViews>
    <sheetView topLeftCell="A29" workbookViewId="0">
      <selection activeCell="G56" sqref="G56"/>
    </sheetView>
  </sheetViews>
  <sheetFormatPr defaultRowHeight="12.75" x14ac:dyDescent="0.2"/>
  <cols>
    <col min="1" max="1" width="20.7109375" customWidth="1"/>
    <col min="2" max="2" width="16.7109375" customWidth="1"/>
    <col min="4" max="4" width="12.28515625" customWidth="1"/>
    <col min="7" max="7" width="11.85546875" customWidth="1"/>
    <col min="8" max="8" width="21.5703125" customWidth="1"/>
    <col min="9" max="9" width="18.7109375" customWidth="1"/>
  </cols>
  <sheetData>
    <row r="1" spans="1:9" s="10" customFormat="1" ht="25.5" customHeight="1" thickBot="1" x14ac:dyDescent="0.25"/>
    <row r="2" spans="1:9" s="10" customFormat="1" ht="18.75" thickBot="1" x14ac:dyDescent="0.3">
      <c r="A2" s="1131" t="s">
        <v>282</v>
      </c>
      <c r="B2" s="1132"/>
      <c r="C2" s="1132"/>
      <c r="D2" s="1132"/>
      <c r="E2" s="1132"/>
      <c r="F2" s="1132"/>
      <c r="G2" s="1132"/>
      <c r="H2" s="1132"/>
      <c r="I2" s="1133"/>
    </row>
    <row r="3" spans="1:9" s="10" customFormat="1" ht="18.75" thickBot="1" x14ac:dyDescent="0.3">
      <c r="A3" s="1137" t="s">
        <v>283</v>
      </c>
      <c r="B3" s="1138"/>
      <c r="C3" s="1138"/>
      <c r="D3" s="1138"/>
      <c r="E3" s="1138"/>
      <c r="F3" s="1138"/>
      <c r="G3" s="1138"/>
      <c r="H3" s="1138"/>
      <c r="I3" s="1139"/>
    </row>
    <row r="4" spans="1:9" ht="16.5" thickBot="1" x14ac:dyDescent="0.3">
      <c r="A4" s="1140" t="s">
        <v>310</v>
      </c>
      <c r="B4" s="1141"/>
      <c r="C4" s="1141"/>
      <c r="D4" s="1141"/>
      <c r="E4" s="1141"/>
      <c r="F4" s="1141"/>
      <c r="G4" s="1141"/>
      <c r="H4" s="1141"/>
      <c r="I4" s="1142"/>
    </row>
    <row r="5" spans="1:9" ht="16.5" thickBot="1" x14ac:dyDescent="0.3">
      <c r="A5" s="43" t="s">
        <v>285</v>
      </c>
      <c r="B5" s="53" t="s">
        <v>287</v>
      </c>
      <c r="C5" s="53" t="s">
        <v>288</v>
      </c>
      <c r="D5" s="44" t="s">
        <v>289</v>
      </c>
      <c r="E5" s="26" t="s">
        <v>290</v>
      </c>
      <c r="F5" s="26" t="s">
        <v>291</v>
      </c>
      <c r="G5" s="27" t="s">
        <v>292</v>
      </c>
      <c r="H5" s="495" t="s">
        <v>293</v>
      </c>
      <c r="I5" s="495" t="s">
        <v>294</v>
      </c>
    </row>
    <row r="6" spans="1:9" x14ac:dyDescent="0.2">
      <c r="A6" s="730">
        <v>6.25E-2</v>
      </c>
      <c r="B6" s="54">
        <v>27</v>
      </c>
      <c r="C6" s="55">
        <v>0.27117999999999998</v>
      </c>
      <c r="D6" s="55">
        <v>2.0000000000000001E-4</v>
      </c>
      <c r="E6" s="31">
        <f>C6-D6</f>
        <v>0.27098</v>
      </c>
      <c r="F6" s="31">
        <f>C6+D6</f>
        <v>0.27137999999999995</v>
      </c>
      <c r="G6" s="824"/>
      <c r="H6" s="33" t="s">
        <v>295</v>
      </c>
      <c r="I6" s="742">
        <f>((G6-'X600 Block Standard Info'!$D$9)/0.99951)-VLOOKUP(B6,'JGI Thread Wire Sizes-Constants'!A$3:C$30, 3, FALSE)</f>
        <v>-1.0325502402177067</v>
      </c>
    </row>
    <row r="7" spans="1:9" x14ac:dyDescent="0.2">
      <c r="A7" s="731">
        <v>0.125</v>
      </c>
      <c r="B7" s="36">
        <v>27</v>
      </c>
      <c r="C7" s="37">
        <v>0.36351</v>
      </c>
      <c r="D7" s="37">
        <v>2.0000000000000001E-4</v>
      </c>
      <c r="E7" s="37">
        <f t="shared" ref="E7:E17" si="0">C7-D7</f>
        <v>0.36331000000000002</v>
      </c>
      <c r="F7" s="37">
        <f t="shared" ref="F7:F17" si="1">C7+D7</f>
        <v>0.36370999999999998</v>
      </c>
      <c r="G7" s="827">
        <v>1.39517</v>
      </c>
      <c r="H7" s="38" t="s">
        <v>295</v>
      </c>
      <c r="I7" s="742">
        <f>((G7-'X600 Block Standard Info'!$D$9)/0.99951)-VLOOKUP(B7,'JGI Thread Wire Sizes-Constants'!A$3:C$30, 3, FALSE)</f>
        <v>0.36330372822683121</v>
      </c>
    </row>
    <row r="8" spans="1:9" x14ac:dyDescent="0.2">
      <c r="A8" s="732">
        <v>0.25</v>
      </c>
      <c r="B8" s="41">
        <v>18</v>
      </c>
      <c r="C8" s="5">
        <v>0.47738999999999998</v>
      </c>
      <c r="D8" s="5">
        <v>2.0000000000000001E-4</v>
      </c>
      <c r="E8" s="5">
        <f t="shared" si="0"/>
        <v>0.47719</v>
      </c>
      <c r="F8" s="5">
        <f t="shared" si="1"/>
        <v>0.47758999999999996</v>
      </c>
      <c r="G8" s="826">
        <v>1.5251300000000001</v>
      </c>
      <c r="H8" s="128">
        <f>((G8-'X600 Block Standard Info'!$D$10)/0.99951)-VLOOKUP(B8,'JGI Thread Wire Sizes-Constants'!A$3:C$30, 3, FALSE)</f>
        <v>0.47726744474792648</v>
      </c>
      <c r="I8" s="733" t="s">
        <v>295</v>
      </c>
    </row>
    <row r="9" spans="1:9" x14ac:dyDescent="0.2">
      <c r="A9" s="731">
        <v>0.375</v>
      </c>
      <c r="B9" s="36">
        <v>18</v>
      </c>
      <c r="C9" s="37">
        <v>0.61201000000000005</v>
      </c>
      <c r="D9" s="37">
        <v>2.0000000000000001E-4</v>
      </c>
      <c r="E9" s="37">
        <f t="shared" si="0"/>
        <v>0.61181000000000008</v>
      </c>
      <c r="F9" s="37">
        <f t="shared" si="1"/>
        <v>0.61221000000000003</v>
      </c>
      <c r="G9" s="827">
        <v>1.6596599999999999</v>
      </c>
      <c r="H9" s="128">
        <f>((G9-'X600 Block Standard Info'!$D$10)/0.99951)-VLOOKUP(B9,'JGI Thread Wire Sizes-Constants'!A$3:C$30, 3, FALSE)</f>
        <v>0.61186339676441437</v>
      </c>
      <c r="I9" s="733" t="s">
        <v>295</v>
      </c>
    </row>
    <row r="10" spans="1:9" x14ac:dyDescent="0.2">
      <c r="A10" s="732">
        <v>0.5</v>
      </c>
      <c r="B10" s="41">
        <v>14</v>
      </c>
      <c r="C10" s="5">
        <v>0.75843000000000005</v>
      </c>
      <c r="D10" s="5">
        <v>2.9999999999999997E-4</v>
      </c>
      <c r="E10" s="5">
        <f t="shared" si="0"/>
        <v>0.75813000000000008</v>
      </c>
      <c r="F10" s="5">
        <f t="shared" si="1"/>
        <v>0.75873000000000002</v>
      </c>
      <c r="G10" s="826"/>
      <c r="H10" s="128">
        <f>((G10-'X600 Block Standard Info'!$D$10)/0.99951)-VLOOKUP(B10,'JGI Thread Wire Sizes-Constants'!A$3:C$30, 3, FALSE)</f>
        <v>-1.0622802353153047</v>
      </c>
      <c r="I10" s="733" t="s">
        <v>295</v>
      </c>
    </row>
    <row r="11" spans="1:9" x14ac:dyDescent="0.2">
      <c r="A11" s="731">
        <v>0.75</v>
      </c>
      <c r="B11" s="36">
        <v>14</v>
      </c>
      <c r="C11" s="37">
        <v>0.96767999999999998</v>
      </c>
      <c r="D11" s="37">
        <v>2.9999999999999997E-4</v>
      </c>
      <c r="E11" s="37">
        <f t="shared" si="0"/>
        <v>0.96738000000000002</v>
      </c>
      <c r="F11" s="37">
        <f t="shared" si="1"/>
        <v>0.96797999999999995</v>
      </c>
      <c r="G11" s="827">
        <v>1.9006000000000001</v>
      </c>
      <c r="H11" s="128">
        <f>((G11-'X600 Block Standard Info'!$D$10)/0.99951)-VLOOKUP(B11,'JGI Thread Wire Sizes-Constants'!A$3:C$30, 3, FALSE)</f>
        <v>0.83925151524246888</v>
      </c>
      <c r="I11" s="733" t="s">
        <v>295</v>
      </c>
    </row>
    <row r="12" spans="1:9" x14ac:dyDescent="0.2">
      <c r="A12" s="732">
        <v>1</v>
      </c>
      <c r="B12" s="41">
        <v>11.5</v>
      </c>
      <c r="C12" s="5">
        <v>1.21363</v>
      </c>
      <c r="D12" s="5">
        <v>2.9999999999999997E-4</v>
      </c>
      <c r="E12" s="5">
        <f t="shared" si="0"/>
        <v>1.21333</v>
      </c>
      <c r="F12" s="5">
        <f t="shared" si="1"/>
        <v>1.21393</v>
      </c>
      <c r="G12" s="826"/>
      <c r="H12" s="128">
        <f>((G12-'X600 Block Standard Info'!$D$10)/0.99951)-VLOOKUP(B12,'JGI Thread Wire Sizes-Constants'!A$3:C$30, 3, FALSE)</f>
        <v>-1.0758002353153047</v>
      </c>
      <c r="I12" s="733" t="s">
        <v>295</v>
      </c>
    </row>
    <row r="13" spans="1:9" x14ac:dyDescent="0.2">
      <c r="A13" s="731">
        <v>1.25</v>
      </c>
      <c r="B13" s="36">
        <v>11.5</v>
      </c>
      <c r="C13" s="37">
        <v>1.5571299999999999</v>
      </c>
      <c r="D13" s="37">
        <v>2.9999999999999997E-4</v>
      </c>
      <c r="E13" s="37">
        <f t="shared" si="0"/>
        <v>1.5568299999999999</v>
      </c>
      <c r="F13" s="37">
        <f t="shared" si="1"/>
        <v>1.5574299999999999</v>
      </c>
      <c r="G13" s="827"/>
      <c r="H13" s="128">
        <f>((G13-'X600 Block Standard Info'!$D$10)/0.99951)-VLOOKUP(B13,'JGI Thread Wire Sizes-Constants'!A$3:C$30, 3, FALSE)</f>
        <v>-1.0758002353153047</v>
      </c>
      <c r="I13" s="733" t="s">
        <v>295</v>
      </c>
    </row>
    <row r="14" spans="1:9" x14ac:dyDescent="0.2">
      <c r="A14" s="732">
        <v>1.5</v>
      </c>
      <c r="B14" s="41">
        <v>11.5</v>
      </c>
      <c r="C14" s="5">
        <v>1.79609</v>
      </c>
      <c r="D14" s="5">
        <v>2.9999999999999997E-4</v>
      </c>
      <c r="E14" s="5">
        <f t="shared" si="0"/>
        <v>1.79579</v>
      </c>
      <c r="F14" s="5">
        <f t="shared" si="1"/>
        <v>1.7963899999999999</v>
      </c>
      <c r="G14" s="826"/>
      <c r="H14" s="128">
        <f>((G14-'X600 Block Standard Info'!$D$10)/0.99951)-VLOOKUP(B14,'JGI Thread Wire Sizes-Constants'!A$3:C$30, 3, FALSE)</f>
        <v>-1.0758002353153047</v>
      </c>
      <c r="I14" s="733" t="s">
        <v>295</v>
      </c>
    </row>
    <row r="15" spans="1:9" x14ac:dyDescent="0.2">
      <c r="A15" s="731">
        <v>2</v>
      </c>
      <c r="B15" s="36">
        <v>11.5</v>
      </c>
      <c r="C15" s="37">
        <v>2.2690199999999998</v>
      </c>
      <c r="D15" s="37">
        <v>2.9999999999999997E-4</v>
      </c>
      <c r="E15" s="37">
        <f t="shared" si="0"/>
        <v>2.2687199999999996</v>
      </c>
      <c r="F15" s="37">
        <f t="shared" si="1"/>
        <v>2.26932</v>
      </c>
      <c r="G15" s="827"/>
      <c r="H15" s="128">
        <f>((G15-'X600 Block Standard Info'!$D$10)/0.99951)-VLOOKUP(B15,'JGI Thread Wire Sizes-Constants'!A$3:C$30, 3, FALSE)</f>
        <v>-1.0758002353153047</v>
      </c>
      <c r="I15" s="733" t="s">
        <v>295</v>
      </c>
    </row>
    <row r="16" spans="1:9" x14ac:dyDescent="0.2">
      <c r="A16" s="732">
        <v>2.5</v>
      </c>
      <c r="B16" s="41">
        <v>8</v>
      </c>
      <c r="C16" s="5">
        <v>2.7195299999999998</v>
      </c>
      <c r="D16" s="5">
        <v>5.0000000000000001E-4</v>
      </c>
      <c r="E16" s="5">
        <f t="shared" si="0"/>
        <v>2.7190299999999996</v>
      </c>
      <c r="F16" s="5">
        <f t="shared" si="1"/>
        <v>2.7200299999999999</v>
      </c>
      <c r="G16" s="826"/>
      <c r="H16" s="128">
        <f>((G16-'X600 Block Standard Info'!$D$10)/0.99951)-VLOOKUP(B16,'JGI Thread Wire Sizes-Constants'!A$3:C$30, 3, FALSE)</f>
        <v>-1.1086802353153047</v>
      </c>
      <c r="I16" s="733" t="s">
        <v>295</v>
      </c>
    </row>
    <row r="17" spans="1:9" x14ac:dyDescent="0.2">
      <c r="A17" s="731">
        <v>3</v>
      </c>
      <c r="B17" s="36">
        <v>8</v>
      </c>
      <c r="C17" s="37">
        <v>3.3406199999999999</v>
      </c>
      <c r="D17" s="37">
        <v>5.0000000000000001E-4</v>
      </c>
      <c r="E17" s="37">
        <f t="shared" si="0"/>
        <v>3.3401199999999998</v>
      </c>
      <c r="F17" s="37">
        <f t="shared" si="1"/>
        <v>3.3411200000000001</v>
      </c>
      <c r="G17" s="827"/>
      <c r="H17" s="128">
        <f>((G17-'X600 Block Standard Info'!$D$10)/0.99951)-VLOOKUP(B17,'JGI Thread Wire Sizes-Constants'!A$3:C$30, 3, FALSE)</f>
        <v>-1.1086802353153047</v>
      </c>
      <c r="I17" s="733" t="s">
        <v>295</v>
      </c>
    </row>
    <row r="18" spans="1:9" ht="13.5" thickBot="1" x14ac:dyDescent="0.25">
      <c r="A18" s="734"/>
      <c r="B18" s="735"/>
      <c r="C18" s="47"/>
      <c r="D18" s="47"/>
      <c r="E18" s="47"/>
      <c r="F18" s="47"/>
      <c r="G18" s="47"/>
      <c r="H18" s="47"/>
      <c r="I18" s="102"/>
    </row>
    <row r="19" spans="1:9" ht="18.75" thickBot="1" x14ac:dyDescent="0.3">
      <c r="A19" s="1137" t="s">
        <v>283</v>
      </c>
      <c r="B19" s="1138"/>
      <c r="C19" s="1138"/>
      <c r="D19" s="1138"/>
      <c r="E19" s="1138"/>
      <c r="F19" s="1138"/>
      <c r="G19" s="1138"/>
      <c r="H19" s="1138"/>
      <c r="I19" s="1139"/>
    </row>
    <row r="20" spans="1:9" ht="16.5" thickBot="1" x14ac:dyDescent="0.3">
      <c r="A20" s="1140" t="s">
        <v>311</v>
      </c>
      <c r="B20" s="1141"/>
      <c r="C20" s="1141"/>
      <c r="D20" s="1141"/>
      <c r="E20" s="1141"/>
      <c r="F20" s="1141"/>
      <c r="G20" s="1141"/>
      <c r="H20" s="1141"/>
      <c r="I20" s="1142"/>
    </row>
    <row r="21" spans="1:9" x14ac:dyDescent="0.2">
      <c r="A21" s="736">
        <v>6.25E-2</v>
      </c>
      <c r="B21" s="30">
        <v>27</v>
      </c>
      <c r="C21" s="31">
        <v>0.26419999999999999</v>
      </c>
      <c r="D21" s="31">
        <v>2.0000000000000001E-4</v>
      </c>
      <c r="E21" s="56">
        <f>C21-D21</f>
        <v>0.26400000000000001</v>
      </c>
      <c r="F21" s="31">
        <f>C21+D21</f>
        <v>0.26439999999999997</v>
      </c>
      <c r="G21" s="824"/>
      <c r="H21" s="33" t="s">
        <v>295</v>
      </c>
      <c r="I21" s="742">
        <f>((G21-'X600 Block Standard Info'!$D$9)/0.99951)-VLOOKUP(B21,'JGI Thread Wire Sizes-Constants'!A$3:C$30, 3, FALSE)</f>
        <v>-1.0325502402177067</v>
      </c>
    </row>
    <row r="22" spans="1:9" x14ac:dyDescent="0.2">
      <c r="A22" s="731">
        <v>0.125</v>
      </c>
      <c r="B22" s="36">
        <v>27</v>
      </c>
      <c r="C22" s="37">
        <v>0.35659999999999997</v>
      </c>
      <c r="D22" s="37">
        <v>2.0000000000000001E-4</v>
      </c>
      <c r="E22" s="37">
        <f t="shared" ref="E22:E32" si="2">C22-D22</f>
        <v>0.35639999999999999</v>
      </c>
      <c r="F22" s="37">
        <f t="shared" ref="F22:F32" si="3">C22+D22</f>
        <v>0.35679999999999995</v>
      </c>
      <c r="G22" s="827">
        <v>1.3885400000000001</v>
      </c>
      <c r="H22" s="38" t="s">
        <v>295</v>
      </c>
      <c r="I22" s="742">
        <f>((G22-'X600 Block Standard Info'!$D$9)/0.99951)-VLOOKUP(B22,'JGI Thread Wire Sizes-Constants'!A$3:C$30, 3, FALSE)</f>
        <v>0.35667047793418788</v>
      </c>
    </row>
    <row r="23" spans="1:9" x14ac:dyDescent="0.2">
      <c r="A23" s="732">
        <v>0.25</v>
      </c>
      <c r="B23" s="41">
        <v>18</v>
      </c>
      <c r="C23" s="5">
        <v>0.46700000000000003</v>
      </c>
      <c r="D23" s="5">
        <v>2.0000000000000001E-4</v>
      </c>
      <c r="E23" s="5">
        <f t="shared" si="2"/>
        <v>0.46680000000000005</v>
      </c>
      <c r="F23" s="5">
        <f t="shared" si="3"/>
        <v>0.4672</v>
      </c>
      <c r="G23" s="826">
        <v>1.5148999999999999</v>
      </c>
      <c r="H23" s="128">
        <f>((G23-'X600 Block Standard Info'!$D$10)/0.99951)-VLOOKUP(B23,'JGI Thread Wire Sizes-Constants'!A$3:C$30, 3, FALSE)</f>
        <v>0.46703242959049918</v>
      </c>
      <c r="I23" s="733" t="s">
        <v>295</v>
      </c>
    </row>
    <row r="24" spans="1:9" x14ac:dyDescent="0.2">
      <c r="A24" s="731">
        <v>0.375</v>
      </c>
      <c r="B24" s="36">
        <v>18</v>
      </c>
      <c r="C24" s="37">
        <v>0.60160000000000002</v>
      </c>
      <c r="D24" s="37">
        <v>2.0000000000000001E-4</v>
      </c>
      <c r="E24" s="37">
        <f t="shared" si="2"/>
        <v>0.60140000000000005</v>
      </c>
      <c r="F24" s="37">
        <f t="shared" si="3"/>
        <v>0.6018</v>
      </c>
      <c r="G24" s="827">
        <v>1.6494200000000001</v>
      </c>
      <c r="H24" s="128">
        <f>((G24-'X600 Block Standard Info'!$D$10)/0.99951)-VLOOKUP(B24,'JGI Thread Wire Sizes-Constants'!A$3:C$30, 3, FALSE)</f>
        <v>0.60161837670458529</v>
      </c>
      <c r="I24" s="733" t="s">
        <v>295</v>
      </c>
    </row>
    <row r="25" spans="1:9" x14ac:dyDescent="0.2">
      <c r="A25" s="732">
        <v>0.5</v>
      </c>
      <c r="B25" s="41">
        <v>14</v>
      </c>
      <c r="C25" s="5">
        <v>0.74509999999999998</v>
      </c>
      <c r="D25" s="5">
        <v>2.9999999999999997E-4</v>
      </c>
      <c r="E25" s="5">
        <f t="shared" si="2"/>
        <v>0.74480000000000002</v>
      </c>
      <c r="F25" s="5">
        <f t="shared" si="3"/>
        <v>0.74539999999999995</v>
      </c>
      <c r="G25" s="826"/>
      <c r="H25" s="128">
        <f>((G25-'X600 Block Standard Info'!$D$10)/0.99951)-VLOOKUP(B25,'JGI Thread Wire Sizes-Constants'!A$3:C$30, 3, FALSE)</f>
        <v>-1.0622802353153047</v>
      </c>
      <c r="I25" s="733" t="s">
        <v>295</v>
      </c>
    </row>
    <row r="26" spans="1:9" x14ac:dyDescent="0.2">
      <c r="A26" s="731">
        <v>0.75</v>
      </c>
      <c r="B26" s="36">
        <v>14</v>
      </c>
      <c r="C26" s="37">
        <v>0.95430000000000004</v>
      </c>
      <c r="D26" s="37">
        <v>2.9999999999999997E-4</v>
      </c>
      <c r="E26" s="37">
        <f t="shared" si="2"/>
        <v>0.95400000000000007</v>
      </c>
      <c r="F26" s="37">
        <f t="shared" si="3"/>
        <v>0.9546</v>
      </c>
      <c r="G26" s="827"/>
      <c r="H26" s="128">
        <f>((G26-'X600 Block Standard Info'!$D$10)/0.99951)-VLOOKUP(B26,'JGI Thread Wire Sizes-Constants'!A$3:C$30, 3, FALSE)</f>
        <v>-1.0622802353153047</v>
      </c>
      <c r="I26" s="733" t="s">
        <v>295</v>
      </c>
    </row>
    <row r="27" spans="1:9" x14ac:dyDescent="0.2">
      <c r="A27" s="732">
        <v>1</v>
      </c>
      <c r="B27" s="41">
        <v>11.5</v>
      </c>
      <c r="C27" s="5">
        <v>1.1973</v>
      </c>
      <c r="D27" s="5">
        <v>2.9999999999999997E-4</v>
      </c>
      <c r="E27" s="5">
        <f t="shared" si="2"/>
        <v>1.1970000000000001</v>
      </c>
      <c r="F27" s="5">
        <f t="shared" si="3"/>
        <v>1.1976</v>
      </c>
      <c r="G27" s="826"/>
      <c r="H27" s="128">
        <f>((G27-'X600 Block Standard Info'!$D$10)/0.99951)-VLOOKUP(B27,'JGI Thread Wire Sizes-Constants'!A$3:C$30, 3, FALSE)</f>
        <v>-1.0758002353153047</v>
      </c>
      <c r="I27" s="733" t="s">
        <v>295</v>
      </c>
    </row>
    <row r="28" spans="1:9" x14ac:dyDescent="0.2">
      <c r="A28" s="731">
        <v>1.25</v>
      </c>
      <c r="B28" s="36">
        <v>11.5</v>
      </c>
      <c r="C28" s="37">
        <v>1.5407999999999999</v>
      </c>
      <c r="D28" s="37">
        <v>2.9999999999999997E-4</v>
      </c>
      <c r="E28" s="37">
        <f t="shared" si="2"/>
        <v>1.5405</v>
      </c>
      <c r="F28" s="37">
        <f t="shared" si="3"/>
        <v>1.5410999999999999</v>
      </c>
      <c r="G28" s="827"/>
      <c r="H28" s="128">
        <f>((G28-'X600 Block Standard Info'!$D$10)/0.99951)-VLOOKUP(B28,'JGI Thread Wire Sizes-Constants'!A$3:C$30, 3, FALSE)</f>
        <v>-1.0758002353153047</v>
      </c>
      <c r="I28" s="733" t="s">
        <v>295</v>
      </c>
    </row>
    <row r="29" spans="1:9" x14ac:dyDescent="0.2">
      <c r="A29" s="732">
        <v>1.5</v>
      </c>
      <c r="B29" s="41">
        <v>11.5</v>
      </c>
      <c r="C29" s="5">
        <v>1.7798</v>
      </c>
      <c r="D29" s="5">
        <v>2.9999999999999997E-4</v>
      </c>
      <c r="E29" s="5">
        <f t="shared" si="2"/>
        <v>1.7795000000000001</v>
      </c>
      <c r="F29" s="5">
        <f t="shared" si="3"/>
        <v>1.7801</v>
      </c>
      <c r="G29" s="826"/>
      <c r="H29" s="128">
        <f>((G29-'X600 Block Standard Info'!$D$10)/0.99951)-VLOOKUP(B29,'JGI Thread Wire Sizes-Constants'!A$3:C$30, 3, FALSE)</f>
        <v>-1.0758002353153047</v>
      </c>
      <c r="I29" s="733" t="s">
        <v>295</v>
      </c>
    </row>
    <row r="30" spans="1:9" x14ac:dyDescent="0.2">
      <c r="A30" s="731">
        <v>2</v>
      </c>
      <c r="B30" s="36">
        <v>11.5</v>
      </c>
      <c r="C30" s="37">
        <v>2.2526999999999999</v>
      </c>
      <c r="D30" s="37">
        <v>2.9999999999999997E-4</v>
      </c>
      <c r="E30" s="37">
        <f t="shared" si="2"/>
        <v>2.2523999999999997</v>
      </c>
      <c r="F30" s="37">
        <f t="shared" si="3"/>
        <v>2.2530000000000001</v>
      </c>
      <c r="G30" s="827"/>
      <c r="H30" s="128">
        <f>((G30-'X600 Block Standard Info'!$D$10)/0.99951)-VLOOKUP(B30,'JGI Thread Wire Sizes-Constants'!A$3:C$30, 3, FALSE)</f>
        <v>-1.0758002353153047</v>
      </c>
      <c r="I30" s="733" t="s">
        <v>295</v>
      </c>
    </row>
    <row r="31" spans="1:9" x14ac:dyDescent="0.2">
      <c r="A31" s="732">
        <v>2.5</v>
      </c>
      <c r="B31" s="41">
        <v>8</v>
      </c>
      <c r="C31" s="5">
        <v>2.6960999999999999</v>
      </c>
      <c r="D31" s="5">
        <v>5.0000000000000001E-4</v>
      </c>
      <c r="E31" s="5">
        <f t="shared" si="2"/>
        <v>2.6955999999999998</v>
      </c>
      <c r="F31" s="5">
        <f t="shared" si="3"/>
        <v>2.6966000000000001</v>
      </c>
      <c r="G31" s="826"/>
      <c r="H31" s="128">
        <f>((G31-'X600 Block Standard Info'!$D$10)/0.99951)-VLOOKUP(B31,'JGI Thread Wire Sizes-Constants'!A$3:C$30, 3, FALSE)</f>
        <v>-1.1086802353153047</v>
      </c>
      <c r="I31" s="733" t="s">
        <v>295</v>
      </c>
    </row>
    <row r="32" spans="1:9" x14ac:dyDescent="0.2">
      <c r="A32" s="731">
        <v>3</v>
      </c>
      <c r="B32" s="36">
        <v>8</v>
      </c>
      <c r="C32" s="37">
        <v>3.3172000000000001</v>
      </c>
      <c r="D32" s="37">
        <v>5.0000000000000001E-4</v>
      </c>
      <c r="E32" s="37">
        <f t="shared" si="2"/>
        <v>3.3167</v>
      </c>
      <c r="F32" s="37">
        <f t="shared" si="3"/>
        <v>3.3177000000000003</v>
      </c>
      <c r="G32" s="827"/>
      <c r="H32" s="128">
        <f>((G32-'X600 Block Standard Info'!$D$10)/0.99951)-VLOOKUP(B32,'JGI Thread Wire Sizes-Constants'!A$3:C$30, 3, FALSE)</f>
        <v>-1.1086802353153047</v>
      </c>
      <c r="I32" s="733" t="s">
        <v>295</v>
      </c>
    </row>
    <row r="33" spans="1:9" ht="13.5" thickBot="1" x14ac:dyDescent="0.25">
      <c r="A33" s="320" t="s">
        <v>312</v>
      </c>
      <c r="B33" s="164"/>
      <c r="C33" s="164"/>
      <c r="D33" s="164"/>
      <c r="E33" s="164"/>
      <c r="F33" s="164"/>
      <c r="G33" s="164"/>
      <c r="H33" s="164"/>
      <c r="I33" s="561"/>
    </row>
    <row r="34" spans="1:9" ht="13.5" thickBot="1" x14ac:dyDescent="0.25"/>
    <row r="35" spans="1:9" ht="18.75" thickBot="1" x14ac:dyDescent="0.3">
      <c r="A35" s="1131" t="s">
        <v>301</v>
      </c>
      <c r="B35" s="1132"/>
      <c r="C35" s="1132"/>
      <c r="D35" s="1132"/>
      <c r="E35" s="1132"/>
      <c r="F35" s="1132"/>
      <c r="G35" s="1132"/>
      <c r="H35" s="1132"/>
      <c r="I35" s="1133"/>
    </row>
    <row r="36" spans="1:9" ht="18.75" thickBot="1" x14ac:dyDescent="0.3">
      <c r="A36" s="1137" t="s">
        <v>283</v>
      </c>
      <c r="B36" s="1138"/>
      <c r="C36" s="1138"/>
      <c r="D36" s="1138"/>
      <c r="E36" s="1138"/>
      <c r="F36" s="1138"/>
      <c r="G36" s="1138"/>
      <c r="H36" s="1138"/>
      <c r="I36" s="1139"/>
    </row>
    <row r="37" spans="1:9" ht="16.5" thickBot="1" x14ac:dyDescent="0.3">
      <c r="A37" s="1140" t="s">
        <v>310</v>
      </c>
      <c r="B37" s="1141"/>
      <c r="C37" s="1141"/>
      <c r="D37" s="1141"/>
      <c r="E37" s="1141"/>
      <c r="F37" s="1141"/>
      <c r="G37" s="1141"/>
      <c r="H37" s="1141"/>
      <c r="I37" s="1142"/>
    </row>
    <row r="38" spans="1:9" ht="16.5" thickBot="1" x14ac:dyDescent="0.3">
      <c r="A38" s="43" t="s">
        <v>285</v>
      </c>
      <c r="B38" s="53" t="s">
        <v>287</v>
      </c>
      <c r="C38" s="53" t="s">
        <v>288</v>
      </c>
      <c r="D38" s="44" t="s">
        <v>289</v>
      </c>
      <c r="E38" s="26" t="s">
        <v>290</v>
      </c>
      <c r="F38" s="26" t="s">
        <v>291</v>
      </c>
      <c r="G38" s="27" t="s">
        <v>292</v>
      </c>
      <c r="H38" s="495" t="s">
        <v>293</v>
      </c>
      <c r="I38" s="495" t="s">
        <v>294</v>
      </c>
    </row>
    <row r="39" spans="1:9" x14ac:dyDescent="0.2">
      <c r="A39" s="730">
        <v>6.25E-2</v>
      </c>
      <c r="B39" s="54">
        <v>27</v>
      </c>
      <c r="C39" s="55">
        <v>0.27117999999999998</v>
      </c>
      <c r="D39" s="55">
        <v>2.0000000000000001E-4</v>
      </c>
      <c r="E39" s="31">
        <f>C39-D39</f>
        <v>0.27098</v>
      </c>
      <c r="F39" s="31">
        <f>C39+D39</f>
        <v>0.27137999999999995</v>
      </c>
      <c r="G39" s="824"/>
      <c r="H39" s="995" t="s">
        <v>295</v>
      </c>
      <c r="I39" s="742">
        <f>((G39-'X600 Block Standard Info'!$D$9)/0.99951)-VLOOKUP(B39,'JGI Thread Wire Sizes-Constants'!A$3:C$30, 3, FALSE)</f>
        <v>-1.0325502402177067</v>
      </c>
    </row>
    <row r="40" spans="1:9" x14ac:dyDescent="0.2">
      <c r="A40" s="731">
        <v>0.125</v>
      </c>
      <c r="B40" s="36">
        <v>27</v>
      </c>
      <c r="C40" s="37">
        <v>0.36351</v>
      </c>
      <c r="D40" s="37">
        <v>2.0000000000000001E-4</v>
      </c>
      <c r="E40" s="37">
        <f t="shared" ref="E40:E50" si="4">C40-D40</f>
        <v>0.36331000000000002</v>
      </c>
      <c r="F40" s="37">
        <f t="shared" ref="F40:F50" si="5">C40+D40</f>
        <v>0.36370999999999998</v>
      </c>
      <c r="G40" s="827"/>
      <c r="H40" s="996" t="s">
        <v>295</v>
      </c>
      <c r="I40" s="742">
        <f>((G40-'X600 Block Standard Info'!$D$9)/0.99951)-VLOOKUP(B40,'JGI Thread Wire Sizes-Constants'!A$3:C$30, 3, FALSE)</f>
        <v>-1.0325502402177067</v>
      </c>
    </row>
    <row r="41" spans="1:9" x14ac:dyDescent="0.2">
      <c r="A41" s="732">
        <v>0.25</v>
      </c>
      <c r="B41" s="41">
        <v>18</v>
      </c>
      <c r="C41" s="5">
        <v>0.47738999999999998</v>
      </c>
      <c r="D41" s="5">
        <v>2.0000000000000001E-4</v>
      </c>
      <c r="E41" s="5">
        <f t="shared" si="4"/>
        <v>0.47719</v>
      </c>
      <c r="F41" s="5">
        <f t="shared" si="5"/>
        <v>0.47758999999999996</v>
      </c>
      <c r="G41" s="826"/>
      <c r="H41" s="128">
        <f>((G41-'X600 Block Standard Info'!$D$10)/0.99951)-VLOOKUP(B41,'JGI Thread Wire Sizes-Constants'!A$3:C$30, 3, FALSE)</f>
        <v>-1.0486102353153046</v>
      </c>
      <c r="I41" s="997" t="s">
        <v>295</v>
      </c>
    </row>
    <row r="42" spans="1:9" x14ac:dyDescent="0.2">
      <c r="A42" s="731">
        <v>0.375</v>
      </c>
      <c r="B42" s="36">
        <v>18</v>
      </c>
      <c r="C42" s="37">
        <v>0.61201000000000005</v>
      </c>
      <c r="D42" s="37">
        <v>2.0000000000000001E-4</v>
      </c>
      <c r="E42" s="37">
        <f t="shared" si="4"/>
        <v>0.61181000000000008</v>
      </c>
      <c r="F42" s="37">
        <f t="shared" si="5"/>
        <v>0.61221000000000003</v>
      </c>
      <c r="G42" s="827"/>
      <c r="H42" s="128">
        <f>((G42-'X600 Block Standard Info'!$D$10)/0.99951)-VLOOKUP(B42,'JGI Thread Wire Sizes-Constants'!A$3:C$30, 3, FALSE)</f>
        <v>-1.0486102353153046</v>
      </c>
      <c r="I42" s="997" t="s">
        <v>295</v>
      </c>
    </row>
    <row r="43" spans="1:9" x14ac:dyDescent="0.2">
      <c r="A43" s="732">
        <v>0.5</v>
      </c>
      <c r="B43" s="41">
        <v>14</v>
      </c>
      <c r="C43" s="5">
        <v>0.75843000000000005</v>
      </c>
      <c r="D43" s="5">
        <v>2.9999999999999997E-4</v>
      </c>
      <c r="E43" s="5">
        <f t="shared" si="4"/>
        <v>0.75813000000000008</v>
      </c>
      <c r="F43" s="5">
        <f t="shared" si="5"/>
        <v>0.75873000000000002</v>
      </c>
      <c r="G43" s="826"/>
      <c r="H43" s="128">
        <f>((G43-'X600 Block Standard Info'!$D$10)/0.99951)-VLOOKUP(B43,'JGI Thread Wire Sizes-Constants'!A$3:C$30, 3, FALSE)</f>
        <v>-1.0622802353153047</v>
      </c>
      <c r="I43" s="997" t="s">
        <v>295</v>
      </c>
    </row>
    <row r="44" spans="1:9" x14ac:dyDescent="0.2">
      <c r="A44" s="731">
        <v>0.75</v>
      </c>
      <c r="B44" s="36">
        <v>14</v>
      </c>
      <c r="C44" s="37">
        <v>0.96767999999999998</v>
      </c>
      <c r="D44" s="37">
        <v>2.9999999999999997E-4</v>
      </c>
      <c r="E44" s="37">
        <f t="shared" si="4"/>
        <v>0.96738000000000002</v>
      </c>
      <c r="F44" s="37">
        <f t="shared" si="5"/>
        <v>0.96797999999999995</v>
      </c>
      <c r="G44" s="827"/>
      <c r="H44" s="128">
        <f>((G44-'X600 Block Standard Info'!$D$10)/0.99951)-VLOOKUP(B44,'JGI Thread Wire Sizes-Constants'!A$3:C$30, 3, FALSE)</f>
        <v>-1.0622802353153047</v>
      </c>
      <c r="I44" s="997" t="s">
        <v>295</v>
      </c>
    </row>
    <row r="45" spans="1:9" x14ac:dyDescent="0.2">
      <c r="A45" s="732">
        <v>1</v>
      </c>
      <c r="B45" s="41">
        <v>11.5</v>
      </c>
      <c r="C45" s="5">
        <v>1.21363</v>
      </c>
      <c r="D45" s="5">
        <v>2.9999999999999997E-4</v>
      </c>
      <c r="E45" s="5">
        <f t="shared" si="4"/>
        <v>1.21333</v>
      </c>
      <c r="F45" s="5">
        <f t="shared" si="5"/>
        <v>1.21393</v>
      </c>
      <c r="G45" s="826"/>
      <c r="H45" s="128">
        <f>((G45-'X600 Block Standard Info'!$D$10)/0.99951)-VLOOKUP(B45,'JGI Thread Wire Sizes-Constants'!A$3:C$30, 3, FALSE)</f>
        <v>-1.0758002353153047</v>
      </c>
      <c r="I45" s="997" t="s">
        <v>295</v>
      </c>
    </row>
    <row r="46" spans="1:9" x14ac:dyDescent="0.2">
      <c r="A46" s="731">
        <v>1.25</v>
      </c>
      <c r="B46" s="36">
        <v>11.5</v>
      </c>
      <c r="C46" s="37">
        <v>1.5571299999999999</v>
      </c>
      <c r="D46" s="37">
        <v>2.9999999999999997E-4</v>
      </c>
      <c r="E46" s="37">
        <f t="shared" si="4"/>
        <v>1.5568299999999999</v>
      </c>
      <c r="F46" s="37">
        <f t="shared" si="5"/>
        <v>1.5574299999999999</v>
      </c>
      <c r="G46" s="827"/>
      <c r="H46" s="128">
        <f>((G46-'X600 Block Standard Info'!$D$10)/0.99951)-VLOOKUP(B46,'JGI Thread Wire Sizes-Constants'!A$3:C$30, 3, FALSE)</f>
        <v>-1.0758002353153047</v>
      </c>
      <c r="I46" s="997" t="s">
        <v>295</v>
      </c>
    </row>
    <row r="47" spans="1:9" x14ac:dyDescent="0.2">
      <c r="A47" s="732">
        <v>1.5</v>
      </c>
      <c r="B47" s="41">
        <v>11.5</v>
      </c>
      <c r="C47" s="5">
        <v>1.79609</v>
      </c>
      <c r="D47" s="5">
        <v>2.9999999999999997E-4</v>
      </c>
      <c r="E47" s="5">
        <f t="shared" si="4"/>
        <v>1.79579</v>
      </c>
      <c r="F47" s="5">
        <f t="shared" si="5"/>
        <v>1.7963899999999999</v>
      </c>
      <c r="G47" s="826"/>
      <c r="H47" s="128">
        <f>((G47-'X600 Block Standard Info'!$D$10)/0.99951)-VLOOKUP(B47,'JGI Thread Wire Sizes-Constants'!A$3:C$30, 3, FALSE)</f>
        <v>-1.0758002353153047</v>
      </c>
      <c r="I47" s="997" t="s">
        <v>295</v>
      </c>
    </row>
    <row r="48" spans="1:9" x14ac:dyDescent="0.2">
      <c r="A48" s="731">
        <v>2</v>
      </c>
      <c r="B48" s="36">
        <v>11.5</v>
      </c>
      <c r="C48" s="37">
        <v>2.2690199999999998</v>
      </c>
      <c r="D48" s="37">
        <v>2.9999999999999997E-4</v>
      </c>
      <c r="E48" s="37">
        <f t="shared" si="4"/>
        <v>2.2687199999999996</v>
      </c>
      <c r="F48" s="37">
        <f t="shared" si="5"/>
        <v>2.26932</v>
      </c>
      <c r="G48" s="827"/>
      <c r="H48" s="128">
        <f>((G48-'X600 Block Standard Info'!$D$10)/0.99951)-VLOOKUP(B48,'JGI Thread Wire Sizes-Constants'!A$3:C$30, 3, FALSE)</f>
        <v>-1.0758002353153047</v>
      </c>
      <c r="I48" s="997" t="s">
        <v>295</v>
      </c>
    </row>
    <row r="49" spans="1:9" x14ac:dyDescent="0.2">
      <c r="A49" s="732">
        <v>2.5</v>
      </c>
      <c r="B49" s="41">
        <v>8</v>
      </c>
      <c r="C49" s="5">
        <v>2.7195299999999998</v>
      </c>
      <c r="D49" s="5">
        <v>5.0000000000000001E-4</v>
      </c>
      <c r="E49" s="5">
        <f t="shared" si="4"/>
        <v>2.7190299999999996</v>
      </c>
      <c r="F49" s="5">
        <f t="shared" si="5"/>
        <v>2.7200299999999999</v>
      </c>
      <c r="G49" s="826"/>
      <c r="H49" s="128">
        <f>((G49-'X600 Block Standard Info'!$D$10)/0.99951)-VLOOKUP(B49,'JGI Thread Wire Sizes-Constants'!A$3:C$30, 3, FALSE)</f>
        <v>-1.1086802353153047</v>
      </c>
      <c r="I49" s="997" t="s">
        <v>295</v>
      </c>
    </row>
    <row r="50" spans="1:9" x14ac:dyDescent="0.2">
      <c r="A50" s="731">
        <v>3</v>
      </c>
      <c r="B50" s="36">
        <v>8</v>
      </c>
      <c r="C50" s="37">
        <v>3.3406199999999999</v>
      </c>
      <c r="D50" s="37">
        <v>5.0000000000000001E-4</v>
      </c>
      <c r="E50" s="37">
        <f t="shared" si="4"/>
        <v>3.3401199999999998</v>
      </c>
      <c r="F50" s="37">
        <f t="shared" si="5"/>
        <v>3.3411200000000001</v>
      </c>
      <c r="G50" s="827"/>
      <c r="H50" s="128">
        <f>((G50-'X600 Block Standard Info'!$D$10)/0.99951)-VLOOKUP(B50,'JGI Thread Wire Sizes-Constants'!A$3:C$30, 3, FALSE)</f>
        <v>-1.1086802353153047</v>
      </c>
      <c r="I50" s="997" t="s">
        <v>295</v>
      </c>
    </row>
    <row r="51" spans="1:9" ht="13.5" thickBot="1" x14ac:dyDescent="0.25">
      <c r="A51" s="734"/>
      <c r="B51" s="735"/>
      <c r="C51" s="47"/>
      <c r="D51" s="47"/>
      <c r="E51" s="47"/>
      <c r="F51" s="47"/>
      <c r="G51" s="47"/>
      <c r="H51" s="47"/>
      <c r="I51" s="102"/>
    </row>
    <row r="52" spans="1:9" ht="16.5" thickBot="1" x14ac:dyDescent="0.3">
      <c r="A52" s="1140" t="s">
        <v>311</v>
      </c>
      <c r="B52" s="1141"/>
      <c r="C52" s="1141"/>
      <c r="D52" s="1141"/>
      <c r="E52" s="1141"/>
      <c r="F52" s="1141"/>
      <c r="G52" s="1141"/>
      <c r="H52" s="1141"/>
      <c r="I52" s="1142"/>
    </row>
    <row r="53" spans="1:9" x14ac:dyDescent="0.2">
      <c r="A53" s="736">
        <v>6.25E-2</v>
      </c>
      <c r="B53" s="30">
        <v>27</v>
      </c>
      <c r="C53" s="31">
        <v>0.26419999999999999</v>
      </c>
      <c r="D53" s="31">
        <v>2.0000000000000001E-4</v>
      </c>
      <c r="E53" s="56">
        <f>C53-D53</f>
        <v>0.26400000000000001</v>
      </c>
      <c r="F53" s="31">
        <f>C53+D53</f>
        <v>0.26439999999999997</v>
      </c>
      <c r="G53" s="824"/>
      <c r="H53" s="995" t="s">
        <v>295</v>
      </c>
      <c r="I53" s="742">
        <f>((G53-'X600 Block Standard Info'!$D$9)/0.99951)-VLOOKUP(B53,'JGI Thread Wire Sizes-Constants'!A$3:C$30, 3, FALSE)</f>
        <v>-1.0325502402177067</v>
      </c>
    </row>
    <row r="54" spans="1:9" x14ac:dyDescent="0.2">
      <c r="A54" s="731">
        <v>0.125</v>
      </c>
      <c r="B54" s="36">
        <v>27</v>
      </c>
      <c r="C54" s="37">
        <v>0.35659999999999997</v>
      </c>
      <c r="D54" s="37">
        <v>2.0000000000000001E-4</v>
      </c>
      <c r="E54" s="37">
        <f t="shared" ref="E54:E64" si="6">C54-D54</f>
        <v>0.35639999999999999</v>
      </c>
      <c r="F54" s="37">
        <f t="shared" ref="F54:F64" si="7">C54+D54</f>
        <v>0.35679999999999995</v>
      </c>
      <c r="G54" s="827"/>
      <c r="H54" s="996" t="s">
        <v>295</v>
      </c>
      <c r="I54" s="742">
        <f>((G54-'X600 Block Standard Info'!$D$9)/0.99951)-VLOOKUP(B54,'JGI Thread Wire Sizes-Constants'!A$3:C$30, 3, FALSE)</f>
        <v>-1.0325502402177067</v>
      </c>
    </row>
    <row r="55" spans="1:9" x14ac:dyDescent="0.2">
      <c r="A55" s="732">
        <v>0.25</v>
      </c>
      <c r="B55" s="41">
        <v>18</v>
      </c>
      <c r="C55" s="5">
        <v>0.46700000000000003</v>
      </c>
      <c r="D55" s="5">
        <v>2.0000000000000001E-4</v>
      </c>
      <c r="E55" s="5">
        <f t="shared" si="6"/>
        <v>0.46680000000000005</v>
      </c>
      <c r="F55" s="5">
        <f t="shared" si="7"/>
        <v>0.4672</v>
      </c>
      <c r="G55" s="826"/>
      <c r="H55" s="128">
        <f>((G55-'X600 Block Standard Info'!$D$10)/0.99951)-VLOOKUP(B55,'JGI Thread Wire Sizes-Constants'!A$3:C$30, 3, FALSE)</f>
        <v>-1.0486102353153046</v>
      </c>
      <c r="I55" s="997" t="s">
        <v>295</v>
      </c>
    </row>
    <row r="56" spans="1:9" x14ac:dyDescent="0.2">
      <c r="A56" s="731">
        <v>0.375</v>
      </c>
      <c r="B56" s="36">
        <v>18</v>
      </c>
      <c r="C56" s="37">
        <v>0.60160000000000002</v>
      </c>
      <c r="D56" s="37">
        <v>2.0000000000000001E-4</v>
      </c>
      <c r="E56" s="37">
        <f t="shared" si="6"/>
        <v>0.60140000000000005</v>
      </c>
      <c r="F56" s="37">
        <f t="shared" si="7"/>
        <v>0.6018</v>
      </c>
      <c r="G56" s="827"/>
      <c r="H56" s="128">
        <f>((G56-'X600 Block Standard Info'!$D$10)/0.99951)-VLOOKUP(B56,'JGI Thread Wire Sizes-Constants'!A$3:C$30, 3, FALSE)</f>
        <v>-1.0486102353153046</v>
      </c>
      <c r="I56" s="997" t="s">
        <v>295</v>
      </c>
    </row>
    <row r="57" spans="1:9" x14ac:dyDescent="0.2">
      <c r="A57" s="732">
        <v>0.5</v>
      </c>
      <c r="B57" s="41">
        <v>14</v>
      </c>
      <c r="C57" s="5">
        <v>0.74509999999999998</v>
      </c>
      <c r="D57" s="5">
        <v>2.9999999999999997E-4</v>
      </c>
      <c r="E57" s="5">
        <f t="shared" si="6"/>
        <v>0.74480000000000002</v>
      </c>
      <c r="F57" s="5">
        <f t="shared" si="7"/>
        <v>0.74539999999999995</v>
      </c>
      <c r="G57" s="826"/>
      <c r="H57" s="128">
        <f>((G57-'X600 Block Standard Info'!$D$10)/0.99951)-VLOOKUP(B57,'JGI Thread Wire Sizes-Constants'!A$3:C$30, 3, FALSE)</f>
        <v>-1.0622802353153047</v>
      </c>
      <c r="I57" s="997" t="s">
        <v>295</v>
      </c>
    </row>
    <row r="58" spans="1:9" x14ac:dyDescent="0.2">
      <c r="A58" s="731">
        <v>0.75</v>
      </c>
      <c r="B58" s="36">
        <v>14</v>
      </c>
      <c r="C58" s="37">
        <v>0.95430000000000004</v>
      </c>
      <c r="D58" s="37">
        <v>2.9999999999999997E-4</v>
      </c>
      <c r="E58" s="37">
        <f t="shared" si="6"/>
        <v>0.95400000000000007</v>
      </c>
      <c r="F58" s="37">
        <f t="shared" si="7"/>
        <v>0.9546</v>
      </c>
      <c r="G58" s="827"/>
      <c r="H58" s="128">
        <f>((G58-'X600 Block Standard Info'!$D$10)/0.99951)-VLOOKUP(B58,'JGI Thread Wire Sizes-Constants'!A$3:C$30, 3, FALSE)</f>
        <v>-1.0622802353153047</v>
      </c>
      <c r="I58" s="997" t="s">
        <v>295</v>
      </c>
    </row>
    <row r="59" spans="1:9" x14ac:dyDescent="0.2">
      <c r="A59" s="732">
        <v>1</v>
      </c>
      <c r="B59" s="41">
        <v>11.5</v>
      </c>
      <c r="C59" s="5">
        <v>1.1973</v>
      </c>
      <c r="D59" s="5">
        <v>2.9999999999999997E-4</v>
      </c>
      <c r="E59" s="5">
        <f t="shared" si="6"/>
        <v>1.1970000000000001</v>
      </c>
      <c r="F59" s="5">
        <f t="shared" si="7"/>
        <v>1.1976</v>
      </c>
      <c r="G59" s="826"/>
      <c r="H59" s="128">
        <f>((G59-'X600 Block Standard Info'!$D$10)/0.99951)-VLOOKUP(B59,'JGI Thread Wire Sizes-Constants'!A$3:C$30, 3, FALSE)</f>
        <v>-1.0758002353153047</v>
      </c>
      <c r="I59" s="997" t="s">
        <v>295</v>
      </c>
    </row>
    <row r="60" spans="1:9" x14ac:dyDescent="0.2">
      <c r="A60" s="731">
        <v>1.25</v>
      </c>
      <c r="B60" s="36">
        <v>11.5</v>
      </c>
      <c r="C60" s="37">
        <v>1.5407999999999999</v>
      </c>
      <c r="D60" s="37">
        <v>2.9999999999999997E-4</v>
      </c>
      <c r="E60" s="37">
        <f t="shared" si="6"/>
        <v>1.5405</v>
      </c>
      <c r="F60" s="37">
        <f t="shared" si="7"/>
        <v>1.5410999999999999</v>
      </c>
      <c r="G60" s="827"/>
      <c r="H60" s="128">
        <f>((G60-'X600 Block Standard Info'!$D$10)/0.99951)-VLOOKUP(B60,'JGI Thread Wire Sizes-Constants'!A$3:C$30, 3, FALSE)</f>
        <v>-1.0758002353153047</v>
      </c>
      <c r="I60" s="997" t="s">
        <v>295</v>
      </c>
    </row>
    <row r="61" spans="1:9" x14ac:dyDescent="0.2">
      <c r="A61" s="732">
        <v>1.5</v>
      </c>
      <c r="B61" s="41">
        <v>11.5</v>
      </c>
      <c r="C61" s="5">
        <v>1.7798</v>
      </c>
      <c r="D61" s="5">
        <v>2.9999999999999997E-4</v>
      </c>
      <c r="E61" s="5">
        <f t="shared" si="6"/>
        <v>1.7795000000000001</v>
      </c>
      <c r="F61" s="5">
        <f t="shared" si="7"/>
        <v>1.7801</v>
      </c>
      <c r="G61" s="826"/>
      <c r="H61" s="128">
        <f>((G61-'X600 Block Standard Info'!$D$10)/0.99951)-VLOOKUP(B61,'JGI Thread Wire Sizes-Constants'!A$3:C$30, 3, FALSE)</f>
        <v>-1.0758002353153047</v>
      </c>
      <c r="I61" s="997" t="s">
        <v>295</v>
      </c>
    </row>
    <row r="62" spans="1:9" x14ac:dyDescent="0.2">
      <c r="A62" s="731">
        <v>2</v>
      </c>
      <c r="B62" s="36">
        <v>11.5</v>
      </c>
      <c r="C62" s="37">
        <v>2.2526999999999999</v>
      </c>
      <c r="D62" s="37">
        <v>2.9999999999999997E-4</v>
      </c>
      <c r="E62" s="37">
        <f t="shared" si="6"/>
        <v>2.2523999999999997</v>
      </c>
      <c r="F62" s="37">
        <f t="shared" si="7"/>
        <v>2.2530000000000001</v>
      </c>
      <c r="G62" s="827"/>
      <c r="H62" s="128">
        <f>((G62-'X600 Block Standard Info'!$D$10)/0.99951)-VLOOKUP(B62,'JGI Thread Wire Sizes-Constants'!A$3:C$30, 3, FALSE)</f>
        <v>-1.0758002353153047</v>
      </c>
      <c r="I62" s="997" t="s">
        <v>295</v>
      </c>
    </row>
    <row r="63" spans="1:9" x14ac:dyDescent="0.2">
      <c r="A63" s="732">
        <v>2.5</v>
      </c>
      <c r="B63" s="41">
        <v>8</v>
      </c>
      <c r="C63" s="5">
        <v>2.6960999999999999</v>
      </c>
      <c r="D63" s="5">
        <v>5.0000000000000001E-4</v>
      </c>
      <c r="E63" s="5">
        <f t="shared" si="6"/>
        <v>2.6955999999999998</v>
      </c>
      <c r="F63" s="5">
        <f t="shared" si="7"/>
        <v>2.6966000000000001</v>
      </c>
      <c r="G63" s="826"/>
      <c r="H63" s="128">
        <f>((G63-'X600 Block Standard Info'!$D$10)/0.99951)-VLOOKUP(B63,'JGI Thread Wire Sizes-Constants'!A$3:C$30, 3, FALSE)</f>
        <v>-1.1086802353153047</v>
      </c>
      <c r="I63" s="997" t="s">
        <v>295</v>
      </c>
    </row>
    <row r="64" spans="1:9" x14ac:dyDescent="0.2">
      <c r="A64" s="731">
        <v>3</v>
      </c>
      <c r="B64" s="36">
        <v>8</v>
      </c>
      <c r="C64" s="37">
        <v>3.3172000000000001</v>
      </c>
      <c r="D64" s="37">
        <v>5.0000000000000001E-4</v>
      </c>
      <c r="E64" s="37">
        <f t="shared" si="6"/>
        <v>3.3167</v>
      </c>
      <c r="F64" s="37">
        <f t="shared" si="7"/>
        <v>3.3177000000000003</v>
      </c>
      <c r="G64" s="827"/>
      <c r="H64" s="128">
        <f>((G64-'X600 Block Standard Info'!$D$10)/0.99951)-VLOOKUP(B64,'JGI Thread Wire Sizes-Constants'!A$3:C$30, 3, FALSE)</f>
        <v>-1.1086802353153047</v>
      </c>
      <c r="I64" s="997" t="s">
        <v>295</v>
      </c>
    </row>
    <row r="65" spans="1:9" ht="13.5" thickBot="1" x14ac:dyDescent="0.25">
      <c r="A65" s="320" t="s">
        <v>313</v>
      </c>
      <c r="B65" s="164"/>
      <c r="C65" s="164"/>
      <c r="D65" s="164"/>
      <c r="E65" s="164"/>
      <c r="F65" s="164"/>
      <c r="G65" s="164"/>
      <c r="H65" s="164"/>
      <c r="I65" s="561"/>
    </row>
  </sheetData>
  <sheetProtection algorithmName="SHA-512" hashValue="IRyFuGokWlac1R7EgC32oZJv1Xn0iZSTNBieN0vlKxP+h9Dg680emw6+aY2mcpCd9Ypx9Ajiulxiwu1Aq1Xeag==" saltValue="UC8+0E1OIqKfuFU5P9DGwg==" spinCount="100000" sheet="1" objects="1" scenarios="1" selectLockedCells="1"/>
  <mergeCells count="9">
    <mergeCell ref="A52:I52"/>
    <mergeCell ref="A35:I35"/>
    <mergeCell ref="A2:I2"/>
    <mergeCell ref="A4:I4"/>
    <mergeCell ref="A20:I20"/>
    <mergeCell ref="A37:I37"/>
    <mergeCell ref="A3:I3"/>
    <mergeCell ref="A19:I19"/>
    <mergeCell ref="A36:I36"/>
  </mergeCells>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84" r:id="rId3" name="Button 4">
              <controlPr defaultSize="0" print="0" autoFill="0" autoPict="0" macro="[0]!ReturnToMain">
                <anchor moveWithCells="1" sizeWithCells="1">
                  <from>
                    <xdr:col>0</xdr:col>
                    <xdr:colOff>19050</xdr:colOff>
                    <xdr:row>0</xdr:row>
                    <xdr:rowOff>19050</xdr:rowOff>
                  </from>
                  <to>
                    <xdr:col>1</xdr:col>
                    <xdr:colOff>76200</xdr:colOff>
                    <xdr:row>0</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indexed="30"/>
  </sheetPr>
  <dimension ref="A1:H48"/>
  <sheetViews>
    <sheetView topLeftCell="A7" workbookViewId="0">
      <selection activeCell="F23" sqref="F23"/>
    </sheetView>
  </sheetViews>
  <sheetFormatPr defaultRowHeight="12.75" x14ac:dyDescent="0.2"/>
  <cols>
    <col min="1" max="1" width="21" customWidth="1"/>
    <col min="3" max="3" width="22.140625" customWidth="1"/>
    <col min="6" max="6" width="11.5703125" customWidth="1"/>
    <col min="7" max="7" width="23" customWidth="1"/>
    <col min="8" max="8" width="18.42578125" customWidth="1"/>
  </cols>
  <sheetData>
    <row r="1" spans="1:8" s="10" customFormat="1" ht="25.5" customHeight="1" x14ac:dyDescent="0.2"/>
    <row r="2" spans="1:8" ht="25.5" customHeight="1" thickBot="1" x14ac:dyDescent="0.3">
      <c r="A2" s="1143" t="s">
        <v>283</v>
      </c>
      <c r="B2" s="1143"/>
      <c r="C2" s="1143"/>
      <c r="D2" s="1143"/>
      <c r="E2" s="1143"/>
      <c r="F2" s="1143"/>
      <c r="G2" s="1143"/>
      <c r="H2" s="1143"/>
    </row>
    <row r="3" spans="1:8" ht="16.5" thickBot="1" x14ac:dyDescent="0.3">
      <c r="A3" s="1144" t="s">
        <v>33</v>
      </c>
      <c r="B3" s="1145"/>
      <c r="C3" s="1145"/>
      <c r="D3" s="1145"/>
      <c r="E3" s="1145"/>
      <c r="F3" s="1145"/>
      <c r="G3" s="1145"/>
      <c r="H3" s="1146"/>
    </row>
    <row r="4" spans="1:8" ht="16.5" thickBot="1" x14ac:dyDescent="0.3">
      <c r="A4" s="25" t="s">
        <v>285</v>
      </c>
      <c r="B4" s="26" t="s">
        <v>288</v>
      </c>
      <c r="C4" s="26" t="s">
        <v>305</v>
      </c>
      <c r="D4" s="26" t="s">
        <v>290</v>
      </c>
      <c r="E4" s="26" t="s">
        <v>291</v>
      </c>
      <c r="F4" s="27" t="s">
        <v>292</v>
      </c>
      <c r="G4" s="495" t="s">
        <v>293</v>
      </c>
      <c r="H4" s="495" t="s">
        <v>294</v>
      </c>
    </row>
    <row r="5" spans="1:8" x14ac:dyDescent="0.2">
      <c r="A5" s="57">
        <v>6.25E-2</v>
      </c>
      <c r="B5" s="31">
        <v>0.23910000000000001</v>
      </c>
      <c r="C5" s="31">
        <v>1.4999999999999999E-4</v>
      </c>
      <c r="D5" s="5">
        <f>B5</f>
        <v>0.23910000000000001</v>
      </c>
      <c r="E5" s="5">
        <f>D5+0.00015</f>
        <v>0.23925000000000002</v>
      </c>
      <c r="F5" s="826"/>
      <c r="G5" s="998"/>
      <c r="H5" s="283">
        <f>(F5-'X600 Block Standard Info'!$D$9)/0.99951</f>
        <v>-1.0004902402177067</v>
      </c>
    </row>
    <row r="6" spans="1:8" x14ac:dyDescent="0.2">
      <c r="A6" s="58">
        <v>0.125</v>
      </c>
      <c r="B6" s="37">
        <v>0.33150000000000002</v>
      </c>
      <c r="C6" s="37">
        <v>1.4999999999999999E-4</v>
      </c>
      <c r="D6" s="37">
        <f t="shared" ref="D6:D16" si="0">B6</f>
        <v>0.33150000000000002</v>
      </c>
      <c r="E6" s="37">
        <f t="shared" ref="E6:E16" si="1">D6+0.00015</f>
        <v>0.33165</v>
      </c>
      <c r="F6" s="827"/>
      <c r="G6" s="998"/>
      <c r="H6" s="283">
        <f>(F6-'X600 Block Standard Info'!$D$9)/0.99951</f>
        <v>-1.0004902402177067</v>
      </c>
    </row>
    <row r="7" spans="1:8" x14ac:dyDescent="0.2">
      <c r="A7" s="59">
        <v>0.25</v>
      </c>
      <c r="B7" s="5">
        <v>0.42759999999999998</v>
      </c>
      <c r="C7" s="5">
        <v>1.4999999999999999E-4</v>
      </c>
      <c r="D7" s="5">
        <f t="shared" si="0"/>
        <v>0.42759999999999998</v>
      </c>
      <c r="E7" s="5">
        <f t="shared" si="1"/>
        <v>0.42774999999999996</v>
      </c>
      <c r="F7" s="826"/>
      <c r="G7" s="128">
        <f>(F7-'X600 Block Standard Info'!$D$10)/0.99951</f>
        <v>-1.0004802353153046</v>
      </c>
      <c r="H7" s="998"/>
    </row>
    <row r="8" spans="1:8" x14ac:dyDescent="0.2">
      <c r="A8" s="58">
        <v>0.375</v>
      </c>
      <c r="B8" s="37">
        <v>0.56220000000000003</v>
      </c>
      <c r="C8" s="37">
        <v>1.4999999999999999E-4</v>
      </c>
      <c r="D8" s="37">
        <f t="shared" si="0"/>
        <v>0.56220000000000003</v>
      </c>
      <c r="E8" s="37">
        <f t="shared" si="1"/>
        <v>0.56235000000000002</v>
      </c>
      <c r="F8" s="827"/>
      <c r="G8" s="128">
        <f>(F8-'X600 Block Standard Info'!$D$10)/0.99951</f>
        <v>-1.0004802353153046</v>
      </c>
      <c r="H8" s="998"/>
    </row>
    <row r="9" spans="1:8" x14ac:dyDescent="0.2">
      <c r="A9" s="59">
        <v>0.5</v>
      </c>
      <c r="B9" s="5">
        <v>0.69179999999999997</v>
      </c>
      <c r="C9" s="5">
        <v>1.4999999999999999E-4</v>
      </c>
      <c r="D9" s="5">
        <f t="shared" si="0"/>
        <v>0.69179999999999997</v>
      </c>
      <c r="E9" s="5">
        <f t="shared" si="1"/>
        <v>0.69194999999999995</v>
      </c>
      <c r="F9" s="826"/>
      <c r="G9" s="128">
        <f>(F9-'X600 Block Standard Info'!$D$10)/0.99951</f>
        <v>-1.0004802353153046</v>
      </c>
      <c r="H9" s="998"/>
    </row>
    <row r="10" spans="1:8" x14ac:dyDescent="0.2">
      <c r="A10" s="58">
        <v>0.75</v>
      </c>
      <c r="B10" s="37">
        <v>0.90100000000000002</v>
      </c>
      <c r="C10" s="37">
        <v>1.4999999999999999E-4</v>
      </c>
      <c r="D10" s="37">
        <f t="shared" si="0"/>
        <v>0.90100000000000002</v>
      </c>
      <c r="E10" s="37">
        <f t="shared" si="1"/>
        <v>0.90115000000000001</v>
      </c>
      <c r="F10" s="827"/>
      <c r="G10" s="128">
        <f>(F10-'X600 Block Standard Info'!$D$10)/0.99951</f>
        <v>-1.0004802353153046</v>
      </c>
      <c r="H10" s="998"/>
    </row>
    <row r="11" spans="1:8" x14ac:dyDescent="0.2">
      <c r="A11" s="59">
        <v>1</v>
      </c>
      <c r="B11" s="5">
        <v>1.1324000000000001</v>
      </c>
      <c r="C11" s="5">
        <v>1.4999999999999999E-4</v>
      </c>
      <c r="D11" s="5">
        <f t="shared" si="0"/>
        <v>1.1324000000000001</v>
      </c>
      <c r="E11" s="5">
        <f t="shared" si="1"/>
        <v>1.1325500000000002</v>
      </c>
      <c r="F11" s="826"/>
      <c r="G11" s="128">
        <f>(F11-'X600 Block Standard Info'!$D$10)/0.99951</f>
        <v>-1.0004802353153046</v>
      </c>
      <c r="H11" s="998"/>
    </row>
    <row r="12" spans="1:8" x14ac:dyDescent="0.2">
      <c r="A12" s="58">
        <v>1.25</v>
      </c>
      <c r="B12" s="37">
        <v>1.4759</v>
      </c>
      <c r="C12" s="37">
        <v>1.4999999999999999E-4</v>
      </c>
      <c r="D12" s="37">
        <f t="shared" si="0"/>
        <v>1.4759</v>
      </c>
      <c r="E12" s="37">
        <f t="shared" si="1"/>
        <v>1.4760500000000001</v>
      </c>
      <c r="F12" s="827"/>
      <c r="G12" s="128">
        <f>(F12-'X600 Block Standard Info'!$D$10)/0.99951</f>
        <v>-1.0004802353153046</v>
      </c>
      <c r="H12" s="998"/>
    </row>
    <row r="13" spans="1:8" x14ac:dyDescent="0.2">
      <c r="A13" s="59">
        <v>1.5</v>
      </c>
      <c r="B13" s="5">
        <v>1.7149000000000001</v>
      </c>
      <c r="C13" s="5">
        <v>1.4999999999999999E-4</v>
      </c>
      <c r="D13" s="5">
        <f t="shared" si="0"/>
        <v>1.7149000000000001</v>
      </c>
      <c r="E13" s="5">
        <f t="shared" si="1"/>
        <v>1.7150500000000002</v>
      </c>
      <c r="F13" s="826"/>
      <c r="G13" s="128">
        <f>(F13-'X600 Block Standard Info'!$D$10)/0.99951</f>
        <v>-1.0004802353153046</v>
      </c>
      <c r="H13" s="998"/>
    </row>
    <row r="14" spans="1:8" x14ac:dyDescent="0.2">
      <c r="A14" s="58">
        <v>2</v>
      </c>
      <c r="B14" s="37">
        <v>2.1878000000000002</v>
      </c>
      <c r="C14" s="37">
        <v>1.4999999999999999E-4</v>
      </c>
      <c r="D14" s="37">
        <f t="shared" si="0"/>
        <v>2.1878000000000002</v>
      </c>
      <c r="E14" s="37">
        <f t="shared" si="1"/>
        <v>2.1879500000000003</v>
      </c>
      <c r="F14" s="827"/>
      <c r="G14" s="128">
        <f>(F14-'X600 Block Standard Info'!$D$10)/0.99951</f>
        <v>-1.0004802353153046</v>
      </c>
      <c r="H14" s="998"/>
    </row>
    <row r="15" spans="1:8" x14ac:dyDescent="0.2">
      <c r="A15" s="59">
        <v>2.5</v>
      </c>
      <c r="B15" s="5">
        <v>2.6015999999999999</v>
      </c>
      <c r="C15" s="5">
        <v>1.4999999999999999E-4</v>
      </c>
      <c r="D15" s="5">
        <f t="shared" si="0"/>
        <v>2.6015999999999999</v>
      </c>
      <c r="E15" s="5">
        <f t="shared" si="1"/>
        <v>2.60175</v>
      </c>
      <c r="F15" s="826"/>
      <c r="G15" s="128">
        <f>(F15-'X600 Block Standard Info'!$D$10)/0.99951</f>
        <v>-1.0004802353153046</v>
      </c>
      <c r="H15" s="998"/>
    </row>
    <row r="16" spans="1:8" x14ac:dyDescent="0.2">
      <c r="A16" s="58">
        <v>3</v>
      </c>
      <c r="B16" s="37">
        <v>3.2227000000000001</v>
      </c>
      <c r="C16" s="37">
        <v>1.4999999999999999E-4</v>
      </c>
      <c r="D16" s="37">
        <f t="shared" si="0"/>
        <v>3.2227000000000001</v>
      </c>
      <c r="E16" s="37">
        <f t="shared" si="1"/>
        <v>3.2228500000000002</v>
      </c>
      <c r="F16" s="827"/>
      <c r="G16" s="128">
        <f>(F16-'X600 Block Standard Info'!$D$10)/0.99951</f>
        <v>-1.0004802353153046</v>
      </c>
      <c r="H16" s="998"/>
    </row>
    <row r="17" spans="1:8" x14ac:dyDescent="0.2">
      <c r="A17" s="746" t="s">
        <v>314</v>
      </c>
      <c r="F17" s="60"/>
    </row>
    <row r="18" spans="1:8" ht="18.75" thickBot="1" x14ac:dyDescent="0.3">
      <c r="A18" s="1143" t="s">
        <v>315</v>
      </c>
      <c r="B18" s="1143"/>
      <c r="C18" s="1143"/>
      <c r="D18" s="1143"/>
      <c r="E18" s="1143"/>
      <c r="F18" s="1143"/>
      <c r="G18" s="1143"/>
      <c r="H18" s="1143"/>
    </row>
    <row r="19" spans="1:8" ht="16.5" thickBot="1" x14ac:dyDescent="0.3">
      <c r="A19" s="1144" t="s">
        <v>29</v>
      </c>
      <c r="B19" s="1145"/>
      <c r="C19" s="1145"/>
      <c r="D19" s="1145"/>
      <c r="E19" s="1145"/>
      <c r="F19" s="1145"/>
      <c r="G19" s="1145"/>
      <c r="H19" s="1146"/>
    </row>
    <row r="20" spans="1:8" ht="16.5" thickBot="1" x14ac:dyDescent="0.3">
      <c r="A20" s="25" t="s">
        <v>285</v>
      </c>
      <c r="B20" s="26" t="s">
        <v>288</v>
      </c>
      <c r="C20" s="26" t="s">
        <v>305</v>
      </c>
      <c r="D20" s="26" t="s">
        <v>290</v>
      </c>
      <c r="E20" s="26" t="s">
        <v>291</v>
      </c>
      <c r="F20" s="27" t="s">
        <v>292</v>
      </c>
      <c r="G20" s="495" t="s">
        <v>293</v>
      </c>
      <c r="H20" s="495" t="s">
        <v>294</v>
      </c>
    </row>
    <row r="21" spans="1:8" x14ac:dyDescent="0.2">
      <c r="A21" s="57">
        <v>6.25E-2</v>
      </c>
      <c r="B21" s="31">
        <v>0.23927999999999999</v>
      </c>
      <c r="C21" s="31">
        <v>1.4999999999999999E-4</v>
      </c>
      <c r="D21" s="5">
        <f>B21</f>
        <v>0.23927999999999999</v>
      </c>
      <c r="E21" s="5">
        <f>D21+0.00015</f>
        <v>0.23943</v>
      </c>
      <c r="F21" s="826"/>
      <c r="G21" s="998"/>
      <c r="H21" s="283">
        <f>(F21-'X600 Block Standard Info'!$D$9)/0.99951</f>
        <v>-1.0004902402177067</v>
      </c>
    </row>
    <row r="22" spans="1:8" x14ac:dyDescent="0.2">
      <c r="A22" s="58">
        <v>0.125</v>
      </c>
      <c r="B22" s="37">
        <v>0.33160000000000001</v>
      </c>
      <c r="C22" s="37">
        <v>1.4999999999999999E-4</v>
      </c>
      <c r="D22" s="37">
        <f t="shared" ref="D22:D32" si="2">B22</f>
        <v>0.33160000000000001</v>
      </c>
      <c r="E22" s="37">
        <f t="shared" ref="E22:E32" si="3">D22+0.00015</f>
        <v>0.33174999999999999</v>
      </c>
      <c r="F22" s="827">
        <v>1.3315399999999999</v>
      </c>
      <c r="G22" s="998"/>
      <c r="H22" s="283">
        <f>(F22-'X600 Block Standard Info'!$D$9)/0.99951</f>
        <v>0.33170253424177842</v>
      </c>
    </row>
    <row r="23" spans="1:8" x14ac:dyDescent="0.2">
      <c r="A23" s="59">
        <v>0.25</v>
      </c>
      <c r="B23" s="5">
        <v>0.42864000000000002</v>
      </c>
      <c r="C23" s="5">
        <v>1.4999999999999999E-4</v>
      </c>
      <c r="D23" s="5">
        <f t="shared" si="2"/>
        <v>0.42864000000000002</v>
      </c>
      <c r="E23" s="5">
        <f t="shared" si="3"/>
        <v>0.42879</v>
      </c>
      <c r="F23" s="826">
        <v>8</v>
      </c>
      <c r="G23" s="128">
        <f>(F23-'X600 Block Standard Info'!$D$10)/0.99951</f>
        <v>7.0034416864263482</v>
      </c>
      <c r="H23" s="998"/>
    </row>
    <row r="24" spans="1:8" x14ac:dyDescent="0.2">
      <c r="A24" s="58">
        <v>0.375</v>
      </c>
      <c r="B24" s="37">
        <v>0.56327000000000005</v>
      </c>
      <c r="C24" s="37">
        <v>1.4999999999999999E-4</v>
      </c>
      <c r="D24" s="37">
        <f t="shared" si="2"/>
        <v>0.56327000000000005</v>
      </c>
      <c r="E24" s="37">
        <f t="shared" si="3"/>
        <v>0.56342000000000003</v>
      </c>
      <c r="F24" s="827"/>
      <c r="G24" s="128">
        <f>(F24-'X600 Block Standard Info'!$D$10)/0.99951</f>
        <v>-1.0004802353153046</v>
      </c>
      <c r="H24" s="998"/>
    </row>
    <row r="25" spans="1:8" x14ac:dyDescent="0.2">
      <c r="A25" s="59">
        <v>0.5</v>
      </c>
      <c r="B25" s="5">
        <v>0.69432000000000005</v>
      </c>
      <c r="C25" s="5">
        <v>1.4999999999999999E-4</v>
      </c>
      <c r="D25" s="5">
        <f t="shared" si="2"/>
        <v>0.69432000000000005</v>
      </c>
      <c r="E25" s="5">
        <f t="shared" si="3"/>
        <v>0.69447000000000003</v>
      </c>
      <c r="F25" s="826"/>
      <c r="G25" s="128">
        <f>(F25-'X600 Block Standard Info'!$D$10)/0.99951</f>
        <v>-1.0004802353153046</v>
      </c>
      <c r="H25" s="998"/>
    </row>
    <row r="26" spans="1:8" x14ac:dyDescent="0.2">
      <c r="A26" s="58">
        <v>0.75</v>
      </c>
      <c r="B26" s="37">
        <v>0.90356999999999998</v>
      </c>
      <c r="C26" s="37">
        <v>1.4999999999999999E-4</v>
      </c>
      <c r="D26" s="37">
        <f t="shared" si="2"/>
        <v>0.90356999999999998</v>
      </c>
      <c r="E26" s="37">
        <f t="shared" si="3"/>
        <v>0.90371999999999997</v>
      </c>
      <c r="F26" s="827"/>
      <c r="G26" s="128">
        <f>(F26-'X600 Block Standard Info'!$D$10)/0.99951</f>
        <v>-1.0004802353153046</v>
      </c>
      <c r="H26" s="998"/>
    </row>
    <row r="27" spans="1:8" x14ac:dyDescent="0.2">
      <c r="A27" s="59">
        <v>1</v>
      </c>
      <c r="B27" s="5">
        <v>1.13472</v>
      </c>
      <c r="C27" s="5">
        <v>1.4999999999999999E-4</v>
      </c>
      <c r="D27" s="5">
        <f t="shared" si="2"/>
        <v>1.13472</v>
      </c>
      <c r="E27" s="5">
        <f t="shared" si="3"/>
        <v>1.13487</v>
      </c>
      <c r="F27" s="826"/>
      <c r="G27" s="128">
        <f>(F27-'X600 Block Standard Info'!$D$10)/0.99951</f>
        <v>-1.0004802353153046</v>
      </c>
      <c r="H27" s="998"/>
    </row>
    <row r="28" spans="1:8" x14ac:dyDescent="0.2">
      <c r="A28" s="58">
        <v>1.25</v>
      </c>
      <c r="B28" s="37">
        <v>1.4782200000000001</v>
      </c>
      <c r="C28" s="37">
        <v>1.4999999999999999E-4</v>
      </c>
      <c r="D28" s="37">
        <f t="shared" si="2"/>
        <v>1.4782200000000001</v>
      </c>
      <c r="E28" s="37">
        <f t="shared" si="3"/>
        <v>1.4783700000000002</v>
      </c>
      <c r="F28" s="827"/>
      <c r="G28" s="128">
        <f>(F28-'X600 Block Standard Info'!$D$10)/0.99951</f>
        <v>-1.0004802353153046</v>
      </c>
      <c r="H28" s="998"/>
    </row>
    <row r="29" spans="1:8" x14ac:dyDescent="0.2">
      <c r="A29" s="59">
        <v>1.5</v>
      </c>
      <c r="B29" s="5">
        <v>1.7171700000000001</v>
      </c>
      <c r="C29" s="5">
        <v>1.4999999999999999E-4</v>
      </c>
      <c r="D29" s="5">
        <f t="shared" si="2"/>
        <v>1.7171700000000001</v>
      </c>
      <c r="E29" s="5">
        <f t="shared" si="3"/>
        <v>1.7173200000000002</v>
      </c>
      <c r="F29" s="826"/>
      <c r="G29" s="128">
        <f>(F29-'X600 Block Standard Info'!$D$10)/0.99951</f>
        <v>-1.0004802353153046</v>
      </c>
      <c r="H29" s="998"/>
    </row>
    <row r="30" spans="1:8" x14ac:dyDescent="0.2">
      <c r="A30" s="58">
        <v>2</v>
      </c>
      <c r="B30" s="37">
        <v>2.1901099999999998</v>
      </c>
      <c r="C30" s="37">
        <v>1.4999999999999999E-4</v>
      </c>
      <c r="D30" s="37">
        <f t="shared" si="2"/>
        <v>2.1901099999999998</v>
      </c>
      <c r="E30" s="37">
        <f t="shared" si="3"/>
        <v>2.1902599999999999</v>
      </c>
      <c r="F30" s="827"/>
      <c r="G30" s="128">
        <f>(F30-'X600 Block Standard Info'!$D$10)/0.99951</f>
        <v>-1.0004802353153046</v>
      </c>
      <c r="H30" s="998"/>
    </row>
    <row r="31" spans="1:8" x14ac:dyDescent="0.2">
      <c r="A31" s="59">
        <v>2.5</v>
      </c>
      <c r="B31" s="5">
        <v>2.6033400000000002</v>
      </c>
      <c r="C31" s="5">
        <v>1.4999999999999999E-4</v>
      </c>
      <c r="D31" s="5">
        <f t="shared" si="2"/>
        <v>2.6033400000000002</v>
      </c>
      <c r="E31" s="5">
        <f t="shared" si="3"/>
        <v>2.6034900000000003</v>
      </c>
      <c r="F31" s="826"/>
      <c r="G31" s="128">
        <f>(F31-'X600 Block Standard Info'!$D$10)/0.99951</f>
        <v>-1.0004802353153046</v>
      </c>
      <c r="H31" s="998"/>
    </row>
    <row r="32" spans="1:8" x14ac:dyDescent="0.2">
      <c r="A32" s="58">
        <v>3</v>
      </c>
      <c r="B32" s="37">
        <v>3.22444</v>
      </c>
      <c r="C32" s="37">
        <v>1.4999999999999999E-4</v>
      </c>
      <c r="D32" s="37">
        <f t="shared" si="2"/>
        <v>3.22444</v>
      </c>
      <c r="E32" s="37">
        <f t="shared" si="3"/>
        <v>3.2245900000000001</v>
      </c>
      <c r="F32" s="827"/>
      <c r="G32" s="128">
        <f>(F32-'X600 Block Standard Info'!$D$10)/0.99951</f>
        <v>-1.0004802353153046</v>
      </c>
      <c r="H32" s="998"/>
    </row>
    <row r="33" spans="1:8" x14ac:dyDescent="0.2">
      <c r="A33" s="745" t="s">
        <v>316</v>
      </c>
      <c r="F33" s="60"/>
    </row>
    <row r="34" spans="1:8" ht="18.75" thickBot="1" x14ac:dyDescent="0.3">
      <c r="A34" s="1143" t="s">
        <v>283</v>
      </c>
      <c r="B34" s="1143"/>
      <c r="C34" s="1143"/>
      <c r="D34" s="1143"/>
      <c r="E34" s="1143"/>
      <c r="F34" s="1143"/>
      <c r="G34" s="1143"/>
      <c r="H34" s="1143"/>
    </row>
    <row r="35" spans="1:8" ht="16.5" thickBot="1" x14ac:dyDescent="0.3">
      <c r="A35" s="1140" t="s">
        <v>301</v>
      </c>
      <c r="B35" s="1141"/>
      <c r="C35" s="1141"/>
      <c r="D35" s="1141"/>
      <c r="E35" s="1141"/>
      <c r="F35" s="1141"/>
      <c r="G35" s="1141"/>
      <c r="H35" s="1142"/>
    </row>
    <row r="36" spans="1:8" ht="16.5" thickBot="1" x14ac:dyDescent="0.3">
      <c r="A36" s="25" t="s">
        <v>285</v>
      </c>
      <c r="B36" s="26" t="s">
        <v>288</v>
      </c>
      <c r="C36" s="26" t="s">
        <v>317</v>
      </c>
      <c r="D36" s="53" t="s">
        <v>290</v>
      </c>
      <c r="E36" s="53" t="s">
        <v>291</v>
      </c>
      <c r="F36" s="729" t="s">
        <v>292</v>
      </c>
      <c r="G36" s="496" t="s">
        <v>293</v>
      </c>
      <c r="H36" s="496" t="s">
        <v>294</v>
      </c>
    </row>
    <row r="37" spans="1:8" x14ac:dyDescent="0.2">
      <c r="A37" s="57">
        <v>6.25E-2</v>
      </c>
      <c r="B37" s="31">
        <v>0.2611</v>
      </c>
      <c r="C37" s="31">
        <v>1E-3</v>
      </c>
      <c r="D37" s="5">
        <f>B37-C37</f>
        <v>0.2601</v>
      </c>
      <c r="E37" s="5">
        <f>B37+C37</f>
        <v>0.2621</v>
      </c>
      <c r="F37" s="128"/>
      <c r="G37" s="998"/>
      <c r="H37" s="283">
        <f>(F37-'X600 Block Standard Info'!$D$9)/0.99951</f>
        <v>-1.0004902402177067</v>
      </c>
    </row>
    <row r="38" spans="1:8" x14ac:dyDescent="0.2">
      <c r="A38" s="58">
        <v>0.125</v>
      </c>
      <c r="B38" s="37">
        <v>0.26390000000000002</v>
      </c>
      <c r="C38" s="37">
        <v>1E-3</v>
      </c>
      <c r="D38" s="37">
        <f t="shared" ref="D38:D48" si="4">B38-C38</f>
        <v>0.26290000000000002</v>
      </c>
      <c r="E38" s="37">
        <f t="shared" ref="E38:E48" si="5">B38+C38</f>
        <v>0.26490000000000002</v>
      </c>
      <c r="F38" s="276"/>
      <c r="G38" s="998"/>
      <c r="H38" s="283">
        <f>(F38-'X600 Block Standard Info'!$D$9)/0.99951</f>
        <v>-1.0004902402177067</v>
      </c>
    </row>
    <row r="39" spans="1:8" x14ac:dyDescent="0.2">
      <c r="A39" s="59">
        <v>0.25</v>
      </c>
      <c r="B39" s="5">
        <v>0.40179999999999999</v>
      </c>
      <c r="C39" s="5">
        <v>1E-3</v>
      </c>
      <c r="D39" s="5">
        <f t="shared" si="4"/>
        <v>0.40079999999999999</v>
      </c>
      <c r="E39" s="5">
        <f t="shared" si="5"/>
        <v>0.40279999999999999</v>
      </c>
      <c r="F39" s="128"/>
      <c r="G39" s="128">
        <f>(F39-'X600 Block Standard Info'!$D$10)/0.99951</f>
        <v>-1.0004802353153046</v>
      </c>
      <c r="H39" s="998"/>
    </row>
    <row r="40" spans="1:8" x14ac:dyDescent="0.2">
      <c r="A40" s="58">
        <v>0.375</v>
      </c>
      <c r="B40" s="37">
        <v>0.4078</v>
      </c>
      <c r="C40" s="37">
        <v>1E-3</v>
      </c>
      <c r="D40" s="37">
        <f t="shared" si="4"/>
        <v>0.40679999999999999</v>
      </c>
      <c r="E40" s="37">
        <f t="shared" si="5"/>
        <v>0.4088</v>
      </c>
      <c r="F40" s="276"/>
      <c r="G40" s="128">
        <f>(F40-'X600 Block Standard Info'!$D$10)/0.99951</f>
        <v>-1.0004802353153046</v>
      </c>
      <c r="H40" s="998"/>
    </row>
    <row r="41" spans="1:8" x14ac:dyDescent="0.2">
      <c r="A41" s="59">
        <v>0.5</v>
      </c>
      <c r="B41" s="5">
        <v>0.53369999999999995</v>
      </c>
      <c r="C41" s="5">
        <v>1E-3</v>
      </c>
      <c r="D41" s="5">
        <f t="shared" si="4"/>
        <v>0.53269999999999995</v>
      </c>
      <c r="E41" s="5">
        <f t="shared" si="5"/>
        <v>0.53469999999999995</v>
      </c>
      <c r="F41" s="128"/>
      <c r="G41" s="128">
        <f>(F41-'X600 Block Standard Info'!$D$10)/0.99951</f>
        <v>-1.0004802353153046</v>
      </c>
      <c r="H41" s="998"/>
    </row>
    <row r="42" spans="1:8" x14ac:dyDescent="0.2">
      <c r="A42" s="58">
        <v>0.75</v>
      </c>
      <c r="B42" s="37">
        <v>0.54569999999999996</v>
      </c>
      <c r="C42" s="37">
        <v>1E-3</v>
      </c>
      <c r="D42" s="37">
        <f t="shared" si="4"/>
        <v>0.54469999999999996</v>
      </c>
      <c r="E42" s="37">
        <f t="shared" si="5"/>
        <v>0.54669999999999996</v>
      </c>
      <c r="F42" s="276"/>
      <c r="G42" s="128">
        <f>(F42-'X600 Block Standard Info'!$D$10)/0.99951</f>
        <v>-1.0004802353153046</v>
      </c>
      <c r="H42" s="998"/>
    </row>
    <row r="43" spans="1:8" x14ac:dyDescent="0.2">
      <c r="A43" s="59">
        <v>1</v>
      </c>
      <c r="B43" s="5">
        <v>0.68279999999999996</v>
      </c>
      <c r="C43" s="5">
        <v>1E-3</v>
      </c>
      <c r="D43" s="5">
        <f t="shared" si="4"/>
        <v>0.68179999999999996</v>
      </c>
      <c r="E43" s="5">
        <f t="shared" si="5"/>
        <v>0.68379999999999996</v>
      </c>
      <c r="F43" s="128"/>
      <c r="G43" s="128">
        <f>(F43-'X600 Block Standard Info'!$D$10)/0.99951</f>
        <v>-1.0004802353153046</v>
      </c>
      <c r="H43" s="998"/>
    </row>
    <row r="44" spans="1:8" x14ac:dyDescent="0.2">
      <c r="A44" s="58">
        <v>1.25</v>
      </c>
      <c r="B44" s="37">
        <v>0.70679999999999998</v>
      </c>
      <c r="C44" s="37">
        <v>1E-3</v>
      </c>
      <c r="D44" s="37">
        <f t="shared" si="4"/>
        <v>0.70579999999999998</v>
      </c>
      <c r="E44" s="37">
        <f t="shared" si="5"/>
        <v>0.70779999999999998</v>
      </c>
      <c r="F44" s="276"/>
      <c r="G44" s="128">
        <f>(F44-'X600 Block Standard Info'!$D$10)/0.99951</f>
        <v>-1.0004802353153046</v>
      </c>
      <c r="H44" s="998"/>
    </row>
    <row r="45" spans="1:8" x14ac:dyDescent="0.2">
      <c r="A45" s="59">
        <v>1.5</v>
      </c>
      <c r="B45" s="5">
        <v>0.72350000000000003</v>
      </c>
      <c r="C45" s="5">
        <v>1E-3</v>
      </c>
      <c r="D45" s="5">
        <f t="shared" si="4"/>
        <v>0.72250000000000003</v>
      </c>
      <c r="E45" s="5">
        <f t="shared" si="5"/>
        <v>0.72450000000000003</v>
      </c>
      <c r="F45" s="128"/>
      <c r="G45" s="128">
        <f>(F45-'X600 Block Standard Info'!$D$10)/0.99951</f>
        <v>-1.0004802353153046</v>
      </c>
      <c r="H45" s="998"/>
    </row>
    <row r="46" spans="1:8" x14ac:dyDescent="0.2">
      <c r="A46" s="58">
        <v>2</v>
      </c>
      <c r="B46" s="37">
        <v>0.75649999999999995</v>
      </c>
      <c r="C46" s="37">
        <v>1E-3</v>
      </c>
      <c r="D46" s="37">
        <f t="shared" si="4"/>
        <v>0.75549999999999995</v>
      </c>
      <c r="E46" s="37">
        <f t="shared" si="5"/>
        <v>0.75749999999999995</v>
      </c>
      <c r="F46" s="276"/>
      <c r="G46" s="128">
        <f>(F46-'X600 Block Standard Info'!$D$10)/0.99951</f>
        <v>-1.0004802353153046</v>
      </c>
      <c r="H46" s="998"/>
    </row>
    <row r="47" spans="1:8" x14ac:dyDescent="0.2">
      <c r="A47" s="59">
        <v>2.5</v>
      </c>
      <c r="B47" s="5">
        <v>1.1375</v>
      </c>
      <c r="C47" s="5">
        <v>1E-3</v>
      </c>
      <c r="D47" s="5">
        <f t="shared" si="4"/>
        <v>1.1365000000000001</v>
      </c>
      <c r="E47" s="5">
        <f t="shared" si="5"/>
        <v>1.1384999999999998</v>
      </c>
      <c r="F47" s="128"/>
      <c r="G47" s="128">
        <f>(F47-'X600 Block Standard Info'!$D$10)/0.99951</f>
        <v>-1.0004802353153046</v>
      </c>
      <c r="H47" s="998"/>
    </row>
    <row r="48" spans="1:8" x14ac:dyDescent="0.2">
      <c r="A48" s="58">
        <v>3</v>
      </c>
      <c r="B48" s="37">
        <v>1.2</v>
      </c>
      <c r="C48" s="37">
        <v>1E-3</v>
      </c>
      <c r="D48" s="37">
        <f t="shared" si="4"/>
        <v>1.1990000000000001</v>
      </c>
      <c r="E48" s="37">
        <f t="shared" si="5"/>
        <v>1.2009999999999998</v>
      </c>
      <c r="F48" s="276"/>
      <c r="G48" s="128">
        <f>(F48-'X600 Block Standard Info'!$D$10)/0.99951</f>
        <v>-1.0004802353153046</v>
      </c>
      <c r="H48" s="998"/>
    </row>
  </sheetData>
  <sheetProtection algorithmName="SHA-512" hashValue="SJTVg3Zx/7LWeHyU8obWxfuT4geBpxyP0Fp+bFBdoCFkczg0bad5oiLJ3x7LbR30EY1rVOomEayyFM5m0OzY0g==" saltValue="SP7z+NIgLtXwFrqUQOgmaQ==" spinCount="100000" sheet="1" objects="1" scenarios="1" selectLockedCells="1"/>
  <mergeCells count="6">
    <mergeCell ref="A34:H34"/>
    <mergeCell ref="A3:H3"/>
    <mergeCell ref="A19:H19"/>
    <mergeCell ref="A35:H35"/>
    <mergeCell ref="A2:H2"/>
    <mergeCell ref="A18:H18"/>
  </mergeCells>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Fill="0" autoPict="0" macro="[0]!ReturnToMain">
                <anchor moveWithCells="1" sizeWithCells="1">
                  <from>
                    <xdr:col>0</xdr:col>
                    <xdr:colOff>19050</xdr:colOff>
                    <xdr:row>0</xdr:row>
                    <xdr:rowOff>19050</xdr:rowOff>
                  </from>
                  <to>
                    <xdr:col>1</xdr:col>
                    <xdr:colOff>76200</xdr:colOff>
                    <xdr:row>0</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indexed="30"/>
  </sheetPr>
  <dimension ref="A1:A3"/>
  <sheetViews>
    <sheetView workbookViewId="0"/>
  </sheetViews>
  <sheetFormatPr defaultRowHeight="12.75" x14ac:dyDescent="0.2"/>
  <sheetData>
    <row r="1" spans="1:1" ht="25.5" customHeight="1" x14ac:dyDescent="0.2"/>
    <row r="2" spans="1:1" x14ac:dyDescent="0.2">
      <c r="A2" t="s">
        <v>318</v>
      </c>
    </row>
    <row r="3" spans="1:1" x14ac:dyDescent="0.2">
      <c r="A3" s="415" t="s">
        <v>319</v>
      </c>
    </row>
  </sheetData>
  <sheetProtection password="CC48" sheet="1" objects="1" scenarios="1"/>
  <phoneticPr fontId="0" type="noConversion"/>
  <hyperlinks>
    <hyperlink ref="A3" r:id="rId1" xr:uid="{00000000-0004-0000-0A00-000000000000}"/>
  </hyperlinks>
  <pageMargins left="0.75" right="0.75" top="1" bottom="1" header="0.5" footer="0.5"/>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7" r:id="rId4" name="Button 19">
              <controlPr defaultSize="0" print="0" autoFill="0" autoPict="0" macro="[0]!ReturnToMain">
                <anchor moveWithCells="1" sizeWithCells="1">
                  <from>
                    <xdr:col>0</xdr:col>
                    <xdr:colOff>28575</xdr:colOff>
                    <xdr:row>0</xdr:row>
                    <xdr:rowOff>19050</xdr:rowOff>
                  </from>
                  <to>
                    <xdr:col>2</xdr:col>
                    <xdr:colOff>171450</xdr:colOff>
                    <xdr:row>0</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indexed="30"/>
  </sheetPr>
  <dimension ref="A1:T22"/>
  <sheetViews>
    <sheetView workbookViewId="0">
      <selection activeCell="F4" sqref="F4"/>
    </sheetView>
  </sheetViews>
  <sheetFormatPr defaultRowHeight="12.75" x14ac:dyDescent="0.2"/>
  <cols>
    <col min="1" max="1" width="11" customWidth="1"/>
    <col min="3" max="3" width="12.140625" bestFit="1" customWidth="1"/>
    <col min="7" max="7" width="20.7109375" bestFit="1" customWidth="1"/>
    <col min="13" max="13" width="22.28515625" customWidth="1"/>
    <col min="17" max="17" width="15.140625" bestFit="1" customWidth="1"/>
    <col min="18" max="18" width="14.42578125" bestFit="1" customWidth="1"/>
    <col min="19" max="19" width="14.42578125" customWidth="1"/>
    <col min="20" max="20" width="11.5703125" bestFit="1" customWidth="1"/>
  </cols>
  <sheetData>
    <row r="1" spans="1:20" ht="25.5" customHeight="1" x14ac:dyDescent="0.2">
      <c r="M1" t="s">
        <v>320</v>
      </c>
      <c r="Q1" s="84" t="s">
        <v>321</v>
      </c>
      <c r="R1" s="84"/>
      <c r="S1" s="1149" t="s">
        <v>322</v>
      </c>
      <c r="T1" s="1149"/>
    </row>
    <row r="2" spans="1:20" x14ac:dyDescent="0.2">
      <c r="A2" s="1147" t="s">
        <v>35</v>
      </c>
      <c r="B2" s="1148"/>
      <c r="C2" s="1148"/>
      <c r="D2" s="1148"/>
      <c r="E2" s="1148"/>
      <c r="F2" s="1148"/>
      <c r="G2" s="1148"/>
      <c r="M2" s="84" t="s">
        <v>323</v>
      </c>
      <c r="N2" s="84" t="s">
        <v>71</v>
      </c>
      <c r="O2" t="s">
        <v>324</v>
      </c>
      <c r="P2" t="s">
        <v>325</v>
      </c>
      <c r="Q2" s="84" t="s">
        <v>326</v>
      </c>
      <c r="R2" s="84" t="s">
        <v>327</v>
      </c>
      <c r="S2" s="289" t="s">
        <v>328</v>
      </c>
      <c r="T2" s="916" t="s">
        <v>329</v>
      </c>
    </row>
    <row r="3" spans="1:20" x14ac:dyDescent="0.2">
      <c r="A3" s="434" t="s">
        <v>330</v>
      </c>
      <c r="B3" s="434" t="s">
        <v>288</v>
      </c>
      <c r="C3" s="434" t="s">
        <v>289</v>
      </c>
      <c r="D3" s="434" t="s">
        <v>290</v>
      </c>
      <c r="E3" s="434" t="s">
        <v>291</v>
      </c>
      <c r="F3" s="1" t="s">
        <v>292</v>
      </c>
      <c r="G3" s="434" t="s">
        <v>331</v>
      </c>
      <c r="M3" s="916" t="s">
        <v>332</v>
      </c>
      <c r="N3" s="84">
        <v>28</v>
      </c>
      <c r="O3">
        <v>7.1420000000000003</v>
      </c>
      <c r="P3">
        <v>8</v>
      </c>
      <c r="Q3" s="84">
        <f>$O3+($P3/1000)-(0.5*($P3/1000))</f>
        <v>7.1460000000000008</v>
      </c>
      <c r="R3" s="84">
        <f>$O3+($P3/1000)+(0.5*($P3/1000))</f>
        <v>7.1539999999999999</v>
      </c>
      <c r="S3">
        <v>14</v>
      </c>
      <c r="T3" s="84">
        <f>S3/1000</f>
        <v>1.4E-2</v>
      </c>
    </row>
    <row r="4" spans="1:20" x14ac:dyDescent="0.2">
      <c r="A4" s="5" t="s">
        <v>333</v>
      </c>
      <c r="B4" s="5">
        <v>1.7925</v>
      </c>
      <c r="C4" s="5" t="s">
        <v>334</v>
      </c>
      <c r="D4" s="5">
        <v>1.7923</v>
      </c>
      <c r="E4" s="5">
        <v>1.7927999999999999</v>
      </c>
      <c r="F4" s="2">
        <v>2.8776999999999999</v>
      </c>
      <c r="G4" s="435">
        <f>((F4-0.99985)/0.99951)-'JGI Thread Wire Sizes-Constants'!D10</f>
        <v>1.7998742339564568</v>
      </c>
      <c r="I4" s="781"/>
      <c r="M4" s="916" t="s">
        <v>335</v>
      </c>
      <c r="N4" s="84">
        <v>28</v>
      </c>
      <c r="O4">
        <v>9.1470000000000002</v>
      </c>
      <c r="P4">
        <v>8</v>
      </c>
      <c r="Q4" s="84">
        <f t="shared" ref="Q4:Q17" si="0">$O4+($P4/1000)-(0.5*($P4/1000))</f>
        <v>9.1509999999999998</v>
      </c>
      <c r="R4" s="84">
        <f t="shared" ref="R4:R17" si="1">O4+(P4/1000)+(0.5*(P4/1000))</f>
        <v>9.1589999999999989</v>
      </c>
      <c r="S4">
        <v>14</v>
      </c>
      <c r="T4" s="84">
        <f t="shared" ref="T4:T17" si="2">S4/1000</f>
        <v>1.4E-2</v>
      </c>
    </row>
    <row r="5" spans="1:20" x14ac:dyDescent="0.2">
      <c r="A5" s="5" t="s">
        <v>336</v>
      </c>
      <c r="B5" s="5">
        <v>1.7783</v>
      </c>
      <c r="C5" s="5" t="s">
        <v>334</v>
      </c>
      <c r="D5" s="5">
        <v>1.778</v>
      </c>
      <c r="E5" s="5">
        <v>1.7786</v>
      </c>
      <c r="F5" s="2">
        <v>2.289018</v>
      </c>
      <c r="G5" s="435">
        <f>((F5-0.99985)/0.99951)-'JGI Thread Wire Sizes-Constants'!D10</f>
        <v>1.210903638364617</v>
      </c>
      <c r="H5" s="781" t="s">
        <v>337</v>
      </c>
      <c r="M5" s="916" t="s">
        <v>338</v>
      </c>
      <c r="N5" s="84">
        <v>19</v>
      </c>
      <c r="O5">
        <v>12.301</v>
      </c>
      <c r="P5">
        <v>8</v>
      </c>
      <c r="Q5" s="84">
        <f t="shared" si="0"/>
        <v>12.305</v>
      </c>
      <c r="R5" s="84">
        <f t="shared" si="1"/>
        <v>12.312999999999999</v>
      </c>
      <c r="S5">
        <v>21</v>
      </c>
      <c r="T5" s="84">
        <f t="shared" si="2"/>
        <v>2.1000000000000001E-2</v>
      </c>
    </row>
    <row r="6" spans="1:20" x14ac:dyDescent="0.2">
      <c r="M6" s="916" t="s">
        <v>339</v>
      </c>
      <c r="N6" s="84">
        <v>19</v>
      </c>
      <c r="O6">
        <v>15.805999999999999</v>
      </c>
      <c r="P6">
        <v>8</v>
      </c>
      <c r="Q6" s="84">
        <f t="shared" si="0"/>
        <v>15.809999999999999</v>
      </c>
      <c r="R6" s="84">
        <f t="shared" si="1"/>
        <v>15.817999999999998</v>
      </c>
      <c r="S6">
        <v>21</v>
      </c>
      <c r="T6" s="84">
        <f t="shared" si="2"/>
        <v>2.1000000000000001E-2</v>
      </c>
    </row>
    <row r="7" spans="1:20" x14ac:dyDescent="0.2">
      <c r="A7" s="434" t="s">
        <v>340</v>
      </c>
      <c r="B7" s="434" t="s">
        <v>288</v>
      </c>
      <c r="C7" s="434" t="s">
        <v>289</v>
      </c>
      <c r="D7" s="434" t="s">
        <v>290</v>
      </c>
      <c r="E7" s="434" t="s">
        <v>291</v>
      </c>
      <c r="F7" s="1" t="s">
        <v>292</v>
      </c>
      <c r="G7" s="434" t="s">
        <v>331</v>
      </c>
      <c r="M7" s="916" t="s">
        <v>341</v>
      </c>
      <c r="N7" s="84">
        <v>14</v>
      </c>
      <c r="O7">
        <v>19.792999999999999</v>
      </c>
      <c r="P7">
        <v>10</v>
      </c>
      <c r="Q7" s="84">
        <f t="shared" si="0"/>
        <v>19.798000000000002</v>
      </c>
      <c r="R7" s="84">
        <f t="shared" si="1"/>
        <v>19.808</v>
      </c>
      <c r="S7">
        <v>28</v>
      </c>
      <c r="T7" s="84">
        <f t="shared" si="2"/>
        <v>2.8000000000000001E-2</v>
      </c>
    </row>
    <row r="8" spans="1:20" x14ac:dyDescent="0.2">
      <c r="A8" s="454" t="s">
        <v>336</v>
      </c>
      <c r="B8" s="454">
        <v>1.2109300000000001</v>
      </c>
      <c r="C8" s="454" t="s">
        <v>334</v>
      </c>
      <c r="D8" s="454">
        <f>1.21093-0.0003</f>
        <v>1.2106300000000001</v>
      </c>
      <c r="E8" s="454">
        <f>1.21093+0.0003</f>
        <v>1.21123</v>
      </c>
      <c r="F8" s="454">
        <v>2.2891300000000001</v>
      </c>
      <c r="G8" s="436">
        <f>((F8-0.99985)/0.99951)-'JGI Thread Wire Sizes-Constants'!D10</f>
        <v>1.2110156932715215</v>
      </c>
      <c r="M8" s="916" t="s">
        <v>342</v>
      </c>
      <c r="N8" s="84">
        <v>14</v>
      </c>
      <c r="O8">
        <v>25.279</v>
      </c>
      <c r="P8">
        <v>10</v>
      </c>
      <c r="Q8" s="84">
        <f t="shared" si="0"/>
        <v>25.284000000000002</v>
      </c>
      <c r="R8" s="84">
        <f t="shared" si="1"/>
        <v>25.294</v>
      </c>
      <c r="S8">
        <v>28</v>
      </c>
      <c r="T8" s="84">
        <f t="shared" si="2"/>
        <v>2.8000000000000001E-2</v>
      </c>
    </row>
    <row r="9" spans="1:20" x14ac:dyDescent="0.2">
      <c r="A9" s="84"/>
      <c r="B9" s="84"/>
      <c r="C9" s="84"/>
      <c r="D9" s="84"/>
      <c r="E9" s="84"/>
      <c r="F9" s="84"/>
      <c r="G9" s="84"/>
      <c r="M9" s="98">
        <v>1</v>
      </c>
      <c r="N9" s="84">
        <v>11</v>
      </c>
      <c r="O9">
        <v>31.77</v>
      </c>
      <c r="P9">
        <v>12</v>
      </c>
      <c r="Q9" s="84">
        <f t="shared" si="0"/>
        <v>31.776</v>
      </c>
      <c r="R9" s="84">
        <f t="shared" si="1"/>
        <v>31.788</v>
      </c>
      <c r="S9">
        <v>36</v>
      </c>
      <c r="T9" s="84">
        <f t="shared" si="2"/>
        <v>3.5999999999999997E-2</v>
      </c>
    </row>
    <row r="10" spans="1:20" x14ac:dyDescent="0.2">
      <c r="M10" s="916" t="s">
        <v>343</v>
      </c>
      <c r="N10" s="84">
        <v>11</v>
      </c>
      <c r="O10">
        <v>40.430999999999997</v>
      </c>
      <c r="P10">
        <v>12</v>
      </c>
      <c r="Q10" s="84">
        <f t="shared" si="0"/>
        <v>40.436999999999998</v>
      </c>
      <c r="R10" s="84">
        <f t="shared" si="1"/>
        <v>40.448999999999998</v>
      </c>
      <c r="S10">
        <v>36</v>
      </c>
      <c r="T10" s="84">
        <f t="shared" si="2"/>
        <v>3.5999999999999997E-2</v>
      </c>
    </row>
    <row r="11" spans="1:20" x14ac:dyDescent="0.2">
      <c r="A11" s="434" t="s">
        <v>344</v>
      </c>
      <c r="B11" s="434" t="s">
        <v>288</v>
      </c>
      <c r="C11" s="434" t="s">
        <v>289</v>
      </c>
      <c r="D11" s="434" t="s">
        <v>290</v>
      </c>
      <c r="E11" s="434" t="s">
        <v>291</v>
      </c>
      <c r="F11" s="1" t="s">
        <v>292</v>
      </c>
      <c r="G11" s="434" t="s">
        <v>331</v>
      </c>
      <c r="M11" s="916" t="s">
        <v>345</v>
      </c>
      <c r="N11" s="84">
        <v>11</v>
      </c>
      <c r="O11">
        <v>46.323999999999998</v>
      </c>
      <c r="P11">
        <v>12</v>
      </c>
      <c r="Q11" s="84">
        <f t="shared" si="0"/>
        <v>46.33</v>
      </c>
      <c r="R11" s="84">
        <f t="shared" si="1"/>
        <v>46.341999999999999</v>
      </c>
      <c r="S11">
        <v>36</v>
      </c>
      <c r="T11" s="84">
        <f t="shared" si="2"/>
        <v>3.5999999999999997E-2</v>
      </c>
    </row>
    <row r="12" spans="1:20" x14ac:dyDescent="0.2">
      <c r="A12" s="5" t="s">
        <v>346</v>
      </c>
      <c r="B12" s="5">
        <v>1.2252000000000001</v>
      </c>
      <c r="C12" s="5" t="s">
        <v>334</v>
      </c>
      <c r="D12" s="5">
        <f>B12-0.0003</f>
        <v>1.2249000000000001</v>
      </c>
      <c r="E12" s="5">
        <f>B12+0.0003</f>
        <v>1.2255</v>
      </c>
      <c r="F12" s="2">
        <v>2.2891300000000001</v>
      </c>
      <c r="G12" s="436">
        <f>((F12-0.99985)/0.99951)-'JGI Thread Wire Sizes-Constants'!D10</f>
        <v>1.2110156932715215</v>
      </c>
      <c r="M12" s="98">
        <v>2</v>
      </c>
      <c r="N12" s="84">
        <v>11</v>
      </c>
      <c r="O12">
        <v>58.134999999999998</v>
      </c>
      <c r="P12">
        <v>12</v>
      </c>
      <c r="Q12" s="84">
        <f t="shared" si="0"/>
        <v>58.140999999999998</v>
      </c>
      <c r="R12" s="84">
        <f t="shared" si="1"/>
        <v>58.152999999999999</v>
      </c>
      <c r="S12">
        <v>36</v>
      </c>
      <c r="T12" s="84">
        <f t="shared" si="2"/>
        <v>3.5999999999999997E-2</v>
      </c>
    </row>
    <row r="13" spans="1:20" x14ac:dyDescent="0.2">
      <c r="A13" s="5" t="s">
        <v>347</v>
      </c>
      <c r="B13" s="5">
        <v>2.25</v>
      </c>
      <c r="C13" s="5" t="s">
        <v>334</v>
      </c>
      <c r="D13" s="5">
        <f>B13-0.0003</f>
        <v>2.2496999999999998</v>
      </c>
      <c r="E13" s="5">
        <f>B13+0.0003</f>
        <v>2.2503000000000002</v>
      </c>
      <c r="F13" s="2"/>
      <c r="G13" s="436">
        <f>((F13-0.99985)/0.99951)-'JGI Thread Wire Sizes-Constants'!D10</f>
        <v>-1.0792365303180376</v>
      </c>
      <c r="H13" t="s">
        <v>348</v>
      </c>
      <c r="M13" s="916" t="s">
        <v>349</v>
      </c>
      <c r="N13" s="84">
        <v>11</v>
      </c>
      <c r="O13">
        <v>73.704999999999998</v>
      </c>
      <c r="P13">
        <v>16</v>
      </c>
      <c r="Q13" s="84">
        <f t="shared" si="0"/>
        <v>73.713000000000008</v>
      </c>
      <c r="R13" s="84">
        <f t="shared" si="1"/>
        <v>73.728999999999999</v>
      </c>
      <c r="S13">
        <v>36</v>
      </c>
      <c r="T13" s="84">
        <f t="shared" si="2"/>
        <v>3.5999999999999997E-2</v>
      </c>
    </row>
    <row r="14" spans="1:20" x14ac:dyDescent="0.2">
      <c r="M14" s="98">
        <v>3</v>
      </c>
      <c r="N14" s="84">
        <v>11</v>
      </c>
      <c r="O14">
        <v>86.405000000000001</v>
      </c>
      <c r="P14">
        <v>16</v>
      </c>
      <c r="Q14" s="84">
        <f t="shared" si="0"/>
        <v>86.413000000000011</v>
      </c>
      <c r="R14" s="84">
        <f t="shared" si="1"/>
        <v>86.429000000000002</v>
      </c>
      <c r="S14">
        <v>36</v>
      </c>
      <c r="T14" s="84">
        <f t="shared" si="2"/>
        <v>3.5999999999999997E-2</v>
      </c>
    </row>
    <row r="15" spans="1:20" x14ac:dyDescent="0.2">
      <c r="M15" s="98">
        <v>4</v>
      </c>
      <c r="N15" s="84">
        <v>11</v>
      </c>
      <c r="O15">
        <v>111.551</v>
      </c>
      <c r="P15">
        <v>16</v>
      </c>
      <c r="Q15" s="84">
        <f t="shared" si="0"/>
        <v>111.55900000000001</v>
      </c>
      <c r="R15" s="84">
        <f t="shared" si="1"/>
        <v>111.575</v>
      </c>
      <c r="S15">
        <v>36</v>
      </c>
      <c r="T15" s="84">
        <f t="shared" si="2"/>
        <v>3.5999999999999997E-2</v>
      </c>
    </row>
    <row r="16" spans="1:20" x14ac:dyDescent="0.2">
      <c r="A16" s="915" t="s">
        <v>350</v>
      </c>
      <c r="M16" s="98">
        <v>5</v>
      </c>
      <c r="N16" s="84">
        <v>11</v>
      </c>
      <c r="O16">
        <v>136.95099999999999</v>
      </c>
      <c r="P16">
        <v>16</v>
      </c>
      <c r="Q16" s="84">
        <f t="shared" si="0"/>
        <v>136.95899999999997</v>
      </c>
      <c r="R16" s="84">
        <f t="shared" si="1"/>
        <v>136.97499999999999</v>
      </c>
      <c r="S16">
        <v>36</v>
      </c>
      <c r="T16" s="84">
        <f t="shared" si="2"/>
        <v>3.5999999999999997E-2</v>
      </c>
    </row>
    <row r="17" spans="7:20" x14ac:dyDescent="0.2">
      <c r="M17" s="98">
        <v>6</v>
      </c>
      <c r="N17" s="84">
        <v>11</v>
      </c>
      <c r="O17">
        <v>162.351</v>
      </c>
      <c r="P17">
        <v>16</v>
      </c>
      <c r="Q17" s="84">
        <f t="shared" si="0"/>
        <v>162.35899999999998</v>
      </c>
      <c r="R17" s="84">
        <f t="shared" si="1"/>
        <v>162.375</v>
      </c>
      <c r="S17">
        <v>36</v>
      </c>
      <c r="T17" s="84">
        <f t="shared" si="2"/>
        <v>3.5999999999999997E-2</v>
      </c>
    </row>
    <row r="18" spans="7:20" x14ac:dyDescent="0.2">
      <c r="R18" t="s">
        <v>351</v>
      </c>
      <c r="S18" t="s">
        <v>352</v>
      </c>
    </row>
    <row r="22" spans="7:20" x14ac:dyDescent="0.2">
      <c r="G22" s="470"/>
    </row>
  </sheetData>
  <sheetProtection password="CC48" sheet="1" selectLockedCells="1"/>
  <mergeCells count="2">
    <mergeCell ref="A2:G2"/>
    <mergeCell ref="S1:T1"/>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ReturnToMain">
                <anchor moveWithCells="1" sizeWithCells="1">
                  <from>
                    <xdr:col>0</xdr:col>
                    <xdr:colOff>19050</xdr:colOff>
                    <xdr:row>0</xdr:row>
                    <xdr:rowOff>19050</xdr:rowOff>
                  </from>
                  <to>
                    <xdr:col>2</xdr:col>
                    <xdr:colOff>95250</xdr:colOff>
                    <xdr:row>0</xdr:row>
                    <xdr:rowOff>161925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1">
    <tabColor indexed="30"/>
  </sheetPr>
  <dimension ref="A1:P31"/>
  <sheetViews>
    <sheetView workbookViewId="0">
      <selection activeCell="N12" sqref="N12"/>
    </sheetView>
  </sheetViews>
  <sheetFormatPr defaultRowHeight="12.75" x14ac:dyDescent="0.2"/>
  <cols>
    <col min="1" max="1" width="12" bestFit="1" customWidth="1"/>
    <col min="2" max="2" width="4.140625" customWidth="1"/>
    <col min="3" max="3" width="11.42578125" bestFit="1" customWidth="1"/>
    <col min="4" max="4" width="9" bestFit="1" customWidth="1"/>
    <col min="5" max="5" width="12" customWidth="1"/>
    <col min="6" max="6" width="12.42578125" bestFit="1" customWidth="1"/>
    <col min="7" max="7" width="13.28515625" bestFit="1" customWidth="1"/>
    <col min="8" max="8" width="17.5703125" bestFit="1" customWidth="1"/>
    <col min="9" max="9" width="17.5703125" customWidth="1"/>
    <col min="10" max="10" width="14.42578125" customWidth="1"/>
    <col min="11" max="11" width="11.85546875" bestFit="1" customWidth="1"/>
    <col min="12" max="12" width="14.85546875" bestFit="1" customWidth="1"/>
    <col min="13" max="13" width="15.42578125" bestFit="1" customWidth="1"/>
    <col min="14" max="14" width="16.140625" bestFit="1" customWidth="1"/>
    <col min="15" max="15" width="20.42578125" bestFit="1" customWidth="1"/>
    <col min="16" max="16" width="18" bestFit="1" customWidth="1"/>
  </cols>
  <sheetData>
    <row r="1" spans="1:16" ht="25.5" customHeight="1" thickBot="1" x14ac:dyDescent="0.25">
      <c r="J1" s="470" t="s">
        <v>353</v>
      </c>
    </row>
    <row r="2" spans="1:16" x14ac:dyDescent="0.2">
      <c r="A2" s="436" t="s">
        <v>72</v>
      </c>
      <c r="B2" s="1003" t="s">
        <v>71</v>
      </c>
      <c r="C2" s="1004" t="s">
        <v>354</v>
      </c>
      <c r="D2" s="1005" t="s">
        <v>355</v>
      </c>
      <c r="E2" s="1005" t="s">
        <v>356</v>
      </c>
      <c r="F2" s="1005" t="s">
        <v>357</v>
      </c>
      <c r="G2" s="1006" t="s">
        <v>358</v>
      </c>
      <c r="H2" s="1007" t="s">
        <v>359</v>
      </c>
      <c r="I2" s="1008" t="s">
        <v>360</v>
      </c>
      <c r="J2" s="1004" t="s">
        <v>361</v>
      </c>
      <c r="K2" s="1005" t="s">
        <v>362</v>
      </c>
      <c r="L2" s="1005" t="s">
        <v>363</v>
      </c>
      <c r="M2" s="1005" t="s">
        <v>364</v>
      </c>
      <c r="N2" s="1006" t="s">
        <v>365</v>
      </c>
      <c r="O2" s="1007" t="s">
        <v>366</v>
      </c>
      <c r="P2" s="1007" t="s">
        <v>367</v>
      </c>
    </row>
    <row r="3" spans="1:16" x14ac:dyDescent="0.2">
      <c r="A3" s="1009" t="s">
        <v>332</v>
      </c>
      <c r="B3" s="425">
        <v>28</v>
      </c>
      <c r="C3" s="78">
        <v>7.1420000000000003</v>
      </c>
      <c r="D3" s="128">
        <f t="shared" ref="D3:D26" si="0">C3/25.4</f>
        <v>0.28118110236220473</v>
      </c>
      <c r="E3" s="5"/>
      <c r="F3" s="5"/>
      <c r="G3" s="2"/>
      <c r="H3" s="740">
        <f>25.4*(G3-(VLOOKUP(B3,'JGI Thread Wire Sizes-Constants'!$A$10:$D$30,4,FALSE)))</f>
        <v>-0.78841599999999989</v>
      </c>
      <c r="I3" s="291">
        <f>(G3-(VLOOKUP(B3,'JGI Thread Wire Sizes-Constants'!$A$10:$D$30,4,FALSE)))</f>
        <v>-3.1039999999999998E-2</v>
      </c>
      <c r="J3" s="78">
        <v>7.2489999999999997</v>
      </c>
      <c r="K3" s="128">
        <f t="shared" ref="K3:K26" si="1">J3/25.4</f>
        <v>0.28539370078740156</v>
      </c>
      <c r="L3" s="5"/>
      <c r="M3" s="5"/>
      <c r="N3" s="2"/>
      <c r="O3" s="740">
        <f>25.4*($N3-(VLOOKUP($B3,'JGI Thread Wire Sizes-Constants'!$A$10:$C$20,3,FALSE)))</f>
        <v>-0.78638399999999997</v>
      </c>
      <c r="P3" s="291">
        <f>($N3-(VLOOKUP($B3,'JGI Thread Wire Sizes-Constants'!$A$10:$C$20,3,FALSE)))</f>
        <v>-3.0960000000000001E-2</v>
      </c>
    </row>
    <row r="4" spans="1:16" x14ac:dyDescent="0.2">
      <c r="A4" s="1010" t="s">
        <v>335</v>
      </c>
      <c r="B4" s="425">
        <v>28</v>
      </c>
      <c r="C4" s="78">
        <v>9.1470000000000002</v>
      </c>
      <c r="D4" s="128">
        <f t="shared" si="0"/>
        <v>0.36011811023622048</v>
      </c>
      <c r="E4" s="5"/>
      <c r="F4" s="5"/>
      <c r="G4" s="2"/>
      <c r="H4" s="740">
        <f>25.4*(G4-(VLOOKUP(B4,'JGI Thread Wire Sizes-Constants'!$A$10:$D$30,4,FALSE)))</f>
        <v>-0.78841599999999989</v>
      </c>
      <c r="I4" s="291">
        <f>(G4-(VLOOKUP(B4,'JGI Thread Wire Sizes-Constants'!$A$10:$D$30,4,FALSE)))</f>
        <v>-3.1039999999999998E-2</v>
      </c>
      <c r="J4" s="78">
        <v>9.2539999999999996</v>
      </c>
      <c r="K4" s="128">
        <f t="shared" si="1"/>
        <v>0.36433070866141731</v>
      </c>
      <c r="L4" s="5"/>
      <c r="M4" s="5"/>
      <c r="N4" s="2"/>
      <c r="O4" s="740">
        <f>25.4*(N4-(VLOOKUP(B4,'JGI Thread Wire Sizes-Constants'!$A$10:$C$20,3,FALSE)))</f>
        <v>-0.78638399999999997</v>
      </c>
      <c r="P4" s="291">
        <f>($N4-(VLOOKUP($B4,'JGI Thread Wire Sizes-Constants'!$A$10:$C$20,3,FALSE)))</f>
        <v>-3.0960000000000001E-2</v>
      </c>
    </row>
    <row r="5" spans="1:16" x14ac:dyDescent="0.2">
      <c r="A5" s="1010" t="s">
        <v>338</v>
      </c>
      <c r="B5" s="1011" t="s">
        <v>368</v>
      </c>
      <c r="C5" s="78">
        <v>12.301</v>
      </c>
      <c r="D5" s="128">
        <f t="shared" si="0"/>
        <v>0.4842913385826772</v>
      </c>
      <c r="E5" s="5"/>
      <c r="F5" s="5"/>
      <c r="G5" s="2"/>
      <c r="H5" s="740">
        <f>25.4*(G5+(0.86464/19)-(3*VLOOKUP(A$27,'JGI Thread Wire Sizes-Constants'!A$3:D$30,2,FALSE)))</f>
        <v>-1.2886088421052628</v>
      </c>
      <c r="I5" s="291">
        <f>(G5+(0.86603/19)-(3*VLOOKUP(A$27,'JGI Thread Wire Sizes-Constants'!A$3:D$30,2,FALSE)))</f>
        <v>-5.0659473684210518E-2</v>
      </c>
      <c r="J5" s="78">
        <v>12.426</v>
      </c>
      <c r="K5" s="128">
        <f t="shared" si="1"/>
        <v>0.48921259842519688</v>
      </c>
      <c r="L5" s="5"/>
      <c r="M5" s="5"/>
      <c r="N5" s="2"/>
      <c r="O5" s="740">
        <f>25.4*($N5+(0.86603/19)-(3*VLOOKUP($A$27,'JGI Thread Wire Sizes-Constants'!$A$3:$C$30,2,FALSE)))</f>
        <v>-1.286750631578947</v>
      </c>
      <c r="P5" s="740">
        <f>($N5+(0.86603/19)-(3*VLOOKUP($A$27,'JGI Thread Wire Sizes-Constants'!$A$3:$C$30,2,FALSE)))</f>
        <v>-5.0659473684210518E-2</v>
      </c>
    </row>
    <row r="6" spans="1:16" x14ac:dyDescent="0.2">
      <c r="A6" s="1010" t="s">
        <v>339</v>
      </c>
      <c r="B6" s="1011" t="s">
        <v>368</v>
      </c>
      <c r="C6" s="78">
        <v>15.805999999999999</v>
      </c>
      <c r="D6" s="128">
        <f t="shared" si="0"/>
        <v>0.62228346456692918</v>
      </c>
      <c r="E6" s="5"/>
      <c r="F6" s="5"/>
      <c r="G6" s="2">
        <v>0.67379999999999995</v>
      </c>
      <c r="H6" s="740">
        <f>25.4*(G6+(0.86464/19)-(3*VLOOKUP(A$27,'JGI Thread Wire Sizes-Constants'!A$3:D$30,2,FALSE)))</f>
        <v>15.825911157894735</v>
      </c>
      <c r="I6" s="291">
        <f>(G6+(0.86603/19)-(3*VLOOKUP(A$27,'JGI Thread Wire Sizes-Constants'!A$3:D$30,2,FALSE)))</f>
        <v>0.62314052631578942</v>
      </c>
      <c r="J6" s="78">
        <v>15.930999999999999</v>
      </c>
      <c r="K6" s="128">
        <f t="shared" si="1"/>
        <v>0.62720472440944885</v>
      </c>
      <c r="L6" s="5"/>
      <c r="M6" s="5"/>
      <c r="N6" s="2">
        <v>0.67859000000000003</v>
      </c>
      <c r="O6" s="740">
        <f>25.4*($N6+(0.86603/19)-(3*VLOOKUP($A$27,'JGI Thread Wire Sizes-Constants'!$A$3:$C$30,2,FALSE)))</f>
        <v>15.949435368421053</v>
      </c>
      <c r="P6" s="740">
        <f>($N6+(0.86603/19)-(3*VLOOKUP($A$27,'JGI Thread Wire Sizes-Constants'!$A$3:$C$30,2,FALSE)))</f>
        <v>0.62793052631578949</v>
      </c>
    </row>
    <row r="7" spans="1:16" x14ac:dyDescent="0.2">
      <c r="A7" s="1010" t="s">
        <v>341</v>
      </c>
      <c r="B7" s="425">
        <v>14</v>
      </c>
      <c r="C7" s="78">
        <v>19.792999999999999</v>
      </c>
      <c r="D7" s="128">
        <f t="shared" si="0"/>
        <v>0.77925196850393708</v>
      </c>
      <c r="E7" s="5"/>
      <c r="F7" s="5"/>
      <c r="G7" s="2">
        <v>15</v>
      </c>
      <c r="H7" s="740">
        <f>25.4*(G7-(VLOOKUP(B7,'JGI Thread Wire Sizes-Constants'!$A$10:$D$20,4,FALSE)))</f>
        <v>379.42773999999997</v>
      </c>
      <c r="I7" s="812">
        <f>(G7-(VLOOKUP(B7,'JGI Thread Wire Sizes-Constants'!$A$10:$D$30,4,FALSE)))</f>
        <v>14.9381</v>
      </c>
      <c r="J7" s="78">
        <v>19.934999999999999</v>
      </c>
      <c r="K7" s="128">
        <f t="shared" si="1"/>
        <v>0.78484251968503937</v>
      </c>
      <c r="L7" s="5"/>
      <c r="M7" s="5"/>
      <c r="N7" s="2"/>
      <c r="O7" s="740">
        <f>25.4*(N7-(VLOOKUP(B7,'JGI Thread Wire Sizes-Constants'!$A$10:$C$20,3,FALSE)))</f>
        <v>-1.56972</v>
      </c>
      <c r="P7" s="812">
        <f>($N7-(VLOOKUP($B7,'JGI Thread Wire Sizes-Constants'!$A$10:$C$20,3,FALSE)))</f>
        <v>-6.1800000000000001E-2</v>
      </c>
    </row>
    <row r="8" spans="1:16" x14ac:dyDescent="0.2">
      <c r="A8" s="1010" t="s">
        <v>369</v>
      </c>
      <c r="B8" s="425">
        <v>14</v>
      </c>
      <c r="C8" s="78">
        <v>21.748999999999999</v>
      </c>
      <c r="D8" s="128">
        <f t="shared" si="0"/>
        <v>0.85625984251968501</v>
      </c>
      <c r="E8" s="5"/>
      <c r="F8" s="5"/>
      <c r="G8" s="2"/>
      <c r="H8" s="740">
        <f>25.4*(G8-(VLOOKUP(B8,'JGI Thread Wire Sizes-Constants'!$A$10:$D$20,4,FALSE)))</f>
        <v>-1.5722599999999998</v>
      </c>
      <c r="I8" s="291">
        <f>(G8-(VLOOKUP(B8,'JGI Thread Wire Sizes-Constants'!$A$10:$D$30,4,FALSE)))</f>
        <v>-6.1899999999999997E-2</v>
      </c>
      <c r="J8" s="78">
        <v>21.890999999999998</v>
      </c>
      <c r="K8" s="128">
        <f t="shared" si="1"/>
        <v>0.86185039370078742</v>
      </c>
      <c r="L8" s="5"/>
      <c r="M8" s="5"/>
      <c r="N8" s="2"/>
      <c r="O8" s="740">
        <f>25.4*(N8-(VLOOKUP(B8,'JGI Thread Wire Sizes-Constants'!$A$10:$C$20,3,FALSE)))</f>
        <v>-1.56972</v>
      </c>
      <c r="P8" s="291">
        <f>($N8-(VLOOKUP($B8,'JGI Thread Wire Sizes-Constants'!$A$10:$C$20,3,FALSE)))</f>
        <v>-6.1800000000000001E-2</v>
      </c>
    </row>
    <row r="9" spans="1:16" x14ac:dyDescent="0.2">
      <c r="A9" s="1010" t="s">
        <v>342</v>
      </c>
      <c r="B9" s="425">
        <v>14</v>
      </c>
      <c r="C9" s="78">
        <v>25.279</v>
      </c>
      <c r="D9" s="128">
        <f t="shared" si="0"/>
        <v>0.99523622047244098</v>
      </c>
      <c r="E9" s="5"/>
      <c r="F9" s="5"/>
      <c r="G9" s="2"/>
      <c r="H9" s="740">
        <f>25.4*(G9-(VLOOKUP(B9,'JGI Thread Wire Sizes-Constants'!$A$10:$D$20,4,FALSE)))</f>
        <v>-1.5722599999999998</v>
      </c>
      <c r="I9" s="812">
        <f>(G9-(VLOOKUP(B9,'JGI Thread Wire Sizes-Constants'!$A$10:$D$30,4,FALSE)))</f>
        <v>-6.1899999999999997E-2</v>
      </c>
      <c r="J9" s="78">
        <v>25.420999999999999</v>
      </c>
      <c r="K9" s="128">
        <f t="shared" si="1"/>
        <v>1.0008267716535433</v>
      </c>
      <c r="L9" s="5"/>
      <c r="M9" s="5"/>
      <c r="N9" s="2"/>
      <c r="O9" s="740">
        <f>25.4*(N9-(VLOOKUP(B9,'JGI Thread Wire Sizes-Constants'!$A$10:$C$20,3,FALSE)))</f>
        <v>-1.56972</v>
      </c>
      <c r="P9" s="812">
        <f>($N9-(VLOOKUP($B9,'JGI Thread Wire Sizes-Constants'!$A$10:$C$20,3,FALSE)))</f>
        <v>-6.1800000000000001E-2</v>
      </c>
    </row>
    <row r="10" spans="1:16" x14ac:dyDescent="0.2">
      <c r="A10" s="1010" t="s">
        <v>370</v>
      </c>
      <c r="B10" s="425">
        <v>14</v>
      </c>
      <c r="C10" s="78">
        <v>29.039000000000001</v>
      </c>
      <c r="D10" s="128">
        <f t="shared" si="0"/>
        <v>1.1432677165354332</v>
      </c>
      <c r="E10" s="5"/>
      <c r="F10" s="5"/>
      <c r="G10" s="2"/>
      <c r="H10" s="740">
        <f>25.4*(G10-(VLOOKUP(B10,'JGI Thread Wire Sizes-Constants'!$A$10:$D$20,4,FALSE)))</f>
        <v>-1.5722599999999998</v>
      </c>
      <c r="I10" s="291">
        <f>(G10-(VLOOKUP(B10,'JGI Thread Wire Sizes-Constants'!$A$10:$D$30,4,FALSE)))</f>
        <v>-6.1899999999999997E-2</v>
      </c>
      <c r="J10" s="78">
        <v>29.181000000000001</v>
      </c>
      <c r="K10" s="128">
        <f t="shared" si="1"/>
        <v>1.1488582677165355</v>
      </c>
      <c r="L10" s="5"/>
      <c r="M10" s="5"/>
      <c r="N10" s="2"/>
      <c r="O10" s="740">
        <f>25.4*(N10-(VLOOKUP(B10,'JGI Thread Wire Sizes-Constants'!$A$10:$C$20,3,FALSE)))</f>
        <v>-1.56972</v>
      </c>
      <c r="P10" s="291">
        <f>($N10-(VLOOKUP($B10,'JGI Thread Wire Sizes-Constants'!$A$10:$C$20,3,FALSE)))</f>
        <v>-6.1800000000000001E-2</v>
      </c>
    </row>
    <row r="11" spans="1:16" x14ac:dyDescent="0.2">
      <c r="A11" s="1010" t="s">
        <v>371</v>
      </c>
      <c r="B11" s="425">
        <v>11</v>
      </c>
      <c r="C11" s="78">
        <v>31.77</v>
      </c>
      <c r="D11" s="128">
        <f t="shared" si="0"/>
        <v>1.2507874015748033</v>
      </c>
      <c r="E11" s="5">
        <f>C11</f>
        <v>31.77</v>
      </c>
      <c r="F11" s="5">
        <f>C11+0.019</f>
        <v>31.788999999999998</v>
      </c>
      <c r="G11" s="2"/>
      <c r="H11" s="740">
        <f>25.4*(G11-(VLOOKUP(B11,'JGI Thread Wire Sizes-Constants'!$A$10:$D$20,4,FALSE)))</f>
        <v>-2.0039676363636363</v>
      </c>
      <c r="I11" s="812">
        <f>(G11-(VLOOKUP(B11,'JGI Thread Wire Sizes-Constants'!$A$10:$D$30,4,FALSE)))</f>
        <v>-7.8896363636363639E-2</v>
      </c>
      <c r="J11" s="78">
        <v>31.95</v>
      </c>
      <c r="K11" s="128">
        <f t="shared" si="1"/>
        <v>1.2578740157480315</v>
      </c>
      <c r="L11" s="5">
        <f>J11-0.013</f>
        <v>31.936999999999998</v>
      </c>
      <c r="M11" s="5">
        <f>J11+0.013</f>
        <v>31.963000000000001</v>
      </c>
      <c r="N11" s="2">
        <v>1.3372599999999999</v>
      </c>
      <c r="O11" s="740">
        <f>25.4*(N11-(VLOOKUP(B11,'JGI Thread Wire Sizes-Constants'!$A$10:$C$20,3,FALSE)))</f>
        <v>31.965645999999996</v>
      </c>
      <c r="P11" s="812">
        <f>($N11-(VLOOKUP($B11,'JGI Thread Wire Sizes-Constants'!$A$10:$C$20,3,FALSE)))</f>
        <v>1.2584899999999999</v>
      </c>
    </row>
    <row r="12" spans="1:16" x14ac:dyDescent="0.2">
      <c r="A12" s="1010" t="s">
        <v>372</v>
      </c>
      <c r="B12" s="425">
        <v>11</v>
      </c>
      <c r="C12" s="78">
        <v>36.417999999999999</v>
      </c>
      <c r="D12" s="128">
        <f t="shared" si="0"/>
        <v>1.4337795275590552</v>
      </c>
      <c r="E12" s="5">
        <f t="shared" ref="E12:E26" si="2">C12</f>
        <v>36.417999999999999</v>
      </c>
      <c r="F12" s="5">
        <f t="shared" ref="F12:F26" si="3">C12+0.019</f>
        <v>36.436999999999998</v>
      </c>
      <c r="G12" s="2"/>
      <c r="H12" s="740">
        <f>25.4*(G12-(VLOOKUP(B12,'JGI Thread Wire Sizes-Constants'!$A$10:$D$20,4,FALSE)))</f>
        <v>-2.0039676363636363</v>
      </c>
      <c r="I12" s="291">
        <f>(G12-(VLOOKUP(B12,'JGI Thread Wire Sizes-Constants'!$A$10:$D$30,4,FALSE)))</f>
        <v>-7.8896363636363639E-2</v>
      </c>
      <c r="J12" s="78">
        <v>36.597999999999999</v>
      </c>
      <c r="K12" s="128">
        <f t="shared" si="1"/>
        <v>1.4408661417322834</v>
      </c>
      <c r="L12" s="5">
        <f t="shared" ref="L12:L26" si="4">J12-0.013</f>
        <v>36.585000000000001</v>
      </c>
      <c r="M12" s="5">
        <f t="shared" ref="M12:M26" si="5">J12+0.013</f>
        <v>36.610999999999997</v>
      </c>
      <c r="N12" s="2"/>
      <c r="O12" s="740">
        <f>25.4*(N12-(VLOOKUP(B12,'JGI Thread Wire Sizes-Constants'!$A$10:$C$20,3,FALSE)))</f>
        <v>-2.0007580000000003</v>
      </c>
      <c r="P12" s="291">
        <f>($N12-(VLOOKUP($B12,'JGI Thread Wire Sizes-Constants'!$A$10:$C$20,3,FALSE)))</f>
        <v>-7.8770000000000007E-2</v>
      </c>
    </row>
    <row r="13" spans="1:16" x14ac:dyDescent="0.2">
      <c r="A13" s="1010" t="s">
        <v>343</v>
      </c>
      <c r="B13" s="425">
        <v>11</v>
      </c>
      <c r="C13" s="78">
        <v>40.430999999999997</v>
      </c>
      <c r="D13" s="128">
        <f t="shared" si="0"/>
        <v>1.5917716535433071</v>
      </c>
      <c r="E13" s="5">
        <f t="shared" si="2"/>
        <v>40.430999999999997</v>
      </c>
      <c r="F13" s="5">
        <f t="shared" si="3"/>
        <v>40.449999999999996</v>
      </c>
      <c r="G13" s="2"/>
      <c r="H13" s="740">
        <f>25.4*(G13-(VLOOKUP(B13,'JGI Thread Wire Sizes-Constants'!$A$10:$D$20,4,FALSE)))</f>
        <v>-2.0039676363636363</v>
      </c>
      <c r="I13" s="812">
        <f>(G13-(VLOOKUP(B13,'JGI Thread Wire Sizes-Constants'!$A$10:$D$30,4,FALSE)))</f>
        <v>-7.8896363636363639E-2</v>
      </c>
      <c r="J13" s="78">
        <v>40.610999999999997</v>
      </c>
      <c r="K13" s="128">
        <f t="shared" si="1"/>
        <v>1.5988582677165355</v>
      </c>
      <c r="L13" s="5">
        <f t="shared" si="4"/>
        <v>40.597999999999999</v>
      </c>
      <c r="M13" s="5">
        <f t="shared" si="5"/>
        <v>40.623999999999995</v>
      </c>
      <c r="N13" s="2"/>
      <c r="O13" s="740">
        <f>25.4*(N13-(VLOOKUP(B13,'JGI Thread Wire Sizes-Constants'!$A$10:$C$20,3,FALSE)))</f>
        <v>-2.0007580000000003</v>
      </c>
      <c r="P13" s="812">
        <f>($N13-(VLOOKUP($B13,'JGI Thread Wire Sizes-Constants'!$A$10:$C$20,3,FALSE)))</f>
        <v>-7.8770000000000007E-2</v>
      </c>
    </row>
    <row r="14" spans="1:16" x14ac:dyDescent="0.2">
      <c r="A14" s="1010" t="s">
        <v>345</v>
      </c>
      <c r="B14" s="425">
        <v>11</v>
      </c>
      <c r="C14" s="78">
        <v>46.323999999999998</v>
      </c>
      <c r="D14" s="128">
        <f t="shared" si="0"/>
        <v>1.8237795275590551</v>
      </c>
      <c r="E14" s="5">
        <f t="shared" si="2"/>
        <v>46.323999999999998</v>
      </c>
      <c r="F14" s="5">
        <f t="shared" si="3"/>
        <v>46.342999999999996</v>
      </c>
      <c r="G14" s="2"/>
      <c r="H14" s="740">
        <f>25.4*(G14-(VLOOKUP(B14,'JGI Thread Wire Sizes-Constants'!$A$10:$D$20,4,FALSE)))</f>
        <v>-2.0039676363636363</v>
      </c>
      <c r="I14" s="291">
        <f>(G14-(VLOOKUP(B14,'JGI Thread Wire Sizes-Constants'!$A$10:$D$30,4,FALSE)))</f>
        <v>-7.8896363636363639E-2</v>
      </c>
      <c r="J14" s="78">
        <v>46.503999999999998</v>
      </c>
      <c r="K14" s="128">
        <f t="shared" si="1"/>
        <v>1.8308661417322836</v>
      </c>
      <c r="L14" s="5">
        <f t="shared" si="4"/>
        <v>46.491</v>
      </c>
      <c r="M14" s="5">
        <f t="shared" si="5"/>
        <v>46.516999999999996</v>
      </c>
      <c r="N14" s="2"/>
      <c r="O14" s="740">
        <f>25.4*(N14-(VLOOKUP(B14,'JGI Thread Wire Sizes-Constants'!$A$10:$C$20,3,FALSE)))</f>
        <v>-2.0007580000000003</v>
      </c>
      <c r="P14" s="291">
        <f>($N14-(VLOOKUP($B14,'JGI Thread Wire Sizes-Constants'!$A$10:$C$20,3,FALSE)))</f>
        <v>-7.8770000000000007E-2</v>
      </c>
    </row>
    <row r="15" spans="1:16" x14ac:dyDescent="0.2">
      <c r="A15" s="1010" t="s">
        <v>373</v>
      </c>
      <c r="B15" s="425">
        <v>11</v>
      </c>
      <c r="C15" s="78">
        <v>52.267000000000003</v>
      </c>
      <c r="D15" s="128">
        <f t="shared" si="0"/>
        <v>2.0577559055118111</v>
      </c>
      <c r="E15" s="5">
        <f t="shared" si="2"/>
        <v>52.267000000000003</v>
      </c>
      <c r="F15" s="5">
        <f t="shared" si="3"/>
        <v>52.286000000000001</v>
      </c>
      <c r="G15" s="2"/>
      <c r="H15" s="740">
        <f>25.4*(G15-(VLOOKUP(B15,'JGI Thread Wire Sizes-Constants'!$A$10:$D$20,4,FALSE)))</f>
        <v>-2.0039676363636363</v>
      </c>
      <c r="I15" s="812">
        <f>(G15-(VLOOKUP(B15,'JGI Thread Wire Sizes-Constants'!$A$10:$D$30,4,FALSE)))</f>
        <v>-7.8896363636363639E-2</v>
      </c>
      <c r="J15" s="78">
        <v>52.447000000000003</v>
      </c>
      <c r="K15" s="128">
        <f t="shared" si="1"/>
        <v>2.0648425196850395</v>
      </c>
      <c r="L15" s="5">
        <f t="shared" si="4"/>
        <v>52.434000000000005</v>
      </c>
      <c r="M15" s="5">
        <f t="shared" si="5"/>
        <v>52.46</v>
      </c>
      <c r="N15" s="2"/>
      <c r="O15" s="740">
        <f>25.4*(N15-(VLOOKUP(B15,'JGI Thread Wire Sizes-Constants'!$A$10:$C$20,3,FALSE)))</f>
        <v>-2.0007580000000003</v>
      </c>
      <c r="P15" s="812">
        <f>($N15-(VLOOKUP($B15,'JGI Thread Wire Sizes-Constants'!$A$10:$C$20,3,FALSE)))</f>
        <v>-7.8770000000000007E-2</v>
      </c>
    </row>
    <row r="16" spans="1:16" x14ac:dyDescent="0.2">
      <c r="A16" s="41">
        <v>2</v>
      </c>
      <c r="B16" s="425">
        <v>11</v>
      </c>
      <c r="C16" s="78">
        <v>58.134999999999998</v>
      </c>
      <c r="D16" s="128">
        <f t="shared" si="0"/>
        <v>2.288779527559055</v>
      </c>
      <c r="E16" s="5">
        <f t="shared" si="2"/>
        <v>58.134999999999998</v>
      </c>
      <c r="F16" s="5">
        <f t="shared" si="3"/>
        <v>58.153999999999996</v>
      </c>
      <c r="G16" s="2"/>
      <c r="H16" s="740">
        <f>25.4*(G16-(VLOOKUP(B16,'JGI Thread Wire Sizes-Constants'!$A$10:$D$20,4,FALSE)))</f>
        <v>-2.0039676363636363</v>
      </c>
      <c r="I16" s="291">
        <f>(G16-(VLOOKUP(B16,'JGI Thread Wire Sizes-Constants'!$A$10:$D$30,4,FALSE)))</f>
        <v>-7.8896363636363639E-2</v>
      </c>
      <c r="J16" s="78">
        <v>58.314999999999998</v>
      </c>
      <c r="K16" s="128">
        <f t="shared" si="1"/>
        <v>2.2958661417322834</v>
      </c>
      <c r="L16" s="5">
        <f t="shared" si="4"/>
        <v>58.302</v>
      </c>
      <c r="M16" s="5">
        <f t="shared" si="5"/>
        <v>58.327999999999996</v>
      </c>
      <c r="N16" s="2"/>
      <c r="O16" s="740">
        <f>25.4*(N16-(VLOOKUP(B16,'JGI Thread Wire Sizes-Constants'!$A$10:$C$20,3,FALSE)))</f>
        <v>-2.0007580000000003</v>
      </c>
      <c r="P16" s="291">
        <f>($N16-(VLOOKUP($B16,'JGI Thread Wire Sizes-Constants'!$A$10:$C$20,3,FALSE)))</f>
        <v>-7.8770000000000007E-2</v>
      </c>
    </row>
    <row r="17" spans="1:16" x14ac:dyDescent="0.2">
      <c r="A17" s="741">
        <v>2.25</v>
      </c>
      <c r="B17" s="425">
        <v>11</v>
      </c>
      <c r="C17" s="78">
        <v>64.230999999999995</v>
      </c>
      <c r="D17" s="128">
        <f t="shared" si="0"/>
        <v>2.5287795275590552</v>
      </c>
      <c r="E17" s="5">
        <f t="shared" si="2"/>
        <v>64.230999999999995</v>
      </c>
      <c r="F17" s="5">
        <f t="shared" si="3"/>
        <v>64.25</v>
      </c>
      <c r="G17" s="2"/>
      <c r="H17" s="740">
        <f>25.4*(G17-(VLOOKUP(B17,'JGI Thread Wire Sizes-Constants'!$A$10:$D$20,4,FALSE)))</f>
        <v>-2.0039676363636363</v>
      </c>
      <c r="I17" s="812">
        <f>(G17-(VLOOKUP(B17,'JGI Thread Wire Sizes-Constants'!$A$10:$D$30,4,FALSE)))</f>
        <v>-7.8896363636363639E-2</v>
      </c>
      <c r="J17" s="78">
        <v>64.447999999999993</v>
      </c>
      <c r="K17" s="128">
        <f t="shared" si="1"/>
        <v>2.5373228346456691</v>
      </c>
      <c r="L17" s="5">
        <f t="shared" si="4"/>
        <v>64.434999999999988</v>
      </c>
      <c r="M17" s="5">
        <f t="shared" si="5"/>
        <v>64.460999999999999</v>
      </c>
      <c r="N17" s="2"/>
      <c r="O17" s="740">
        <f>25.4*(N17-(VLOOKUP(B17,'JGI Thread Wire Sizes-Constants'!$A$10:$C$20,3,FALSE)))</f>
        <v>-2.0007580000000003</v>
      </c>
      <c r="P17" s="812">
        <f>($N17-(VLOOKUP($B17,'JGI Thread Wire Sizes-Constants'!$A$10:$C$20,3,FALSE)))</f>
        <v>-7.8770000000000007E-2</v>
      </c>
    </row>
    <row r="18" spans="1:16" x14ac:dyDescent="0.2">
      <c r="A18" s="741">
        <v>2.5</v>
      </c>
      <c r="B18" s="425">
        <v>11</v>
      </c>
      <c r="C18" s="78">
        <v>73.704999999999998</v>
      </c>
      <c r="D18" s="128">
        <f t="shared" si="0"/>
        <v>2.9017716535433071</v>
      </c>
      <c r="E18" s="5">
        <f t="shared" si="2"/>
        <v>73.704999999999998</v>
      </c>
      <c r="F18" s="5">
        <f t="shared" si="3"/>
        <v>73.724000000000004</v>
      </c>
      <c r="G18" s="2"/>
      <c r="H18" s="740">
        <f>25.4*(G18-(VLOOKUP(B18,'JGI Thread Wire Sizes-Constants'!$A$10:$D$20,4,FALSE)))</f>
        <v>-2.0039676363636363</v>
      </c>
      <c r="I18" s="291">
        <f>(G18-(VLOOKUP(B18,'JGI Thread Wire Sizes-Constants'!$A$10:$D$30,4,FALSE)))</f>
        <v>-7.8896363636363639E-2</v>
      </c>
      <c r="J18" s="78">
        <v>73.921999999999997</v>
      </c>
      <c r="K18" s="128">
        <f t="shared" si="1"/>
        <v>2.9103149606299215</v>
      </c>
      <c r="L18" s="5">
        <f t="shared" si="4"/>
        <v>73.908999999999992</v>
      </c>
      <c r="M18" s="5">
        <f t="shared" si="5"/>
        <v>73.935000000000002</v>
      </c>
      <c r="N18" s="2"/>
      <c r="O18" s="740">
        <f>25.4*(N18-(VLOOKUP(B18,'JGI Thread Wire Sizes-Constants'!$A$10:$C$20,3,FALSE)))</f>
        <v>-2.0007580000000003</v>
      </c>
      <c r="P18" s="291">
        <f>($N18-(VLOOKUP($B18,'JGI Thread Wire Sizes-Constants'!$A$10:$C$20,3,FALSE)))</f>
        <v>-7.8770000000000007E-2</v>
      </c>
    </row>
    <row r="19" spans="1:16" x14ac:dyDescent="0.2">
      <c r="A19" s="741">
        <v>2.75</v>
      </c>
      <c r="B19" s="425">
        <v>11</v>
      </c>
      <c r="C19" s="78">
        <v>80.055000000000007</v>
      </c>
      <c r="D19" s="128">
        <f t="shared" si="0"/>
        <v>3.1517716535433076</v>
      </c>
      <c r="E19" s="5">
        <f t="shared" si="2"/>
        <v>80.055000000000007</v>
      </c>
      <c r="F19" s="5">
        <f t="shared" si="3"/>
        <v>80.074000000000012</v>
      </c>
      <c r="G19" s="2"/>
      <c r="H19" s="740">
        <f>25.4*(G19-(VLOOKUP(B19,'JGI Thread Wire Sizes-Constants'!$A$10:$D$20,4,FALSE)))</f>
        <v>-2.0039676363636363</v>
      </c>
      <c r="I19" s="812">
        <f>(G19-(VLOOKUP(B19,'JGI Thread Wire Sizes-Constants'!$A$10:$D$30,4,FALSE)))</f>
        <v>-7.8896363636363639E-2</v>
      </c>
      <c r="J19" s="78">
        <v>80.272000000000006</v>
      </c>
      <c r="K19" s="128">
        <f t="shared" si="1"/>
        <v>3.1603149606299215</v>
      </c>
      <c r="L19" s="5">
        <f t="shared" si="4"/>
        <v>80.259</v>
      </c>
      <c r="M19" s="5">
        <f t="shared" si="5"/>
        <v>80.285000000000011</v>
      </c>
      <c r="N19" s="2"/>
      <c r="O19" s="740">
        <f>25.4*(N19-(VLOOKUP(B19,'JGI Thread Wire Sizes-Constants'!$A$10:$C$20,3,FALSE)))</f>
        <v>-2.0007580000000003</v>
      </c>
      <c r="P19" s="812">
        <f>($N19-(VLOOKUP($B19,'JGI Thread Wire Sizes-Constants'!$A$10:$C$20,3,FALSE)))</f>
        <v>-7.8770000000000007E-2</v>
      </c>
    </row>
    <row r="20" spans="1:16" x14ac:dyDescent="0.2">
      <c r="A20" s="741">
        <v>3</v>
      </c>
      <c r="B20" s="425">
        <v>11</v>
      </c>
      <c r="C20" s="78">
        <v>86.405000000000001</v>
      </c>
      <c r="D20" s="128">
        <f t="shared" si="0"/>
        <v>3.4017716535433071</v>
      </c>
      <c r="E20" s="5">
        <f t="shared" si="2"/>
        <v>86.405000000000001</v>
      </c>
      <c r="F20" s="5">
        <f t="shared" si="3"/>
        <v>86.424000000000007</v>
      </c>
      <c r="G20" s="2"/>
      <c r="H20" s="740">
        <f>25.4*(G20-(VLOOKUP(B20,'JGI Thread Wire Sizes-Constants'!$A$10:$D$20,4,FALSE)))</f>
        <v>-2.0039676363636363</v>
      </c>
      <c r="I20" s="291">
        <f>(G20-(VLOOKUP(B20,'JGI Thread Wire Sizes-Constants'!$A$10:$D$30,4,FALSE)))</f>
        <v>-7.8896363636363639E-2</v>
      </c>
      <c r="J20" s="78">
        <v>86.622</v>
      </c>
      <c r="K20" s="128">
        <f t="shared" si="1"/>
        <v>3.4103149606299215</v>
      </c>
      <c r="L20" s="5">
        <f t="shared" si="4"/>
        <v>86.608999999999995</v>
      </c>
      <c r="M20" s="5">
        <f t="shared" si="5"/>
        <v>86.635000000000005</v>
      </c>
      <c r="N20" s="2"/>
      <c r="O20" s="740">
        <f>25.4*(N20-(VLOOKUP(B20,'JGI Thread Wire Sizes-Constants'!$A$10:$C$20,3,FALSE)))</f>
        <v>-2.0007580000000003</v>
      </c>
      <c r="P20" s="291">
        <f>($N20-(VLOOKUP($B20,'JGI Thread Wire Sizes-Constants'!$A$10:$C$20,3,FALSE)))</f>
        <v>-7.8770000000000007E-2</v>
      </c>
    </row>
    <row r="21" spans="1:16" x14ac:dyDescent="0.2">
      <c r="A21" s="741">
        <v>3.5</v>
      </c>
      <c r="B21" s="425">
        <v>11</v>
      </c>
      <c r="C21" s="78">
        <v>98.850999999999999</v>
      </c>
      <c r="D21" s="128">
        <f t="shared" si="0"/>
        <v>3.8917716535433073</v>
      </c>
      <c r="E21" s="5">
        <f t="shared" si="2"/>
        <v>98.850999999999999</v>
      </c>
      <c r="F21" s="5">
        <f t="shared" si="3"/>
        <v>98.87</v>
      </c>
      <c r="G21" s="2"/>
      <c r="H21" s="740">
        <f>25.4*(G21-(VLOOKUP(B21,'JGI Thread Wire Sizes-Constants'!$A$10:$D$20,4,FALSE)))</f>
        <v>-2.0039676363636363</v>
      </c>
      <c r="I21" s="812">
        <f>(G21-(VLOOKUP(B21,'JGI Thread Wire Sizes-Constants'!$A$10:$D$30,4,FALSE)))</f>
        <v>-7.8896363636363639E-2</v>
      </c>
      <c r="J21" s="78">
        <v>99.067999999999998</v>
      </c>
      <c r="K21" s="128">
        <f t="shared" si="1"/>
        <v>3.9003149606299212</v>
      </c>
      <c r="L21" s="5">
        <f t="shared" si="4"/>
        <v>99.054999999999993</v>
      </c>
      <c r="M21" s="5">
        <f t="shared" si="5"/>
        <v>99.081000000000003</v>
      </c>
      <c r="N21" s="2"/>
      <c r="O21" s="740">
        <f>25.4*(N21-(VLOOKUP(B21,'JGI Thread Wire Sizes-Constants'!$A$10:$C$20,3,FALSE)))</f>
        <v>-2.0007580000000003</v>
      </c>
      <c r="P21" s="812">
        <f>($N21-(VLOOKUP($B21,'JGI Thread Wire Sizes-Constants'!$A$10:$C$20,3,FALSE)))</f>
        <v>-7.8770000000000007E-2</v>
      </c>
    </row>
    <row r="22" spans="1:16" x14ac:dyDescent="0.2">
      <c r="A22" s="741">
        <v>4</v>
      </c>
      <c r="B22" s="425">
        <v>11</v>
      </c>
      <c r="C22" s="78">
        <v>111.551</v>
      </c>
      <c r="D22" s="128">
        <f t="shared" si="0"/>
        <v>4.3917716535433078</v>
      </c>
      <c r="E22" s="5">
        <f t="shared" si="2"/>
        <v>111.551</v>
      </c>
      <c r="F22" s="5">
        <f t="shared" si="3"/>
        <v>111.57000000000001</v>
      </c>
      <c r="G22" s="2"/>
      <c r="H22" s="740">
        <f>25.4*(G22-(VLOOKUP(B22,'JGI Thread Wire Sizes-Constants'!$A$10:$D$20,4,FALSE)))</f>
        <v>-2.0039676363636363</v>
      </c>
      <c r="I22" s="291">
        <f>(G22-(VLOOKUP(B22,'JGI Thread Wire Sizes-Constants'!$A$10:$D$30,4,FALSE)))</f>
        <v>-7.8896363636363639E-2</v>
      </c>
      <c r="J22" s="78">
        <v>111.768</v>
      </c>
      <c r="K22" s="128">
        <f t="shared" si="1"/>
        <v>4.4003149606299212</v>
      </c>
      <c r="L22" s="5">
        <f t="shared" si="4"/>
        <v>111.755</v>
      </c>
      <c r="M22" s="5">
        <f t="shared" si="5"/>
        <v>111.78100000000001</v>
      </c>
      <c r="N22" s="2"/>
      <c r="O22" s="740">
        <f>25.4*(N22-(VLOOKUP(B22,'JGI Thread Wire Sizes-Constants'!$A$10:$C$20,3,FALSE)))</f>
        <v>-2.0007580000000003</v>
      </c>
      <c r="P22" s="291">
        <f>($N22-(VLOOKUP($B22,'JGI Thread Wire Sizes-Constants'!$A$10:$C$20,3,FALSE)))</f>
        <v>-7.8770000000000007E-2</v>
      </c>
    </row>
    <row r="23" spans="1:16" x14ac:dyDescent="0.2">
      <c r="A23" s="741">
        <v>4.5</v>
      </c>
      <c r="B23" s="425">
        <v>11</v>
      </c>
      <c r="C23" s="78">
        <v>124.251</v>
      </c>
      <c r="D23" s="128">
        <f t="shared" si="0"/>
        <v>4.8917716535433078</v>
      </c>
      <c r="E23" s="5">
        <f t="shared" si="2"/>
        <v>124.251</v>
      </c>
      <c r="F23" s="5">
        <f t="shared" si="3"/>
        <v>124.27000000000001</v>
      </c>
      <c r="G23" s="2">
        <v>4.9715999999999996</v>
      </c>
      <c r="H23" s="740">
        <f>25.4*(G23-(VLOOKUP(B23,'JGI Thread Wire Sizes-Constants'!$A$10:$D$20,4,FALSE)))</f>
        <v>124.27467236363634</v>
      </c>
      <c r="I23" s="812">
        <f>(G23-(VLOOKUP(B23,'JGI Thread Wire Sizes-Constants'!$A$10:$D$30,4,FALSE)))</f>
        <v>4.8927036363636356</v>
      </c>
      <c r="J23" s="78">
        <v>124.468</v>
      </c>
      <c r="K23" s="128">
        <f t="shared" si="1"/>
        <v>4.9003149606299221</v>
      </c>
      <c r="L23" s="5">
        <f t="shared" si="4"/>
        <v>124.455</v>
      </c>
      <c r="M23" s="5">
        <f t="shared" si="5"/>
        <v>124.48100000000001</v>
      </c>
      <c r="N23" s="2">
        <v>4.9794600000000004</v>
      </c>
      <c r="O23" s="740">
        <f>25.4*(N23-(VLOOKUP(B23,'JGI Thread Wire Sizes-Constants'!$A$10:$C$20,3,FALSE)))</f>
        <v>124.47752600000001</v>
      </c>
      <c r="P23" s="812">
        <f>($N23-(VLOOKUP($B23,'JGI Thread Wire Sizes-Constants'!$A$10:$C$20,3,FALSE)))</f>
        <v>4.9006900000000009</v>
      </c>
    </row>
    <row r="24" spans="1:16" x14ac:dyDescent="0.2">
      <c r="A24" s="741">
        <v>5</v>
      </c>
      <c r="B24" s="425">
        <v>11</v>
      </c>
      <c r="C24" s="78">
        <v>136.95099999999999</v>
      </c>
      <c r="D24" s="128">
        <f t="shared" si="0"/>
        <v>5.3917716535433069</v>
      </c>
      <c r="E24" s="5">
        <f t="shared" si="2"/>
        <v>136.95099999999999</v>
      </c>
      <c r="F24" s="5">
        <f t="shared" si="3"/>
        <v>136.97</v>
      </c>
      <c r="G24" s="2"/>
      <c r="H24" s="740">
        <f>25.4*(G24-(VLOOKUP(B24,'JGI Thread Wire Sizes-Constants'!$A$10:$D$20,4,FALSE)))</f>
        <v>-2.0039676363636363</v>
      </c>
      <c r="I24" s="291">
        <f>(G24-(VLOOKUP(B24,'JGI Thread Wire Sizes-Constants'!$A$10:$D$30,4,FALSE)))</f>
        <v>-7.8896363636363639E-2</v>
      </c>
      <c r="J24" s="78">
        <v>137.16800000000001</v>
      </c>
      <c r="K24" s="128">
        <f t="shared" si="1"/>
        <v>5.4003149606299221</v>
      </c>
      <c r="L24" s="5">
        <f t="shared" si="4"/>
        <v>137.155</v>
      </c>
      <c r="M24" s="5">
        <f t="shared" si="5"/>
        <v>137.18100000000001</v>
      </c>
      <c r="N24" s="2"/>
      <c r="O24" s="740">
        <f>25.4*(N24-(VLOOKUP(B24,'JGI Thread Wire Sizes-Constants'!$A$10:$C$20,3,FALSE)))</f>
        <v>-2.0007580000000003</v>
      </c>
      <c r="P24" s="291">
        <f>($N24-(VLOOKUP($B24,'JGI Thread Wire Sizes-Constants'!$A$10:$C$20,3,FALSE)))</f>
        <v>-7.8770000000000007E-2</v>
      </c>
    </row>
    <row r="25" spans="1:16" x14ac:dyDescent="0.2">
      <c r="A25" s="741">
        <v>5.5</v>
      </c>
      <c r="B25" s="425">
        <v>11</v>
      </c>
      <c r="C25" s="78">
        <v>149.65100000000001</v>
      </c>
      <c r="D25" s="128">
        <f t="shared" si="0"/>
        <v>5.8917716535433078</v>
      </c>
      <c r="E25" s="5">
        <f t="shared" si="2"/>
        <v>149.65100000000001</v>
      </c>
      <c r="F25" s="5">
        <f t="shared" si="3"/>
        <v>149.67000000000002</v>
      </c>
      <c r="G25" s="2"/>
      <c r="H25" s="740">
        <f>25.4*(G25-(VLOOKUP(B25,'JGI Thread Wire Sizes-Constants'!$A$10:$D$20,4,FALSE)))</f>
        <v>-2.0039676363636363</v>
      </c>
      <c r="I25" s="812">
        <f>(G25-(VLOOKUP(B25,'JGI Thread Wire Sizes-Constants'!$A$10:$D$30,4,FALSE)))</f>
        <v>-7.8896363636363639E-2</v>
      </c>
      <c r="J25" s="78">
        <v>149.86799999999999</v>
      </c>
      <c r="K25" s="128">
        <f t="shared" si="1"/>
        <v>5.9003149606299212</v>
      </c>
      <c r="L25" s="5">
        <f t="shared" si="4"/>
        <v>149.85499999999999</v>
      </c>
      <c r="M25" s="5">
        <f t="shared" si="5"/>
        <v>149.881</v>
      </c>
      <c r="N25" s="2"/>
      <c r="O25" s="740">
        <f>25.4*(N25-(VLOOKUP(B25,'JGI Thread Wire Sizes-Constants'!$A$10:$C$20,3,FALSE)))</f>
        <v>-2.0007580000000003</v>
      </c>
      <c r="P25" s="812">
        <f>($N25-(VLOOKUP($B25,'JGI Thread Wire Sizes-Constants'!$A$10:$C$20,3,FALSE)))</f>
        <v>-7.8770000000000007E-2</v>
      </c>
    </row>
    <row r="26" spans="1:16" ht="13.5" thickBot="1" x14ac:dyDescent="0.25">
      <c r="A26" s="741">
        <v>6</v>
      </c>
      <c r="B26" s="425">
        <v>11</v>
      </c>
      <c r="C26" s="80">
        <v>162.351</v>
      </c>
      <c r="D26" s="405">
        <f t="shared" si="0"/>
        <v>6.3917716535433078</v>
      </c>
      <c r="E26" s="5">
        <f t="shared" si="2"/>
        <v>162.351</v>
      </c>
      <c r="F26" s="5">
        <f t="shared" si="3"/>
        <v>162.37</v>
      </c>
      <c r="G26" s="8"/>
      <c r="H26" s="740">
        <f>25.4*(G26-(VLOOKUP(B26,'JGI Thread Wire Sizes-Constants'!$A$10:$D$20,4,FALSE)))</f>
        <v>-2.0039676363636363</v>
      </c>
      <c r="I26" s="291">
        <f>(G26-(VLOOKUP(B26,'JGI Thread Wire Sizes-Constants'!$A$10:$D$30,4,FALSE)))</f>
        <v>-7.8896363636363639E-2</v>
      </c>
      <c r="J26" s="80">
        <v>162.56800000000001</v>
      </c>
      <c r="K26" s="405">
        <f t="shared" si="1"/>
        <v>6.4003149606299221</v>
      </c>
      <c r="L26" s="5">
        <f t="shared" si="4"/>
        <v>162.55500000000001</v>
      </c>
      <c r="M26" s="5">
        <f t="shared" si="5"/>
        <v>162.58100000000002</v>
      </c>
      <c r="N26" s="8"/>
      <c r="O26" s="740">
        <f>25.4*(N26-(VLOOKUP(B26,'JGI Thread Wire Sizes-Constants'!$A$10:$C$20,3,FALSE)))</f>
        <v>-2.0007580000000003</v>
      </c>
      <c r="P26" s="291">
        <f>($N26-(VLOOKUP($B26,'JGI Thread Wire Sizes-Constants'!$A$10:$C$20,3,FALSE)))</f>
        <v>-7.8770000000000007E-2</v>
      </c>
    </row>
    <row r="27" spans="1:16" x14ac:dyDescent="0.2">
      <c r="A27" s="1012">
        <v>18</v>
      </c>
      <c r="B27" s="470" t="s">
        <v>374</v>
      </c>
      <c r="J27" s="470" t="s">
        <v>375</v>
      </c>
    </row>
    <row r="28" spans="1:16" x14ac:dyDescent="0.2">
      <c r="A28" s="470" t="s">
        <v>376</v>
      </c>
    </row>
    <row r="30" spans="1:16" x14ac:dyDescent="0.2">
      <c r="A30" t="s">
        <v>377</v>
      </c>
    </row>
    <row r="31" spans="1:16" x14ac:dyDescent="0.2">
      <c r="A31" t="s">
        <v>378</v>
      </c>
    </row>
  </sheetData>
  <sheetProtection password="CC48" sheet="1" selectLockedCells="1"/>
  <phoneticPr fontId="25" type="noConversion"/>
  <conditionalFormatting sqref="G2">
    <cfRule type="containsText" dxfId="99" priority="4" stopIfTrue="1" operator="containsText" text="Reading">
      <formula>NOT(ISERROR(SEARCH("Reading",G2)))</formula>
    </cfRule>
  </conditionalFormatting>
  <conditionalFormatting sqref="N2">
    <cfRule type="containsText" dxfId="98" priority="2" stopIfTrue="1" operator="containsText" text="Reading">
      <formula>NOT(ISERROR(SEARCH("Reading",N2)))</formula>
    </cfRule>
  </conditionalFormatting>
  <conditionalFormatting sqref="J4:O26 I5:I6 P5:P6 A4:H26">
    <cfRule type="expression" dxfId="97" priority="1" stopIfTrue="1">
      <formula>MOD(ROW(),2)=1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6" r:id="rId4" name="Button 2">
              <controlPr defaultSize="0" print="0" autoFill="0" autoPict="0" macro="[0]!ReturnToMain">
                <anchor moveWithCells="1" sizeWithCells="1">
                  <from>
                    <xdr:col>0</xdr:col>
                    <xdr:colOff>19050</xdr:colOff>
                    <xdr:row>0</xdr:row>
                    <xdr:rowOff>19050</xdr:rowOff>
                  </from>
                  <to>
                    <xdr:col>2</xdr:col>
                    <xdr:colOff>247650</xdr:colOff>
                    <xdr:row>0</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tabColor indexed="33"/>
  </sheetPr>
  <dimension ref="A1:N97"/>
  <sheetViews>
    <sheetView workbookViewId="0">
      <selection activeCell="A10" sqref="A10"/>
    </sheetView>
  </sheetViews>
  <sheetFormatPr defaultRowHeight="12.75" x14ac:dyDescent="0.2"/>
  <cols>
    <col min="1" max="1" width="35.7109375" customWidth="1"/>
    <col min="2" max="2" width="39.28515625" customWidth="1"/>
    <col min="3" max="3" width="11.5703125" customWidth="1"/>
    <col min="4" max="4" width="26" bestFit="1" customWidth="1"/>
    <col min="5" max="5" width="19" bestFit="1" customWidth="1"/>
    <col min="6" max="6" width="6.7109375" customWidth="1"/>
    <col min="7" max="7" width="9.5703125" customWidth="1"/>
    <col min="8" max="8" width="11" customWidth="1"/>
    <col min="9" max="10" width="11" style="10" customWidth="1"/>
    <col min="11" max="14" width="9.140625" style="10" customWidth="1"/>
  </cols>
  <sheetData>
    <row r="1" spans="1:14" ht="25.5" customHeight="1" thickBot="1" x14ac:dyDescent="0.25">
      <c r="I1"/>
      <c r="J1"/>
      <c r="K1"/>
      <c r="L1"/>
      <c r="M1"/>
      <c r="N1"/>
    </row>
    <row r="2" spans="1:14" x14ac:dyDescent="0.2">
      <c r="A2" s="987" t="s">
        <v>379</v>
      </c>
      <c r="B2" s="988"/>
      <c r="C2" s="84"/>
      <c r="D2" s="312" t="s">
        <v>380</v>
      </c>
      <c r="E2" s="84"/>
      <c r="F2" s="84"/>
      <c r="I2"/>
      <c r="J2"/>
      <c r="K2"/>
      <c r="L2"/>
      <c r="M2"/>
      <c r="N2"/>
    </row>
    <row r="3" spans="1:14" ht="12.75" customHeight="1" x14ac:dyDescent="0.2">
      <c r="A3" s="1013" t="s">
        <v>71</v>
      </c>
      <c r="B3" s="1014" t="s">
        <v>128</v>
      </c>
      <c r="D3" s="1014" t="s">
        <v>381</v>
      </c>
      <c r="I3"/>
      <c r="J3"/>
      <c r="K3"/>
      <c r="L3"/>
      <c r="M3"/>
      <c r="N3"/>
    </row>
    <row r="4" spans="1:14" x14ac:dyDescent="0.2">
      <c r="A4" s="1015">
        <v>8</v>
      </c>
      <c r="B4" s="21">
        <f>VLOOKUP(A4,'JGI Thread Wire Sizes-Constants'!F3:G11,2,FALSE)</f>
        <v>6.4579999999999999E-2</v>
      </c>
      <c r="D4" s="300">
        <f>VLOOKUP(A4,A35:B44,2,FALSE)</f>
        <v>8.0000000000000004E-4</v>
      </c>
      <c r="I4"/>
      <c r="J4"/>
      <c r="K4"/>
      <c r="L4"/>
      <c r="M4"/>
      <c r="N4"/>
    </row>
    <row r="5" spans="1:14" x14ac:dyDescent="0.2">
      <c r="A5" s="1013" t="s">
        <v>382</v>
      </c>
      <c r="B5" s="1016" t="s">
        <v>288</v>
      </c>
      <c r="C5" s="60"/>
      <c r="D5" s="1014" t="s">
        <v>383</v>
      </c>
      <c r="I5"/>
      <c r="J5"/>
      <c r="K5"/>
      <c r="L5"/>
      <c r="M5"/>
      <c r="N5"/>
    </row>
    <row r="6" spans="1:14" x14ac:dyDescent="0.2">
      <c r="A6" s="1015">
        <v>0.625</v>
      </c>
      <c r="B6" s="298">
        <f>A10-4.9939*(B4)+1.93336*(1/A4)</f>
        <v>0.57175393800000007</v>
      </c>
      <c r="C6" s="60"/>
      <c r="D6" s="300">
        <f>VLOOKUP(A4,A46:B55,2,FALSE)</f>
        <v>6.9999999999999999E-4</v>
      </c>
      <c r="I6"/>
      <c r="J6"/>
      <c r="K6"/>
      <c r="L6"/>
      <c r="M6"/>
      <c r="N6"/>
    </row>
    <row r="7" spans="1:14" x14ac:dyDescent="0.2">
      <c r="A7" s="1013" t="s">
        <v>384</v>
      </c>
      <c r="B7" s="1016" t="s">
        <v>385</v>
      </c>
      <c r="C7" s="60"/>
      <c r="D7" s="1014" t="s">
        <v>386</v>
      </c>
      <c r="I7"/>
      <c r="J7"/>
      <c r="K7"/>
      <c r="L7"/>
      <c r="M7"/>
      <c r="N7"/>
    </row>
    <row r="8" spans="1:14" x14ac:dyDescent="0.2">
      <c r="A8" s="1015">
        <v>2</v>
      </c>
      <c r="B8" s="291">
        <f>1.87178*(B4)*((A8/A4)/(PI()*B6))^2</f>
        <v>2.3416111969309398E-3</v>
      </c>
      <c r="C8" s="60"/>
      <c r="D8" s="300">
        <f>VLOOKUP(A4, A57:B66,2,FALSE)</f>
        <v>6.9999999999999999E-4</v>
      </c>
      <c r="I8"/>
      <c r="J8"/>
      <c r="K8"/>
      <c r="L8"/>
      <c r="M8"/>
      <c r="N8"/>
    </row>
    <row r="9" spans="1:14" ht="13.5" thickBot="1" x14ac:dyDescent="0.25">
      <c r="A9" s="990" t="s">
        <v>387</v>
      </c>
      <c r="B9" s="168"/>
      <c r="C9" s="60"/>
      <c r="D9" s="315" t="s">
        <v>388</v>
      </c>
      <c r="I9"/>
      <c r="J9"/>
      <c r="K9"/>
      <c r="L9"/>
      <c r="M9"/>
      <c r="N9"/>
    </row>
    <row r="10" spans="1:14" x14ac:dyDescent="0.2">
      <c r="A10" s="215">
        <v>0.65259</v>
      </c>
      <c r="B10" s="168"/>
      <c r="C10" s="60"/>
      <c r="D10" s="60"/>
      <c r="I10"/>
      <c r="J10"/>
      <c r="K10"/>
      <c r="L10"/>
      <c r="M10"/>
      <c r="N10"/>
    </row>
    <row r="11" spans="1:14" x14ac:dyDescent="0.2">
      <c r="A11" s="494" t="s">
        <v>389</v>
      </c>
      <c r="B11" s="168"/>
      <c r="I11"/>
      <c r="J11"/>
      <c r="K11"/>
      <c r="L11"/>
      <c r="M11"/>
      <c r="N11"/>
    </row>
    <row r="12" spans="1:14" x14ac:dyDescent="0.2">
      <c r="A12" s="299">
        <f>B6-B8</f>
        <v>0.56941232680306908</v>
      </c>
      <c r="B12" s="168"/>
      <c r="I12"/>
      <c r="J12"/>
      <c r="K12"/>
      <c r="L12"/>
      <c r="M12"/>
      <c r="N12"/>
    </row>
    <row r="13" spans="1:14" ht="13.5" thickBot="1" x14ac:dyDescent="0.25">
      <c r="A13" s="22" t="s">
        <v>390</v>
      </c>
      <c r="B13" s="303"/>
      <c r="I13"/>
      <c r="J13"/>
      <c r="K13"/>
      <c r="L13"/>
      <c r="M13"/>
      <c r="N13"/>
    </row>
    <row r="14" spans="1:14" ht="13.5" thickBot="1" x14ac:dyDescent="0.25">
      <c r="A14" s="289"/>
      <c r="B14" s="289"/>
      <c r="C14" s="289"/>
      <c r="D14" s="289"/>
      <c r="E14" s="289"/>
      <c r="I14"/>
      <c r="J14"/>
      <c r="K14"/>
      <c r="L14"/>
      <c r="M14"/>
      <c r="N14"/>
    </row>
    <row r="15" spans="1:14" ht="13.5" thickBot="1" x14ac:dyDescent="0.25">
      <c r="A15" s="1017" t="s">
        <v>391</v>
      </c>
      <c r="B15" s="1018"/>
      <c r="C15" s="1019"/>
      <c r="D15" s="84"/>
      <c r="I15"/>
      <c r="J15"/>
      <c r="K15"/>
      <c r="L15"/>
      <c r="M15"/>
      <c r="N15"/>
    </row>
    <row r="16" spans="1:14" x14ac:dyDescent="0.2">
      <c r="A16" s="1020" t="s">
        <v>392</v>
      </c>
      <c r="B16" s="1021" t="s">
        <v>70</v>
      </c>
      <c r="C16" s="1022" t="s">
        <v>71</v>
      </c>
      <c r="I16"/>
      <c r="J16"/>
      <c r="K16"/>
      <c r="L16"/>
      <c r="M16"/>
      <c r="N16"/>
    </row>
    <row r="17" spans="1:14" ht="13.5" thickBot="1" x14ac:dyDescent="0.25">
      <c r="A17" s="292" t="s">
        <v>393</v>
      </c>
      <c r="B17" s="7">
        <v>0.1</v>
      </c>
      <c r="C17" s="62">
        <f>1/B17</f>
        <v>10</v>
      </c>
      <c r="I17"/>
      <c r="J17"/>
      <c r="K17"/>
      <c r="L17"/>
      <c r="M17"/>
      <c r="N17"/>
    </row>
    <row r="18" spans="1:14" ht="13.5" thickBot="1" x14ac:dyDescent="0.25">
      <c r="A18" s="108"/>
      <c r="C18" s="316"/>
      <c r="I18"/>
      <c r="J18"/>
      <c r="K18"/>
      <c r="L18"/>
      <c r="M18"/>
      <c r="N18"/>
    </row>
    <row r="19" spans="1:14" ht="13.5" thickBot="1" x14ac:dyDescent="0.25">
      <c r="A19" s="1017" t="s">
        <v>394</v>
      </c>
      <c r="B19" s="1018"/>
      <c r="C19" s="1018"/>
      <c r="D19" s="1019"/>
      <c r="I19"/>
      <c r="J19"/>
      <c r="K19"/>
      <c r="L19"/>
      <c r="M19"/>
      <c r="N19"/>
    </row>
    <row r="20" spans="1:14" x14ac:dyDescent="0.2">
      <c r="A20" s="1020" t="s">
        <v>395</v>
      </c>
      <c r="B20" s="1021" t="s">
        <v>71</v>
      </c>
      <c r="C20" s="1023" t="s">
        <v>70</v>
      </c>
      <c r="D20" s="1022" t="s">
        <v>396</v>
      </c>
      <c r="I20"/>
      <c r="J20"/>
      <c r="K20"/>
      <c r="L20"/>
      <c r="M20"/>
      <c r="N20"/>
    </row>
    <row r="21" spans="1:14" ht="13.5" thickBot="1" x14ac:dyDescent="0.25">
      <c r="A21" s="13" t="s">
        <v>397</v>
      </c>
      <c r="B21" s="7">
        <v>16</v>
      </c>
      <c r="C21" s="63">
        <f>1/B21</f>
        <v>6.25E-2</v>
      </c>
      <c r="D21" s="15">
        <f>0.51645*C21</f>
        <v>3.2278124999999998E-2</v>
      </c>
      <c r="I21"/>
      <c r="J21"/>
      <c r="K21"/>
      <c r="L21"/>
      <c r="M21"/>
      <c r="N21"/>
    </row>
    <row r="22" spans="1:14" ht="13.5" thickBot="1" x14ac:dyDescent="0.25">
      <c r="A22" s="317"/>
      <c r="C22" s="318"/>
      <c r="D22" s="319"/>
      <c r="I22"/>
      <c r="J22"/>
      <c r="K22"/>
      <c r="L22"/>
      <c r="M22"/>
      <c r="N22"/>
    </row>
    <row r="23" spans="1:14" ht="13.5" thickBot="1" x14ac:dyDescent="0.25">
      <c r="A23" s="16" t="s">
        <v>398</v>
      </c>
      <c r="B23" s="17"/>
      <c r="I23"/>
      <c r="J23"/>
      <c r="K23"/>
      <c r="L23"/>
      <c r="M23"/>
      <c r="N23"/>
    </row>
    <row r="24" spans="1:14" x14ac:dyDescent="0.2">
      <c r="A24" s="18" t="s">
        <v>399</v>
      </c>
      <c r="B24" s="19" t="s">
        <v>400</v>
      </c>
      <c r="I24"/>
      <c r="J24"/>
      <c r="K24"/>
      <c r="L24"/>
      <c r="M24"/>
      <c r="N24"/>
    </row>
    <row r="25" spans="1:14" x14ac:dyDescent="0.2">
      <c r="A25" s="20" t="s">
        <v>401</v>
      </c>
      <c r="B25" s="21" t="s">
        <v>402</v>
      </c>
      <c r="I25"/>
      <c r="J25"/>
      <c r="K25"/>
      <c r="L25"/>
      <c r="M25"/>
      <c r="N25"/>
    </row>
    <row r="26" spans="1:14" x14ac:dyDescent="0.2">
      <c r="A26" s="20"/>
      <c r="B26" s="21"/>
      <c r="I26"/>
      <c r="J26"/>
      <c r="K26"/>
      <c r="L26"/>
      <c r="M26"/>
      <c r="N26"/>
    </row>
    <row r="27" spans="1:14" x14ac:dyDescent="0.2">
      <c r="A27" s="20" t="s">
        <v>403</v>
      </c>
      <c r="B27" s="21" t="s">
        <v>404</v>
      </c>
      <c r="I27"/>
      <c r="J27"/>
      <c r="K27"/>
      <c r="L27"/>
      <c r="M27"/>
      <c r="N27"/>
    </row>
    <row r="28" spans="1:14" x14ac:dyDescent="0.2">
      <c r="A28" s="20" t="s">
        <v>405</v>
      </c>
      <c r="B28" s="21" t="s">
        <v>406</v>
      </c>
      <c r="I28"/>
      <c r="J28"/>
      <c r="K28"/>
      <c r="L28"/>
      <c r="M28"/>
      <c r="N28"/>
    </row>
    <row r="29" spans="1:14" x14ac:dyDescent="0.2">
      <c r="A29" s="20" t="s">
        <v>407</v>
      </c>
      <c r="B29" s="21" t="s">
        <v>408</v>
      </c>
      <c r="I29"/>
      <c r="J29"/>
      <c r="K29"/>
      <c r="L29"/>
      <c r="M29"/>
      <c r="N29"/>
    </row>
    <row r="30" spans="1:14" ht="13.5" thickBot="1" x14ac:dyDescent="0.25">
      <c r="A30" s="22" t="s">
        <v>409</v>
      </c>
      <c r="B30" s="21" t="s">
        <v>410</v>
      </c>
      <c r="I30"/>
      <c r="J30"/>
      <c r="K30"/>
      <c r="L30"/>
      <c r="M30"/>
      <c r="N30"/>
    </row>
    <row r="31" spans="1:14" ht="13.5" thickBot="1" x14ac:dyDescent="0.25">
      <c r="A31" s="320"/>
      <c r="B31" s="23" t="s">
        <v>411</v>
      </c>
      <c r="I31"/>
      <c r="J31"/>
      <c r="K31"/>
      <c r="L31"/>
      <c r="M31"/>
      <c r="N31"/>
    </row>
    <row r="32" spans="1:14" x14ac:dyDescent="0.2">
      <c r="I32"/>
      <c r="J32"/>
      <c r="K32"/>
      <c r="L32"/>
      <c r="M32"/>
      <c r="N32"/>
    </row>
    <row r="33" spans="1:14" ht="13.5" thickBot="1" x14ac:dyDescent="0.25">
      <c r="I33"/>
      <c r="J33"/>
      <c r="K33"/>
      <c r="L33"/>
      <c r="M33"/>
      <c r="N33"/>
    </row>
    <row r="34" spans="1:14" x14ac:dyDescent="0.2">
      <c r="A34" s="304" t="s">
        <v>71</v>
      </c>
      <c r="B34" s="305" t="s">
        <v>412</v>
      </c>
      <c r="I34"/>
      <c r="J34"/>
      <c r="K34"/>
      <c r="L34"/>
      <c r="M34"/>
      <c r="N34"/>
    </row>
    <row r="35" spans="1:14" x14ac:dyDescent="0.2">
      <c r="A35" s="306">
        <v>3</v>
      </c>
      <c r="B35" s="307">
        <v>1.2999999999999999E-3</v>
      </c>
      <c r="I35"/>
      <c r="J35"/>
      <c r="K35"/>
      <c r="L35"/>
      <c r="M35"/>
      <c r="N35"/>
    </row>
    <row r="36" spans="1:14" x14ac:dyDescent="0.2">
      <c r="A36" s="306">
        <v>4</v>
      </c>
      <c r="B36" s="307">
        <v>1.1000000000000001E-3</v>
      </c>
      <c r="I36"/>
      <c r="J36"/>
      <c r="K36"/>
      <c r="L36"/>
      <c r="M36"/>
      <c r="N36"/>
    </row>
    <row r="37" spans="1:14" x14ac:dyDescent="0.2">
      <c r="A37" s="306">
        <v>5</v>
      </c>
      <c r="B37" s="307">
        <v>1E-3</v>
      </c>
      <c r="I37"/>
      <c r="J37"/>
      <c r="K37"/>
      <c r="L37"/>
      <c r="M37"/>
      <c r="N37"/>
    </row>
    <row r="38" spans="1:14" x14ac:dyDescent="0.2">
      <c r="A38" s="306">
        <v>6</v>
      </c>
      <c r="B38" s="307">
        <v>8.9999999999999998E-4</v>
      </c>
      <c r="I38"/>
      <c r="J38"/>
      <c r="K38"/>
      <c r="L38"/>
      <c r="M38"/>
      <c r="N38"/>
    </row>
    <row r="39" spans="1:14" x14ac:dyDescent="0.2">
      <c r="A39" s="306">
        <v>8</v>
      </c>
      <c r="B39" s="307">
        <v>8.0000000000000004E-4</v>
      </c>
      <c r="I39"/>
      <c r="J39"/>
      <c r="K39"/>
      <c r="L39"/>
      <c r="M39"/>
      <c r="N39"/>
    </row>
    <row r="40" spans="1:14" x14ac:dyDescent="0.2">
      <c r="A40" s="306">
        <v>10</v>
      </c>
      <c r="B40" s="307">
        <v>6.9999999999999999E-4</v>
      </c>
      <c r="I40"/>
      <c r="J40"/>
      <c r="K40"/>
      <c r="L40"/>
      <c r="M40"/>
      <c r="N40"/>
    </row>
    <row r="41" spans="1:14" x14ac:dyDescent="0.2">
      <c r="A41" s="306">
        <v>12</v>
      </c>
      <c r="B41" s="307">
        <v>5.9999999999999995E-4</v>
      </c>
      <c r="I41"/>
      <c r="J41"/>
      <c r="K41"/>
      <c r="L41"/>
      <c r="M41"/>
      <c r="N41"/>
    </row>
    <row r="42" spans="1:14" x14ac:dyDescent="0.2">
      <c r="A42" s="306">
        <v>14</v>
      </c>
      <c r="B42" s="307">
        <v>5.9999999999999995E-4</v>
      </c>
      <c r="G42" s="738"/>
      <c r="I42"/>
      <c r="J42"/>
      <c r="K42"/>
      <c r="L42"/>
      <c r="M42"/>
      <c r="N42"/>
    </row>
    <row r="43" spans="1:14" x14ac:dyDescent="0.2">
      <c r="A43" s="306">
        <v>16</v>
      </c>
      <c r="B43" s="307">
        <v>5.9999999999999995E-4</v>
      </c>
      <c r="G43" s="738"/>
      <c r="I43"/>
      <c r="J43"/>
      <c r="K43"/>
      <c r="L43"/>
      <c r="M43"/>
      <c r="N43"/>
    </row>
    <row r="44" spans="1:14" ht="13.5" thickBot="1" x14ac:dyDescent="0.25">
      <c r="A44" s="308">
        <v>32</v>
      </c>
      <c r="B44" s="309">
        <v>5.9999999999999995E-4</v>
      </c>
      <c r="G44" s="738"/>
      <c r="I44"/>
      <c r="J44"/>
      <c r="K44"/>
      <c r="L44"/>
      <c r="M44"/>
      <c r="N44"/>
    </row>
    <row r="45" spans="1:14" x14ac:dyDescent="0.2">
      <c r="A45" s="304" t="s">
        <v>71</v>
      </c>
      <c r="B45" s="305" t="s">
        <v>413</v>
      </c>
      <c r="G45" s="738"/>
      <c r="I45"/>
      <c r="J45"/>
      <c r="K45"/>
      <c r="L45"/>
      <c r="M45"/>
      <c r="N45"/>
    </row>
    <row r="46" spans="1:14" x14ac:dyDescent="0.2">
      <c r="A46" s="306">
        <v>3</v>
      </c>
      <c r="B46" s="307">
        <v>8.0000000000000004E-4</v>
      </c>
      <c r="G46" s="738"/>
      <c r="I46"/>
      <c r="J46"/>
      <c r="K46"/>
      <c r="L46"/>
      <c r="M46"/>
      <c r="N46"/>
    </row>
    <row r="47" spans="1:14" x14ac:dyDescent="0.2">
      <c r="A47" s="306">
        <v>4</v>
      </c>
      <c r="B47" s="307">
        <v>8.0000000000000004E-4</v>
      </c>
      <c r="G47" s="738"/>
      <c r="I47"/>
      <c r="J47"/>
      <c r="K47"/>
      <c r="L47"/>
      <c r="M47"/>
      <c r="N47"/>
    </row>
    <row r="48" spans="1:14" x14ac:dyDescent="0.2">
      <c r="A48" s="306">
        <v>5</v>
      </c>
      <c r="B48" s="307">
        <v>8.0000000000000004E-4</v>
      </c>
      <c r="G48" s="738"/>
      <c r="I48"/>
      <c r="J48"/>
      <c r="K48"/>
      <c r="L48"/>
      <c r="M48"/>
      <c r="N48"/>
    </row>
    <row r="49" spans="1:14" x14ac:dyDescent="0.2">
      <c r="A49" s="306">
        <v>6</v>
      </c>
      <c r="B49" s="307">
        <v>6.9999999999999999E-4</v>
      </c>
      <c r="G49" s="738"/>
      <c r="I49"/>
      <c r="J49"/>
      <c r="K49"/>
      <c r="L49"/>
      <c r="M49"/>
      <c r="N49"/>
    </row>
    <row r="50" spans="1:14" x14ac:dyDescent="0.2">
      <c r="A50" s="306">
        <v>8</v>
      </c>
      <c r="B50" s="307">
        <v>6.9999999999999999E-4</v>
      </c>
      <c r="G50" s="738"/>
      <c r="I50"/>
      <c r="J50"/>
      <c r="K50"/>
      <c r="L50"/>
      <c r="M50"/>
      <c r="N50"/>
    </row>
    <row r="51" spans="1:14" x14ac:dyDescent="0.2">
      <c r="A51" s="306">
        <v>10</v>
      </c>
      <c r="B51" s="307">
        <v>5.9999999999999995E-4</v>
      </c>
      <c r="G51" s="738"/>
      <c r="I51"/>
      <c r="J51"/>
      <c r="K51"/>
      <c r="L51"/>
      <c r="M51"/>
      <c r="N51"/>
    </row>
    <row r="52" spans="1:14" x14ac:dyDescent="0.2">
      <c r="A52" s="306">
        <v>12</v>
      </c>
      <c r="B52" s="307">
        <v>5.9999999999999995E-4</v>
      </c>
      <c r="G52" s="738"/>
      <c r="I52"/>
      <c r="J52"/>
      <c r="K52"/>
      <c r="L52"/>
      <c r="M52"/>
      <c r="N52"/>
    </row>
    <row r="53" spans="1:14" x14ac:dyDescent="0.2">
      <c r="A53" s="306">
        <v>14</v>
      </c>
      <c r="B53" s="307">
        <v>5.0000000000000001E-4</v>
      </c>
      <c r="G53" s="738"/>
      <c r="I53"/>
      <c r="J53"/>
      <c r="K53"/>
      <c r="L53"/>
      <c r="M53"/>
      <c r="N53"/>
    </row>
    <row r="54" spans="1:14" x14ac:dyDescent="0.2">
      <c r="A54" s="306">
        <v>16</v>
      </c>
      <c r="B54" s="307">
        <v>5.0000000000000001E-4</v>
      </c>
      <c r="G54" s="738"/>
      <c r="I54"/>
      <c r="J54"/>
      <c r="K54"/>
      <c r="L54"/>
      <c r="M54"/>
      <c r="N54"/>
    </row>
    <row r="55" spans="1:14" ht="13.5" thickBot="1" x14ac:dyDescent="0.25">
      <c r="A55" s="308">
        <v>32</v>
      </c>
      <c r="B55" s="309">
        <v>5.0000000000000001E-4</v>
      </c>
      <c r="G55" s="738"/>
      <c r="I55"/>
      <c r="J55"/>
      <c r="K55"/>
      <c r="L55"/>
      <c r="M55"/>
      <c r="N55"/>
    </row>
    <row r="56" spans="1:14" x14ac:dyDescent="0.2">
      <c r="A56" s="304" t="s">
        <v>71</v>
      </c>
      <c r="B56" s="305" t="s">
        <v>414</v>
      </c>
      <c r="G56" s="738"/>
      <c r="I56"/>
      <c r="J56"/>
      <c r="K56"/>
      <c r="L56"/>
      <c r="M56"/>
      <c r="N56"/>
    </row>
    <row r="57" spans="1:14" x14ac:dyDescent="0.2">
      <c r="A57" s="306">
        <v>3</v>
      </c>
      <c r="B57" s="307">
        <v>8.0000000000000004E-4</v>
      </c>
      <c r="G57" s="738"/>
      <c r="I57"/>
      <c r="J57"/>
      <c r="K57"/>
      <c r="L57"/>
      <c r="M57"/>
      <c r="N57"/>
    </row>
    <row r="58" spans="1:14" x14ac:dyDescent="0.2">
      <c r="A58" s="306">
        <v>4</v>
      </c>
      <c r="B58" s="307">
        <v>8.0000000000000004E-4</v>
      </c>
      <c r="G58" s="738"/>
      <c r="I58"/>
      <c r="J58"/>
      <c r="K58"/>
      <c r="L58"/>
      <c r="M58"/>
      <c r="N58"/>
    </row>
    <row r="59" spans="1:14" x14ac:dyDescent="0.2">
      <c r="A59" s="306">
        <v>5</v>
      </c>
      <c r="B59" s="307">
        <v>8.0000000000000004E-4</v>
      </c>
      <c r="G59" s="738"/>
      <c r="I59"/>
      <c r="J59"/>
      <c r="K59"/>
      <c r="L59"/>
      <c r="M59"/>
      <c r="N59"/>
    </row>
    <row r="60" spans="1:14" x14ac:dyDescent="0.2">
      <c r="A60" s="306">
        <v>6</v>
      </c>
      <c r="B60" s="307">
        <v>6.9999999999999999E-4</v>
      </c>
      <c r="G60" s="738"/>
      <c r="I60"/>
      <c r="J60"/>
      <c r="K60"/>
      <c r="L60"/>
      <c r="M60"/>
      <c r="N60"/>
    </row>
    <row r="61" spans="1:14" x14ac:dyDescent="0.2">
      <c r="A61" s="306">
        <v>8</v>
      </c>
      <c r="B61" s="307">
        <v>6.9999999999999999E-4</v>
      </c>
      <c r="G61" s="738"/>
      <c r="I61"/>
      <c r="J61"/>
      <c r="K61"/>
      <c r="L61"/>
      <c r="M61"/>
      <c r="N61"/>
    </row>
    <row r="62" spans="1:14" x14ac:dyDescent="0.2">
      <c r="A62" s="306">
        <v>10</v>
      </c>
      <c r="B62" s="307">
        <v>5.9999999999999995E-4</v>
      </c>
      <c r="G62" s="738"/>
      <c r="I62"/>
      <c r="J62"/>
      <c r="K62"/>
      <c r="L62"/>
      <c r="M62"/>
      <c r="N62"/>
    </row>
    <row r="63" spans="1:14" x14ac:dyDescent="0.2">
      <c r="A63" s="306">
        <v>12</v>
      </c>
      <c r="B63" s="307">
        <v>5.9999999999999995E-4</v>
      </c>
      <c r="I63"/>
      <c r="J63"/>
      <c r="K63"/>
      <c r="L63"/>
      <c r="M63"/>
      <c r="N63"/>
    </row>
    <row r="64" spans="1:14" x14ac:dyDescent="0.2">
      <c r="A64" s="306">
        <v>14</v>
      </c>
      <c r="B64" s="307">
        <v>5.0000000000000001E-4</v>
      </c>
      <c r="I64"/>
      <c r="J64"/>
      <c r="K64"/>
      <c r="L64"/>
      <c r="M64"/>
      <c r="N64"/>
    </row>
    <row r="65" spans="1:14" x14ac:dyDescent="0.2">
      <c r="A65" s="306">
        <v>16</v>
      </c>
      <c r="B65" s="307">
        <v>5.0000000000000001E-4</v>
      </c>
      <c r="I65"/>
      <c r="J65"/>
      <c r="K65"/>
      <c r="L65"/>
      <c r="M65"/>
      <c r="N65"/>
    </row>
    <row r="66" spans="1:14" ht="13.5" thickBot="1" x14ac:dyDescent="0.25">
      <c r="A66" s="308">
        <v>32</v>
      </c>
      <c r="B66" s="309">
        <v>5.0000000000000001E-4</v>
      </c>
      <c r="I66"/>
      <c r="J66"/>
      <c r="K66"/>
      <c r="L66"/>
      <c r="M66"/>
      <c r="N66"/>
    </row>
    <row r="67" spans="1:14" ht="13.5" thickBot="1" x14ac:dyDescent="0.25">
      <c r="I67"/>
      <c r="J67"/>
      <c r="K67"/>
      <c r="L67"/>
      <c r="M67"/>
      <c r="N67"/>
    </row>
    <row r="68" spans="1:14" ht="13.5" thickBot="1" x14ac:dyDescent="0.25">
      <c r="A68" s="1150" t="s">
        <v>415</v>
      </c>
      <c r="B68" s="1151"/>
      <c r="C68" s="1151"/>
      <c r="D68" s="1152"/>
      <c r="I68"/>
      <c r="J68"/>
      <c r="K68"/>
      <c r="L68"/>
      <c r="M68"/>
      <c r="N68"/>
    </row>
    <row r="69" spans="1:14" x14ac:dyDescent="0.2">
      <c r="A69" s="170" t="s">
        <v>71</v>
      </c>
      <c r="B69" s="883" t="s">
        <v>412</v>
      </c>
      <c r="C69" s="883" t="s">
        <v>413</v>
      </c>
      <c r="D69" s="883" t="s">
        <v>414</v>
      </c>
      <c r="I69"/>
      <c r="J69"/>
      <c r="K69"/>
      <c r="L69"/>
      <c r="M69"/>
      <c r="N69"/>
    </row>
    <row r="70" spans="1:14" x14ac:dyDescent="0.2">
      <c r="A70" s="463">
        <v>3</v>
      </c>
      <c r="B70" s="464">
        <v>1.2999999999999999E-3</v>
      </c>
      <c r="C70" s="464">
        <v>8.0000000000000004E-4</v>
      </c>
      <c r="D70" s="464">
        <v>8.0000000000000004E-4</v>
      </c>
      <c r="I70"/>
      <c r="J70"/>
      <c r="K70"/>
      <c r="L70"/>
      <c r="M70"/>
      <c r="N70"/>
    </row>
    <row r="71" spans="1:14" x14ac:dyDescent="0.2">
      <c r="A71" s="1024">
        <v>4</v>
      </c>
      <c r="B71" s="1016">
        <v>1.1000000000000001E-3</v>
      </c>
      <c r="C71" s="1016">
        <v>8.0000000000000004E-4</v>
      </c>
      <c r="D71" s="1016">
        <v>8.0000000000000004E-4</v>
      </c>
      <c r="I71"/>
      <c r="J71"/>
      <c r="K71"/>
      <c r="L71"/>
      <c r="M71"/>
      <c r="N71"/>
    </row>
    <row r="72" spans="1:14" x14ac:dyDescent="0.2">
      <c r="A72" s="463">
        <v>5</v>
      </c>
      <c r="B72" s="464">
        <v>1E-3</v>
      </c>
      <c r="C72" s="464">
        <v>8.0000000000000004E-4</v>
      </c>
      <c r="D72" s="464">
        <v>8.0000000000000004E-4</v>
      </c>
      <c r="I72"/>
      <c r="J72"/>
      <c r="K72"/>
      <c r="L72"/>
      <c r="M72"/>
      <c r="N72"/>
    </row>
    <row r="73" spans="1:14" x14ac:dyDescent="0.2">
      <c r="A73" s="1024">
        <v>6</v>
      </c>
      <c r="B73" s="1016">
        <v>8.9999999999999998E-4</v>
      </c>
      <c r="C73" s="1016">
        <v>6.9999999999999999E-4</v>
      </c>
      <c r="D73" s="1016">
        <v>6.9999999999999999E-4</v>
      </c>
      <c r="I73"/>
      <c r="J73"/>
      <c r="K73"/>
      <c r="L73"/>
      <c r="M73"/>
      <c r="N73"/>
    </row>
    <row r="74" spans="1:14" x14ac:dyDescent="0.2">
      <c r="A74" s="463">
        <v>8</v>
      </c>
      <c r="B74" s="464">
        <v>8.0000000000000004E-4</v>
      </c>
      <c r="C74" s="464">
        <v>6.9999999999999999E-4</v>
      </c>
      <c r="D74" s="464">
        <v>6.9999999999999999E-4</v>
      </c>
      <c r="I74"/>
      <c r="J74"/>
      <c r="K74"/>
      <c r="L74"/>
      <c r="M74"/>
      <c r="N74"/>
    </row>
    <row r="75" spans="1:14" x14ac:dyDescent="0.2">
      <c r="A75" s="1024">
        <v>10</v>
      </c>
      <c r="B75" s="1016">
        <v>6.9999999999999999E-4</v>
      </c>
      <c r="C75" s="1016">
        <v>5.9999999999999995E-4</v>
      </c>
      <c r="D75" s="1016">
        <v>5.9999999999999995E-4</v>
      </c>
      <c r="I75"/>
      <c r="J75"/>
      <c r="K75"/>
      <c r="L75"/>
      <c r="M75"/>
      <c r="N75"/>
    </row>
    <row r="76" spans="1:14" x14ac:dyDescent="0.2">
      <c r="A76" s="463">
        <v>12</v>
      </c>
      <c r="B76" s="464">
        <v>5.9999999999999995E-4</v>
      </c>
      <c r="C76" s="464">
        <v>5.9999999999999995E-4</v>
      </c>
      <c r="D76" s="464">
        <v>5.9999999999999995E-4</v>
      </c>
      <c r="I76"/>
      <c r="J76"/>
      <c r="K76"/>
      <c r="L76"/>
      <c r="M76"/>
      <c r="N76"/>
    </row>
    <row r="77" spans="1:14" x14ac:dyDescent="0.2">
      <c r="A77" s="1024">
        <v>14</v>
      </c>
      <c r="B77" s="1016">
        <v>5.9999999999999995E-4</v>
      </c>
      <c r="C77" s="1016">
        <v>5.0000000000000001E-4</v>
      </c>
      <c r="D77" s="1016">
        <v>5.0000000000000001E-4</v>
      </c>
      <c r="I77"/>
      <c r="J77"/>
      <c r="K77"/>
      <c r="L77"/>
      <c r="M77"/>
      <c r="N77"/>
    </row>
    <row r="78" spans="1:14" x14ac:dyDescent="0.2">
      <c r="A78" s="463">
        <v>16</v>
      </c>
      <c r="B78" s="464">
        <v>5.9999999999999995E-4</v>
      </c>
      <c r="C78" s="464">
        <v>5.0000000000000001E-4</v>
      </c>
      <c r="D78" s="464">
        <v>5.0000000000000001E-4</v>
      </c>
      <c r="I78"/>
      <c r="J78"/>
      <c r="K78"/>
      <c r="L78"/>
      <c r="M78"/>
      <c r="N78"/>
    </row>
    <row r="79" spans="1:14" ht="13.5" thickBot="1" x14ac:dyDescent="0.25">
      <c r="A79" s="1025">
        <v>32</v>
      </c>
      <c r="B79" s="1026">
        <v>5.9999999999999995E-4</v>
      </c>
      <c r="C79" s="1026">
        <v>5.0000000000000001E-4</v>
      </c>
      <c r="D79" s="1026">
        <v>5.0000000000000001E-4</v>
      </c>
      <c r="I79"/>
      <c r="J79"/>
      <c r="K79"/>
      <c r="L79"/>
      <c r="M79"/>
      <c r="N79"/>
    </row>
    <row r="80" spans="1:14" x14ac:dyDescent="0.2">
      <c r="A80" s="470" t="s">
        <v>416</v>
      </c>
      <c r="I80"/>
      <c r="J80"/>
      <c r="K80"/>
      <c r="L80"/>
      <c r="M80"/>
      <c r="N80"/>
    </row>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sheetData>
  <sheetProtection password="CC48" sheet="1" objects="1" scenarios="1" selectLockedCells="1"/>
  <mergeCells count="1">
    <mergeCell ref="A68:D68"/>
  </mergeCells>
  <phoneticPr fontId="1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ReturnToMain">
                <anchor moveWithCells="1" sizeWithCells="1">
                  <from>
                    <xdr:col>0</xdr:col>
                    <xdr:colOff>19050</xdr:colOff>
                    <xdr:row>0</xdr:row>
                    <xdr:rowOff>19050</xdr:rowOff>
                  </from>
                  <to>
                    <xdr:col>0</xdr:col>
                    <xdr:colOff>790575</xdr:colOff>
                    <xdr:row>0</xdr:row>
                    <xdr:rowOff>152400</xdr:rowOff>
                  </to>
                </anchor>
              </controlPr>
            </control>
          </mc:Choice>
        </mc:AlternateContent>
        <mc:AlternateContent xmlns:mc="http://schemas.openxmlformats.org/markup-compatibility/2006">
          <mc:Choice Requires="x14">
            <control shapeId="7172" r:id="rId5" name="Button 4">
              <controlPr defaultSize="0" print="0" autoFill="0" autoPict="0" macro="[0]!ReturnToMain">
                <anchor moveWithCells="1" sizeWithCells="1">
                  <from>
                    <xdr:col>0</xdr:col>
                    <xdr:colOff>19050</xdr:colOff>
                    <xdr:row>0</xdr:row>
                    <xdr:rowOff>19050</xdr:rowOff>
                  </from>
                  <to>
                    <xdr:col>0</xdr:col>
                    <xdr:colOff>790575</xdr:colOff>
                    <xdr:row>0</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indexed="33"/>
  </sheetPr>
  <dimension ref="A1:D19"/>
  <sheetViews>
    <sheetView workbookViewId="0">
      <selection activeCell="A4" sqref="A4"/>
    </sheetView>
  </sheetViews>
  <sheetFormatPr defaultColWidth="33" defaultRowHeight="12.75" x14ac:dyDescent="0.2"/>
  <sheetData>
    <row r="1" spans="1:4" ht="13.5" thickBot="1" x14ac:dyDescent="0.25"/>
    <row r="2" spans="1:4" x14ac:dyDescent="0.2">
      <c r="A2" s="1153" t="s">
        <v>379</v>
      </c>
      <c r="B2" s="1154"/>
      <c r="C2" s="84"/>
    </row>
    <row r="3" spans="1:4" x14ac:dyDescent="0.2">
      <c r="A3" s="1013" t="s">
        <v>71</v>
      </c>
      <c r="B3" s="1014" t="s">
        <v>128</v>
      </c>
    </row>
    <row r="4" spans="1:4" x14ac:dyDescent="0.2">
      <c r="A4" s="1015">
        <v>16</v>
      </c>
      <c r="B4" s="300">
        <f>VLOOKUP(A4,'JGI Thread Wire Sizes-Constants'!A3:B31,2,FALSE)</f>
        <v>3.6060000000000002E-2</v>
      </c>
    </row>
    <row r="5" spans="1:4" x14ac:dyDescent="0.2">
      <c r="A5" s="990" t="s">
        <v>387</v>
      </c>
      <c r="B5" s="168"/>
      <c r="C5" s="60"/>
    </row>
    <row r="6" spans="1:4" x14ac:dyDescent="0.2">
      <c r="A6" s="215">
        <v>3.3960400000000002</v>
      </c>
      <c r="B6" s="168"/>
      <c r="C6" s="60"/>
    </row>
    <row r="7" spans="1:4" x14ac:dyDescent="0.2">
      <c r="A7" s="494" t="s">
        <v>417</v>
      </c>
      <c r="B7" s="168"/>
    </row>
    <row r="8" spans="1:4" x14ac:dyDescent="0.2">
      <c r="A8" s="299">
        <f>A6+(B17*0.89064)-(B4*3.15689)</f>
        <v>3.3378675466000001</v>
      </c>
      <c r="B8" s="168"/>
    </row>
    <row r="9" spans="1:4" ht="13.5" thickBot="1" x14ac:dyDescent="0.25">
      <c r="A9" s="22" t="s">
        <v>390</v>
      </c>
      <c r="B9" s="303"/>
    </row>
    <row r="10" spans="1:4" ht="13.5" thickBot="1" x14ac:dyDescent="0.25">
      <c r="A10" s="289"/>
      <c r="B10" s="289"/>
      <c r="C10" s="289"/>
      <c r="D10" s="289"/>
    </row>
    <row r="11" spans="1:4" ht="13.5" thickBot="1" x14ac:dyDescent="0.25">
      <c r="A11" s="1155" t="s">
        <v>391</v>
      </c>
      <c r="B11" s="1156"/>
      <c r="C11" s="1157"/>
      <c r="D11" s="84"/>
    </row>
    <row r="12" spans="1:4" x14ac:dyDescent="0.2">
      <c r="A12" s="1020" t="s">
        <v>392</v>
      </c>
      <c r="B12" s="1021" t="s">
        <v>70</v>
      </c>
      <c r="C12" s="1022" t="s">
        <v>71</v>
      </c>
    </row>
    <row r="13" spans="1:4" ht="13.5" thickBot="1" x14ac:dyDescent="0.25">
      <c r="A13" s="292" t="s">
        <v>393</v>
      </c>
      <c r="B13" s="7">
        <v>0.1</v>
      </c>
      <c r="C13" s="62">
        <f>1/B13</f>
        <v>10</v>
      </c>
    </row>
    <row r="14" spans="1:4" ht="13.5" thickBot="1" x14ac:dyDescent="0.25">
      <c r="A14" s="108"/>
      <c r="C14" s="316"/>
    </row>
    <row r="15" spans="1:4" ht="13.5" thickBot="1" x14ac:dyDescent="0.25">
      <c r="A15" s="1158" t="s">
        <v>394</v>
      </c>
      <c r="B15" s="1159"/>
      <c r="C15" s="1160"/>
    </row>
    <row r="16" spans="1:4" x14ac:dyDescent="0.2">
      <c r="A16" s="1020" t="s">
        <v>395</v>
      </c>
      <c r="B16" s="1027" t="s">
        <v>70</v>
      </c>
      <c r="C16" s="1028" t="s">
        <v>396</v>
      </c>
    </row>
    <row r="17" spans="1:3" ht="13.5" thickBot="1" x14ac:dyDescent="0.25">
      <c r="A17" s="989" t="s">
        <v>418</v>
      </c>
      <c r="B17" s="405">
        <f>1/A4</f>
        <v>6.25E-2</v>
      </c>
      <c r="C17" s="15">
        <f>0.51645*B17</f>
        <v>3.2278124999999998E-2</v>
      </c>
    </row>
    <row r="19" spans="1:3" x14ac:dyDescent="0.2">
      <c r="A19" s="1149" t="s">
        <v>419</v>
      </c>
      <c r="B19" s="1149"/>
      <c r="C19" s="1149"/>
    </row>
  </sheetData>
  <sheetProtection password="CC48" sheet="1" objects="1" scenarios="1" selectLockedCells="1"/>
  <protectedRanges>
    <protectedRange password="CC48" sqref="A14:IV65536 C13:IV13 A13 A7:IV12 B6:IV6 A5:IV5 B4:IV4 A1:IV3" name="Range1"/>
  </protectedRanges>
  <mergeCells count="4">
    <mergeCell ref="A2:B2"/>
    <mergeCell ref="A11:C11"/>
    <mergeCell ref="A15:C15"/>
    <mergeCell ref="A19:C1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Button 1">
              <controlPr defaultSize="0" print="0" autoFill="0" autoPict="0" macro="[0]!ReturnToMain">
                <anchor moveWithCells="1" sizeWithCells="1">
                  <from>
                    <xdr:col>0</xdr:col>
                    <xdr:colOff>19050</xdr:colOff>
                    <xdr:row>0</xdr:row>
                    <xdr:rowOff>19050</xdr:rowOff>
                  </from>
                  <to>
                    <xdr:col>1</xdr:col>
                    <xdr:colOff>790575</xdr:colOff>
                    <xdr:row>0</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
    <tabColor indexed="33"/>
  </sheetPr>
  <dimension ref="A1:D44"/>
  <sheetViews>
    <sheetView workbookViewId="0">
      <selection activeCell="A36" sqref="A36"/>
    </sheetView>
  </sheetViews>
  <sheetFormatPr defaultRowHeight="12.75" x14ac:dyDescent="0.2"/>
  <cols>
    <col min="1" max="1" width="29.85546875" customWidth="1"/>
    <col min="2" max="2" width="39.42578125" customWidth="1"/>
    <col min="3" max="3" width="13.42578125" customWidth="1"/>
    <col min="4" max="4" width="26.28515625" customWidth="1"/>
    <col min="5" max="11" width="9.140625" customWidth="1"/>
  </cols>
  <sheetData>
    <row r="1" spans="1:4" ht="25.5" customHeight="1" thickBot="1" x14ac:dyDescent="0.25"/>
    <row r="2" spans="1:4" ht="13.5" thickBot="1" x14ac:dyDescent="0.25">
      <c r="A2" s="1161" t="s">
        <v>420</v>
      </c>
      <c r="B2" s="1162"/>
      <c r="C2" s="1162"/>
      <c r="D2" s="1163"/>
    </row>
    <row r="3" spans="1:4" ht="13.5" thickBot="1" x14ac:dyDescent="0.25">
      <c r="A3" s="412"/>
      <c r="B3" s="413"/>
    </row>
    <row r="4" spans="1:4" x14ac:dyDescent="0.2">
      <c r="A4" s="1155" t="s">
        <v>379</v>
      </c>
      <c r="B4" s="1157"/>
      <c r="C4" s="999"/>
      <c r="D4" s="322" t="s">
        <v>380</v>
      </c>
    </row>
    <row r="5" spans="1:4" x14ac:dyDescent="0.2">
      <c r="A5" s="1013" t="s">
        <v>71</v>
      </c>
      <c r="B5" s="1016" t="s">
        <v>128</v>
      </c>
      <c r="C5" s="470"/>
      <c r="D5" s="1029" t="s">
        <v>381</v>
      </c>
    </row>
    <row r="6" spans="1:4" x14ac:dyDescent="0.2">
      <c r="A6" s="91">
        <v>5</v>
      </c>
      <c r="B6" s="79">
        <f>VLOOKUP(A6,'JGI Thread Wire Sizes-Constants'!F3:G11,2,FALSE)</f>
        <v>0.10331</v>
      </c>
      <c r="D6" s="302">
        <f>VLOOKUP(A6,'ACME Multi-Start Calculator'!A35:B44,2,FALSE)</f>
        <v>1E-3</v>
      </c>
    </row>
    <row r="7" spans="1:4" x14ac:dyDescent="0.2">
      <c r="A7" s="1013" t="s">
        <v>382</v>
      </c>
      <c r="B7" s="1016" t="s">
        <v>288</v>
      </c>
      <c r="C7" s="470"/>
      <c r="D7" s="1029" t="s">
        <v>383</v>
      </c>
    </row>
    <row r="8" spans="1:4" x14ac:dyDescent="0.2">
      <c r="A8" s="91">
        <v>0.75</v>
      </c>
      <c r="B8" s="298">
        <f>A10-4.9939*(B6)+1.93336*(1/A6)</f>
        <v>0.66992219100000006</v>
      </c>
      <c r="C8" s="319"/>
      <c r="D8" s="302">
        <f>VLOOKUP(A6,'ACME Multi-Start Calculator'!A46:B55,2,FALSE)</f>
        <v>8.0000000000000004E-4</v>
      </c>
    </row>
    <row r="9" spans="1:4" x14ac:dyDescent="0.2">
      <c r="A9" s="1013" t="s">
        <v>387</v>
      </c>
      <c r="B9" s="1016" t="s">
        <v>385</v>
      </c>
      <c r="C9" s="470"/>
      <c r="D9" s="1029" t="s">
        <v>386</v>
      </c>
    </row>
    <row r="10" spans="1:4" x14ac:dyDescent="0.2">
      <c r="A10" s="1015">
        <v>0.79917000000000005</v>
      </c>
      <c r="B10" s="291">
        <f>1.87178*(B6)*((1/A6)/(PI()*B8))^2</f>
        <v>1.7462590994544414E-3</v>
      </c>
      <c r="C10" s="287"/>
      <c r="D10" s="302">
        <f>VLOOKUP(A6,'ACME Multi-Start Calculator'!A57:B66,2,FALSE)</f>
        <v>8.0000000000000004E-4</v>
      </c>
    </row>
    <row r="11" spans="1:4" ht="13.5" thickBot="1" x14ac:dyDescent="0.25">
      <c r="A11" s="494" t="s">
        <v>389</v>
      </c>
      <c r="B11" s="168"/>
      <c r="D11" s="323" t="s">
        <v>388</v>
      </c>
    </row>
    <row r="12" spans="1:4" x14ac:dyDescent="0.2">
      <c r="A12" s="294">
        <f>B8-B10</f>
        <v>0.66817593190054558</v>
      </c>
      <c r="B12" s="321"/>
    </row>
    <row r="13" spans="1:4" ht="13.5" thickBot="1" x14ac:dyDescent="0.25">
      <c r="A13" s="1164" t="s">
        <v>421</v>
      </c>
      <c r="B13" s="1165"/>
      <c r="C13" s="84"/>
      <c r="D13" s="84"/>
    </row>
    <row r="14" spans="1:4" ht="13.5" thickBot="1" x14ac:dyDescent="0.25">
      <c r="A14" s="289"/>
      <c r="B14" s="289"/>
      <c r="C14" s="289"/>
      <c r="D14" s="289"/>
    </row>
    <row r="15" spans="1:4" ht="13.5" thickBot="1" x14ac:dyDescent="0.25">
      <c r="A15" s="1155" t="s">
        <v>391</v>
      </c>
      <c r="B15" s="1156"/>
      <c r="C15" s="1157"/>
      <c r="D15" s="84"/>
    </row>
    <row r="16" spans="1:4" x14ac:dyDescent="0.2">
      <c r="A16" s="1020" t="s">
        <v>392</v>
      </c>
      <c r="B16" s="1021" t="s">
        <v>70</v>
      </c>
      <c r="C16" s="1022" t="s">
        <v>71</v>
      </c>
    </row>
    <row r="17" spans="1:4" ht="13.5" thickBot="1" x14ac:dyDescent="0.25">
      <c r="A17" s="292" t="s">
        <v>393</v>
      </c>
      <c r="B17" s="7">
        <v>5.5599999999999997E-2</v>
      </c>
      <c r="C17" s="62">
        <f>1/B17</f>
        <v>17.985611510791369</v>
      </c>
    </row>
    <row r="18" spans="1:4" ht="13.5" thickBot="1" x14ac:dyDescent="0.25">
      <c r="A18" s="108"/>
      <c r="C18" s="316"/>
    </row>
    <row r="19" spans="1:4" ht="13.5" thickBot="1" x14ac:dyDescent="0.25">
      <c r="A19" s="1155" t="s">
        <v>394</v>
      </c>
      <c r="B19" s="1156"/>
      <c r="C19" s="1156"/>
      <c r="D19" s="1157"/>
    </row>
    <row r="20" spans="1:4" x14ac:dyDescent="0.2">
      <c r="A20" s="1020" t="s">
        <v>395</v>
      </c>
      <c r="B20" s="1021" t="s">
        <v>71</v>
      </c>
      <c r="C20" s="1023" t="s">
        <v>70</v>
      </c>
      <c r="D20" s="1022" t="s">
        <v>396</v>
      </c>
    </row>
    <row r="21" spans="1:4" ht="13.5" thickBot="1" x14ac:dyDescent="0.25">
      <c r="A21" s="13" t="s">
        <v>397</v>
      </c>
      <c r="B21" s="7">
        <v>16</v>
      </c>
      <c r="C21" s="63">
        <f>1/B21</f>
        <v>6.25E-2</v>
      </c>
      <c r="D21" s="15">
        <f>0.51645*C21</f>
        <v>3.2278124999999998E-2</v>
      </c>
    </row>
    <row r="22" spans="1:4" ht="13.5" thickBot="1" x14ac:dyDescent="0.25"/>
    <row r="23" spans="1:4" ht="13.5" thickBot="1" x14ac:dyDescent="0.25">
      <c r="A23" s="16" t="s">
        <v>398</v>
      </c>
      <c r="B23" s="17"/>
    </row>
    <row r="24" spans="1:4" x14ac:dyDescent="0.2">
      <c r="A24" s="64" t="s">
        <v>399</v>
      </c>
      <c r="B24" s="65" t="s">
        <v>400</v>
      </c>
    </row>
    <row r="25" spans="1:4" x14ac:dyDescent="0.2">
      <c r="A25" s="20" t="s">
        <v>401</v>
      </c>
      <c r="B25" s="21" t="s">
        <v>402</v>
      </c>
    </row>
    <row r="26" spans="1:4" ht="12" customHeight="1" x14ac:dyDescent="0.2">
      <c r="A26" s="20"/>
      <c r="B26" s="21"/>
    </row>
    <row r="27" spans="1:4" x14ac:dyDescent="0.2">
      <c r="A27" s="20" t="s">
        <v>422</v>
      </c>
      <c r="B27" s="21" t="s">
        <v>423</v>
      </c>
    </row>
    <row r="28" spans="1:4" x14ac:dyDescent="0.2">
      <c r="A28" s="20" t="s">
        <v>405</v>
      </c>
      <c r="B28" s="21" t="s">
        <v>406</v>
      </c>
    </row>
    <row r="29" spans="1:4" x14ac:dyDescent="0.2">
      <c r="A29" s="20" t="s">
        <v>407</v>
      </c>
      <c r="B29" s="21" t="s">
        <v>408</v>
      </c>
    </row>
    <row r="30" spans="1:4" ht="13.5" thickBot="1" x14ac:dyDescent="0.25">
      <c r="A30" s="22" t="s">
        <v>409</v>
      </c>
      <c r="B30" s="21" t="s">
        <v>410</v>
      </c>
    </row>
    <row r="31" spans="1:4" ht="13.5" thickBot="1" x14ac:dyDescent="0.25">
      <c r="A31" s="295"/>
      <c r="B31" s="23" t="s">
        <v>411</v>
      </c>
    </row>
    <row r="33" spans="1:4" ht="13.5" thickBot="1" x14ac:dyDescent="0.25"/>
    <row r="34" spans="1:4" x14ac:dyDescent="0.2">
      <c r="A34" s="64" t="s">
        <v>424</v>
      </c>
      <c r="B34" s="565"/>
      <c r="C34" s="565"/>
      <c r="D34" s="566"/>
    </row>
    <row r="35" spans="1:4" x14ac:dyDescent="0.2">
      <c r="A35" s="100" t="s">
        <v>425</v>
      </c>
      <c r="B35" s="31"/>
      <c r="D35" s="564" t="s">
        <v>380</v>
      </c>
    </row>
    <row r="36" spans="1:4" x14ac:dyDescent="0.2">
      <c r="A36" s="91">
        <v>0.51576999999999995</v>
      </c>
      <c r="B36" s="5"/>
      <c r="D36" s="1029" t="s">
        <v>381</v>
      </c>
    </row>
    <row r="37" spans="1:4" x14ac:dyDescent="0.2">
      <c r="A37" s="562" t="s">
        <v>426</v>
      </c>
      <c r="B37" s="37" t="s">
        <v>128</v>
      </c>
      <c r="D37" s="302">
        <f>VLOOKUP(A38,'ACME Multi-Start Calculator'!A34:B66,2,FALSE)</f>
        <v>5.9999999999999995E-4</v>
      </c>
    </row>
    <row r="38" spans="1:4" x14ac:dyDescent="0.2">
      <c r="A38" s="91">
        <v>14</v>
      </c>
      <c r="B38" s="5">
        <f>VLOOKUP(A38,'JGI Thread Wire Sizes-Constants'!F3:G11,2,FALSE)</f>
        <v>3.6900000000000002E-2</v>
      </c>
      <c r="D38" s="1029" t="s">
        <v>383</v>
      </c>
    </row>
    <row r="39" spans="1:4" x14ac:dyDescent="0.2">
      <c r="A39" s="562" t="s">
        <v>382</v>
      </c>
      <c r="B39" s="37" t="s">
        <v>288</v>
      </c>
      <c r="D39" s="302">
        <f>VLOOKUP(A38,'ACME Multi-Start Calculator'!A34:B66,2,FALSE)</f>
        <v>5.9999999999999995E-4</v>
      </c>
    </row>
    <row r="40" spans="1:4" x14ac:dyDescent="0.2">
      <c r="A40" s="91">
        <v>0.25</v>
      </c>
      <c r="B40" s="128">
        <f>A42-4.9939*(B38)+1.93336*(1/A36)</f>
        <v>3.833322635126704</v>
      </c>
      <c r="D40" s="1029" t="s">
        <v>386</v>
      </c>
    </row>
    <row r="41" spans="1:4" x14ac:dyDescent="0.2">
      <c r="A41" s="562" t="s">
        <v>387</v>
      </c>
      <c r="B41" s="37" t="s">
        <v>385</v>
      </c>
      <c r="D41" s="302">
        <f>VLOOKUP(A38,'ACME Multi-Start Calculator'!A34:B66,2,FALSE)</f>
        <v>5.9999999999999995E-4</v>
      </c>
    </row>
    <row r="42" spans="1:4" ht="13.5" thickBot="1" x14ac:dyDescent="0.25">
      <c r="A42" s="91">
        <v>0.26910499999999998</v>
      </c>
      <c r="B42" s="128">
        <f>1.87178*(B38)*((1/A36)/(PI()*B40))^2</f>
        <v>1.790269945487739E-3</v>
      </c>
      <c r="D42" s="323" t="s">
        <v>427</v>
      </c>
    </row>
    <row r="43" spans="1:4" x14ac:dyDescent="0.2">
      <c r="A43" s="494" t="s">
        <v>389</v>
      </c>
      <c r="D43" s="168"/>
    </row>
    <row r="44" spans="1:4" ht="13.5" thickBot="1" x14ac:dyDescent="0.25">
      <c r="A44" s="563">
        <f>B40-B42</f>
        <v>3.8315323651812161</v>
      </c>
      <c r="B44" s="164"/>
      <c r="C44" s="164"/>
      <c r="D44" s="561"/>
    </row>
  </sheetData>
  <sheetProtection password="CC48" sheet="1" objects="1" scenarios="1" selectLockedCells="1"/>
  <mergeCells count="5">
    <mergeCell ref="A2:D2"/>
    <mergeCell ref="A15:C15"/>
    <mergeCell ref="A19:D19"/>
    <mergeCell ref="A4:B4"/>
    <mergeCell ref="A13:B13"/>
  </mergeCells>
  <phoneticPr fontId="1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ReturnToMain">
                <anchor moveWithCells="1" sizeWithCells="1">
                  <from>
                    <xdr:col>0</xdr:col>
                    <xdr:colOff>19050</xdr:colOff>
                    <xdr:row>0</xdr:row>
                    <xdr:rowOff>19050</xdr:rowOff>
                  </from>
                  <to>
                    <xdr:col>0</xdr:col>
                    <xdr:colOff>790575</xdr:colOff>
                    <xdr:row>0</xdr:row>
                    <xdr:rowOff>152400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tabColor indexed="36"/>
  </sheetPr>
  <dimension ref="A1:G32"/>
  <sheetViews>
    <sheetView workbookViewId="0">
      <selection activeCell="D9" sqref="D9"/>
    </sheetView>
  </sheetViews>
  <sheetFormatPr defaultRowHeight="12.75" x14ac:dyDescent="0.2"/>
  <cols>
    <col min="1" max="1" width="29.85546875" customWidth="1"/>
    <col min="2" max="2" width="36.42578125" customWidth="1"/>
    <col min="3" max="3" width="31.85546875" customWidth="1"/>
    <col min="4" max="4" width="20" customWidth="1"/>
    <col min="5" max="5" width="18.5703125" customWidth="1"/>
    <col min="7" max="7" width="15.28515625" customWidth="1"/>
  </cols>
  <sheetData>
    <row r="1" spans="1:7" ht="25.5" customHeight="1" thickBot="1" x14ac:dyDescent="0.25"/>
    <row r="2" spans="1:7" ht="13.5" thickBot="1" x14ac:dyDescent="0.25">
      <c r="A2" s="290"/>
      <c r="B2" s="414"/>
      <c r="C2" s="98"/>
      <c r="D2" s="98"/>
    </row>
    <row r="3" spans="1:7" ht="13.5" thickBot="1" x14ac:dyDescent="0.25">
      <c r="A3" s="1030" t="s">
        <v>379</v>
      </c>
      <c r="B3" s="1031"/>
      <c r="C3" s="84"/>
      <c r="D3" s="84"/>
      <c r="E3" s="84"/>
      <c r="F3" s="84"/>
      <c r="G3" s="84"/>
    </row>
    <row r="4" spans="1:7" x14ac:dyDescent="0.2">
      <c r="A4" s="1021" t="s">
        <v>292</v>
      </c>
      <c r="B4" s="1022" t="s">
        <v>128</v>
      </c>
      <c r="D4" s="84"/>
    </row>
    <row r="5" spans="1:7" ht="13.5" thickBot="1" x14ac:dyDescent="0.25">
      <c r="A5" s="1032">
        <v>0.32982</v>
      </c>
      <c r="B5" s="467">
        <f>VLOOKUP(A7,'JGI Thread Wire Sizes-Constants'!A3:B20,2,FALSE)</f>
        <v>3.2079999999999997E-2</v>
      </c>
      <c r="D5" s="60"/>
    </row>
    <row r="6" spans="1:7" x14ac:dyDescent="0.2">
      <c r="A6" s="1021" t="s">
        <v>71</v>
      </c>
      <c r="B6" s="1022" t="s">
        <v>428</v>
      </c>
      <c r="C6" s="60"/>
      <c r="D6" s="60"/>
    </row>
    <row r="7" spans="1:7" ht="13.5" thickBot="1" x14ac:dyDescent="0.25">
      <c r="A7" s="1032">
        <v>18</v>
      </c>
      <c r="B7" s="1033">
        <f>VLOOKUP(A7,'JGI Thread Wire Sizes-Constants'!A3:C20,3,FALSE)</f>
        <v>4.8129999999999999E-2</v>
      </c>
      <c r="C7" s="60"/>
      <c r="D7" s="60"/>
    </row>
    <row r="8" spans="1:7" x14ac:dyDescent="0.2">
      <c r="A8" s="1034" t="s">
        <v>382</v>
      </c>
      <c r="B8" s="1035" t="s">
        <v>288</v>
      </c>
      <c r="C8" s="60"/>
      <c r="D8" s="60"/>
    </row>
    <row r="9" spans="1:7" ht="13.5" thickBot="1" x14ac:dyDescent="0.25">
      <c r="A9" s="1036">
        <v>0.3125</v>
      </c>
      <c r="B9" s="1037">
        <f>A5-B7</f>
        <v>0.28169</v>
      </c>
      <c r="C9" s="60"/>
      <c r="D9" s="60"/>
    </row>
    <row r="10" spans="1:7" x14ac:dyDescent="0.2">
      <c r="A10" s="1034" t="s">
        <v>384</v>
      </c>
      <c r="B10" s="1022" t="s">
        <v>385</v>
      </c>
      <c r="C10" s="60"/>
      <c r="D10" s="60"/>
    </row>
    <row r="11" spans="1:7" ht="13.5" thickBot="1" x14ac:dyDescent="0.25">
      <c r="A11" s="1036">
        <v>4</v>
      </c>
      <c r="B11" s="1038">
        <f>0.75*(B5)*((A11/A7)/(PI()*B9))^2</f>
        <v>1.5171481451711057E-3</v>
      </c>
    </row>
    <row r="12" spans="1:7" x14ac:dyDescent="0.2">
      <c r="A12" s="88" t="s">
        <v>429</v>
      </c>
      <c r="B12" s="293"/>
    </row>
    <row r="13" spans="1:7" ht="13.5" thickBot="1" x14ac:dyDescent="0.25">
      <c r="A13" s="301">
        <f>B9-B11</f>
        <v>0.28017285185482887</v>
      </c>
      <c r="B13" s="293"/>
      <c r="C13">
        <f>A13*25.4</f>
        <v>7.1163904371126527</v>
      </c>
      <c r="D13" s="84"/>
    </row>
    <row r="14" spans="1:7" ht="13.5" thickBot="1" x14ac:dyDescent="0.25">
      <c r="A14" s="1002" t="s">
        <v>421</v>
      </c>
      <c r="B14" s="296"/>
      <c r="C14" s="84"/>
      <c r="D14" s="84"/>
      <c r="E14" s="84"/>
      <c r="F14" s="84"/>
      <c r="G14" s="84"/>
    </row>
    <row r="15" spans="1:7" ht="13.5" thickBot="1" x14ac:dyDescent="0.25"/>
    <row r="16" spans="1:7" ht="13.5" thickBot="1" x14ac:dyDescent="0.25">
      <c r="A16" s="1166" t="s">
        <v>430</v>
      </c>
      <c r="B16" s="1167"/>
      <c r="C16" s="1168"/>
    </row>
    <row r="17" spans="1:4" x14ac:dyDescent="0.2">
      <c r="A17" s="1020" t="s">
        <v>392</v>
      </c>
      <c r="B17" s="6" t="s">
        <v>70</v>
      </c>
      <c r="C17" s="1022" t="s">
        <v>71</v>
      </c>
    </row>
    <row r="18" spans="1:4" ht="13.5" thickBot="1" x14ac:dyDescent="0.25">
      <c r="A18" s="292" t="s">
        <v>393</v>
      </c>
      <c r="B18" s="7">
        <v>5.5599999999999997E-2</v>
      </c>
      <c r="C18" s="12">
        <f>1/B18</f>
        <v>17.985611510791369</v>
      </c>
    </row>
    <row r="19" spans="1:4" ht="13.5" thickBot="1" x14ac:dyDescent="0.25">
      <c r="A19" s="108"/>
      <c r="C19" s="168"/>
    </row>
    <row r="20" spans="1:4" ht="13.5" thickBot="1" x14ac:dyDescent="0.25">
      <c r="A20" s="1166" t="s">
        <v>394</v>
      </c>
      <c r="B20" s="1167"/>
      <c r="C20" s="1167"/>
      <c r="D20" s="1168"/>
    </row>
    <row r="21" spans="1:4" x14ac:dyDescent="0.2">
      <c r="A21" s="11" t="s">
        <v>395</v>
      </c>
      <c r="B21" s="6" t="s">
        <v>71</v>
      </c>
      <c r="C21" s="1023" t="s">
        <v>70</v>
      </c>
      <c r="D21" s="1022" t="s">
        <v>396</v>
      </c>
    </row>
    <row r="22" spans="1:4" ht="13.5" thickBot="1" x14ac:dyDescent="0.25">
      <c r="A22" s="13" t="s">
        <v>397</v>
      </c>
      <c r="B22" s="7">
        <v>18</v>
      </c>
      <c r="C22" s="14">
        <f>1/B22</f>
        <v>5.5555555555555552E-2</v>
      </c>
      <c r="D22" s="15">
        <f>0.51645*C22</f>
        <v>2.8691666666666664E-2</v>
      </c>
    </row>
    <row r="23" spans="1:4" ht="13.5" thickBot="1" x14ac:dyDescent="0.25"/>
    <row r="24" spans="1:4" ht="13.5" thickBot="1" x14ac:dyDescent="0.25">
      <c r="A24" s="16" t="s">
        <v>431</v>
      </c>
      <c r="B24" s="17"/>
    </row>
    <row r="25" spans="1:4" x14ac:dyDescent="0.2">
      <c r="A25" s="18" t="s">
        <v>399</v>
      </c>
      <c r="B25" s="19" t="s">
        <v>400</v>
      </c>
    </row>
    <row r="26" spans="1:4" x14ac:dyDescent="0.2">
      <c r="A26" s="20" t="s">
        <v>401</v>
      </c>
      <c r="B26" s="21" t="s">
        <v>402</v>
      </c>
    </row>
    <row r="27" spans="1:4" x14ac:dyDescent="0.2">
      <c r="A27" s="20"/>
      <c r="B27" s="21"/>
    </row>
    <row r="28" spans="1:4" x14ac:dyDescent="0.2">
      <c r="A28" s="20" t="s">
        <v>422</v>
      </c>
      <c r="B28" s="21" t="s">
        <v>423</v>
      </c>
    </row>
    <row r="29" spans="1:4" x14ac:dyDescent="0.2">
      <c r="A29" s="20" t="s">
        <v>405</v>
      </c>
      <c r="B29" s="21" t="s">
        <v>406</v>
      </c>
    </row>
    <row r="30" spans="1:4" x14ac:dyDescent="0.2">
      <c r="A30" s="20" t="s">
        <v>407</v>
      </c>
      <c r="B30" s="21" t="s">
        <v>408</v>
      </c>
    </row>
    <row r="31" spans="1:4" ht="13.5" thickBot="1" x14ac:dyDescent="0.25">
      <c r="A31" s="22" t="s">
        <v>409</v>
      </c>
      <c r="B31" s="21" t="s">
        <v>410</v>
      </c>
    </row>
    <row r="32" spans="1:4" ht="13.5" thickBot="1" x14ac:dyDescent="0.25">
      <c r="A32" s="295"/>
      <c r="B32" s="23" t="s">
        <v>411</v>
      </c>
    </row>
  </sheetData>
  <sheetProtection password="CC48" sheet="1" objects="1" scenarios="1" selectLockedCells="1"/>
  <mergeCells count="2">
    <mergeCell ref="A16:C16"/>
    <mergeCell ref="A20:D20"/>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51" r:id="rId4" name="Button 3">
              <controlPr defaultSize="0" print="0" autoFill="0" autoPict="0" macro="[0]!ReturnToMain">
                <anchor moveWithCells="1" sizeWithCells="1">
                  <from>
                    <xdr:col>0</xdr:col>
                    <xdr:colOff>19050</xdr:colOff>
                    <xdr:row>0</xdr:row>
                    <xdr:rowOff>19050</xdr:rowOff>
                  </from>
                  <to>
                    <xdr:col>0</xdr:col>
                    <xdr:colOff>790575</xdr:colOff>
                    <xdr:row>0</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indexed="63"/>
  </sheetPr>
  <dimension ref="A1:S31"/>
  <sheetViews>
    <sheetView workbookViewId="0"/>
  </sheetViews>
  <sheetFormatPr defaultRowHeight="12.75" x14ac:dyDescent="0.2"/>
  <cols>
    <col min="1" max="1" width="4.28515625" customWidth="1"/>
    <col min="2" max="2" width="13.42578125" bestFit="1" customWidth="1"/>
    <col min="3" max="3" width="14.85546875" bestFit="1" customWidth="1"/>
    <col min="4" max="4" width="14.85546875" customWidth="1"/>
    <col min="5" max="5" width="9.140625" customWidth="1"/>
    <col min="6" max="6" width="11" bestFit="1" customWidth="1"/>
    <col min="7" max="7" width="13.42578125" bestFit="1" customWidth="1"/>
    <col min="9" max="9" width="11.28515625" bestFit="1" customWidth="1"/>
    <col min="10" max="10" width="15.7109375" bestFit="1" customWidth="1"/>
    <col min="11" max="11" width="17.7109375" bestFit="1" customWidth="1"/>
  </cols>
  <sheetData>
    <row r="1" spans="1:19" ht="25.5" customHeight="1" thickBot="1" x14ac:dyDescent="0.25"/>
    <row r="2" spans="1:19" ht="13.5" thickBot="1" x14ac:dyDescent="0.25">
      <c r="A2" s="364" t="s">
        <v>71</v>
      </c>
      <c r="B2" s="364" t="s">
        <v>432</v>
      </c>
      <c r="C2" s="365" t="s">
        <v>433</v>
      </c>
      <c r="D2" s="782" t="s">
        <v>434</v>
      </c>
      <c r="F2" s="364" t="s">
        <v>435</v>
      </c>
      <c r="G2" s="364" t="s">
        <v>432</v>
      </c>
      <c r="I2" s="880" t="s">
        <v>436</v>
      </c>
      <c r="J2" s="881" t="s">
        <v>433</v>
      </c>
      <c r="K2" s="882" t="s">
        <v>437</v>
      </c>
    </row>
    <row r="3" spans="1:19" ht="15.75" x14ac:dyDescent="0.25">
      <c r="A3" s="5">
        <v>4.5</v>
      </c>
      <c r="B3" s="5">
        <v>0.1283</v>
      </c>
      <c r="C3" s="286">
        <v>0.19245000000000001</v>
      </c>
      <c r="D3" s="128">
        <f>3*B3-(0.86464/A3)</f>
        <v>0.19275777777777781</v>
      </c>
      <c r="F3" s="5">
        <v>4</v>
      </c>
      <c r="G3" s="5">
        <v>0.12912999999999999</v>
      </c>
      <c r="I3" s="170">
        <v>0.4</v>
      </c>
      <c r="J3" s="171">
        <v>0.34610000000000002</v>
      </c>
      <c r="K3" s="883">
        <v>0.23080000000000001</v>
      </c>
      <c r="Q3" s="112" t="s">
        <v>71</v>
      </c>
      <c r="R3" s="112" t="s">
        <v>128</v>
      </c>
      <c r="S3" s="112" t="s">
        <v>124</v>
      </c>
    </row>
    <row r="4" spans="1:19" x14ac:dyDescent="0.2">
      <c r="A4" s="5">
        <v>5</v>
      </c>
      <c r="B4" s="5">
        <v>0.11547</v>
      </c>
      <c r="C4" s="286">
        <v>0.17321</v>
      </c>
      <c r="D4" s="128">
        <f t="shared" ref="D4:D31" si="0">3*B4-(0.86464/A4)</f>
        <v>0.173482</v>
      </c>
      <c r="F4" s="5">
        <v>5</v>
      </c>
      <c r="G4" s="5">
        <v>0.10331</v>
      </c>
      <c r="I4" s="463">
        <v>0.45</v>
      </c>
      <c r="J4" s="454">
        <v>0.3866</v>
      </c>
      <c r="K4" s="464">
        <v>0.25940000000000002</v>
      </c>
      <c r="Q4" s="454">
        <v>0.35</v>
      </c>
      <c r="R4" s="454">
        <v>72</v>
      </c>
      <c r="S4" s="454">
        <v>1.2030000000000001E-2</v>
      </c>
    </row>
    <row r="5" spans="1:19" x14ac:dyDescent="0.2">
      <c r="A5" s="5">
        <v>6</v>
      </c>
      <c r="B5" s="5">
        <v>9.6240000000000006E-2</v>
      </c>
      <c r="C5" s="286">
        <v>0.14438000000000001</v>
      </c>
      <c r="D5" s="128">
        <f t="shared" si="0"/>
        <v>0.14461333333333337</v>
      </c>
      <c r="F5" s="5">
        <v>6</v>
      </c>
      <c r="G5" s="5">
        <v>8.6059999999999998E-2</v>
      </c>
      <c r="I5" s="463">
        <v>0.5</v>
      </c>
      <c r="J5" s="454">
        <v>0.43190000000000001</v>
      </c>
      <c r="K5" s="464">
        <v>0.2883</v>
      </c>
      <c r="Q5" s="5">
        <v>0.4</v>
      </c>
      <c r="R5" s="5">
        <v>64</v>
      </c>
      <c r="S5" s="5">
        <v>1.342E-2</v>
      </c>
    </row>
    <row r="6" spans="1:19" x14ac:dyDescent="0.2">
      <c r="A6" s="5">
        <v>7</v>
      </c>
      <c r="B6" s="5">
        <v>8.2489999999999994E-2</v>
      </c>
      <c r="C6" s="286">
        <v>0.12376</v>
      </c>
      <c r="D6" s="128">
        <f t="shared" si="0"/>
        <v>0.12394999999999998</v>
      </c>
      <c r="F6" s="5">
        <v>7</v>
      </c>
      <c r="G6" s="5">
        <v>7.3800000000000004E-2</v>
      </c>
      <c r="I6" s="463">
        <v>0.7</v>
      </c>
      <c r="J6" s="454">
        <v>0.60770000000000002</v>
      </c>
      <c r="K6" s="464">
        <v>0.40460000000000002</v>
      </c>
      <c r="Q6" s="5">
        <v>0.45</v>
      </c>
      <c r="R6" s="5">
        <v>56</v>
      </c>
      <c r="S6" s="5">
        <v>1.558E-2</v>
      </c>
    </row>
    <row r="7" spans="1:19" x14ac:dyDescent="0.2">
      <c r="A7" s="5">
        <v>8</v>
      </c>
      <c r="B7" s="5">
        <v>7.2150000000000006E-2</v>
      </c>
      <c r="C7" s="286">
        <v>0.1082</v>
      </c>
      <c r="D7" s="128">
        <f t="shared" si="0"/>
        <v>0.10837000000000004</v>
      </c>
      <c r="F7" s="5">
        <v>8</v>
      </c>
      <c r="G7" s="5">
        <v>6.4579999999999999E-2</v>
      </c>
      <c r="I7" s="463">
        <v>0.75</v>
      </c>
      <c r="J7" s="454">
        <v>0.64800000000000002</v>
      </c>
      <c r="K7" s="464">
        <v>0.64959999999999996</v>
      </c>
      <c r="Q7" s="5">
        <v>0.5</v>
      </c>
      <c r="R7" s="5">
        <v>50</v>
      </c>
      <c r="S7" s="5">
        <v>1.7059999999999999E-2</v>
      </c>
    </row>
    <row r="8" spans="1:19" x14ac:dyDescent="0.2">
      <c r="A8" s="5">
        <v>9</v>
      </c>
      <c r="B8" s="5">
        <v>6.4159999999999995E-2</v>
      </c>
      <c r="C8" s="286">
        <v>9.6259999999999998E-2</v>
      </c>
      <c r="D8" s="128">
        <f t="shared" si="0"/>
        <v>9.6408888888888877E-2</v>
      </c>
      <c r="F8" s="5">
        <v>10</v>
      </c>
      <c r="G8" s="5">
        <v>5.1650000000000001E-2</v>
      </c>
      <c r="I8" s="463">
        <v>0.8</v>
      </c>
      <c r="J8" s="454">
        <v>0.69440000000000002</v>
      </c>
      <c r="K8" s="464">
        <v>0.46239999999999998</v>
      </c>
      <c r="Q8" s="5">
        <v>0.7</v>
      </c>
      <c r="R8" s="5">
        <v>36</v>
      </c>
      <c r="S8" s="5">
        <v>2.4209999999999999E-2</v>
      </c>
    </row>
    <row r="9" spans="1:19" x14ac:dyDescent="0.2">
      <c r="A9" s="5">
        <v>10</v>
      </c>
      <c r="B9" s="5">
        <v>5.774E-2</v>
      </c>
      <c r="C9" s="286">
        <v>8.6620000000000003E-2</v>
      </c>
      <c r="D9" s="128">
        <f t="shared" si="0"/>
        <v>8.6755999999999986E-2</v>
      </c>
      <c r="F9" s="5">
        <v>12</v>
      </c>
      <c r="G9" s="5">
        <v>4.3060000000000001E-2</v>
      </c>
      <c r="I9" s="463">
        <v>1</v>
      </c>
      <c r="J9" s="454">
        <v>0.86650000000000005</v>
      </c>
      <c r="K9" s="464">
        <v>0.57750000000000001</v>
      </c>
      <c r="Q9" s="5">
        <v>0.75</v>
      </c>
      <c r="R9" s="5">
        <v>32</v>
      </c>
      <c r="S9" s="5">
        <v>2.8510000000000001E-2</v>
      </c>
    </row>
    <row r="10" spans="1:19" x14ac:dyDescent="0.2">
      <c r="A10" s="5">
        <v>11</v>
      </c>
      <c r="B10" s="5">
        <v>5.2499999999999998E-2</v>
      </c>
      <c r="C10" s="286">
        <v>7.8770000000000007E-2</v>
      </c>
      <c r="D10" s="128">
        <f t="shared" si="0"/>
        <v>7.8896363636363639E-2</v>
      </c>
      <c r="F10" s="5">
        <v>14</v>
      </c>
      <c r="G10" s="5">
        <v>3.6900000000000002E-2</v>
      </c>
      <c r="I10" s="463">
        <v>1.25</v>
      </c>
      <c r="J10" s="454">
        <v>1.0814999999999999</v>
      </c>
      <c r="K10" s="464">
        <v>0.72130000000000005</v>
      </c>
      <c r="Q10" s="5">
        <v>0.8</v>
      </c>
      <c r="R10" s="5">
        <v>32</v>
      </c>
      <c r="S10" s="5">
        <v>2.6800000000000001E-2</v>
      </c>
    </row>
    <row r="11" spans="1:19" x14ac:dyDescent="0.2">
      <c r="A11" s="973">
        <v>11.5</v>
      </c>
      <c r="B11" s="5">
        <v>5.0209999999999998E-2</v>
      </c>
      <c r="C11" s="286">
        <v>7.5319999999999998E-2</v>
      </c>
      <c r="D11" s="128">
        <f t="shared" si="0"/>
        <v>7.544391304347825E-2</v>
      </c>
      <c r="F11" s="5">
        <v>16</v>
      </c>
      <c r="G11" s="5">
        <v>3.2300000000000002E-2</v>
      </c>
      <c r="I11" s="78">
        <v>1.5</v>
      </c>
      <c r="J11" s="5">
        <v>1.3004</v>
      </c>
      <c r="K11" s="79">
        <v>0.86650000000000005</v>
      </c>
      <c r="Q11" s="5">
        <v>1</v>
      </c>
      <c r="R11" s="5">
        <v>24</v>
      </c>
      <c r="S11" s="5">
        <v>3.8039999999999997E-2</v>
      </c>
    </row>
    <row r="12" spans="1:19" x14ac:dyDescent="0.2">
      <c r="A12" s="5">
        <v>12</v>
      </c>
      <c r="B12" s="5">
        <v>4.8099999999999997E-2</v>
      </c>
      <c r="C12" s="286">
        <v>7.213E-2</v>
      </c>
      <c r="D12" s="128">
        <f t="shared" si="0"/>
        <v>7.2246666666666653E-2</v>
      </c>
      <c r="I12" s="78">
        <v>1.75</v>
      </c>
      <c r="J12" s="5">
        <v>1.5144</v>
      </c>
      <c r="K12" s="79">
        <v>1.01</v>
      </c>
      <c r="Q12" s="5">
        <v>1.25</v>
      </c>
      <c r="R12" s="5">
        <v>20</v>
      </c>
      <c r="S12" s="5">
        <v>4.394E-2</v>
      </c>
    </row>
    <row r="13" spans="1:19" ht="13.5" thickBot="1" x14ac:dyDescent="0.25">
      <c r="A13" s="5">
        <v>13</v>
      </c>
      <c r="B13" s="5">
        <v>4.4400000000000002E-2</v>
      </c>
      <c r="C13" s="286">
        <v>6.658E-2</v>
      </c>
      <c r="D13" s="128">
        <f t="shared" si="0"/>
        <v>6.6689230769230778E-2</v>
      </c>
      <c r="I13" s="80">
        <v>2</v>
      </c>
      <c r="J13" s="9">
        <v>1.7330000000000001</v>
      </c>
      <c r="K13" s="81">
        <v>1.1551</v>
      </c>
      <c r="Q13" s="5">
        <v>1.5</v>
      </c>
      <c r="R13" s="5">
        <v>16</v>
      </c>
      <c r="S13" s="5">
        <v>5.7009999999999998E-2</v>
      </c>
    </row>
    <row r="14" spans="1:19" x14ac:dyDescent="0.2">
      <c r="A14" s="5">
        <v>14</v>
      </c>
      <c r="B14" s="5">
        <v>4.122E-2</v>
      </c>
      <c r="C14" s="286">
        <v>6.1800000000000001E-2</v>
      </c>
      <c r="D14" s="128">
        <f t="shared" si="0"/>
        <v>6.1899999999999997E-2</v>
      </c>
      <c r="I14" s="684"/>
      <c r="Q14" s="5">
        <v>1.75</v>
      </c>
      <c r="R14" s="5">
        <v>14</v>
      </c>
      <c r="S14" s="5">
        <v>6.3969999999999999E-2</v>
      </c>
    </row>
    <row r="15" spans="1:19" x14ac:dyDescent="0.2">
      <c r="A15" s="5">
        <v>16</v>
      </c>
      <c r="B15" s="5">
        <v>3.6060000000000002E-2</v>
      </c>
      <c r="C15" s="286">
        <v>5.4050000000000001E-2</v>
      </c>
      <c r="D15" s="128">
        <f t="shared" si="0"/>
        <v>5.4140000000000001E-2</v>
      </c>
      <c r="I15" s="684"/>
      <c r="Q15" s="5">
        <v>2</v>
      </c>
      <c r="R15" s="5">
        <v>12</v>
      </c>
      <c r="S15" s="5">
        <v>7.6079999999999995E-2</v>
      </c>
    </row>
    <row r="16" spans="1:19" x14ac:dyDescent="0.2">
      <c r="A16" s="5">
        <v>18</v>
      </c>
      <c r="B16" s="5">
        <v>3.2079999999999997E-2</v>
      </c>
      <c r="C16" s="286">
        <v>4.8129999999999999E-2</v>
      </c>
      <c r="D16" s="128">
        <f t="shared" si="0"/>
        <v>4.8204444444444439E-2</v>
      </c>
      <c r="I16" s="684"/>
      <c r="J16" s="896"/>
      <c r="Q16" s="5">
        <v>2.5</v>
      </c>
      <c r="R16" s="5">
        <v>10</v>
      </c>
      <c r="S16" s="5">
        <v>8.7940000000000004E-2</v>
      </c>
    </row>
    <row r="17" spans="1:19" x14ac:dyDescent="0.2">
      <c r="A17" s="5">
        <v>20</v>
      </c>
      <c r="B17" s="5">
        <v>2.8879999999999999E-2</v>
      </c>
      <c r="C17" s="286">
        <v>4.3339999999999997E-2</v>
      </c>
      <c r="D17" s="128">
        <f t="shared" si="0"/>
        <v>4.3407999999999995E-2</v>
      </c>
      <c r="Q17" s="5">
        <v>3</v>
      </c>
      <c r="R17" s="5">
        <v>8</v>
      </c>
      <c r="S17" s="5">
        <v>0.11415</v>
      </c>
    </row>
    <row r="18" spans="1:19" x14ac:dyDescent="0.2">
      <c r="A18" s="5">
        <v>24</v>
      </c>
      <c r="B18" s="5">
        <v>2.4049999999999998E-2</v>
      </c>
      <c r="C18" s="286">
        <v>3.61E-2</v>
      </c>
      <c r="D18" s="128">
        <f t="shared" si="0"/>
        <v>3.6123333333333327E-2</v>
      </c>
      <c r="Q18" s="24">
        <v>3.5</v>
      </c>
      <c r="R18" s="24">
        <v>7</v>
      </c>
      <c r="S18" s="24">
        <v>0.12376</v>
      </c>
    </row>
    <row r="19" spans="1:19" x14ac:dyDescent="0.2">
      <c r="A19" s="5">
        <v>27</v>
      </c>
      <c r="B19" s="5">
        <v>2.138E-2</v>
      </c>
      <c r="C19" s="286">
        <v>3.2059999999999998E-2</v>
      </c>
      <c r="D19" s="128">
        <f t="shared" si="0"/>
        <v>3.2116296296296303E-2</v>
      </c>
    </row>
    <row r="20" spans="1:19" x14ac:dyDescent="0.2">
      <c r="A20" s="5">
        <v>28</v>
      </c>
      <c r="B20" s="5">
        <v>2.0639999999999999E-2</v>
      </c>
      <c r="C20" s="286">
        <v>3.0960000000000001E-2</v>
      </c>
      <c r="D20" s="128">
        <f t="shared" si="0"/>
        <v>3.1039999999999998E-2</v>
      </c>
    </row>
    <row r="21" spans="1:19" x14ac:dyDescent="0.2">
      <c r="A21" s="5">
        <v>32</v>
      </c>
      <c r="B21" s="5">
        <v>1.804E-2</v>
      </c>
      <c r="C21" s="286">
        <v>2.7029999999999998E-2</v>
      </c>
      <c r="D21" s="128">
        <f t="shared" si="0"/>
        <v>2.7100000000000003E-2</v>
      </c>
    </row>
    <row r="22" spans="1:19" x14ac:dyDescent="0.2">
      <c r="A22" s="5">
        <v>36</v>
      </c>
      <c r="B22" s="5">
        <v>1.6029999999999999E-2</v>
      </c>
      <c r="C22" s="286">
        <v>2.4029999999999999E-2</v>
      </c>
      <c r="D22" s="128">
        <f t="shared" si="0"/>
        <v>2.4072222222222217E-2</v>
      </c>
    </row>
    <row r="23" spans="1:19" x14ac:dyDescent="0.2">
      <c r="A23" s="5">
        <v>40</v>
      </c>
      <c r="B23" s="5">
        <v>1.4449999999999999E-2</v>
      </c>
      <c r="C23" s="286">
        <v>2.1700000000000001E-2</v>
      </c>
      <c r="D23" s="128">
        <f t="shared" si="0"/>
        <v>2.1734E-2</v>
      </c>
    </row>
    <row r="24" spans="1:19" x14ac:dyDescent="0.2">
      <c r="A24" s="5">
        <v>44</v>
      </c>
      <c r="B24" s="5">
        <v>1.3129999999999999E-2</v>
      </c>
      <c r="C24" s="286">
        <v>1.9709999999999998E-2</v>
      </c>
      <c r="D24" s="128">
        <f t="shared" si="0"/>
        <v>1.9739090909090904E-2</v>
      </c>
    </row>
    <row r="25" spans="1:19" x14ac:dyDescent="0.2">
      <c r="A25" s="5">
        <v>48</v>
      </c>
      <c r="B25" s="5">
        <v>1.2030000000000001E-2</v>
      </c>
      <c r="C25" s="286">
        <v>1.805E-2</v>
      </c>
      <c r="D25" s="128">
        <f t="shared" si="0"/>
        <v>1.8076666666666671E-2</v>
      </c>
    </row>
    <row r="26" spans="1:19" x14ac:dyDescent="0.2">
      <c r="A26" s="5">
        <v>50</v>
      </c>
      <c r="B26" s="5">
        <v>1.154E-2</v>
      </c>
      <c r="C26" s="286">
        <v>1.7299999999999999E-2</v>
      </c>
      <c r="D26" s="128">
        <f t="shared" si="0"/>
        <v>1.7327199999999997E-2</v>
      </c>
    </row>
    <row r="27" spans="1:19" x14ac:dyDescent="0.2">
      <c r="A27" s="5">
        <v>56</v>
      </c>
      <c r="B27" s="5">
        <v>1.0330000000000001E-2</v>
      </c>
      <c r="C27" s="286">
        <v>1.55E-2</v>
      </c>
      <c r="D27" s="128">
        <f t="shared" si="0"/>
        <v>1.5550000000000005E-2</v>
      </c>
    </row>
    <row r="28" spans="1:19" x14ac:dyDescent="0.2">
      <c r="A28" s="5">
        <v>64</v>
      </c>
      <c r="B28" s="5">
        <v>9.0299999999999998E-3</v>
      </c>
      <c r="C28" s="286">
        <v>1.3559999999999999E-2</v>
      </c>
      <c r="D28" s="128">
        <f t="shared" si="0"/>
        <v>1.358E-2</v>
      </c>
    </row>
    <row r="29" spans="1:19" x14ac:dyDescent="0.2">
      <c r="A29" s="5">
        <v>72</v>
      </c>
      <c r="B29" s="5">
        <v>8.0099999999999998E-3</v>
      </c>
      <c r="C29" s="286">
        <v>1.2E-2</v>
      </c>
      <c r="D29" s="128">
        <f t="shared" si="0"/>
        <v>1.2021111111111111E-2</v>
      </c>
    </row>
    <row r="30" spans="1:19" x14ac:dyDescent="0.2">
      <c r="A30" s="5">
        <v>80</v>
      </c>
      <c r="B30" s="5">
        <v>7.2300000000000003E-3</v>
      </c>
      <c r="C30" s="286">
        <v>1.086E-2</v>
      </c>
      <c r="D30" s="128">
        <f t="shared" si="0"/>
        <v>1.0882000000000001E-2</v>
      </c>
    </row>
    <row r="31" spans="1:19" x14ac:dyDescent="0.2">
      <c r="A31" s="24">
        <v>96</v>
      </c>
      <c r="B31" s="24">
        <v>6.0200000000000002E-3</v>
      </c>
      <c r="C31" s="974">
        <v>9.0399999999999994E-3</v>
      </c>
      <c r="D31" s="128">
        <f t="shared" si="0"/>
        <v>9.0533333333333334E-3</v>
      </c>
    </row>
  </sheetData>
  <sheetProtection password="CC48" sheet="1" selectLockedCells="1"/>
  <phoneticPr fontId="13" type="noConversion"/>
  <conditionalFormatting sqref="Q3:S4">
    <cfRule type="expression" dxfId="96" priority="2" stopIfTrue="1">
      <formula>AND(MOD(ROW(),2),COUNTA($B4:S16))</formula>
    </cfRule>
  </conditionalFormatting>
  <conditionalFormatting sqref="Q5:S6">
    <cfRule type="expression" dxfId="95" priority="3" stopIfTrue="1">
      <formula>AND(MOD(ROW(),2),COUNTA($B5:S17))</formula>
    </cfRule>
  </conditionalFormatting>
  <conditionalFormatting sqref="Q7:S14 Q17:S18">
    <cfRule type="expression" dxfId="94" priority="4" stopIfTrue="1">
      <formula>AND(MOD(ROW(),2),COUNTA($B7:S18))</formula>
    </cfRule>
  </conditionalFormatting>
  <conditionalFormatting sqref="Q15:S16">
    <cfRule type="expression" dxfId="93" priority="5" stopIfTrue="1">
      <formula>AND(MOD(ROW(),2),COUNTA($B15:S25))</formula>
    </cfRule>
  </conditionalFormatting>
  <conditionalFormatting sqref="J16">
    <cfRule type="expression" dxfId="92" priority="64" stopIfTrue="1">
      <formula>AND(MOD(ROW(),2),COUNTA($B17:M28))</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9" r:id="rId4" name="Button 3">
              <controlPr defaultSize="0" print="0" autoFill="0" autoPict="0" macro="[0]!ReturnToMain">
                <anchor moveWithCells="1" sizeWithCells="1">
                  <from>
                    <xdr:col>0</xdr:col>
                    <xdr:colOff>19050</xdr:colOff>
                    <xdr:row>0</xdr:row>
                    <xdr:rowOff>19050</xdr:rowOff>
                  </from>
                  <to>
                    <xdr:col>2</xdr:col>
                    <xdr:colOff>190500</xdr:colOff>
                    <xdr:row>0</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
    <tabColor indexed="56"/>
  </sheetPr>
  <dimension ref="A1:H23"/>
  <sheetViews>
    <sheetView workbookViewId="0">
      <selection activeCell="F9" sqref="F9"/>
    </sheetView>
  </sheetViews>
  <sheetFormatPr defaultRowHeight="12.75" x14ac:dyDescent="0.2"/>
  <cols>
    <col min="1" max="1" width="21.28515625" customWidth="1"/>
  </cols>
  <sheetData>
    <row r="1" spans="1:8" ht="25.5" customHeight="1" x14ac:dyDescent="0.2"/>
    <row r="2" spans="1:8" ht="15.75" x14ac:dyDescent="0.25">
      <c r="A2" s="548" t="s">
        <v>438</v>
      </c>
      <c r="B2" s="134"/>
      <c r="C2" s="134"/>
      <c r="D2" s="134"/>
      <c r="E2" s="134"/>
      <c r="F2" s="134"/>
      <c r="G2" s="134"/>
      <c r="H2" s="134"/>
    </row>
    <row r="3" spans="1:8" x14ac:dyDescent="0.2">
      <c r="A3" s="1" t="s">
        <v>439</v>
      </c>
      <c r="B3" s="2">
        <v>24</v>
      </c>
      <c r="C3" s="5" t="s">
        <v>440</v>
      </c>
      <c r="D3" s="5"/>
    </row>
    <row r="4" spans="1:8" x14ac:dyDescent="0.2">
      <c r="A4" s="1" t="s">
        <v>441</v>
      </c>
      <c r="B4" s="2">
        <v>0.39748</v>
      </c>
      <c r="C4" s="5" t="s">
        <v>440</v>
      </c>
      <c r="D4" s="5"/>
    </row>
    <row r="5" spans="1:8" x14ac:dyDescent="0.2">
      <c r="A5" s="1" t="s">
        <v>442</v>
      </c>
      <c r="B5" s="2">
        <v>26</v>
      </c>
      <c r="C5" s="5" t="s">
        <v>440</v>
      </c>
      <c r="D5" s="5"/>
    </row>
    <row r="6" spans="1:8" x14ac:dyDescent="0.2">
      <c r="A6" s="47"/>
      <c r="B6" s="47"/>
      <c r="C6" s="47"/>
      <c r="D6" s="47"/>
    </row>
    <row r="7" spans="1:8" x14ac:dyDescent="0.2">
      <c r="A7" s="66" t="s">
        <v>443</v>
      </c>
      <c r="B7" s="5">
        <f>VLOOKUP(B3,'JGI Thread Wire Sizes-Constants'!A3:B30,2,FALSE)</f>
        <v>2.4049999999999998E-2</v>
      </c>
      <c r="C7" s="47"/>
      <c r="D7" s="47"/>
    </row>
    <row r="8" spans="1:8" x14ac:dyDescent="0.2">
      <c r="A8" s="334" t="s">
        <v>444</v>
      </c>
      <c r="B8" s="5">
        <f>B4+(0.86464/B5)-(3*B7)</f>
        <v>0.35858538461538464</v>
      </c>
      <c r="C8" s="3" t="s">
        <v>445</v>
      </c>
      <c r="D8" s="3"/>
      <c r="E8" s="986" t="s">
        <v>446</v>
      </c>
      <c r="F8" s="986" t="s">
        <v>447</v>
      </c>
    </row>
    <row r="10" spans="1:8" x14ac:dyDescent="0.2">
      <c r="A10" s="1169" t="s">
        <v>448</v>
      </c>
      <c r="B10" s="1169"/>
      <c r="C10" s="1169"/>
      <c r="D10" s="1169"/>
      <c r="E10" s="1169"/>
      <c r="F10" s="1169"/>
      <c r="G10" s="1169"/>
      <c r="H10" s="1169"/>
    </row>
    <row r="11" spans="1:8" ht="15.75" x14ac:dyDescent="0.25">
      <c r="A11" s="548" t="s">
        <v>438</v>
      </c>
      <c r="B11" s="134"/>
      <c r="C11" s="134"/>
      <c r="D11" s="134"/>
      <c r="E11" s="134"/>
    </row>
    <row r="12" spans="1:8" x14ac:dyDescent="0.2">
      <c r="A12" s="1" t="s">
        <v>439</v>
      </c>
      <c r="B12" s="2">
        <v>0.4</v>
      </c>
      <c r="C12" s="5" t="s">
        <v>440</v>
      </c>
      <c r="D12" s="5"/>
    </row>
    <row r="13" spans="1:8" x14ac:dyDescent="0.2">
      <c r="A13" s="1" t="s">
        <v>441</v>
      </c>
      <c r="B13" s="2">
        <v>0</v>
      </c>
      <c r="C13" s="5" t="s">
        <v>440</v>
      </c>
      <c r="D13" s="5"/>
      <c r="E13" s="656">
        <f>B13/25.4</f>
        <v>0</v>
      </c>
    </row>
    <row r="14" spans="1:8" x14ac:dyDescent="0.2">
      <c r="A14" s="1" t="s">
        <v>442</v>
      </c>
      <c r="B14" s="2">
        <v>0.35</v>
      </c>
      <c r="C14" s="5" t="s">
        <v>440</v>
      </c>
      <c r="D14" s="5"/>
    </row>
    <row r="15" spans="1:8" x14ac:dyDescent="0.2">
      <c r="A15" s="47"/>
      <c r="B15" s="47"/>
      <c r="C15" s="47"/>
      <c r="D15" s="47"/>
    </row>
    <row r="16" spans="1:8" x14ac:dyDescent="0.2">
      <c r="A16" s="66" t="s">
        <v>443</v>
      </c>
      <c r="B16" s="5" t="e">
        <f>VLOOKUP(B12,'JGI Thread Wire Sizes-Constants'!A12:B38,2,FALSE)</f>
        <v>#N/A</v>
      </c>
      <c r="C16" s="47"/>
      <c r="D16" s="47"/>
    </row>
    <row r="17" spans="1:5" x14ac:dyDescent="0.2">
      <c r="A17" s="334" t="s">
        <v>444</v>
      </c>
      <c r="B17" s="5" t="e">
        <f>E17*25.4</f>
        <v>#N/A</v>
      </c>
      <c r="C17" s="3" t="s">
        <v>445</v>
      </c>
      <c r="D17" s="3"/>
      <c r="E17" s="656" t="e">
        <f>E13+(0.86603/B14)-(3*B16)</f>
        <v>#N/A</v>
      </c>
    </row>
    <row r="19" spans="1:5" x14ac:dyDescent="0.2">
      <c r="A19" t="s">
        <v>449</v>
      </c>
    </row>
    <row r="20" spans="1:5" x14ac:dyDescent="0.2">
      <c r="A20" s="442" t="s">
        <v>450</v>
      </c>
    </row>
    <row r="22" spans="1:5" x14ac:dyDescent="0.2">
      <c r="A22" t="s">
        <v>377</v>
      </c>
    </row>
    <row r="23" spans="1:5" x14ac:dyDescent="0.2">
      <c r="A23" t="s">
        <v>378</v>
      </c>
    </row>
  </sheetData>
  <sheetProtection selectLockedCells="1"/>
  <mergeCells count="1">
    <mergeCell ref="A10:H10"/>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4819" r:id="rId4" name="Button 3">
              <controlPr defaultSize="0" print="0" autoFill="0" autoPict="0" macro="[0]!ReturnToMain">
                <anchor moveWithCells="1" sizeWithCells="1">
                  <from>
                    <xdr:col>0</xdr:col>
                    <xdr:colOff>19050</xdr:colOff>
                    <xdr:row>0</xdr:row>
                    <xdr:rowOff>19050</xdr:rowOff>
                  </from>
                  <to>
                    <xdr:col>1</xdr:col>
                    <xdr:colOff>66675</xdr:colOff>
                    <xdr:row>0</xdr:row>
                    <xdr:rowOff>161925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7">
    <tabColor theme="3" tint="-0.249977111117893"/>
  </sheetPr>
  <dimension ref="A1:J45"/>
  <sheetViews>
    <sheetView workbookViewId="0">
      <selection activeCell="E39" sqref="E39"/>
    </sheetView>
  </sheetViews>
  <sheetFormatPr defaultRowHeight="12.75" x14ac:dyDescent="0.2"/>
  <cols>
    <col min="9" max="9" width="14.85546875" bestFit="1" customWidth="1"/>
    <col min="10" max="10" width="11.85546875" bestFit="1" customWidth="1"/>
  </cols>
  <sheetData>
    <row r="1" spans="1:10" ht="22.5" customHeight="1" x14ac:dyDescent="0.2"/>
    <row r="2" spans="1:10" ht="31.5" x14ac:dyDescent="0.5">
      <c r="A2" s="1170" t="s">
        <v>451</v>
      </c>
      <c r="B2" s="1170"/>
      <c r="C2" s="1170"/>
      <c r="D2" s="1170"/>
      <c r="E2" s="1170"/>
      <c r="F2" s="1170"/>
      <c r="G2" s="1170"/>
      <c r="H2" s="1170"/>
      <c r="I2" s="1170"/>
    </row>
    <row r="4" spans="1:10" x14ac:dyDescent="0.2">
      <c r="A4" t="s">
        <v>452</v>
      </c>
    </row>
    <row r="5" spans="1:10" ht="13.5" thickBot="1" x14ac:dyDescent="0.25"/>
    <row r="6" spans="1:10" x14ac:dyDescent="0.2">
      <c r="A6" t="s">
        <v>453</v>
      </c>
      <c r="J6" s="912" t="s">
        <v>454</v>
      </c>
    </row>
    <row r="7" spans="1:10" ht="13.5" thickBot="1" x14ac:dyDescent="0.25">
      <c r="J7" s="23"/>
    </row>
    <row r="16" spans="1:10" ht="13.5" thickBot="1" x14ac:dyDescent="0.25"/>
    <row r="17" spans="1:10" x14ac:dyDescent="0.2">
      <c r="A17" t="s">
        <v>455</v>
      </c>
      <c r="J17" s="912" t="s">
        <v>456</v>
      </c>
    </row>
    <row r="18" spans="1:10" ht="13.5" thickBot="1" x14ac:dyDescent="0.25">
      <c r="J18" s="23"/>
    </row>
    <row r="28" spans="1:10" x14ac:dyDescent="0.2">
      <c r="A28" t="s">
        <v>457</v>
      </c>
    </row>
    <row r="29" spans="1:10" ht="13.5" thickBot="1" x14ac:dyDescent="0.25"/>
    <row r="30" spans="1:10" x14ac:dyDescent="0.2">
      <c r="A30" t="s">
        <v>458</v>
      </c>
      <c r="J30" s="912" t="s">
        <v>459</v>
      </c>
    </row>
    <row r="31" spans="1:10" ht="13.5" thickBot="1" x14ac:dyDescent="0.25">
      <c r="J31" s="23"/>
    </row>
    <row r="41" spans="1:10" x14ac:dyDescent="0.2">
      <c r="A41" t="s">
        <v>460</v>
      </c>
    </row>
    <row r="42" spans="1:10" ht="13.5" thickBot="1" x14ac:dyDescent="0.25"/>
    <row r="43" spans="1:10" x14ac:dyDescent="0.2">
      <c r="I43" s="156" t="s">
        <v>461</v>
      </c>
      <c r="J43" s="149">
        <f>(J31+J18)-J7</f>
        <v>0</v>
      </c>
    </row>
    <row r="44" spans="1:10" x14ac:dyDescent="0.2">
      <c r="D44" t="s">
        <v>462</v>
      </c>
      <c r="I44" s="913" t="s">
        <v>433</v>
      </c>
      <c r="J44" s="79"/>
    </row>
    <row r="45" spans="1:10" ht="13.5" thickBot="1" x14ac:dyDescent="0.25">
      <c r="I45" s="914" t="s">
        <v>463</v>
      </c>
      <c r="J45" s="81">
        <f>J43-J44</f>
        <v>0</v>
      </c>
    </row>
  </sheetData>
  <sheetProtection password="CC48" sheet="1"/>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86" r:id="rId4" name="Button 18">
              <controlPr defaultSize="0" print="0" autoFill="0" autoPict="0" macro="[0]!ReturnToMain">
                <anchor moveWithCells="1" sizeWithCells="1">
                  <from>
                    <xdr:col>0</xdr:col>
                    <xdr:colOff>85725</xdr:colOff>
                    <xdr:row>0</xdr:row>
                    <xdr:rowOff>19050</xdr:rowOff>
                  </from>
                  <to>
                    <xdr:col>2</xdr:col>
                    <xdr:colOff>104775</xdr:colOff>
                    <xdr:row>1</xdr:row>
                    <xdr:rowOff>9525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tabColor indexed="53"/>
  </sheetPr>
  <dimension ref="A1:A3"/>
  <sheetViews>
    <sheetView workbookViewId="0"/>
  </sheetViews>
  <sheetFormatPr defaultRowHeight="12.75" x14ac:dyDescent="0.2"/>
  <sheetData>
    <row r="1" spans="1:1" ht="25.5" customHeight="1" x14ac:dyDescent="0.2"/>
    <row r="2" spans="1:1" x14ac:dyDescent="0.2">
      <c r="A2" t="s">
        <v>464</v>
      </c>
    </row>
    <row r="3" spans="1:1" x14ac:dyDescent="0.2">
      <c r="A3" s="415" t="s">
        <v>465</v>
      </c>
    </row>
  </sheetData>
  <sheetProtection sheet="1" objects="1" scenarios="1"/>
  <phoneticPr fontId="0" type="noConversion"/>
  <hyperlinks>
    <hyperlink ref="A3" r:id="rId1" xr:uid="{00000000-0004-0000-1400-000000000000}"/>
  </hyperlinks>
  <pageMargins left="0.75" right="0.75" top="1" bottom="1" header="0.5" footer="0.5"/>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72" r:id="rId4" name="Button 48">
              <controlPr defaultSize="0" print="0" autoFill="0" autoPict="0" macro="[0]!ReturnToMain">
                <anchor moveWithCells="1" sizeWithCells="1">
                  <from>
                    <xdr:col>0</xdr:col>
                    <xdr:colOff>19050</xdr:colOff>
                    <xdr:row>0</xdr:row>
                    <xdr:rowOff>19050</xdr:rowOff>
                  </from>
                  <to>
                    <xdr:col>2</xdr:col>
                    <xdr:colOff>171450</xdr:colOff>
                    <xdr:row>0</xdr:row>
                    <xdr:rowOff>152400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indexed="53"/>
  </sheetPr>
  <dimension ref="A1:I44"/>
  <sheetViews>
    <sheetView workbookViewId="0"/>
  </sheetViews>
  <sheetFormatPr defaultRowHeight="12.75" x14ac:dyDescent="0.2"/>
  <cols>
    <col min="1" max="1" width="43.28515625" bestFit="1" customWidth="1"/>
    <col min="2" max="2" width="22.28515625" bestFit="1" customWidth="1"/>
    <col min="3" max="3" width="17" bestFit="1" customWidth="1"/>
    <col min="4" max="4" width="13.85546875" bestFit="1" customWidth="1"/>
    <col min="5" max="6" width="13.5703125" bestFit="1" customWidth="1"/>
  </cols>
  <sheetData>
    <row r="1" spans="1:9" ht="25.5" customHeight="1" thickBot="1" x14ac:dyDescent="0.25"/>
    <row r="2" spans="1:9" ht="13.5" thickBot="1" x14ac:dyDescent="0.25">
      <c r="A2" s="1185" t="s">
        <v>466</v>
      </c>
      <c r="B2" s="1186"/>
      <c r="C2" s="1186"/>
      <c r="D2" s="1186"/>
      <c r="E2" s="1186"/>
      <c r="F2" s="1187"/>
      <c r="H2" s="1171" t="s">
        <v>467</v>
      </c>
      <c r="I2" s="1172"/>
    </row>
    <row r="3" spans="1:9" ht="13.5" thickBot="1" x14ac:dyDescent="0.25">
      <c r="A3" s="1182" t="s">
        <v>468</v>
      </c>
      <c r="B3" s="1183"/>
      <c r="C3" s="1183"/>
      <c r="D3" s="1183"/>
      <c r="E3" s="1183"/>
      <c r="F3" s="1184"/>
      <c r="H3" s="78" t="s">
        <v>469</v>
      </c>
      <c r="I3" s="94" t="s">
        <v>470</v>
      </c>
    </row>
    <row r="4" spans="1:9" x14ac:dyDescent="0.2">
      <c r="A4" s="368" t="s">
        <v>471</v>
      </c>
      <c r="B4" s="366" t="s">
        <v>472</v>
      </c>
      <c r="C4" s="497" t="s">
        <v>473</v>
      </c>
      <c r="D4" s="497" t="s">
        <v>474</v>
      </c>
      <c r="E4" s="497" t="s">
        <v>475</v>
      </c>
      <c r="F4" s="498" t="s">
        <v>476</v>
      </c>
      <c r="H4" s="78">
        <v>66</v>
      </c>
      <c r="I4" s="94">
        <f>(H4-32)*5/9</f>
        <v>18.888888888888889</v>
      </c>
    </row>
    <row r="5" spans="1:9" x14ac:dyDescent="0.2">
      <c r="A5" s="78"/>
      <c r="B5" s="2">
        <v>10</v>
      </c>
      <c r="C5" s="128">
        <f>B5/25.4</f>
        <v>0.39370078740157483</v>
      </c>
      <c r="D5" s="128">
        <f>B5/0.0254</f>
        <v>393.70078740157481</v>
      </c>
      <c r="E5" s="349">
        <f>B5/0.0000254</f>
        <v>393700.78740157478</v>
      </c>
      <c r="F5" s="79">
        <f>B5*1000</f>
        <v>10000</v>
      </c>
      <c r="H5" s="78">
        <v>66.099999999999994</v>
      </c>
      <c r="I5" s="94">
        <f t="shared" ref="I5:I44" si="0">(H5-32)*5/9</f>
        <v>18.944444444444443</v>
      </c>
    </row>
    <row r="6" spans="1:9" x14ac:dyDescent="0.2">
      <c r="A6" s="189" t="s">
        <v>477</v>
      </c>
      <c r="B6" s="3" t="s">
        <v>478</v>
      </c>
      <c r="C6" s="499" t="s">
        <v>473</v>
      </c>
      <c r="D6" s="499" t="s">
        <v>474</v>
      </c>
      <c r="E6" s="499" t="s">
        <v>475</v>
      </c>
      <c r="F6" s="500" t="s">
        <v>479</v>
      </c>
      <c r="H6" s="78">
        <v>66.2</v>
      </c>
      <c r="I6" s="94">
        <f t="shared" si="0"/>
        <v>19</v>
      </c>
    </row>
    <row r="7" spans="1:9" ht="13.5" thickBot="1" x14ac:dyDescent="0.25">
      <c r="A7" s="80"/>
      <c r="B7" s="8">
        <v>800</v>
      </c>
      <c r="C7" s="405">
        <f>B7/25400</f>
        <v>3.1496062992125984E-2</v>
      </c>
      <c r="D7" s="405">
        <f>B7*0.03937</f>
        <v>31.496000000000002</v>
      </c>
      <c r="E7" s="63">
        <f>C7/0.000001</f>
        <v>31496.062992125986</v>
      </c>
      <c r="F7" s="81">
        <f>B7/1000</f>
        <v>0.8</v>
      </c>
      <c r="H7" s="78">
        <v>66.3</v>
      </c>
      <c r="I7" s="94">
        <f t="shared" si="0"/>
        <v>19.055555555555557</v>
      </c>
    </row>
    <row r="8" spans="1:9" ht="13.5" thickBot="1" x14ac:dyDescent="0.25">
      <c r="A8" s="125"/>
      <c r="B8" s="126"/>
      <c r="C8" s="126"/>
      <c r="D8" s="126"/>
      <c r="E8" s="126"/>
      <c r="F8" s="127"/>
      <c r="H8" s="78">
        <v>66.400000000000006</v>
      </c>
      <c r="I8" s="94">
        <f t="shared" si="0"/>
        <v>19.111111111111114</v>
      </c>
    </row>
    <row r="9" spans="1:9" ht="13.5" thickBot="1" x14ac:dyDescent="0.25">
      <c r="A9" s="1182" t="s">
        <v>480</v>
      </c>
      <c r="B9" s="1183"/>
      <c r="C9" s="1183"/>
      <c r="D9" s="1183"/>
      <c r="E9" s="1183"/>
      <c r="F9" s="1184"/>
      <c r="H9" s="78">
        <v>66.5</v>
      </c>
      <c r="I9" s="94">
        <f t="shared" si="0"/>
        <v>19.166666666666668</v>
      </c>
    </row>
    <row r="10" spans="1:9" x14ac:dyDescent="0.2">
      <c r="A10" s="368" t="s">
        <v>481</v>
      </c>
      <c r="B10" s="366" t="s">
        <v>482</v>
      </c>
      <c r="C10" s="497" t="s">
        <v>476</v>
      </c>
      <c r="D10" s="497" t="s">
        <v>479</v>
      </c>
      <c r="E10" s="497" t="s">
        <v>473</v>
      </c>
      <c r="F10" s="367"/>
      <c r="H10" s="78">
        <v>66.599999999999994</v>
      </c>
      <c r="I10" s="94">
        <f t="shared" si="0"/>
        <v>19.222222222222218</v>
      </c>
    </row>
    <row r="11" spans="1:9" x14ac:dyDescent="0.2">
      <c r="A11" s="78"/>
      <c r="B11" s="2">
        <v>10.1</v>
      </c>
      <c r="C11" s="5">
        <f>B11*25.4</f>
        <v>256.53999999999996</v>
      </c>
      <c r="D11" s="5">
        <f>B11*0.0254</f>
        <v>0.25653999999999999</v>
      </c>
      <c r="E11" s="5">
        <f>B11*0.001</f>
        <v>1.01E-2</v>
      </c>
      <c r="F11" s="367"/>
      <c r="H11" s="78">
        <v>66.7</v>
      </c>
      <c r="I11" s="94">
        <f t="shared" si="0"/>
        <v>19.277777777777779</v>
      </c>
    </row>
    <row r="12" spans="1:9" x14ac:dyDescent="0.2">
      <c r="A12" s="189" t="s">
        <v>483</v>
      </c>
      <c r="B12" s="3" t="s">
        <v>484</v>
      </c>
      <c r="C12" s="499" t="s">
        <v>476</v>
      </c>
      <c r="D12" s="499" t="s">
        <v>479</v>
      </c>
      <c r="E12" s="499" t="s">
        <v>473</v>
      </c>
      <c r="F12" s="367"/>
      <c r="H12" s="78">
        <v>66.8</v>
      </c>
      <c r="I12" s="94">
        <f t="shared" si="0"/>
        <v>19.333333333333332</v>
      </c>
    </row>
    <row r="13" spans="1:9" x14ac:dyDescent="0.2">
      <c r="A13" s="78"/>
      <c r="B13" s="2">
        <v>117</v>
      </c>
      <c r="C13" s="5">
        <f>B13*0.0254</f>
        <v>2.9718</v>
      </c>
      <c r="D13" s="5">
        <f>B13*0.0000254</f>
        <v>2.9718000000000001E-3</v>
      </c>
      <c r="E13" s="5">
        <f>B13/1000000</f>
        <v>1.17E-4</v>
      </c>
      <c r="F13" s="367"/>
      <c r="H13" s="78">
        <v>66.899999999999906</v>
      </c>
      <c r="I13" s="94">
        <f t="shared" si="0"/>
        <v>19.38888888888884</v>
      </c>
    </row>
    <row r="14" spans="1:9" x14ac:dyDescent="0.2">
      <c r="A14" s="189" t="s">
        <v>485</v>
      </c>
      <c r="B14" s="3" t="s">
        <v>486</v>
      </c>
      <c r="C14" s="499" t="s">
        <v>476</v>
      </c>
      <c r="D14" s="499" t="s">
        <v>479</v>
      </c>
      <c r="E14" s="499" t="s">
        <v>473</v>
      </c>
      <c r="F14" s="367"/>
      <c r="H14" s="78">
        <v>66.999999999999901</v>
      </c>
      <c r="I14" s="94">
        <f t="shared" si="0"/>
        <v>19.444444444444386</v>
      </c>
    </row>
    <row r="15" spans="1:9" ht="13.5" thickBot="1" x14ac:dyDescent="0.25">
      <c r="A15" s="80"/>
      <c r="B15" s="8">
        <v>1.67E-2</v>
      </c>
      <c r="C15" s="9">
        <f>B15*25400</f>
        <v>424.18</v>
      </c>
      <c r="D15" s="9">
        <f>B15*25.4</f>
        <v>0.42417999999999995</v>
      </c>
      <c r="E15" s="9">
        <f>B15</f>
        <v>1.67E-2</v>
      </c>
      <c r="F15" s="127"/>
      <c r="H15" s="78">
        <v>67.099999999999895</v>
      </c>
      <c r="I15" s="94">
        <f t="shared" si="0"/>
        <v>19.499999999999943</v>
      </c>
    </row>
    <row r="16" spans="1:9" ht="13.5" thickBot="1" x14ac:dyDescent="0.25">
      <c r="D16">
        <v>0.23</v>
      </c>
      <c r="H16" s="78">
        <v>67.199999999999903</v>
      </c>
      <c r="I16" s="94">
        <f t="shared" si="0"/>
        <v>19.5555555555555</v>
      </c>
    </row>
    <row r="17" spans="1:9" ht="13.5" thickBot="1" x14ac:dyDescent="0.25">
      <c r="A17" s="1173" t="s">
        <v>487</v>
      </c>
      <c r="B17" s="1174"/>
      <c r="C17" s="1174"/>
      <c r="D17" s="1174"/>
      <c r="E17" s="1174"/>
      <c r="F17" s="1175"/>
      <c r="H17" s="78">
        <v>67.299999999999898</v>
      </c>
      <c r="I17" s="94">
        <f t="shared" si="0"/>
        <v>19.611111111111054</v>
      </c>
    </row>
    <row r="18" spans="1:9" ht="13.5" thickBot="1" x14ac:dyDescent="0.25">
      <c r="A18" s="1176" t="s">
        <v>480</v>
      </c>
      <c r="B18" s="1177"/>
      <c r="C18" s="1177"/>
      <c r="D18" s="1177"/>
      <c r="E18" s="1177"/>
      <c r="F18" s="1178"/>
      <c r="H18" s="78">
        <v>67.399999999999906</v>
      </c>
      <c r="I18" s="94">
        <f t="shared" si="0"/>
        <v>19.666666666666615</v>
      </c>
    </row>
    <row r="19" spans="1:9" x14ac:dyDescent="0.2">
      <c r="A19" s="626" t="s">
        <v>488</v>
      </c>
      <c r="B19" s="366" t="s">
        <v>489</v>
      </c>
      <c r="C19" s="497" t="s">
        <v>490</v>
      </c>
      <c r="D19" s="818"/>
      <c r="E19" s="818"/>
      <c r="F19" s="819"/>
      <c r="H19" s="78">
        <v>67.499999999999901</v>
      </c>
      <c r="I19" s="94">
        <f t="shared" si="0"/>
        <v>19.722222222222165</v>
      </c>
    </row>
    <row r="20" spans="1:9" ht="13.5" thickBot="1" x14ac:dyDescent="0.25">
      <c r="A20" s="108"/>
      <c r="B20" s="139">
        <v>60.9</v>
      </c>
      <c r="C20" s="97">
        <f>B20*0.58</f>
        <v>35.321999999999996</v>
      </c>
      <c r="D20" s="818"/>
      <c r="E20" s="818"/>
      <c r="F20" s="819"/>
      <c r="H20" s="78">
        <v>67.599999999999895</v>
      </c>
      <c r="I20" s="94">
        <f t="shared" si="0"/>
        <v>19.777777777777722</v>
      </c>
    </row>
    <row r="21" spans="1:9" ht="13.5" thickBot="1" x14ac:dyDescent="0.25">
      <c r="A21" s="1179" t="s">
        <v>468</v>
      </c>
      <c r="B21" s="1180"/>
      <c r="C21" s="1180"/>
      <c r="D21" s="1180"/>
      <c r="E21" s="1180"/>
      <c r="F21" s="1181"/>
      <c r="H21" s="78">
        <v>67.699999999999903</v>
      </c>
      <c r="I21" s="94">
        <f t="shared" si="0"/>
        <v>19.833333333333279</v>
      </c>
    </row>
    <row r="22" spans="1:9" x14ac:dyDescent="0.2">
      <c r="A22" s="816" t="s">
        <v>491</v>
      </c>
      <c r="B22" s="89" t="s">
        <v>492</v>
      </c>
      <c r="C22" s="99" t="s">
        <v>493</v>
      </c>
      <c r="D22" s="820"/>
      <c r="E22" s="820"/>
      <c r="F22" s="821"/>
      <c r="H22" s="78">
        <v>67.799999999999898</v>
      </c>
      <c r="I22" s="94">
        <f t="shared" si="0"/>
        <v>19.888888888888832</v>
      </c>
    </row>
    <row r="23" spans="1:9" ht="13.5" thickBot="1" x14ac:dyDescent="0.25">
      <c r="A23" s="320"/>
      <c r="B23" s="9">
        <v>17</v>
      </c>
      <c r="C23" s="817">
        <f>B23/0.58</f>
        <v>29.31034482758621</v>
      </c>
      <c r="D23" s="822"/>
      <c r="E23" s="822"/>
      <c r="F23" s="823"/>
      <c r="H23" s="78">
        <v>67.899999999999906</v>
      </c>
      <c r="I23" s="94">
        <f t="shared" si="0"/>
        <v>19.944444444444393</v>
      </c>
    </row>
    <row r="24" spans="1:9" x14ac:dyDescent="0.2">
      <c r="H24" s="78">
        <v>67.999999999999901</v>
      </c>
      <c r="I24" s="94">
        <f t="shared" si="0"/>
        <v>19.999999999999943</v>
      </c>
    </row>
    <row r="25" spans="1:9" x14ac:dyDescent="0.2">
      <c r="H25" s="78">
        <v>68.099999999999895</v>
      </c>
      <c r="I25" s="94">
        <f t="shared" si="0"/>
        <v>20.0555555555555</v>
      </c>
    </row>
    <row r="26" spans="1:9" x14ac:dyDescent="0.2">
      <c r="H26" s="78">
        <v>68.199999999999903</v>
      </c>
      <c r="I26" s="94">
        <f t="shared" si="0"/>
        <v>20.111111111111057</v>
      </c>
    </row>
    <row r="27" spans="1:9" x14ac:dyDescent="0.2">
      <c r="H27" s="78">
        <v>68.299999999999898</v>
      </c>
      <c r="I27" s="94">
        <f t="shared" si="0"/>
        <v>20.166666666666611</v>
      </c>
    </row>
    <row r="28" spans="1:9" x14ac:dyDescent="0.2">
      <c r="H28" s="78">
        <v>68.399999999999906</v>
      </c>
      <c r="I28" s="94">
        <f t="shared" si="0"/>
        <v>20.222222222222172</v>
      </c>
    </row>
    <row r="29" spans="1:9" x14ac:dyDescent="0.2">
      <c r="H29" s="78">
        <v>68.499999999999901</v>
      </c>
      <c r="I29" s="94">
        <f t="shared" si="0"/>
        <v>20.277777777777722</v>
      </c>
    </row>
    <row r="30" spans="1:9" x14ac:dyDescent="0.2">
      <c r="H30" s="78">
        <v>68.599999999999895</v>
      </c>
      <c r="I30" s="94">
        <f t="shared" si="0"/>
        <v>20.333333333333275</v>
      </c>
    </row>
    <row r="31" spans="1:9" x14ac:dyDescent="0.2">
      <c r="H31" s="78">
        <v>68.699999999999804</v>
      </c>
      <c r="I31" s="94">
        <f t="shared" si="0"/>
        <v>20.388888888888783</v>
      </c>
    </row>
    <row r="32" spans="1:9" x14ac:dyDescent="0.2">
      <c r="H32" s="78">
        <v>68.799999999999798</v>
      </c>
      <c r="I32" s="94">
        <f t="shared" si="0"/>
        <v>20.444444444444329</v>
      </c>
    </row>
    <row r="33" spans="8:9" x14ac:dyDescent="0.2">
      <c r="H33" s="78">
        <v>68.899999999999807</v>
      </c>
      <c r="I33" s="94">
        <f t="shared" si="0"/>
        <v>20.499999999999893</v>
      </c>
    </row>
    <row r="34" spans="8:9" x14ac:dyDescent="0.2">
      <c r="H34" s="78">
        <v>68.999999999999801</v>
      </c>
      <c r="I34" s="94">
        <f t="shared" si="0"/>
        <v>20.555555555555443</v>
      </c>
    </row>
    <row r="35" spans="8:9" x14ac:dyDescent="0.2">
      <c r="H35" s="78">
        <v>69.099999999999795</v>
      </c>
      <c r="I35" s="94">
        <f t="shared" si="0"/>
        <v>20.611111111110997</v>
      </c>
    </row>
    <row r="36" spans="8:9" x14ac:dyDescent="0.2">
      <c r="H36" s="78">
        <v>69.199999999999804</v>
      </c>
      <c r="I36" s="94">
        <f t="shared" si="0"/>
        <v>20.666666666666558</v>
      </c>
    </row>
    <row r="37" spans="8:9" x14ac:dyDescent="0.2">
      <c r="H37" s="78">
        <v>69.299999999999798</v>
      </c>
      <c r="I37" s="94">
        <f t="shared" si="0"/>
        <v>20.722222222222108</v>
      </c>
    </row>
    <row r="38" spans="8:9" x14ac:dyDescent="0.2">
      <c r="H38" s="78">
        <v>69.399999999999807</v>
      </c>
      <c r="I38" s="94">
        <f t="shared" si="0"/>
        <v>20.777777777777672</v>
      </c>
    </row>
    <row r="39" spans="8:9" x14ac:dyDescent="0.2">
      <c r="H39" s="78">
        <v>69.499999999999801</v>
      </c>
      <c r="I39" s="94">
        <f t="shared" si="0"/>
        <v>20.833333333333222</v>
      </c>
    </row>
    <row r="40" spans="8:9" x14ac:dyDescent="0.2">
      <c r="H40" s="78">
        <v>69.599999999999795</v>
      </c>
      <c r="I40" s="94">
        <f t="shared" si="0"/>
        <v>20.888888888888776</v>
      </c>
    </row>
    <row r="41" spans="8:9" x14ac:dyDescent="0.2">
      <c r="H41" s="78">
        <v>69.699999999999804</v>
      </c>
      <c r="I41" s="94">
        <f t="shared" si="0"/>
        <v>20.944444444444336</v>
      </c>
    </row>
    <row r="42" spans="8:9" x14ac:dyDescent="0.2">
      <c r="H42" s="78">
        <v>69.799999999999798</v>
      </c>
      <c r="I42" s="94">
        <f t="shared" si="0"/>
        <v>20.999999999999886</v>
      </c>
    </row>
    <row r="43" spans="8:9" x14ac:dyDescent="0.2">
      <c r="H43" s="78">
        <v>69.899999999999807</v>
      </c>
      <c r="I43" s="94">
        <f t="shared" si="0"/>
        <v>21.055555555555447</v>
      </c>
    </row>
    <row r="44" spans="8:9" ht="13.5" thickBot="1" x14ac:dyDescent="0.25">
      <c r="H44" s="80">
        <v>69.999999999999801</v>
      </c>
      <c r="I44" s="12">
        <f t="shared" si="0"/>
        <v>21.111111111111001</v>
      </c>
    </row>
  </sheetData>
  <sheetProtection sheet="1" objects="1" scenarios="1" selectLockedCells="1"/>
  <mergeCells count="7">
    <mergeCell ref="H2:I2"/>
    <mergeCell ref="A17:F17"/>
    <mergeCell ref="A18:F18"/>
    <mergeCell ref="A21:F21"/>
    <mergeCell ref="A3:F3"/>
    <mergeCell ref="A9:F9"/>
    <mergeCell ref="A2:F2"/>
  </mergeCells>
  <phoneticPr fontId="1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ReturnToMain">
                <anchor moveWithCells="1" sizeWithCells="1">
                  <from>
                    <xdr:col>0</xdr:col>
                    <xdr:colOff>28575</xdr:colOff>
                    <xdr:row>0</xdr:row>
                    <xdr:rowOff>19050</xdr:rowOff>
                  </from>
                  <to>
                    <xdr:col>0</xdr:col>
                    <xdr:colOff>790575</xdr:colOff>
                    <xdr:row>0</xdr:row>
                    <xdr:rowOff>152400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9">
    <tabColor indexed="38"/>
    <pageSetUpPr fitToPage="1"/>
  </sheetPr>
  <dimension ref="A1:Y132"/>
  <sheetViews>
    <sheetView topLeftCell="A2" workbookViewId="0">
      <selection activeCell="K41" sqref="K41"/>
    </sheetView>
  </sheetViews>
  <sheetFormatPr defaultRowHeight="12.75" x14ac:dyDescent="0.2"/>
  <cols>
    <col min="1" max="1" width="16.28515625" customWidth="1"/>
    <col min="2" max="2" width="11.42578125" customWidth="1"/>
    <col min="3" max="3" width="2.85546875" customWidth="1"/>
    <col min="4" max="4" width="16.42578125" bestFit="1" customWidth="1"/>
    <col min="5" max="5" width="11.42578125" customWidth="1"/>
    <col min="6" max="6" width="2.5703125" customWidth="1"/>
    <col min="7" max="7" width="16.42578125" bestFit="1" customWidth="1"/>
    <col min="8" max="8" width="11.7109375" bestFit="1" customWidth="1"/>
    <col min="9" max="9" width="2.85546875" customWidth="1"/>
    <col min="10" max="10" width="16.42578125" bestFit="1" customWidth="1"/>
    <col min="11" max="11" width="11.7109375" bestFit="1" customWidth="1"/>
    <col min="12" max="12" width="2.85546875" customWidth="1"/>
    <col min="13" max="13" width="16.42578125" bestFit="1" customWidth="1"/>
    <col min="14" max="14" width="11.7109375" bestFit="1" customWidth="1"/>
    <col min="15" max="15" width="2.85546875" customWidth="1"/>
    <col min="16" max="16" width="16.42578125" bestFit="1" customWidth="1"/>
    <col min="17" max="17" width="11.7109375" bestFit="1" customWidth="1"/>
    <col min="18" max="18" width="3.140625" customWidth="1"/>
    <col min="19" max="19" width="16.42578125" bestFit="1" customWidth="1"/>
    <col min="20" max="20" width="11.7109375" bestFit="1" customWidth="1"/>
    <col min="21" max="21" width="2" customWidth="1"/>
    <col min="22" max="22" width="16.42578125" bestFit="1" customWidth="1"/>
    <col min="23" max="23" width="11.7109375" bestFit="1" customWidth="1"/>
    <col min="24" max="24" width="3.5703125" customWidth="1"/>
  </cols>
  <sheetData>
    <row r="1" spans="1:24" s="10" customFormat="1" ht="25.5" customHeight="1" x14ac:dyDescent="0.2"/>
    <row r="2" spans="1:24" ht="13.5" thickBot="1" x14ac:dyDescent="0.25">
      <c r="A2" s="1125" t="s">
        <v>494</v>
      </c>
      <c r="B2" s="1125"/>
      <c r="C2" s="1125"/>
      <c r="D2" s="1125"/>
      <c r="E2" s="1125"/>
      <c r="F2" s="1125"/>
      <c r="G2" s="1125"/>
      <c r="H2" s="1125"/>
      <c r="I2" s="1125"/>
      <c r="J2" s="1125"/>
      <c r="K2" s="1125"/>
      <c r="L2" s="1125"/>
      <c r="M2" s="490" t="s">
        <v>495</v>
      </c>
      <c r="N2" s="416"/>
      <c r="O2" s="416"/>
      <c r="P2" s="416"/>
    </row>
    <row r="3" spans="1:24" ht="15" x14ac:dyDescent="0.25">
      <c r="A3" s="1166" t="s">
        <v>496</v>
      </c>
      <c r="B3" s="1167"/>
      <c r="C3" s="1167"/>
      <c r="D3" s="1167"/>
      <c r="E3" s="1167"/>
      <c r="F3" s="1167"/>
      <c r="G3" s="1167"/>
      <c r="H3" s="1167"/>
      <c r="I3" s="1167"/>
      <c r="J3" s="1167"/>
      <c r="K3" s="1168"/>
      <c r="L3" s="98"/>
      <c r="M3" s="234"/>
      <c r="N3" s="234"/>
    </row>
    <row r="4" spans="1:24" ht="15.75" thickBot="1" x14ac:dyDescent="0.3">
      <c r="A4" s="1189" t="s">
        <v>497</v>
      </c>
      <c r="B4" s="1190"/>
      <c r="C4" s="1191"/>
      <c r="D4" s="1190"/>
      <c r="E4" s="1190"/>
      <c r="F4" s="1191"/>
      <c r="G4" s="1190"/>
      <c r="H4" s="1190"/>
      <c r="I4" s="1191"/>
      <c r="J4" s="1190"/>
      <c r="K4" s="1192"/>
      <c r="L4" s="98"/>
      <c r="M4" s="234"/>
      <c r="N4" s="234"/>
    </row>
    <row r="5" spans="1:24" ht="15.75" thickBot="1" x14ac:dyDescent="0.3">
      <c r="A5" s="937" t="s">
        <v>498</v>
      </c>
      <c r="B5" s="927"/>
      <c r="C5" s="927"/>
      <c r="D5" s="927"/>
      <c r="E5" s="927"/>
      <c r="F5" s="927"/>
      <c r="G5" s="927"/>
      <c r="H5" s="927"/>
      <c r="I5" s="927"/>
      <c r="J5" s="927"/>
      <c r="K5" s="928"/>
      <c r="L5" s="98"/>
      <c r="M5" s="234"/>
      <c r="N5" s="234"/>
    </row>
    <row r="6" spans="1:24" ht="15.75" thickBot="1" x14ac:dyDescent="0.3">
      <c r="A6" s="235" t="s">
        <v>69</v>
      </c>
      <c r="B6" s="236" t="s">
        <v>1557</v>
      </c>
      <c r="C6" s="237"/>
      <c r="D6" s="235" t="s">
        <v>69</v>
      </c>
      <c r="E6" s="236" t="s">
        <v>1558</v>
      </c>
      <c r="F6" s="237"/>
      <c r="G6" s="235" t="s">
        <v>69</v>
      </c>
      <c r="H6" s="236" t="s">
        <v>1559</v>
      </c>
      <c r="I6" s="237"/>
      <c r="J6" s="235" t="s">
        <v>69</v>
      </c>
      <c r="K6" s="236" t="s">
        <v>1560</v>
      </c>
      <c r="L6" s="237"/>
      <c r="M6" s="235" t="s">
        <v>69</v>
      </c>
      <c r="N6" s="236" t="s">
        <v>1561</v>
      </c>
      <c r="O6" s="237"/>
      <c r="P6" s="235" t="s">
        <v>69</v>
      </c>
      <c r="Q6" s="236" t="s">
        <v>1562</v>
      </c>
      <c r="R6" s="237"/>
      <c r="S6" s="235" t="s">
        <v>69</v>
      </c>
      <c r="T6" s="1124" t="s">
        <v>1563</v>
      </c>
      <c r="U6" s="237"/>
      <c r="V6" s="235" t="s">
        <v>69</v>
      </c>
      <c r="W6" s="236" t="s">
        <v>1564</v>
      </c>
      <c r="X6" s="47"/>
    </row>
    <row r="7" spans="1:24" ht="15" x14ac:dyDescent="0.25">
      <c r="A7" s="239" t="s">
        <v>70</v>
      </c>
      <c r="B7" s="872" t="s">
        <v>499</v>
      </c>
      <c r="C7" s="237"/>
      <c r="D7" s="239" t="s">
        <v>70</v>
      </c>
      <c r="E7" s="872" t="s">
        <v>499</v>
      </c>
      <c r="F7" s="237"/>
      <c r="G7" s="239" t="s">
        <v>70</v>
      </c>
      <c r="H7" s="872" t="s">
        <v>499</v>
      </c>
      <c r="I7" s="237"/>
      <c r="J7" s="239" t="s">
        <v>70</v>
      </c>
      <c r="K7" s="872" t="s">
        <v>499</v>
      </c>
      <c r="L7" s="237"/>
      <c r="M7" s="239" t="s">
        <v>70</v>
      </c>
      <c r="N7" s="872" t="s">
        <v>499</v>
      </c>
      <c r="O7" s="237"/>
      <c r="P7" s="240" t="s">
        <v>70</v>
      </c>
      <c r="Q7" s="872" t="s">
        <v>499</v>
      </c>
      <c r="R7" s="237"/>
      <c r="S7" s="239" t="s">
        <v>70</v>
      </c>
      <c r="T7" s="872" t="s">
        <v>499</v>
      </c>
      <c r="U7" s="237"/>
      <c r="V7" s="239" t="s">
        <v>70</v>
      </c>
      <c r="W7" s="872" t="s">
        <v>499</v>
      </c>
      <c r="X7" s="47"/>
    </row>
    <row r="8" spans="1:24" x14ac:dyDescent="0.2">
      <c r="A8" s="186" t="s">
        <v>71</v>
      </c>
      <c r="B8" s="194">
        <v>32</v>
      </c>
      <c r="C8" s="47"/>
      <c r="D8" s="186" t="s">
        <v>71</v>
      </c>
      <c r="E8" s="194">
        <v>36</v>
      </c>
      <c r="F8" s="47"/>
      <c r="G8" s="186" t="s">
        <v>71</v>
      </c>
      <c r="H8" s="194">
        <v>40</v>
      </c>
      <c r="I8" s="47"/>
      <c r="J8" s="186" t="s">
        <v>71</v>
      </c>
      <c r="K8" s="194">
        <v>28</v>
      </c>
      <c r="L8" s="47"/>
      <c r="M8" s="186" t="s">
        <v>71</v>
      </c>
      <c r="N8" s="194">
        <v>24</v>
      </c>
      <c r="O8" s="47"/>
      <c r="P8" s="186" t="s">
        <v>71</v>
      </c>
      <c r="Q8" s="194">
        <v>14</v>
      </c>
      <c r="R8" s="47"/>
      <c r="S8" s="186" t="s">
        <v>71</v>
      </c>
      <c r="T8" s="194">
        <v>20</v>
      </c>
      <c r="U8" s="47"/>
      <c r="V8" s="186" t="s">
        <v>71</v>
      </c>
      <c r="W8" s="194">
        <v>16</v>
      </c>
      <c r="X8" s="47"/>
    </row>
    <row r="9" spans="1:24" ht="13.5" thickBot="1" x14ac:dyDescent="0.25">
      <c r="A9" s="241" t="s">
        <v>72</v>
      </c>
      <c r="B9" s="242">
        <f>IF(B7="Regular - 60°",VLOOKUP(B8,'[2]Thread Wire Nominal Sizes'!$A4:$B39,2,FALSE),VLOOKUP(B8,'[2]Thread Wire Nominal Sizes'!$D4:$E25,2,FALSE))</f>
        <v>1.8042187500000001E-2</v>
      </c>
      <c r="C9" s="47"/>
      <c r="D9" s="241" t="s">
        <v>72</v>
      </c>
      <c r="E9" s="242">
        <f>IF(E7="Regular - 60°",VLOOKUP(E8,'[2]Thread Wire Nominal Sizes'!$A4:$B39,2,FALSE),VLOOKUP(E8,'[2]Thread Wire Nominal Sizes'!$D4:$E25,2,FALSE))</f>
        <v>1.60375E-2</v>
      </c>
      <c r="F9" s="47"/>
      <c r="G9" s="241" t="s">
        <v>72</v>
      </c>
      <c r="H9" s="242">
        <f>IF(H7="Regular - 60°",VLOOKUP(H8,'[2]Thread Wire Nominal Sizes'!$A4:$B39,2,FALSE),VLOOKUP(H8,'[2]Thread Wire Nominal Sizes'!$D4:$E25,2,FALSE))</f>
        <v>1.443375E-2</v>
      </c>
      <c r="I9" s="47"/>
      <c r="J9" s="241" t="s">
        <v>72</v>
      </c>
      <c r="K9" s="242">
        <f>IF(K7="Regular - 60°",VLOOKUP(K8,'[2]Thread Wire Nominal Sizes'!$A4:$B39,2,FALSE),VLOOKUP(K8,'[2]Thread Wire Nominal Sizes'!$D4:$E25,2,FALSE))</f>
        <v>2.0619642857142857E-2</v>
      </c>
      <c r="L9" s="47"/>
      <c r="M9" s="241" t="s">
        <v>72</v>
      </c>
      <c r="N9" s="242">
        <f>IF(N7="Regular - 60°",VLOOKUP(N8,'[2]Thread Wire Nominal Sizes'!$A4:$B39,2,FALSE),VLOOKUP(N8,'[2]Thread Wire Nominal Sizes'!$D4:$E25,2,FALSE))</f>
        <v>2.4056250000000001E-2</v>
      </c>
      <c r="O9" s="47"/>
      <c r="P9" s="241" t="s">
        <v>72</v>
      </c>
      <c r="Q9" s="242">
        <f>IF(Q7="Regular - 60°",VLOOKUP(Q8,'[2]Thread Wire Nominal Sizes'!$A4:$B39,2,FALSE),VLOOKUP(Q8,'[2]Thread Wire Nominal Sizes'!$D4:$E25,2,FALSE))</f>
        <v>4.1239285714285714E-2</v>
      </c>
      <c r="R9" s="47"/>
      <c r="S9" s="241" t="s">
        <v>72</v>
      </c>
      <c r="T9" s="242">
        <f>IF(T7="Regular - 60°",VLOOKUP(T8,'[2]Thread Wire Nominal Sizes'!$A4:$B39,2,FALSE),VLOOKUP(T8,'[2]Thread Wire Nominal Sizes'!$D4:$E25,2,FALSE))</f>
        <v>2.8867500000000001E-2</v>
      </c>
      <c r="U9" s="47"/>
      <c r="V9" s="241" t="s">
        <v>72</v>
      </c>
      <c r="W9" s="242">
        <f>IF(W7="Regular - 60°",VLOOKUP(W8,'[2]Thread Wire Nominal Sizes'!$A4:$B39,2,FALSE),VLOOKUP(W8,'[2]Thread Wire Nominal Sizes'!$D4:$E25,2,FALSE))</f>
        <v>3.6084375000000002E-2</v>
      </c>
      <c r="X9" s="47"/>
    </row>
    <row r="10" spans="1:24" ht="13.5" thickTop="1" x14ac:dyDescent="0.2">
      <c r="A10" s="243" t="s">
        <v>501</v>
      </c>
      <c r="B10" s="101">
        <v>1.8030000000000001E-2</v>
      </c>
      <c r="C10" s="47"/>
      <c r="D10" s="243" t="s">
        <v>501</v>
      </c>
      <c r="E10" s="975">
        <v>1.6039999999999999E-2</v>
      </c>
      <c r="F10" s="47"/>
      <c r="G10" s="243" t="s">
        <v>501</v>
      </c>
      <c r="H10" s="975">
        <v>1.444E-2</v>
      </c>
      <c r="I10" s="47"/>
      <c r="J10" s="243" t="s">
        <v>501</v>
      </c>
      <c r="K10" s="101">
        <v>2.061E-2</v>
      </c>
      <c r="L10" s="47"/>
      <c r="M10" s="243" t="s">
        <v>501</v>
      </c>
      <c r="N10" s="975">
        <v>2.4049999999999998E-2</v>
      </c>
      <c r="O10" s="47"/>
      <c r="P10" s="243" t="s">
        <v>501</v>
      </c>
      <c r="Q10" s="101">
        <v>4.1239999999999999E-2</v>
      </c>
      <c r="R10" s="47"/>
      <c r="S10" s="243" t="s">
        <v>501</v>
      </c>
      <c r="T10" s="975">
        <v>2.887E-2</v>
      </c>
      <c r="U10" s="47"/>
      <c r="V10" s="243" t="s">
        <v>501</v>
      </c>
      <c r="W10" s="101">
        <v>3.6069999999999998E-2</v>
      </c>
      <c r="X10" s="47"/>
    </row>
    <row r="11" spans="1:24" x14ac:dyDescent="0.2">
      <c r="A11" s="1039" t="s">
        <v>502</v>
      </c>
      <c r="B11" s="101">
        <v>1.8020000000000001E-2</v>
      </c>
      <c r="C11" s="47"/>
      <c r="D11" s="1039" t="s">
        <v>502</v>
      </c>
      <c r="E11" s="975">
        <v>1.6039999999999999E-2</v>
      </c>
      <c r="F11" s="47"/>
      <c r="G11" s="1039" t="s">
        <v>502</v>
      </c>
      <c r="H11" s="101">
        <v>1.444E-2</v>
      </c>
      <c r="I11" s="47"/>
      <c r="J11" s="1039" t="s">
        <v>502</v>
      </c>
      <c r="K11" s="101">
        <v>2.061E-2</v>
      </c>
      <c r="L11" s="47"/>
      <c r="M11" s="1039" t="s">
        <v>502</v>
      </c>
      <c r="N11" s="101">
        <v>2.4039999999999999E-2</v>
      </c>
      <c r="O11" s="47"/>
      <c r="P11" s="1039" t="s">
        <v>502</v>
      </c>
      <c r="Q11" s="101">
        <v>4.1250000000000002E-2</v>
      </c>
      <c r="R11" s="47"/>
      <c r="S11" s="1039" t="s">
        <v>502</v>
      </c>
      <c r="T11" s="101">
        <v>2.887E-2</v>
      </c>
      <c r="U11" s="47"/>
      <c r="V11" s="1039" t="s">
        <v>502</v>
      </c>
      <c r="W11" s="101">
        <v>3.6069999999999998E-2</v>
      </c>
      <c r="X11" s="47"/>
    </row>
    <row r="12" spans="1:24" x14ac:dyDescent="0.2">
      <c r="A12" s="92" t="s">
        <v>503</v>
      </c>
      <c r="B12" s="101">
        <v>1.8030000000000001E-2</v>
      </c>
      <c r="C12" s="47"/>
      <c r="D12" s="92" t="s">
        <v>503</v>
      </c>
      <c r="E12" s="975">
        <v>1.6029999999999999E-2</v>
      </c>
      <c r="F12" s="47"/>
      <c r="G12" s="92" t="s">
        <v>503</v>
      </c>
      <c r="H12" s="101">
        <v>1.443E-2</v>
      </c>
      <c r="I12" s="47"/>
      <c r="J12" s="92" t="s">
        <v>503</v>
      </c>
      <c r="K12" s="101">
        <v>2.061E-2</v>
      </c>
      <c r="L12" s="47"/>
      <c r="M12" s="92" t="s">
        <v>503</v>
      </c>
      <c r="N12" s="101">
        <v>2.4049999999999998E-2</v>
      </c>
      <c r="O12" s="47"/>
      <c r="P12" s="92" t="s">
        <v>503</v>
      </c>
      <c r="Q12" s="101">
        <v>4.1250000000000002E-2</v>
      </c>
      <c r="R12" s="47"/>
      <c r="S12" s="92" t="s">
        <v>503</v>
      </c>
      <c r="T12" s="101">
        <v>2.887E-2</v>
      </c>
      <c r="U12" s="47"/>
      <c r="V12" s="92" t="s">
        <v>503</v>
      </c>
      <c r="W12" s="101">
        <v>3.6069999999999998E-2</v>
      </c>
      <c r="X12" s="47"/>
    </row>
    <row r="13" spans="1:24" x14ac:dyDescent="0.2">
      <c r="A13" s="463" t="s">
        <v>504</v>
      </c>
      <c r="B13" s="101">
        <v>1.8020000000000001E-2</v>
      </c>
      <c r="C13" s="47"/>
      <c r="D13" s="463" t="s">
        <v>504</v>
      </c>
      <c r="E13" s="975">
        <v>1.6039999999999999E-2</v>
      </c>
      <c r="F13" s="47"/>
      <c r="G13" s="463" t="s">
        <v>504</v>
      </c>
      <c r="H13" s="101">
        <v>1.443E-2</v>
      </c>
      <c r="I13" s="47"/>
      <c r="J13" s="463" t="s">
        <v>504</v>
      </c>
      <c r="K13" s="101">
        <v>2.0619999999999999E-2</v>
      </c>
      <c r="L13" s="47"/>
      <c r="M13" s="463" t="s">
        <v>504</v>
      </c>
      <c r="N13" s="101">
        <v>2.4049999999999998E-2</v>
      </c>
      <c r="O13" s="47"/>
      <c r="P13" s="463" t="s">
        <v>504</v>
      </c>
      <c r="Q13" s="101">
        <v>4.1239999999999999E-2</v>
      </c>
      <c r="R13" s="47"/>
      <c r="S13" s="463" t="s">
        <v>504</v>
      </c>
      <c r="T13" s="101">
        <v>2.887E-2</v>
      </c>
      <c r="U13" s="47"/>
      <c r="V13" s="463" t="s">
        <v>504</v>
      </c>
      <c r="W13" s="101">
        <v>3.6069999999999998E-2</v>
      </c>
      <c r="X13" s="47"/>
    </row>
    <row r="14" spans="1:24" x14ac:dyDescent="0.2">
      <c r="A14" s="92" t="s">
        <v>505</v>
      </c>
      <c r="B14" s="101">
        <v>1.804E-2</v>
      </c>
      <c r="C14" s="47"/>
      <c r="D14" s="92" t="s">
        <v>505</v>
      </c>
      <c r="E14" s="975">
        <v>1.6029999999999999E-2</v>
      </c>
      <c r="F14" s="47"/>
      <c r="G14" s="92" t="s">
        <v>505</v>
      </c>
      <c r="H14" s="101">
        <v>1.443E-2</v>
      </c>
      <c r="I14" s="47"/>
      <c r="J14" s="92" t="s">
        <v>505</v>
      </c>
      <c r="K14" s="101">
        <v>2.0619999999999999E-2</v>
      </c>
      <c r="L14" s="47"/>
      <c r="M14" s="92" t="s">
        <v>505</v>
      </c>
      <c r="N14" s="101">
        <v>2.4049999999999998E-2</v>
      </c>
      <c r="O14" s="47"/>
      <c r="P14" s="92" t="s">
        <v>505</v>
      </c>
      <c r="Q14" s="101">
        <v>4.1250000000000002E-2</v>
      </c>
      <c r="R14" s="47"/>
      <c r="S14" s="92" t="s">
        <v>505</v>
      </c>
      <c r="T14" s="101">
        <v>2.8879999999999999E-2</v>
      </c>
      <c r="U14" s="47"/>
      <c r="V14" s="92" t="s">
        <v>505</v>
      </c>
      <c r="W14" s="101">
        <v>3.6080000000000001E-2</v>
      </c>
      <c r="X14" s="47"/>
    </row>
    <row r="15" spans="1:24" x14ac:dyDescent="0.2">
      <c r="A15" s="1039" t="s">
        <v>502</v>
      </c>
      <c r="B15" s="101">
        <v>1.804E-2</v>
      </c>
      <c r="C15" s="47"/>
      <c r="D15" s="1039" t="s">
        <v>502</v>
      </c>
      <c r="E15" s="975">
        <v>1.6029999999999999E-2</v>
      </c>
      <c r="F15" s="47"/>
      <c r="G15" s="1039" t="s">
        <v>502</v>
      </c>
      <c r="H15" s="101">
        <v>1.443E-2</v>
      </c>
      <c r="I15" s="47"/>
      <c r="J15" s="1039" t="s">
        <v>502</v>
      </c>
      <c r="K15" s="101">
        <v>2.0619999999999999E-2</v>
      </c>
      <c r="L15" s="47"/>
      <c r="M15" s="1039" t="s">
        <v>502</v>
      </c>
      <c r="N15" s="101">
        <v>2.4060000000000002E-2</v>
      </c>
      <c r="O15" s="47"/>
      <c r="P15" s="1039" t="s">
        <v>502</v>
      </c>
      <c r="Q15" s="101">
        <v>4.1250000000000002E-2</v>
      </c>
      <c r="R15" s="47"/>
      <c r="S15" s="1039" t="s">
        <v>502</v>
      </c>
      <c r="T15" s="101">
        <v>2.887E-2</v>
      </c>
      <c r="U15" s="47"/>
      <c r="V15" s="1039" t="s">
        <v>502</v>
      </c>
      <c r="W15" s="101">
        <v>3.6080000000000001E-2</v>
      </c>
      <c r="X15" s="47"/>
    </row>
    <row r="16" spans="1:24" x14ac:dyDescent="0.2">
      <c r="A16" s="92" t="s">
        <v>506</v>
      </c>
      <c r="B16" s="101">
        <v>1.804E-2</v>
      </c>
      <c r="C16" s="47"/>
      <c r="D16" s="92" t="s">
        <v>506</v>
      </c>
      <c r="E16" s="975">
        <v>1.6039999999999999E-2</v>
      </c>
      <c r="F16" s="47"/>
      <c r="G16" s="92" t="s">
        <v>506</v>
      </c>
      <c r="H16" s="101">
        <v>1.443E-2</v>
      </c>
      <c r="I16" s="47"/>
      <c r="J16" s="92" t="s">
        <v>506</v>
      </c>
      <c r="K16" s="101">
        <v>2.0629999999999999E-2</v>
      </c>
      <c r="L16" s="47"/>
      <c r="M16" s="92" t="s">
        <v>506</v>
      </c>
      <c r="N16" s="101">
        <v>2.4049999999999998E-2</v>
      </c>
      <c r="O16" s="47"/>
      <c r="P16" s="92" t="s">
        <v>506</v>
      </c>
      <c r="Q16" s="101">
        <v>4.1239999999999999E-2</v>
      </c>
      <c r="R16" s="47"/>
      <c r="S16" s="92" t="s">
        <v>506</v>
      </c>
      <c r="T16" s="101">
        <v>2.887E-2</v>
      </c>
      <c r="U16" s="47"/>
      <c r="V16" s="92" t="s">
        <v>506</v>
      </c>
      <c r="W16" s="101">
        <v>3.6069999999999998E-2</v>
      </c>
      <c r="X16" s="47"/>
    </row>
    <row r="17" spans="1:25" x14ac:dyDescent="0.2">
      <c r="A17" s="463" t="s">
        <v>504</v>
      </c>
      <c r="B17" s="101">
        <v>1.804E-2</v>
      </c>
      <c r="C17" s="47"/>
      <c r="D17" s="463" t="s">
        <v>504</v>
      </c>
      <c r="E17" s="975">
        <v>1.6039999999999999E-2</v>
      </c>
      <c r="F17" s="47"/>
      <c r="G17" s="463" t="s">
        <v>504</v>
      </c>
      <c r="H17" s="101">
        <v>1.443E-2</v>
      </c>
      <c r="I17" s="47"/>
      <c r="J17" s="463" t="s">
        <v>504</v>
      </c>
      <c r="K17" s="101">
        <v>2.0619999999999999E-2</v>
      </c>
      <c r="L17" s="47"/>
      <c r="M17" s="463" t="s">
        <v>504</v>
      </c>
      <c r="N17" s="101">
        <v>2.4049999999999998E-2</v>
      </c>
      <c r="O17" s="47"/>
      <c r="P17" s="463" t="s">
        <v>504</v>
      </c>
      <c r="Q17" s="101">
        <v>4.1250000000000002E-2</v>
      </c>
      <c r="R17" s="47"/>
      <c r="S17" s="463" t="s">
        <v>504</v>
      </c>
      <c r="T17" s="101">
        <v>2.8879999999999999E-2</v>
      </c>
      <c r="U17" s="47"/>
      <c r="V17" s="463" t="s">
        <v>504</v>
      </c>
      <c r="W17" s="101">
        <v>3.6069999999999998E-2</v>
      </c>
      <c r="X17" s="47"/>
    </row>
    <row r="18" spans="1:25" x14ac:dyDescent="0.2">
      <c r="A18" s="92" t="s">
        <v>507</v>
      </c>
      <c r="B18" s="101">
        <v>1.804E-2</v>
      </c>
      <c r="C18" s="47"/>
      <c r="D18" s="92" t="s">
        <v>507</v>
      </c>
      <c r="E18" s="975">
        <v>1.6039999999999999E-2</v>
      </c>
      <c r="F18" s="47"/>
      <c r="G18" s="92" t="s">
        <v>507</v>
      </c>
      <c r="H18" s="101">
        <v>1.443E-2</v>
      </c>
      <c r="I18" s="47"/>
      <c r="J18" s="92" t="s">
        <v>507</v>
      </c>
      <c r="K18" s="101">
        <v>2.0619999999999999E-2</v>
      </c>
      <c r="L18" s="47"/>
      <c r="M18" s="92" t="s">
        <v>507</v>
      </c>
      <c r="N18" s="101">
        <v>2.4049999999999998E-2</v>
      </c>
      <c r="O18" s="47"/>
      <c r="P18" s="92" t="s">
        <v>507</v>
      </c>
      <c r="Q18" s="101">
        <v>4.1239999999999999E-2</v>
      </c>
      <c r="R18" s="47"/>
      <c r="S18" s="92" t="s">
        <v>507</v>
      </c>
      <c r="T18" s="101">
        <v>2.887E-2</v>
      </c>
      <c r="U18" s="47"/>
      <c r="V18" s="92" t="s">
        <v>507</v>
      </c>
      <c r="W18" s="101">
        <v>3.6069999999999998E-2</v>
      </c>
      <c r="X18" s="47"/>
    </row>
    <row r="19" spans="1:25" x14ac:dyDescent="0.2">
      <c r="A19" s="1039" t="s">
        <v>502</v>
      </c>
      <c r="B19" s="101">
        <v>1.804E-2</v>
      </c>
      <c r="C19" s="47"/>
      <c r="D19" s="1039" t="s">
        <v>502</v>
      </c>
      <c r="E19" s="975">
        <v>1.6039999999999999E-2</v>
      </c>
      <c r="F19" s="47"/>
      <c r="G19" s="1039" t="s">
        <v>502</v>
      </c>
      <c r="H19" s="101">
        <v>1.443E-2</v>
      </c>
      <c r="I19" s="47"/>
      <c r="J19" s="1039" t="s">
        <v>502</v>
      </c>
      <c r="K19" s="101">
        <v>2.0619999999999999E-2</v>
      </c>
      <c r="L19" s="47"/>
      <c r="M19" s="1039" t="s">
        <v>502</v>
      </c>
      <c r="N19" s="101">
        <v>2.4039999999999999E-2</v>
      </c>
      <c r="O19" s="47"/>
      <c r="P19" s="1039" t="s">
        <v>502</v>
      </c>
      <c r="Q19" s="101">
        <v>4.1239999999999999E-2</v>
      </c>
      <c r="R19" s="47"/>
      <c r="S19" s="1039" t="s">
        <v>502</v>
      </c>
      <c r="T19" s="101">
        <v>2.887E-2</v>
      </c>
      <c r="U19" s="47"/>
      <c r="V19" s="1039" t="s">
        <v>502</v>
      </c>
      <c r="W19" s="101">
        <v>3.6069999999999998E-2</v>
      </c>
      <c r="X19" s="47"/>
    </row>
    <row r="20" spans="1:25" x14ac:dyDescent="0.2">
      <c r="A20" s="92" t="s">
        <v>508</v>
      </c>
      <c r="B20" s="101">
        <v>1.804E-2</v>
      </c>
      <c r="C20" s="47"/>
      <c r="D20" s="92" t="s">
        <v>508</v>
      </c>
      <c r="E20" s="975">
        <v>1.6039999999999999E-2</v>
      </c>
      <c r="F20" s="47"/>
      <c r="G20" s="92" t="s">
        <v>508</v>
      </c>
      <c r="H20" s="101">
        <v>1.443E-2</v>
      </c>
      <c r="I20" s="47"/>
      <c r="J20" s="92" t="s">
        <v>508</v>
      </c>
      <c r="K20" s="101">
        <v>2.0619999999999999E-2</v>
      </c>
      <c r="L20" s="47"/>
      <c r="M20" s="92" t="s">
        <v>508</v>
      </c>
      <c r="N20" s="101">
        <v>2.4049999999999998E-2</v>
      </c>
      <c r="O20" s="47"/>
      <c r="P20" s="92" t="s">
        <v>508</v>
      </c>
      <c r="Q20" s="101">
        <v>4.1250000000000002E-2</v>
      </c>
      <c r="R20" s="47"/>
      <c r="S20" s="92" t="s">
        <v>508</v>
      </c>
      <c r="T20" s="101">
        <v>2.887E-2</v>
      </c>
      <c r="U20" s="47"/>
      <c r="V20" s="92" t="s">
        <v>508</v>
      </c>
      <c r="W20" s="101">
        <v>3.6069999999999998E-2</v>
      </c>
      <c r="X20" s="47"/>
    </row>
    <row r="21" spans="1:25" x14ac:dyDescent="0.2">
      <c r="A21" s="463" t="s">
        <v>504</v>
      </c>
      <c r="B21" s="101">
        <v>1.804E-2</v>
      </c>
      <c r="C21" s="47"/>
      <c r="D21" s="463" t="s">
        <v>504</v>
      </c>
      <c r="E21" s="975">
        <v>1.6039999999999999E-2</v>
      </c>
      <c r="F21" s="47"/>
      <c r="G21" s="463" t="s">
        <v>504</v>
      </c>
      <c r="H21" s="101">
        <v>1.443E-2</v>
      </c>
      <c r="I21" s="47"/>
      <c r="J21" s="463" t="s">
        <v>504</v>
      </c>
      <c r="K21" s="101">
        <v>2.0619999999999999E-2</v>
      </c>
      <c r="L21" s="47"/>
      <c r="M21" s="463" t="s">
        <v>504</v>
      </c>
      <c r="N21" s="194">
        <v>2.4049999999999998E-2</v>
      </c>
      <c r="O21" s="47"/>
      <c r="P21" s="463" t="s">
        <v>504</v>
      </c>
      <c r="Q21" s="194">
        <v>4.1239999999999999E-2</v>
      </c>
      <c r="R21" s="47"/>
      <c r="S21" s="463" t="s">
        <v>504</v>
      </c>
      <c r="T21" s="101">
        <v>2.887E-2</v>
      </c>
      <c r="U21" s="47"/>
      <c r="V21" s="463" t="s">
        <v>504</v>
      </c>
      <c r="W21" s="101">
        <v>3.6069999999999998E-2</v>
      </c>
      <c r="X21" s="47"/>
    </row>
    <row r="22" spans="1:25" x14ac:dyDescent="0.2">
      <c r="A22" s="504" t="s">
        <v>73</v>
      </c>
      <c r="B22" s="505">
        <f>ROUND(AVERAGE(B10:B21), 5)</f>
        <v>1.804E-2</v>
      </c>
      <c r="C22" s="47"/>
      <c r="D22" s="504" t="s">
        <v>73</v>
      </c>
      <c r="E22" s="505">
        <f>ROUND(AVERAGE(E10:E21), 5)</f>
        <v>1.6039999999999999E-2</v>
      </c>
      <c r="F22" s="47"/>
      <c r="G22" s="504" t="s">
        <v>73</v>
      </c>
      <c r="H22" s="505">
        <f>ROUND(AVERAGE(H10:H21), 5)</f>
        <v>1.443E-2</v>
      </c>
      <c r="I22" s="47"/>
      <c r="J22" s="504" t="s">
        <v>73</v>
      </c>
      <c r="K22" s="505">
        <f>ROUND(AVERAGE(K10:K21), 5)</f>
        <v>2.0619999999999999E-2</v>
      </c>
      <c r="L22" s="47"/>
      <c r="M22" s="504" t="s">
        <v>73</v>
      </c>
      <c r="N22" s="505">
        <f>ROUND(AVERAGE(N10:N21), 5)</f>
        <v>2.4049999999999998E-2</v>
      </c>
      <c r="O22" s="47"/>
      <c r="P22" s="504" t="s">
        <v>73</v>
      </c>
      <c r="Q22" s="505">
        <f>ROUND(AVERAGE(Q10:Q21), 5)</f>
        <v>4.1250000000000002E-2</v>
      </c>
      <c r="R22" s="47"/>
      <c r="S22" s="494" t="s">
        <v>73</v>
      </c>
      <c r="T22" s="502">
        <f>ROUND(AVERAGE(T10:T21), 5)</f>
        <v>2.887E-2</v>
      </c>
      <c r="U22" s="47"/>
      <c r="V22" s="494" t="s">
        <v>73</v>
      </c>
      <c r="W22" s="502">
        <f>ROUND(AVERAGE(W10:W21), 5)</f>
        <v>3.6069999999999998E-2</v>
      </c>
      <c r="X22" s="47"/>
    </row>
    <row r="23" spans="1:25" ht="16.5" customHeight="1" thickBot="1" x14ac:dyDescent="0.25">
      <c r="A23" s="501" t="s">
        <v>74</v>
      </c>
      <c r="B23" s="503">
        <f>(IF(B7="ACME - 29°","--",3*(B22)-(0.866/B8)))</f>
        <v>2.7057500000000002E-2</v>
      </c>
      <c r="C23" s="47"/>
      <c r="D23" s="501" t="s">
        <v>74</v>
      </c>
      <c r="E23" s="503">
        <f>(IF(E7="ACME - 29°","--",3*(E22)-(0.866/E8)))</f>
        <v>2.406444444444444E-2</v>
      </c>
      <c r="F23" s="47"/>
      <c r="G23" s="501" t="s">
        <v>74</v>
      </c>
      <c r="H23" s="503">
        <f>(IF(H7="ACME - 29°","--",3*(H22)-(0.866/H8)))</f>
        <v>2.1640000000000003E-2</v>
      </c>
      <c r="I23" s="47"/>
      <c r="J23" s="501" t="s">
        <v>74</v>
      </c>
      <c r="K23" s="503">
        <f>(IF(K7="ACME - 29°","--",3*(K22)-(0.86603/K8)))</f>
        <v>3.0930357142857141E-2</v>
      </c>
      <c r="L23" s="47"/>
      <c r="M23" s="501" t="s">
        <v>74</v>
      </c>
      <c r="N23" s="503">
        <f>(IF(N7="ACME - 29°","--",3*(N22)-(0.86603/N8)))</f>
        <v>3.6065416666666662E-2</v>
      </c>
      <c r="O23" s="47"/>
      <c r="P23" s="501" t="s">
        <v>74</v>
      </c>
      <c r="Q23" s="503">
        <f>(IF(Q7="ACME - 29°","--",3*(Q22)-(0.86603/Q8)))</f>
        <v>6.1890714285714285E-2</v>
      </c>
      <c r="R23" s="47"/>
      <c r="S23" s="501" t="s">
        <v>74</v>
      </c>
      <c r="T23" s="503">
        <f>(IF(B7="ACME - 29°","--",3*(T22)-(0.86603/T8)))</f>
        <v>4.3308499999999993E-2</v>
      </c>
      <c r="U23" s="47"/>
      <c r="V23" s="501" t="s">
        <v>74</v>
      </c>
      <c r="W23" s="503">
        <f>(IF(W7="ACME - 29°","--",3*(W22)-(0.86603/W8)))</f>
        <v>5.4083125000000003E-2</v>
      </c>
      <c r="X23" s="47"/>
    </row>
    <row r="24" spans="1:25" s="47" customFormat="1" ht="6.75" customHeight="1" thickBot="1" x14ac:dyDescent="0.25">
      <c r="A24" s="246"/>
      <c r="B24" s="247"/>
      <c r="D24" s="246"/>
      <c r="E24" s="248"/>
      <c r="G24" s="246"/>
      <c r="H24" s="247"/>
      <c r="J24" s="246"/>
      <c r="K24" s="247"/>
      <c r="M24" s="246"/>
      <c r="N24" s="247"/>
      <c r="P24" s="246"/>
      <c r="Q24" s="248"/>
      <c r="S24" s="246"/>
      <c r="T24" s="247"/>
      <c r="V24" s="246"/>
      <c r="W24" s="247"/>
      <c r="Y24"/>
    </row>
    <row r="25" spans="1:25" ht="15.75" thickBot="1" x14ac:dyDescent="0.3">
      <c r="A25" s="235" t="s">
        <v>69</v>
      </c>
      <c r="B25" s="417" t="s">
        <v>1565</v>
      </c>
      <c r="C25" s="237"/>
      <c r="D25" s="235" t="s">
        <v>69</v>
      </c>
      <c r="E25" s="417" t="s">
        <v>1566</v>
      </c>
      <c r="F25" s="237"/>
      <c r="G25" s="235" t="s">
        <v>69</v>
      </c>
      <c r="H25" s="417" t="s">
        <v>1567</v>
      </c>
      <c r="I25" s="237"/>
      <c r="J25" s="235" t="s">
        <v>69</v>
      </c>
      <c r="K25" s="417" t="s">
        <v>1568</v>
      </c>
      <c r="L25" s="237"/>
      <c r="M25" s="235" t="s">
        <v>69</v>
      </c>
      <c r="N25" s="417"/>
      <c r="O25" s="237"/>
      <c r="P25" s="235" t="s">
        <v>69</v>
      </c>
      <c r="Q25" s="417"/>
      <c r="R25" s="237"/>
      <c r="S25" s="235" t="s">
        <v>69</v>
      </c>
      <c r="T25" s="236"/>
      <c r="U25" s="237"/>
      <c r="V25" s="235" t="s">
        <v>69</v>
      </c>
      <c r="W25" s="236"/>
      <c r="X25" s="237"/>
    </row>
    <row r="26" spans="1:25" ht="15" x14ac:dyDescent="0.25">
      <c r="A26" s="239" t="s">
        <v>70</v>
      </c>
      <c r="B26" s="872" t="s">
        <v>499</v>
      </c>
      <c r="C26" s="237"/>
      <c r="D26" s="240" t="s">
        <v>70</v>
      </c>
      <c r="E26" s="872" t="s">
        <v>499</v>
      </c>
      <c r="F26" s="237"/>
      <c r="G26" s="239" t="s">
        <v>70</v>
      </c>
      <c r="H26" s="872" t="s">
        <v>499</v>
      </c>
      <c r="I26" s="237"/>
      <c r="J26" s="239" t="s">
        <v>70</v>
      </c>
      <c r="K26" s="872" t="s">
        <v>499</v>
      </c>
      <c r="L26" s="237"/>
      <c r="M26" s="239" t="s">
        <v>70</v>
      </c>
      <c r="N26" s="872" t="s">
        <v>499</v>
      </c>
      <c r="O26" s="237"/>
      <c r="P26" s="240" t="s">
        <v>70</v>
      </c>
      <c r="Q26" s="872" t="s">
        <v>499</v>
      </c>
      <c r="R26" s="237"/>
      <c r="S26" s="239" t="s">
        <v>70</v>
      </c>
      <c r="T26" s="872" t="s">
        <v>499</v>
      </c>
      <c r="U26" s="237"/>
      <c r="V26" s="239" t="s">
        <v>70</v>
      </c>
      <c r="W26" s="872" t="s">
        <v>499</v>
      </c>
      <c r="X26" s="237"/>
    </row>
    <row r="27" spans="1:25" x14ac:dyDescent="0.2">
      <c r="A27" s="186" t="s">
        <v>71</v>
      </c>
      <c r="B27" s="194">
        <v>8</v>
      </c>
      <c r="C27" s="47"/>
      <c r="D27" s="186" t="s">
        <v>71</v>
      </c>
      <c r="E27" s="875">
        <v>14</v>
      </c>
      <c r="F27" s="47"/>
      <c r="G27" s="186" t="s">
        <v>71</v>
      </c>
      <c r="H27" s="194">
        <v>16</v>
      </c>
      <c r="I27" s="47"/>
      <c r="J27" s="186" t="s">
        <v>71</v>
      </c>
      <c r="K27" s="194">
        <v>18</v>
      </c>
      <c r="L27" s="47"/>
      <c r="M27" s="186" t="s">
        <v>71</v>
      </c>
      <c r="N27" s="194"/>
      <c r="O27" s="47"/>
      <c r="P27" s="186" t="s">
        <v>71</v>
      </c>
      <c r="Q27" s="194"/>
      <c r="R27" s="47"/>
      <c r="S27" s="186" t="s">
        <v>71</v>
      </c>
      <c r="T27" s="194"/>
      <c r="U27" s="47"/>
      <c r="V27" s="186" t="s">
        <v>71</v>
      </c>
      <c r="W27" s="194"/>
      <c r="X27" s="47"/>
    </row>
    <row r="28" spans="1:25" ht="13.5" thickBot="1" x14ac:dyDescent="0.25">
      <c r="A28" s="241" t="s">
        <v>72</v>
      </c>
      <c r="B28" s="242">
        <f>IF(B26="Regular - 60°",VLOOKUP(B27,'[2]Thread Wire Nominal Sizes'!$A$4:$B$37,2,FALSE),VLOOKUP(B27,'[2]Thread Wire Nominal Sizes'!$D$4:$E$25,2,FALSE))</f>
        <v>7.2168750000000004E-2</v>
      </c>
      <c r="C28" s="47"/>
      <c r="D28" s="241" t="s">
        <v>72</v>
      </c>
      <c r="E28" s="242">
        <f>IF(E26="Regular - 60°",VLOOKUP(E27,'[2]Thread Wire Nominal Sizes'!$A$4:$B$37,2,FALSE),VLOOKUP(E27,'[2]Thread Wire Nominal Sizes'!$D$4:$E$25,2,FALSE))</f>
        <v>4.1239285714285714E-2</v>
      </c>
      <c r="F28" s="47"/>
      <c r="G28" s="241" t="s">
        <v>72</v>
      </c>
      <c r="H28" s="242">
        <f>IF(H26="Regular - 60°",VLOOKUP(H27,'[2]Thread Wire Nominal Sizes'!$A$4:$B$37,2,FALSE),VLOOKUP(H27,'[2]Thread Wire Nominal Sizes'!$D$4:$E$25,2,FALSE))</f>
        <v>3.6084375000000002E-2</v>
      </c>
      <c r="I28" s="47"/>
      <c r="J28" s="241" t="s">
        <v>72</v>
      </c>
      <c r="K28" s="242">
        <f>IF(K26="Regular - 60°",VLOOKUP(K27,'[2]Thread Wire Nominal Sizes'!$A$4:$B$39,2,FALSE),VLOOKUP(K27,'[2]Thread Wire Nominal Sizes'!$D$4:$E$25,2,FALSE))</f>
        <v>3.2074999999999999E-2</v>
      </c>
      <c r="L28" s="47"/>
      <c r="M28" s="241" t="s">
        <v>72</v>
      </c>
      <c r="N28" s="242" t="e">
        <f>IF(N26="Regular - 60°",VLOOKUP(N27,'[2]Thread Wire Nominal Sizes'!$A$4:$B$39,2,FALSE),VLOOKUP(N27,'[2]Thread Wire Nominal Sizes'!$D$4:$E$25,2,FALSE))</f>
        <v>#N/A</v>
      </c>
      <c r="O28" s="47"/>
      <c r="P28" s="241" t="s">
        <v>72</v>
      </c>
      <c r="Q28" s="242" t="e">
        <f>IF(Q26="Regular - 60°",VLOOKUP(Q27,'[2]Thread Wire Nominal Sizes'!$A$4:$B$39,2,FALSE),VLOOKUP(Q27,'[2]Thread Wire Nominal Sizes'!$D$4:$E$25,2,FALSE))</f>
        <v>#N/A</v>
      </c>
      <c r="R28" s="47"/>
      <c r="S28" s="241" t="s">
        <v>72</v>
      </c>
      <c r="T28" s="242" t="e">
        <f>IF(T26="Regular - 60°",VLOOKUP(T27,'[2]Thread Wire Nominal Sizes'!$A$4:$B$39,2,FALSE),VLOOKUP(T27,'[2]Thread Wire Nominal Sizes'!$D$4:$E$25,2,FALSE))</f>
        <v>#N/A</v>
      </c>
      <c r="U28" s="47"/>
      <c r="V28" s="241" t="s">
        <v>72</v>
      </c>
      <c r="W28" s="242" t="e">
        <f>IF(W26="Regular - 60°",VLOOKUP(W27,'[2]Thread Wire Nominal Sizes'!$A4:$B39,2,FALSE),VLOOKUP(W27,'[2]Thread Wire Nominal Sizes'!$D4:$E25,2,FALSE))</f>
        <v>#N/A</v>
      </c>
      <c r="X28" s="47"/>
    </row>
    <row r="29" spans="1:25" ht="13.5" thickTop="1" x14ac:dyDescent="0.2">
      <c r="A29" s="243" t="s">
        <v>501</v>
      </c>
      <c r="B29" s="101">
        <v>7.2160000000000002E-2</v>
      </c>
      <c r="C29" s="47"/>
      <c r="D29" s="243" t="s">
        <v>501</v>
      </c>
      <c r="E29" s="101">
        <v>4.122E-2</v>
      </c>
      <c r="F29" s="47"/>
      <c r="G29" s="243" t="s">
        <v>501</v>
      </c>
      <c r="H29" s="101">
        <v>3.6060000000000002E-2</v>
      </c>
      <c r="I29" s="47"/>
      <c r="J29" s="243" t="s">
        <v>501</v>
      </c>
      <c r="K29" s="101">
        <v>3.2070000000000001E-2</v>
      </c>
      <c r="L29" s="47"/>
      <c r="M29" s="243" t="s">
        <v>501</v>
      </c>
      <c r="N29" s="101"/>
      <c r="O29" s="47"/>
      <c r="P29" s="243" t="s">
        <v>501</v>
      </c>
      <c r="Q29" s="101"/>
      <c r="R29" s="47"/>
      <c r="S29" s="243" t="s">
        <v>501</v>
      </c>
      <c r="T29" s="101"/>
      <c r="U29" s="47"/>
      <c r="V29" s="243" t="s">
        <v>501</v>
      </c>
      <c r="W29" s="101"/>
      <c r="X29" s="47"/>
    </row>
    <row r="30" spans="1:25" x14ac:dyDescent="0.2">
      <c r="A30" s="1039" t="s">
        <v>502</v>
      </c>
      <c r="B30" s="101">
        <v>7.2160000000000002E-2</v>
      </c>
      <c r="C30" s="47"/>
      <c r="D30" s="1039" t="s">
        <v>502</v>
      </c>
      <c r="E30" s="101">
        <v>4.1230000000000003E-2</v>
      </c>
      <c r="F30" s="47"/>
      <c r="G30" s="1039" t="s">
        <v>502</v>
      </c>
      <c r="H30" s="101">
        <v>3.6060000000000002E-2</v>
      </c>
      <c r="I30" s="47"/>
      <c r="J30" s="1039" t="s">
        <v>502</v>
      </c>
      <c r="K30" s="101">
        <v>3.2079999999999997E-2</v>
      </c>
      <c r="L30" s="47"/>
      <c r="M30" s="1039" t="s">
        <v>502</v>
      </c>
      <c r="N30" s="101"/>
      <c r="O30" s="47"/>
      <c r="P30" s="1039" t="s">
        <v>502</v>
      </c>
      <c r="Q30" s="101"/>
      <c r="R30" s="47"/>
      <c r="S30" s="1039" t="s">
        <v>502</v>
      </c>
      <c r="T30" s="101"/>
      <c r="U30" s="47"/>
      <c r="V30" s="1039" t="s">
        <v>502</v>
      </c>
      <c r="W30" s="101"/>
      <c r="X30" s="47"/>
    </row>
    <row r="31" spans="1:25" x14ac:dyDescent="0.2">
      <c r="A31" s="92" t="s">
        <v>503</v>
      </c>
      <c r="B31" s="101">
        <v>7.2150000000000006E-2</v>
      </c>
      <c r="C31" s="47"/>
      <c r="D31" s="92" t="s">
        <v>503</v>
      </c>
      <c r="E31" s="101">
        <v>4.1230000000000003E-2</v>
      </c>
      <c r="F31" s="47"/>
      <c r="G31" s="92" t="s">
        <v>503</v>
      </c>
      <c r="H31" s="101">
        <v>3.6069999999999998E-2</v>
      </c>
      <c r="I31" s="47"/>
      <c r="J31" s="92" t="s">
        <v>503</v>
      </c>
      <c r="K31" s="101">
        <v>3.2079999999999997E-2</v>
      </c>
      <c r="L31" s="47"/>
      <c r="M31" s="92" t="s">
        <v>503</v>
      </c>
      <c r="N31" s="101"/>
      <c r="O31" s="47"/>
      <c r="P31" s="92" t="s">
        <v>503</v>
      </c>
      <c r="Q31" s="101"/>
      <c r="R31" s="47"/>
      <c r="S31" s="92" t="s">
        <v>503</v>
      </c>
      <c r="T31" s="101"/>
      <c r="U31" s="47"/>
      <c r="V31" s="92" t="s">
        <v>503</v>
      </c>
      <c r="W31" s="101"/>
      <c r="X31" s="47"/>
    </row>
    <row r="32" spans="1:25" x14ac:dyDescent="0.2">
      <c r="A32" s="463" t="s">
        <v>504</v>
      </c>
      <c r="B32" s="101">
        <v>7.2150000000000006E-2</v>
      </c>
      <c r="C32" s="47"/>
      <c r="D32" s="463" t="s">
        <v>504</v>
      </c>
      <c r="E32" s="101">
        <v>4.1230000000000003E-2</v>
      </c>
      <c r="F32" s="47"/>
      <c r="G32" s="463" t="s">
        <v>504</v>
      </c>
      <c r="H32" s="101">
        <v>3.6069999999999998E-2</v>
      </c>
      <c r="I32" s="47"/>
      <c r="J32" s="463" t="s">
        <v>504</v>
      </c>
      <c r="K32" s="101">
        <v>3.2070000000000001E-2</v>
      </c>
      <c r="L32" s="47"/>
      <c r="M32" s="463" t="s">
        <v>504</v>
      </c>
      <c r="N32" s="101"/>
      <c r="O32" s="47"/>
      <c r="P32" s="463" t="s">
        <v>504</v>
      </c>
      <c r="Q32" s="101"/>
      <c r="R32" s="47"/>
      <c r="S32" s="463" t="s">
        <v>504</v>
      </c>
      <c r="T32" s="101"/>
      <c r="U32" s="47"/>
      <c r="V32" s="463" t="s">
        <v>504</v>
      </c>
      <c r="W32" s="101"/>
      <c r="X32" s="47"/>
    </row>
    <row r="33" spans="1:24" x14ac:dyDescent="0.2">
      <c r="A33" s="92" t="s">
        <v>505</v>
      </c>
      <c r="B33" s="101">
        <v>7.2160000000000002E-2</v>
      </c>
      <c r="C33" s="47"/>
      <c r="D33" s="92" t="s">
        <v>505</v>
      </c>
      <c r="E33" s="101">
        <v>4.122E-2</v>
      </c>
      <c r="F33" s="47"/>
      <c r="G33" s="92" t="s">
        <v>505</v>
      </c>
      <c r="H33" s="101">
        <v>3.6069999999999998E-2</v>
      </c>
      <c r="I33" s="47"/>
      <c r="J33" s="92" t="s">
        <v>505</v>
      </c>
      <c r="K33" s="101">
        <v>3.2079999999999997E-2</v>
      </c>
      <c r="L33" s="47"/>
      <c r="M33" s="92" t="s">
        <v>505</v>
      </c>
      <c r="N33" s="101"/>
      <c r="O33" s="47"/>
      <c r="P33" s="92" t="s">
        <v>505</v>
      </c>
      <c r="Q33" s="101"/>
      <c r="R33" s="47"/>
      <c r="S33" s="92" t="s">
        <v>505</v>
      </c>
      <c r="T33" s="101"/>
      <c r="U33" s="47"/>
      <c r="V33" s="92" t="s">
        <v>505</v>
      </c>
      <c r="W33" s="101"/>
      <c r="X33" s="47"/>
    </row>
    <row r="34" spans="1:24" x14ac:dyDescent="0.2">
      <c r="A34" s="1039" t="s">
        <v>502</v>
      </c>
      <c r="B34" s="101">
        <v>7.2150000000000006E-2</v>
      </c>
      <c r="C34" s="47"/>
      <c r="D34" s="1039" t="s">
        <v>502</v>
      </c>
      <c r="E34" s="101">
        <v>4.1230000000000003E-2</v>
      </c>
      <c r="F34" s="47"/>
      <c r="G34" s="1039" t="s">
        <v>502</v>
      </c>
      <c r="H34" s="101">
        <v>3.6069999999999998E-2</v>
      </c>
      <c r="I34" s="47"/>
      <c r="J34" s="1039" t="s">
        <v>502</v>
      </c>
      <c r="K34" s="101">
        <v>3.2079999999999997E-2</v>
      </c>
      <c r="L34" s="47"/>
      <c r="M34" s="1039" t="s">
        <v>502</v>
      </c>
      <c r="N34" s="101"/>
      <c r="O34" s="47"/>
      <c r="P34" s="1039" t="s">
        <v>502</v>
      </c>
      <c r="Q34" s="101"/>
      <c r="R34" s="47"/>
      <c r="S34" s="1039" t="s">
        <v>502</v>
      </c>
      <c r="T34" s="101"/>
      <c r="U34" s="47"/>
      <c r="V34" s="1039" t="s">
        <v>502</v>
      </c>
      <c r="W34" s="101"/>
      <c r="X34" s="47"/>
    </row>
    <row r="35" spans="1:24" x14ac:dyDescent="0.2">
      <c r="A35" s="92" t="s">
        <v>506</v>
      </c>
      <c r="B35" s="101">
        <v>7.2150000000000006E-2</v>
      </c>
      <c r="C35" s="47"/>
      <c r="D35" s="92" t="s">
        <v>506</v>
      </c>
      <c r="E35" s="101">
        <v>4.1230000000000003E-2</v>
      </c>
      <c r="F35" s="47"/>
      <c r="G35" s="92" t="s">
        <v>506</v>
      </c>
      <c r="H35" s="101">
        <v>3.6069999999999998E-2</v>
      </c>
      <c r="I35" s="47"/>
      <c r="J35" s="92" t="s">
        <v>506</v>
      </c>
      <c r="K35" s="101">
        <v>3.2079999999999997E-2</v>
      </c>
      <c r="L35" s="47"/>
      <c r="M35" s="92" t="s">
        <v>506</v>
      </c>
      <c r="N35" s="101"/>
      <c r="O35" s="47"/>
      <c r="P35" s="92" t="s">
        <v>506</v>
      </c>
      <c r="Q35" s="101"/>
      <c r="R35" s="47"/>
      <c r="S35" s="92" t="s">
        <v>506</v>
      </c>
      <c r="T35" s="101"/>
      <c r="U35" s="47"/>
      <c r="V35" s="92" t="s">
        <v>506</v>
      </c>
      <c r="W35" s="101"/>
      <c r="X35" s="47"/>
    </row>
    <row r="36" spans="1:24" x14ac:dyDescent="0.2">
      <c r="A36" s="463" t="s">
        <v>504</v>
      </c>
      <c r="B36" s="101">
        <v>7.2150000000000006E-2</v>
      </c>
      <c r="C36" s="47"/>
      <c r="D36" s="463" t="s">
        <v>504</v>
      </c>
      <c r="E36" s="101">
        <v>4.1230000000000003E-2</v>
      </c>
      <c r="F36" s="47"/>
      <c r="G36" s="463" t="s">
        <v>504</v>
      </c>
      <c r="H36" s="101">
        <v>3.6060000000000002E-2</v>
      </c>
      <c r="I36" s="47"/>
      <c r="J36" s="463" t="s">
        <v>504</v>
      </c>
      <c r="K36" s="101">
        <v>3.2079999999999997E-2</v>
      </c>
      <c r="L36" s="47"/>
      <c r="M36" s="463" t="s">
        <v>504</v>
      </c>
      <c r="N36" s="101"/>
      <c r="O36" s="47"/>
      <c r="P36" s="463" t="s">
        <v>504</v>
      </c>
      <c r="Q36" s="101"/>
      <c r="R36" s="47"/>
      <c r="S36" s="463" t="s">
        <v>504</v>
      </c>
      <c r="T36" s="101"/>
      <c r="U36" s="47"/>
      <c r="V36" s="463" t="s">
        <v>504</v>
      </c>
      <c r="W36" s="101"/>
      <c r="X36" s="47"/>
    </row>
    <row r="37" spans="1:24" x14ac:dyDescent="0.2">
      <c r="A37" s="92" t="s">
        <v>507</v>
      </c>
      <c r="B37" s="101">
        <v>7.2160000000000002E-2</v>
      </c>
      <c r="C37" s="47"/>
      <c r="D37" s="92" t="s">
        <v>507</v>
      </c>
      <c r="E37" s="101">
        <v>4.1230000000000003E-2</v>
      </c>
      <c r="F37" s="47"/>
      <c r="G37" s="92" t="s">
        <v>507</v>
      </c>
      <c r="H37" s="101">
        <v>3.6069999999999998E-2</v>
      </c>
      <c r="I37" s="47"/>
      <c r="J37" s="92" t="s">
        <v>507</v>
      </c>
      <c r="K37" s="975">
        <v>3.2070000000000001E-2</v>
      </c>
      <c r="L37" s="47"/>
      <c r="M37" s="92" t="s">
        <v>507</v>
      </c>
      <c r="N37" s="101"/>
      <c r="O37" s="47"/>
      <c r="P37" s="92" t="s">
        <v>507</v>
      </c>
      <c r="Q37" s="101"/>
      <c r="R37" s="47"/>
      <c r="S37" s="92" t="s">
        <v>507</v>
      </c>
      <c r="T37" s="101"/>
      <c r="U37" s="47"/>
      <c r="V37" s="92" t="s">
        <v>507</v>
      </c>
      <c r="W37" s="101"/>
      <c r="X37" s="47"/>
    </row>
    <row r="38" spans="1:24" x14ac:dyDescent="0.2">
      <c r="A38" s="1039" t="s">
        <v>502</v>
      </c>
      <c r="B38" s="101">
        <v>7.2160000000000002E-2</v>
      </c>
      <c r="C38" s="47"/>
      <c r="D38" s="1039" t="s">
        <v>502</v>
      </c>
      <c r="E38" s="101">
        <v>4.1230000000000003E-2</v>
      </c>
      <c r="F38" s="47"/>
      <c r="G38" s="1039" t="s">
        <v>502</v>
      </c>
      <c r="H38" s="101">
        <v>3.6069999999999998E-2</v>
      </c>
      <c r="I38" s="47"/>
      <c r="J38" s="1039" t="s">
        <v>502</v>
      </c>
      <c r="K38" s="101">
        <v>3.2079999999999997E-2</v>
      </c>
      <c r="L38" s="47"/>
      <c r="M38" s="1039" t="s">
        <v>502</v>
      </c>
      <c r="N38" s="101"/>
      <c r="O38" s="47"/>
      <c r="P38" s="1039" t="s">
        <v>502</v>
      </c>
      <c r="Q38" s="101"/>
      <c r="R38" s="47"/>
      <c r="S38" s="1039" t="s">
        <v>502</v>
      </c>
      <c r="T38" s="101"/>
      <c r="U38" s="47"/>
      <c r="V38" s="1039" t="s">
        <v>502</v>
      </c>
      <c r="W38" s="101"/>
      <c r="X38" s="47"/>
    </row>
    <row r="39" spans="1:24" x14ac:dyDescent="0.2">
      <c r="A39" s="92" t="s">
        <v>508</v>
      </c>
      <c r="B39" s="101">
        <v>7.2169999999999998E-2</v>
      </c>
      <c r="C39" s="47"/>
      <c r="D39" s="92" t="s">
        <v>508</v>
      </c>
      <c r="E39" s="101">
        <v>4.1230000000000003E-2</v>
      </c>
      <c r="F39" s="47"/>
      <c r="G39" s="92" t="s">
        <v>508</v>
      </c>
      <c r="H39" s="101">
        <v>3.6069999999999998E-2</v>
      </c>
      <c r="I39" s="47"/>
      <c r="J39" s="92" t="s">
        <v>508</v>
      </c>
      <c r="K39" s="101">
        <v>3.2079999999999997E-2</v>
      </c>
      <c r="L39" s="47"/>
      <c r="M39" s="92" t="s">
        <v>508</v>
      </c>
      <c r="N39" s="101"/>
      <c r="O39" s="47"/>
      <c r="P39" s="92" t="s">
        <v>508</v>
      </c>
      <c r="Q39" s="101"/>
      <c r="R39" s="47"/>
      <c r="S39" s="92" t="s">
        <v>508</v>
      </c>
      <c r="T39" s="101"/>
      <c r="U39" s="47"/>
      <c r="V39" s="92" t="s">
        <v>508</v>
      </c>
      <c r="W39" s="101"/>
      <c r="X39" s="47"/>
    </row>
    <row r="40" spans="1:24" x14ac:dyDescent="0.2">
      <c r="A40" s="463" t="s">
        <v>504</v>
      </c>
      <c r="B40" s="101">
        <v>7.2169999999999998E-2</v>
      </c>
      <c r="C40" s="47"/>
      <c r="D40" s="463" t="s">
        <v>504</v>
      </c>
      <c r="E40" s="101">
        <v>4.122E-2</v>
      </c>
      <c r="F40" s="47"/>
      <c r="G40" s="463" t="s">
        <v>504</v>
      </c>
      <c r="H40" s="101">
        <v>3.6069999999999998E-2</v>
      </c>
      <c r="I40" s="47"/>
      <c r="J40" s="463" t="s">
        <v>504</v>
      </c>
      <c r="K40" s="101">
        <v>3.2079999999999997E-2</v>
      </c>
      <c r="L40" s="47"/>
      <c r="M40" s="463" t="s">
        <v>504</v>
      </c>
      <c r="N40" s="101"/>
      <c r="O40" s="47"/>
      <c r="P40" s="463" t="s">
        <v>504</v>
      </c>
      <c r="Q40" s="101"/>
      <c r="R40" s="47"/>
      <c r="S40" s="463" t="s">
        <v>504</v>
      </c>
      <c r="T40" s="101"/>
      <c r="U40" s="47"/>
      <c r="V40" s="463" t="s">
        <v>504</v>
      </c>
      <c r="W40" s="101"/>
      <c r="X40" s="47"/>
    </row>
    <row r="41" spans="1:24" x14ac:dyDescent="0.2">
      <c r="A41" s="494" t="s">
        <v>73</v>
      </c>
      <c r="B41" s="502">
        <f>ROUND(AVERAGE(B29:B40), 5)</f>
        <v>7.2160000000000002E-2</v>
      </c>
      <c r="C41" s="47"/>
      <c r="D41" s="494" t="s">
        <v>73</v>
      </c>
      <c r="E41" s="502">
        <f>ROUND(AVERAGE(E29:E40), 5)</f>
        <v>4.1230000000000003E-2</v>
      </c>
      <c r="F41" s="47"/>
      <c r="G41" s="494" t="s">
        <v>73</v>
      </c>
      <c r="H41" s="502">
        <f>ROUND(AVERAGE(H29:H40), 5)</f>
        <v>3.6069999999999998E-2</v>
      </c>
      <c r="I41" s="47"/>
      <c r="J41" s="494" t="s">
        <v>73</v>
      </c>
      <c r="K41" s="502">
        <f>ROUND(AVERAGE(K29:K40), 5)</f>
        <v>3.2079999999999997E-2</v>
      </c>
      <c r="L41" s="47"/>
      <c r="M41" s="494" t="s">
        <v>73</v>
      </c>
      <c r="N41" s="502" t="e">
        <f>ROUND(AVERAGE(N29:N40), 5)</f>
        <v>#DIV/0!</v>
      </c>
      <c r="O41" s="47"/>
      <c r="P41" s="494" t="s">
        <v>73</v>
      </c>
      <c r="Q41" s="502" t="e">
        <f>ROUND(AVERAGE(Q29:Q40), 5)</f>
        <v>#DIV/0!</v>
      </c>
      <c r="R41" s="47"/>
      <c r="S41" s="494" t="s">
        <v>73</v>
      </c>
      <c r="T41" s="502" t="e">
        <f>ROUND(AVERAGE(T29:T40), 5)</f>
        <v>#DIV/0!</v>
      </c>
      <c r="U41" s="47"/>
      <c r="V41" s="494" t="s">
        <v>73</v>
      </c>
      <c r="W41" s="502" t="e">
        <f>ROUND(AVERAGE(W29:W40), 5)</f>
        <v>#DIV/0!</v>
      </c>
      <c r="X41" s="47"/>
    </row>
    <row r="42" spans="1:24" ht="13.5" thickBot="1" x14ac:dyDescent="0.25">
      <c r="A42" s="501" t="s">
        <v>74</v>
      </c>
      <c r="B42" s="503">
        <f>(IF(B26="ACME - 29°","--",3*(B41)-(0.86603/B27)))</f>
        <v>0.10822625000000001</v>
      </c>
      <c r="C42" s="47"/>
      <c r="D42" s="501" t="s">
        <v>74</v>
      </c>
      <c r="E42" s="503">
        <f>(IF(E26="ACME - 29°","--",3*(E41)-(0.86603/E27)))</f>
        <v>6.1830714285714294E-2</v>
      </c>
      <c r="F42" s="47"/>
      <c r="G42" s="501" t="s">
        <v>74</v>
      </c>
      <c r="H42" s="503">
        <f>(IF(H26="ACME - 29°","--",3*(H41)-(0.86603/H27)))</f>
        <v>5.4083125000000003E-2</v>
      </c>
      <c r="I42" s="47"/>
      <c r="J42" s="501" t="s">
        <v>74</v>
      </c>
      <c r="K42" s="503">
        <f>(IF(K26="ACME - 29°","--",3*(K41)-(0.86603/K27)))</f>
        <v>4.8127222222222217E-2</v>
      </c>
      <c r="L42" s="47"/>
      <c r="M42" s="501" t="s">
        <v>74</v>
      </c>
      <c r="N42" s="503" t="e">
        <f>(IF(N26="ACME - 29°","--",3*(N41)-(0.86603/N27)))</f>
        <v>#DIV/0!</v>
      </c>
      <c r="O42" s="47"/>
      <c r="P42" s="501" t="s">
        <v>74</v>
      </c>
      <c r="Q42" s="503" t="e">
        <f>(IF(Q26="ACME - 29°","--",3*(Q41)-(0.86603/Q27)))</f>
        <v>#DIV/0!</v>
      </c>
      <c r="R42" s="47"/>
      <c r="S42" s="501" t="s">
        <v>74</v>
      </c>
      <c r="T42" s="503" t="e">
        <f>(IF(T26="ACME - 29°","--",3*(T41)-(0.86603/T27)))</f>
        <v>#DIV/0!</v>
      </c>
      <c r="U42" s="47"/>
      <c r="V42" s="501" t="s">
        <v>74</v>
      </c>
      <c r="W42" s="503" t="e">
        <f>(IF(W26="ACME - 29°","--",3*(W41)-(0.86603/W27)))</f>
        <v>#DIV/0!</v>
      </c>
      <c r="X42" s="47"/>
    </row>
    <row r="43" spans="1:24" ht="15.75" thickBot="1" x14ac:dyDescent="0.3">
      <c r="A43" s="237"/>
      <c r="B43" s="237"/>
      <c r="C43" s="47"/>
      <c r="D43" s="47"/>
      <c r="E43" s="47"/>
      <c r="F43" s="47"/>
      <c r="G43" s="47"/>
      <c r="H43" s="47"/>
      <c r="I43" s="47"/>
      <c r="J43" s="47"/>
      <c r="K43" s="47"/>
      <c r="L43" s="47"/>
      <c r="M43" s="237"/>
      <c r="N43" s="237"/>
      <c r="O43" s="47"/>
      <c r="P43" s="47"/>
      <c r="Q43" s="47"/>
      <c r="R43" s="47"/>
      <c r="S43" s="47"/>
      <c r="T43" s="47"/>
      <c r="U43" s="47"/>
      <c r="V43" s="47"/>
      <c r="W43" s="47"/>
      <c r="X43" s="47"/>
    </row>
    <row r="44" spans="1:24" ht="15.75" thickBot="1" x14ac:dyDescent="0.3">
      <c r="A44" s="235" t="s">
        <v>69</v>
      </c>
      <c r="B44" s="417"/>
      <c r="C44" s="237"/>
      <c r="D44" s="235" t="s">
        <v>69</v>
      </c>
      <c r="E44" s="417"/>
      <c r="F44" s="237"/>
      <c r="G44" s="235" t="s">
        <v>69</v>
      </c>
      <c r="H44" s="236"/>
      <c r="I44" s="237"/>
      <c r="J44" s="235" t="s">
        <v>69</v>
      </c>
      <c r="K44" s="236"/>
      <c r="L44" s="47"/>
      <c r="M44" s="235" t="s">
        <v>69</v>
      </c>
      <c r="N44" s="236"/>
      <c r="O44" s="237"/>
      <c r="P44" s="235" t="s">
        <v>69</v>
      </c>
      <c r="Q44" s="238"/>
      <c r="R44" s="237"/>
      <c r="S44" s="235" t="s">
        <v>69</v>
      </c>
      <c r="T44" s="236"/>
      <c r="U44" s="237"/>
      <c r="V44" s="235" t="s">
        <v>69</v>
      </c>
      <c r="W44" s="236"/>
      <c r="X44" s="47"/>
    </row>
    <row r="45" spans="1:24" ht="15" x14ac:dyDescent="0.25">
      <c r="A45" s="239" t="s">
        <v>70</v>
      </c>
      <c r="B45" s="872" t="s">
        <v>499</v>
      </c>
      <c r="C45" s="237"/>
      <c r="D45" s="240" t="s">
        <v>70</v>
      </c>
      <c r="E45" s="872" t="s">
        <v>499</v>
      </c>
      <c r="F45" s="237"/>
      <c r="G45" s="239" t="s">
        <v>70</v>
      </c>
      <c r="H45" s="872" t="s">
        <v>499</v>
      </c>
      <c r="I45" s="237"/>
      <c r="J45" s="239" t="s">
        <v>70</v>
      </c>
      <c r="K45" s="872" t="s">
        <v>499</v>
      </c>
      <c r="L45" s="47"/>
      <c r="M45" s="239" t="s">
        <v>70</v>
      </c>
      <c r="N45" s="872" t="s">
        <v>499</v>
      </c>
      <c r="O45" s="237"/>
      <c r="P45" s="240" t="s">
        <v>70</v>
      </c>
      <c r="Q45" s="872" t="s">
        <v>499</v>
      </c>
      <c r="R45" s="237"/>
      <c r="S45" s="239" t="s">
        <v>70</v>
      </c>
      <c r="T45" s="872" t="s">
        <v>499</v>
      </c>
      <c r="U45" s="237"/>
      <c r="V45" s="239" t="s">
        <v>70</v>
      </c>
      <c r="W45" s="872" t="s">
        <v>499</v>
      </c>
      <c r="X45" s="47"/>
    </row>
    <row r="46" spans="1:24" x14ac:dyDescent="0.2">
      <c r="A46" s="186" t="s">
        <v>71</v>
      </c>
      <c r="B46" s="194"/>
      <c r="C46" s="47"/>
      <c r="D46" s="186" t="s">
        <v>71</v>
      </c>
      <c r="E46" s="194"/>
      <c r="F46" s="47"/>
      <c r="G46" s="186" t="s">
        <v>71</v>
      </c>
      <c r="H46" s="194"/>
      <c r="I46" s="47"/>
      <c r="J46" s="186" t="s">
        <v>71</v>
      </c>
      <c r="K46" s="194"/>
      <c r="L46" s="47"/>
      <c r="M46" s="186" t="s">
        <v>71</v>
      </c>
      <c r="N46" s="194"/>
      <c r="O46" s="47"/>
      <c r="P46" s="186" t="s">
        <v>71</v>
      </c>
      <c r="Q46" s="194"/>
      <c r="R46" s="47"/>
      <c r="S46" s="186" t="s">
        <v>71</v>
      </c>
      <c r="T46" s="194"/>
      <c r="U46" s="47"/>
      <c r="V46" s="186" t="s">
        <v>71</v>
      </c>
      <c r="W46" s="194"/>
      <c r="X46" s="47"/>
    </row>
    <row r="47" spans="1:24" ht="13.5" thickBot="1" x14ac:dyDescent="0.25">
      <c r="A47" s="241" t="s">
        <v>72</v>
      </c>
      <c r="B47" s="242" t="e">
        <f>IF(B45="Regular - 60°",VLOOKUP(B46,'[2]Thread Wire Nominal Sizes'!$A$4:$B$39,2,FALSE),VLOOKUP(B46,'[2]Thread Wire Nominal Sizes'!$D$4:$E$25,2,FALSE))</f>
        <v>#N/A</v>
      </c>
      <c r="C47" s="47"/>
      <c r="D47" s="241" t="s">
        <v>72</v>
      </c>
      <c r="E47" s="242" t="e">
        <f>IF(E45="Regular - 60°",VLOOKUP(E46,'[2]Thread Wire Nominal Sizes'!$A$4:$B$39,2,FALSE),VLOOKUP(E46,'[2]Thread Wire Nominal Sizes'!$D$4:$E$25,2,FALSE))</f>
        <v>#N/A</v>
      </c>
      <c r="F47" s="47"/>
      <c r="G47" s="241" t="s">
        <v>72</v>
      </c>
      <c r="H47" s="242" t="e">
        <f>IF(H45="Regular - 60°",VLOOKUP(H46,'[2]Thread Wire Nominal Sizes'!$A$4:$B$39,2,FALSE),VLOOKUP(H46,'[2]Thread Wire Nominal Sizes'!$D$4:$E$25,2,FALSE))</f>
        <v>#N/A</v>
      </c>
      <c r="I47" s="47"/>
      <c r="J47" s="241" t="s">
        <v>72</v>
      </c>
      <c r="K47" s="242" t="e">
        <f>IF(K45="Regular - 60°",VLOOKUP(K46,'[2]Thread Wire Nominal Sizes'!$A$4:$B$39,2,FALSE),VLOOKUP(K46,'[2]Thread Wire Nominal Sizes'!$D$4:$E$25,2,FALSE))</f>
        <v>#N/A</v>
      </c>
      <c r="L47" s="47"/>
      <c r="M47" s="241" t="s">
        <v>72</v>
      </c>
      <c r="N47" s="242" t="e">
        <f>IF(N45="Regular - 60°",VLOOKUP(N46,'[2]Thread Wire Nominal Sizes'!$A$4:$B$39,2,FALSE),VLOOKUP(N46,'[2]Thread Wire Nominal Sizes'!$D$4:$E$25,2,FALSE))</f>
        <v>#N/A</v>
      </c>
      <c r="O47" s="47"/>
      <c r="P47" s="241" t="s">
        <v>72</v>
      </c>
      <c r="Q47" s="242" t="e">
        <f>IF(Q45="Regular - 60°",VLOOKUP(Q46,'[2]Thread Wire Nominal Sizes'!$A$4:$B$39,2,FALSE),VLOOKUP(Q46,'[2]Thread Wire Nominal Sizes'!$D$4:$E$25,2,FALSE))</f>
        <v>#N/A</v>
      </c>
      <c r="R47" s="47"/>
      <c r="S47" s="241" t="s">
        <v>72</v>
      </c>
      <c r="T47" s="242" t="e">
        <f>IF(T45="Regular - 60°",VLOOKUP(T46,'[2]Thread Wire Nominal Sizes'!$A$4:$B$39,2,FALSE),VLOOKUP(T46,'[2]Thread Wire Nominal Sizes'!$D$4:$E$25,2,FALSE))</f>
        <v>#N/A</v>
      </c>
      <c r="U47" s="47"/>
      <c r="V47" s="241" t="s">
        <v>72</v>
      </c>
      <c r="W47" s="242" t="e">
        <f>IF(W45="Regular - 60°",VLOOKUP(W46,'[2]Thread Wire Nominal Sizes'!$A$4:$B$39,2,FALSE),VLOOKUP(W46,'[2]Thread Wire Nominal Sizes'!$D$4:$E$25,2,FALSE))</f>
        <v>#N/A</v>
      </c>
      <c r="X47" s="47"/>
    </row>
    <row r="48" spans="1:24" ht="13.5" thickTop="1" x14ac:dyDescent="0.2">
      <c r="A48" s="243" t="s">
        <v>501</v>
      </c>
      <c r="B48" s="101"/>
      <c r="C48" s="47"/>
      <c r="D48" s="243" t="s">
        <v>501</v>
      </c>
      <c r="E48" s="101"/>
      <c r="F48" s="47"/>
      <c r="G48" s="243" t="s">
        <v>501</v>
      </c>
      <c r="H48" s="101"/>
      <c r="I48" s="47"/>
      <c r="J48" s="243" t="s">
        <v>501</v>
      </c>
      <c r="K48" s="101"/>
      <c r="L48" s="47"/>
      <c r="M48" s="243" t="s">
        <v>501</v>
      </c>
      <c r="N48" s="975"/>
      <c r="O48" s="47"/>
      <c r="P48" s="243" t="s">
        <v>501</v>
      </c>
      <c r="Q48" s="101"/>
      <c r="R48" s="47"/>
      <c r="S48" s="243" t="s">
        <v>501</v>
      </c>
      <c r="T48" s="101"/>
      <c r="U48" s="47"/>
      <c r="V48" s="243" t="s">
        <v>501</v>
      </c>
      <c r="W48" s="101"/>
      <c r="X48" s="47"/>
    </row>
    <row r="49" spans="1:24" x14ac:dyDescent="0.2">
      <c r="A49" s="1039" t="s">
        <v>502</v>
      </c>
      <c r="B49" s="101"/>
      <c r="C49" s="47"/>
      <c r="D49" s="1039" t="s">
        <v>502</v>
      </c>
      <c r="E49" s="101"/>
      <c r="F49" s="47"/>
      <c r="G49" s="1039" t="s">
        <v>502</v>
      </c>
      <c r="H49" s="101"/>
      <c r="I49" s="47"/>
      <c r="J49" s="1039" t="s">
        <v>502</v>
      </c>
      <c r="K49" s="101"/>
      <c r="L49" s="47"/>
      <c r="M49" s="1039" t="s">
        <v>502</v>
      </c>
      <c r="N49" s="101"/>
      <c r="O49" s="47"/>
      <c r="P49" s="1039" t="s">
        <v>502</v>
      </c>
      <c r="Q49" s="101"/>
      <c r="R49" s="47"/>
      <c r="S49" s="1039" t="s">
        <v>502</v>
      </c>
      <c r="T49" s="101"/>
      <c r="U49" s="47"/>
      <c r="V49" s="1039" t="s">
        <v>502</v>
      </c>
      <c r="W49" s="101"/>
      <c r="X49" s="47"/>
    </row>
    <row r="50" spans="1:24" x14ac:dyDescent="0.2">
      <c r="A50" s="92" t="s">
        <v>503</v>
      </c>
      <c r="B50" s="101"/>
      <c r="C50" s="47"/>
      <c r="D50" s="92" t="s">
        <v>503</v>
      </c>
      <c r="E50" s="101"/>
      <c r="F50" s="47"/>
      <c r="G50" s="92" t="s">
        <v>503</v>
      </c>
      <c r="H50" s="101"/>
      <c r="I50" s="47"/>
      <c r="J50" s="92" t="s">
        <v>503</v>
      </c>
      <c r="K50" s="101"/>
      <c r="L50" s="47"/>
      <c r="M50" s="92" t="s">
        <v>503</v>
      </c>
      <c r="N50" s="101"/>
      <c r="O50" s="47"/>
      <c r="P50" s="92" t="s">
        <v>503</v>
      </c>
      <c r="Q50" s="101"/>
      <c r="R50" s="47"/>
      <c r="S50" s="92" t="s">
        <v>503</v>
      </c>
      <c r="T50" s="101"/>
      <c r="U50" s="47"/>
      <c r="V50" s="92" t="s">
        <v>503</v>
      </c>
      <c r="W50" s="101"/>
      <c r="X50" s="47"/>
    </row>
    <row r="51" spans="1:24" x14ac:dyDescent="0.2">
      <c r="A51" s="463" t="s">
        <v>504</v>
      </c>
      <c r="B51" s="101"/>
      <c r="C51" s="47"/>
      <c r="D51" s="463" t="s">
        <v>504</v>
      </c>
      <c r="E51" s="101"/>
      <c r="F51" s="47"/>
      <c r="G51" s="463" t="s">
        <v>504</v>
      </c>
      <c r="H51" s="101"/>
      <c r="I51" s="47"/>
      <c r="J51" s="463" t="s">
        <v>504</v>
      </c>
      <c r="K51" s="101"/>
      <c r="L51" s="47"/>
      <c r="M51" s="463" t="s">
        <v>504</v>
      </c>
      <c r="N51" s="101"/>
      <c r="O51" s="47"/>
      <c r="P51" s="463" t="s">
        <v>504</v>
      </c>
      <c r="Q51" s="101"/>
      <c r="R51" s="47"/>
      <c r="S51" s="463" t="s">
        <v>504</v>
      </c>
      <c r="T51" s="101"/>
      <c r="U51" s="47"/>
      <c r="V51" s="463" t="s">
        <v>504</v>
      </c>
      <c r="W51" s="101"/>
      <c r="X51" s="47"/>
    </row>
    <row r="52" spans="1:24" x14ac:dyDescent="0.2">
      <c r="A52" s="92" t="s">
        <v>505</v>
      </c>
      <c r="B52" s="101"/>
      <c r="C52" s="47"/>
      <c r="D52" s="92" t="s">
        <v>505</v>
      </c>
      <c r="E52" s="101"/>
      <c r="F52" s="47"/>
      <c r="G52" s="92" t="s">
        <v>505</v>
      </c>
      <c r="H52" s="101"/>
      <c r="I52" s="47"/>
      <c r="J52" s="92" t="s">
        <v>505</v>
      </c>
      <c r="K52" s="101"/>
      <c r="L52" s="47"/>
      <c r="M52" s="92" t="s">
        <v>505</v>
      </c>
      <c r="N52" s="101"/>
      <c r="O52" s="47"/>
      <c r="P52" s="92" t="s">
        <v>505</v>
      </c>
      <c r="Q52" s="101"/>
      <c r="R52" s="47"/>
      <c r="S52" s="92" t="s">
        <v>505</v>
      </c>
      <c r="T52" s="101"/>
      <c r="U52" s="47"/>
      <c r="V52" s="92" t="s">
        <v>505</v>
      </c>
      <c r="W52" s="101"/>
      <c r="X52" s="47"/>
    </row>
    <row r="53" spans="1:24" x14ac:dyDescent="0.2">
      <c r="A53" s="1039" t="s">
        <v>502</v>
      </c>
      <c r="B53" s="101"/>
      <c r="C53" s="47"/>
      <c r="D53" s="1039" t="s">
        <v>502</v>
      </c>
      <c r="E53" s="101"/>
      <c r="F53" s="47"/>
      <c r="G53" s="1039" t="s">
        <v>502</v>
      </c>
      <c r="H53" s="101"/>
      <c r="I53" s="47"/>
      <c r="J53" s="1039" t="s">
        <v>502</v>
      </c>
      <c r="K53" s="101"/>
      <c r="L53" s="47"/>
      <c r="M53" s="1039" t="s">
        <v>502</v>
      </c>
      <c r="N53" s="101"/>
      <c r="O53" s="47"/>
      <c r="P53" s="1039" t="s">
        <v>502</v>
      </c>
      <c r="Q53" s="101"/>
      <c r="R53" s="47"/>
      <c r="S53" s="1039" t="s">
        <v>502</v>
      </c>
      <c r="T53" s="101"/>
      <c r="U53" s="47"/>
      <c r="V53" s="1039" t="s">
        <v>502</v>
      </c>
      <c r="W53" s="101"/>
      <c r="X53" s="47"/>
    </row>
    <row r="54" spans="1:24" x14ac:dyDescent="0.2">
      <c r="A54" s="92" t="s">
        <v>506</v>
      </c>
      <c r="B54" s="101"/>
      <c r="C54" s="47"/>
      <c r="D54" s="92" t="s">
        <v>506</v>
      </c>
      <c r="E54" s="101"/>
      <c r="F54" s="47"/>
      <c r="G54" s="92" t="s">
        <v>506</v>
      </c>
      <c r="H54" s="101"/>
      <c r="I54" s="47"/>
      <c r="J54" s="92" t="s">
        <v>506</v>
      </c>
      <c r="K54" s="101"/>
      <c r="L54" s="47"/>
      <c r="M54" s="92" t="s">
        <v>506</v>
      </c>
      <c r="N54" s="101"/>
      <c r="O54" s="47"/>
      <c r="P54" s="92" t="s">
        <v>506</v>
      </c>
      <c r="Q54" s="101"/>
      <c r="R54" s="47"/>
      <c r="S54" s="92" t="s">
        <v>506</v>
      </c>
      <c r="T54" s="101"/>
      <c r="U54" s="47"/>
      <c r="V54" s="92" t="s">
        <v>506</v>
      </c>
      <c r="W54" s="101"/>
      <c r="X54" s="47"/>
    </row>
    <row r="55" spans="1:24" x14ac:dyDescent="0.2">
      <c r="A55" s="463" t="s">
        <v>504</v>
      </c>
      <c r="B55" s="101"/>
      <c r="C55" s="47"/>
      <c r="D55" s="463" t="s">
        <v>504</v>
      </c>
      <c r="E55" s="101"/>
      <c r="F55" s="47"/>
      <c r="G55" s="463" t="s">
        <v>504</v>
      </c>
      <c r="H55" s="101"/>
      <c r="I55" s="47"/>
      <c r="J55" s="463" t="s">
        <v>504</v>
      </c>
      <c r="K55" s="101"/>
      <c r="L55" s="47"/>
      <c r="M55" s="463" t="s">
        <v>504</v>
      </c>
      <c r="N55" s="101"/>
      <c r="O55" s="47"/>
      <c r="P55" s="463" t="s">
        <v>504</v>
      </c>
      <c r="Q55" s="101"/>
      <c r="R55" s="47"/>
      <c r="S55" s="463" t="s">
        <v>504</v>
      </c>
      <c r="T55" s="101"/>
      <c r="U55" s="47"/>
      <c r="V55" s="463" t="s">
        <v>504</v>
      </c>
      <c r="W55" s="101"/>
      <c r="X55" s="47"/>
    </row>
    <row r="56" spans="1:24" x14ac:dyDescent="0.2">
      <c r="A56" s="92" t="s">
        <v>507</v>
      </c>
      <c r="B56" s="101"/>
      <c r="C56" s="47"/>
      <c r="D56" s="92" t="s">
        <v>507</v>
      </c>
      <c r="E56" s="101"/>
      <c r="F56" s="47"/>
      <c r="G56" s="92" t="s">
        <v>507</v>
      </c>
      <c r="H56" s="101"/>
      <c r="I56" s="47"/>
      <c r="J56" s="92" t="s">
        <v>507</v>
      </c>
      <c r="K56" s="101"/>
      <c r="L56" s="47"/>
      <c r="M56" s="92" t="s">
        <v>507</v>
      </c>
      <c r="N56" s="101"/>
      <c r="O56" s="47"/>
      <c r="P56" s="92" t="s">
        <v>507</v>
      </c>
      <c r="Q56" s="101"/>
      <c r="R56" s="47"/>
      <c r="S56" s="92" t="s">
        <v>507</v>
      </c>
      <c r="T56" s="101"/>
      <c r="U56" s="47"/>
      <c r="V56" s="92" t="s">
        <v>507</v>
      </c>
      <c r="W56" s="101"/>
      <c r="X56" s="47"/>
    </row>
    <row r="57" spans="1:24" x14ac:dyDescent="0.2">
      <c r="A57" s="1039" t="s">
        <v>502</v>
      </c>
      <c r="B57" s="101"/>
      <c r="C57" s="47"/>
      <c r="D57" s="1039" t="s">
        <v>502</v>
      </c>
      <c r="E57" s="101"/>
      <c r="F57" s="47"/>
      <c r="G57" s="1039" t="s">
        <v>502</v>
      </c>
      <c r="H57" s="101"/>
      <c r="I57" s="47"/>
      <c r="J57" s="1039" t="s">
        <v>502</v>
      </c>
      <c r="K57" s="101"/>
      <c r="L57" s="47"/>
      <c r="M57" s="1039" t="s">
        <v>502</v>
      </c>
      <c r="N57" s="101"/>
      <c r="O57" s="47"/>
      <c r="P57" s="1039" t="s">
        <v>502</v>
      </c>
      <c r="Q57" s="101"/>
      <c r="R57" s="47"/>
      <c r="S57" s="1039" t="s">
        <v>502</v>
      </c>
      <c r="T57" s="101"/>
      <c r="U57" s="47"/>
      <c r="V57" s="1039" t="s">
        <v>502</v>
      </c>
      <c r="W57" s="101"/>
      <c r="X57" s="47"/>
    </row>
    <row r="58" spans="1:24" x14ac:dyDescent="0.2">
      <c r="A58" s="92" t="s">
        <v>508</v>
      </c>
      <c r="B58" s="101"/>
      <c r="C58" s="47"/>
      <c r="D58" s="92" t="s">
        <v>508</v>
      </c>
      <c r="E58" s="101"/>
      <c r="F58" s="47"/>
      <c r="G58" s="92" t="s">
        <v>508</v>
      </c>
      <c r="H58" s="101"/>
      <c r="I58" s="47"/>
      <c r="J58" s="92" t="s">
        <v>508</v>
      </c>
      <c r="K58" s="101"/>
      <c r="L58" s="47"/>
      <c r="M58" s="92" t="s">
        <v>508</v>
      </c>
      <c r="N58" s="101"/>
      <c r="O58" s="47"/>
      <c r="P58" s="92" t="s">
        <v>508</v>
      </c>
      <c r="Q58" s="101"/>
      <c r="R58" s="47"/>
      <c r="S58" s="92" t="s">
        <v>508</v>
      </c>
      <c r="T58" s="101"/>
      <c r="U58" s="47"/>
      <c r="V58" s="92" t="s">
        <v>508</v>
      </c>
      <c r="W58" s="101"/>
      <c r="X58" s="47"/>
    </row>
    <row r="59" spans="1:24" x14ac:dyDescent="0.2">
      <c r="A59" s="463" t="s">
        <v>504</v>
      </c>
      <c r="B59" s="101"/>
      <c r="C59" s="47"/>
      <c r="D59" s="463" t="s">
        <v>504</v>
      </c>
      <c r="E59" s="101"/>
      <c r="F59" s="47"/>
      <c r="G59" s="463" t="s">
        <v>504</v>
      </c>
      <c r="H59" s="101"/>
      <c r="I59" s="47"/>
      <c r="J59" s="463" t="s">
        <v>504</v>
      </c>
      <c r="K59" s="101"/>
      <c r="L59" s="47"/>
      <c r="M59" s="463" t="s">
        <v>504</v>
      </c>
      <c r="N59" s="101"/>
      <c r="O59" s="47"/>
      <c r="P59" s="463" t="s">
        <v>504</v>
      </c>
      <c r="Q59" s="101"/>
      <c r="R59" s="47"/>
      <c r="S59" s="463" t="s">
        <v>504</v>
      </c>
      <c r="T59" s="101"/>
      <c r="U59" s="47"/>
      <c r="V59" s="463" t="s">
        <v>504</v>
      </c>
      <c r="W59" s="101"/>
      <c r="X59" s="47"/>
    </row>
    <row r="60" spans="1:24" x14ac:dyDescent="0.2">
      <c r="A60" s="494" t="s">
        <v>73</v>
      </c>
      <c r="B60" s="502" t="e">
        <f>ROUND(AVERAGE(B48:B59), 5)</f>
        <v>#DIV/0!</v>
      </c>
      <c r="C60" s="47"/>
      <c r="D60" s="494" t="s">
        <v>73</v>
      </c>
      <c r="E60" s="502" t="e">
        <f>ROUND(AVERAGE(E48:E59), 5)</f>
        <v>#DIV/0!</v>
      </c>
      <c r="F60" s="47"/>
      <c r="G60" s="494" t="s">
        <v>73</v>
      </c>
      <c r="H60" s="502" t="e">
        <f>ROUND(AVERAGE(H48:H59), 5)</f>
        <v>#DIV/0!</v>
      </c>
      <c r="I60" s="47"/>
      <c r="J60" s="494" t="s">
        <v>73</v>
      </c>
      <c r="K60" s="502" t="e">
        <f>ROUND(AVERAGE(K48:K59), 5)</f>
        <v>#DIV/0!</v>
      </c>
      <c r="L60" s="47"/>
      <c r="M60" s="494" t="s">
        <v>73</v>
      </c>
      <c r="N60" s="502" t="e">
        <f>ROUND(AVERAGE(N48:N59), 5)</f>
        <v>#DIV/0!</v>
      </c>
      <c r="O60" s="47"/>
      <c r="P60" s="494" t="s">
        <v>73</v>
      </c>
      <c r="Q60" s="502" t="e">
        <f>ROUND(AVERAGE(Q48:Q59), 5)</f>
        <v>#DIV/0!</v>
      </c>
      <c r="R60" s="47"/>
      <c r="S60" s="494" t="s">
        <v>73</v>
      </c>
      <c r="T60" s="502" t="e">
        <f>ROUND(AVERAGE(T48:T59), 5)</f>
        <v>#DIV/0!</v>
      </c>
      <c r="U60" s="47"/>
      <c r="V60" s="494" t="s">
        <v>73</v>
      </c>
      <c r="W60" s="502" t="e">
        <f>ROUND(AVERAGE(W48:W59), 5)</f>
        <v>#DIV/0!</v>
      </c>
      <c r="X60" s="47"/>
    </row>
    <row r="61" spans="1:24" ht="13.5" thickBot="1" x14ac:dyDescent="0.25">
      <c r="A61" s="501" t="s">
        <v>74</v>
      </c>
      <c r="B61" s="503" t="e">
        <f>(IF(B45="ACME - 29°","--",3*(B60)-(0.86603/B46)))</f>
        <v>#DIV/0!</v>
      </c>
      <c r="C61" s="47"/>
      <c r="D61" s="501" t="s">
        <v>74</v>
      </c>
      <c r="E61" s="503" t="e">
        <f>(IF(E45="ACME - 29°","--",3*(E60)-(0.86603/E46)))</f>
        <v>#DIV/0!</v>
      </c>
      <c r="F61" s="47"/>
      <c r="G61" s="501" t="s">
        <v>74</v>
      </c>
      <c r="H61" s="503" t="e">
        <f>(IF(H45="ACME - 29°","--",3*(H60)-(0.86603/H46)))</f>
        <v>#DIV/0!</v>
      </c>
      <c r="I61" s="47"/>
      <c r="J61" s="501" t="s">
        <v>74</v>
      </c>
      <c r="K61" s="503" t="e">
        <f>(IF(K45="ACME - 29°","--",3*(K60)-(0.86603/K46)))</f>
        <v>#DIV/0!</v>
      </c>
      <c r="L61" s="47"/>
      <c r="M61" s="501" t="s">
        <v>74</v>
      </c>
      <c r="N61" s="503" t="e">
        <f>(IF(N45="ACME - 29°","--",3*(N60)-(0.86603/N46)))</f>
        <v>#DIV/0!</v>
      </c>
      <c r="O61" s="47"/>
      <c r="P61" s="501" t="s">
        <v>74</v>
      </c>
      <c r="Q61" s="503" t="e">
        <f>(IF(Q45="ACME - 29°","--",3*(Q60)-(0.86603/Q46)))</f>
        <v>#DIV/0!</v>
      </c>
      <c r="R61" s="47"/>
      <c r="S61" s="501" t="s">
        <v>74</v>
      </c>
      <c r="T61" s="503" t="e">
        <f>(IF(T45="ACME - 29°","--",3*(T60)-(0.86603/T46)))</f>
        <v>#DIV/0!</v>
      </c>
      <c r="U61" s="47"/>
      <c r="V61" s="501" t="s">
        <v>74</v>
      </c>
      <c r="W61" s="503" t="e">
        <f>(IF(W45="ACME - 29°","--",3*(W60)-(0.86603/W46)))</f>
        <v>#DIV/0!</v>
      </c>
      <c r="X61" s="47"/>
    </row>
    <row r="62" spans="1:24" ht="13.5" thickBot="1" x14ac:dyDescent="0.25">
      <c r="A62" s="246"/>
      <c r="B62" s="247"/>
      <c r="C62" s="47"/>
      <c r="D62" s="246"/>
      <c r="E62" s="248"/>
      <c r="F62" s="47"/>
      <c r="G62" s="246"/>
      <c r="H62" s="247"/>
      <c r="I62" s="47"/>
      <c r="J62" s="246"/>
      <c r="K62" s="247"/>
      <c r="L62" s="47"/>
      <c r="M62" s="246"/>
      <c r="N62" s="247"/>
      <c r="O62" s="47"/>
      <c r="P62" s="246"/>
      <c r="Q62" s="248"/>
      <c r="R62" s="47"/>
      <c r="S62" s="246"/>
      <c r="T62" s="247"/>
      <c r="U62" s="47"/>
      <c r="V62" s="246"/>
      <c r="W62" s="247"/>
      <c r="X62" s="47"/>
    </row>
    <row r="63" spans="1:24" ht="15.75" thickBot="1" x14ac:dyDescent="0.3">
      <c r="A63" s="235" t="s">
        <v>69</v>
      </c>
      <c r="B63" s="236"/>
      <c r="C63" s="237"/>
      <c r="D63" s="235" t="s">
        <v>69</v>
      </c>
      <c r="E63" s="238"/>
      <c r="F63" s="237"/>
      <c r="G63" s="235" t="s">
        <v>69</v>
      </c>
      <c r="H63" s="236"/>
      <c r="I63" s="237"/>
      <c r="J63" s="235" t="s">
        <v>69</v>
      </c>
      <c r="K63" s="236"/>
      <c r="L63" s="237"/>
      <c r="M63" s="235" t="s">
        <v>69</v>
      </c>
      <c r="N63" s="236"/>
      <c r="O63" s="237"/>
      <c r="P63" s="235" t="s">
        <v>69</v>
      </c>
      <c r="Q63" s="238"/>
      <c r="R63" s="237"/>
      <c r="S63" s="235" t="s">
        <v>69</v>
      </c>
      <c r="T63" s="236"/>
      <c r="U63" s="237"/>
      <c r="V63" s="235" t="s">
        <v>69</v>
      </c>
      <c r="W63" s="236"/>
      <c r="X63" s="237"/>
    </row>
    <row r="64" spans="1:24" ht="15" x14ac:dyDescent="0.25">
      <c r="A64" s="239" t="s">
        <v>70</v>
      </c>
      <c r="B64" s="872" t="s">
        <v>499</v>
      </c>
      <c r="C64" s="237"/>
      <c r="D64" s="240" t="s">
        <v>70</v>
      </c>
      <c r="E64" s="872" t="s">
        <v>499</v>
      </c>
      <c r="F64" s="237"/>
      <c r="G64" s="239" t="s">
        <v>70</v>
      </c>
      <c r="H64" s="872" t="s">
        <v>499</v>
      </c>
      <c r="I64" s="237"/>
      <c r="J64" s="239" t="s">
        <v>70</v>
      </c>
      <c r="K64" s="872" t="s">
        <v>499</v>
      </c>
      <c r="L64" s="237"/>
      <c r="M64" s="239" t="s">
        <v>70</v>
      </c>
      <c r="N64" s="872" t="s">
        <v>499</v>
      </c>
      <c r="O64" s="237"/>
      <c r="P64" s="240" t="s">
        <v>70</v>
      </c>
      <c r="Q64" s="872" t="s">
        <v>500</v>
      </c>
      <c r="R64" s="237"/>
      <c r="S64" s="239" t="s">
        <v>70</v>
      </c>
      <c r="T64" s="872" t="s">
        <v>500</v>
      </c>
      <c r="U64" s="237"/>
      <c r="V64" s="239" t="s">
        <v>70</v>
      </c>
      <c r="W64" s="872" t="s">
        <v>500</v>
      </c>
      <c r="X64" s="237"/>
    </row>
    <row r="65" spans="1:24" x14ac:dyDescent="0.2">
      <c r="A65" s="186" t="s">
        <v>71</v>
      </c>
      <c r="B65" s="194"/>
      <c r="C65" s="47"/>
      <c r="D65" s="186" t="s">
        <v>71</v>
      </c>
      <c r="E65" s="194"/>
      <c r="F65" s="47"/>
      <c r="G65" s="186" t="s">
        <v>71</v>
      </c>
      <c r="H65" s="194"/>
      <c r="I65" s="47"/>
      <c r="J65" s="186" t="s">
        <v>71</v>
      </c>
      <c r="K65" s="194"/>
      <c r="L65" s="47"/>
      <c r="M65" s="186" t="s">
        <v>71</v>
      </c>
      <c r="N65" s="194"/>
      <c r="O65" s="47"/>
      <c r="P65" s="186" t="s">
        <v>71</v>
      </c>
      <c r="Q65" s="194"/>
      <c r="R65" s="47"/>
      <c r="S65" s="186" t="s">
        <v>71</v>
      </c>
      <c r="T65" s="194"/>
      <c r="U65" s="47"/>
      <c r="V65" s="186" t="s">
        <v>71</v>
      </c>
      <c r="W65" s="194"/>
      <c r="X65" s="47"/>
    </row>
    <row r="66" spans="1:24" ht="13.5" thickBot="1" x14ac:dyDescent="0.25">
      <c r="A66" s="241" t="s">
        <v>72</v>
      </c>
      <c r="B66" s="242" t="e">
        <f>IF(B64="Regular - 60°",VLOOKUP(B65,'[2]Thread Wire Nominal Sizes'!$A$4:$B$397,2,FALSE),VLOOKUP(B65,'[2]Thread Wire Nominal Sizes'!$D$4:$E$25,2,FALSE))</f>
        <v>#N/A</v>
      </c>
      <c r="C66" s="47"/>
      <c r="D66" s="241" t="s">
        <v>72</v>
      </c>
      <c r="E66" s="242" t="e">
        <f>IF(E64="Regular - 60°",VLOOKUP(E65,'[2]Thread Wire Nominal Sizes'!$A$4:$B$39,2,FALSE),VLOOKUP(E65,'[2]Thread Wire Nominal Sizes'!$D$4:$E$25,2,FALSE))</f>
        <v>#N/A</v>
      </c>
      <c r="F66" s="47"/>
      <c r="G66" s="241" t="s">
        <v>72</v>
      </c>
      <c r="H66" s="242" t="e">
        <f>IF(H64="Regular - 60°",VLOOKUP(H65,'[2]Thread Wire Nominal Sizes'!$A$4:$B$39,2,FALSE),VLOOKUP(H65,'[2]Thread Wire Nominal Sizes'!$D$4:$E$25,2,FALSE))</f>
        <v>#N/A</v>
      </c>
      <c r="I66" s="47"/>
      <c r="J66" s="241" t="s">
        <v>72</v>
      </c>
      <c r="K66" s="242" t="e">
        <f>IF(K64="Regular - 60°",VLOOKUP(K65,'[2]Thread Wire Nominal Sizes'!$A$4:$B$39,2,FALSE),VLOOKUP(K65,'[2]Thread Wire Nominal Sizes'!$D$4:$E$25,2,FALSE))</f>
        <v>#N/A</v>
      </c>
      <c r="L66" s="47"/>
      <c r="M66" s="241" t="s">
        <v>72</v>
      </c>
      <c r="N66" s="242" t="e">
        <f>IF(N64="Regular - 60°",VLOOKUP(N65,'[2]Thread Wire Nominal Sizes'!$A$4:$B$39,2,FALSE),VLOOKUP(N65,'[2]Thread Wire Nominal Sizes'!$D$4:$E$25,2,FALSE))</f>
        <v>#N/A</v>
      </c>
      <c r="O66" s="47"/>
      <c r="P66" s="241" t="s">
        <v>72</v>
      </c>
      <c r="Q66" s="242" t="e">
        <f>IF(Q64="Regular - 60°",VLOOKUP(Q65,'[2]Thread Wire Nominal Sizes'!$A$4:$B$39,2,FALSE),VLOOKUP(Q65,'[2]Thread Wire Nominal Sizes'!$D$4:$E$25,2,FALSE))</f>
        <v>#N/A</v>
      </c>
      <c r="R66" s="47"/>
      <c r="S66" s="241" t="s">
        <v>72</v>
      </c>
      <c r="T66" s="242" t="e">
        <f>IF(T64="Regular - 60°",VLOOKUP(T65,'[2]Thread Wire Nominal Sizes'!$A$4:$B$39,2,FALSE),VLOOKUP(T65,'[2]Thread Wire Nominal Sizes'!$D$4:$E$25,2,FALSE))</f>
        <v>#N/A</v>
      </c>
      <c r="U66" s="47"/>
      <c r="V66" s="241" t="s">
        <v>72</v>
      </c>
      <c r="W66" s="242" t="e">
        <f>IF(W64="Regular - 60°",VLOOKUP(W65,'[2]Thread Wire Nominal Sizes'!$A$4:$B$39,2,FALSE),VLOOKUP(W65,'[2]Thread Wire Nominal Sizes'!$D$4:$E$25,2,FALSE))</f>
        <v>#N/A</v>
      </c>
      <c r="X66" s="47"/>
    </row>
    <row r="67" spans="1:24" ht="13.5" thickTop="1" x14ac:dyDescent="0.2">
      <c r="A67" s="243" t="s">
        <v>501</v>
      </c>
      <c r="B67" s="101"/>
      <c r="C67" s="47"/>
      <c r="D67" s="243" t="s">
        <v>501</v>
      </c>
      <c r="E67" s="101"/>
      <c r="F67" s="47"/>
      <c r="G67" s="243" t="s">
        <v>501</v>
      </c>
      <c r="H67" s="101"/>
      <c r="I67" s="47"/>
      <c r="J67" s="243" t="s">
        <v>501</v>
      </c>
      <c r="K67" s="101"/>
      <c r="L67" s="47"/>
      <c r="M67" s="243" t="s">
        <v>501</v>
      </c>
      <c r="N67" s="101"/>
      <c r="O67" s="47"/>
      <c r="P67" s="243" t="s">
        <v>501</v>
      </c>
      <c r="Q67" s="101"/>
      <c r="R67" s="47"/>
      <c r="S67" s="243" t="s">
        <v>501</v>
      </c>
      <c r="T67" s="101"/>
      <c r="U67" s="47"/>
      <c r="V67" s="243" t="s">
        <v>501</v>
      </c>
      <c r="W67" s="101"/>
      <c r="X67" s="47"/>
    </row>
    <row r="68" spans="1:24" x14ac:dyDescent="0.2">
      <c r="A68" s="1039" t="s">
        <v>502</v>
      </c>
      <c r="B68" s="101"/>
      <c r="C68" s="47"/>
      <c r="D68" s="1039" t="s">
        <v>502</v>
      </c>
      <c r="E68" s="101"/>
      <c r="F68" s="47"/>
      <c r="G68" s="1039" t="s">
        <v>502</v>
      </c>
      <c r="H68" s="101"/>
      <c r="I68" s="47"/>
      <c r="J68" s="1039" t="s">
        <v>502</v>
      </c>
      <c r="K68" s="101"/>
      <c r="L68" s="47"/>
      <c r="M68" s="1039" t="s">
        <v>502</v>
      </c>
      <c r="N68" s="101"/>
      <c r="O68" s="47"/>
      <c r="P68" s="1039" t="s">
        <v>502</v>
      </c>
      <c r="Q68" s="101"/>
      <c r="R68" s="47"/>
      <c r="S68" s="1039" t="s">
        <v>502</v>
      </c>
      <c r="T68" s="101"/>
      <c r="U68" s="47"/>
      <c r="V68" s="1039" t="s">
        <v>502</v>
      </c>
      <c r="W68" s="101"/>
      <c r="X68" s="47"/>
    </row>
    <row r="69" spans="1:24" x14ac:dyDescent="0.2">
      <c r="A69" s="92" t="s">
        <v>503</v>
      </c>
      <c r="B69" s="101"/>
      <c r="C69" s="47"/>
      <c r="D69" s="92" t="s">
        <v>503</v>
      </c>
      <c r="E69" s="101"/>
      <c r="F69" s="47"/>
      <c r="G69" s="92" t="s">
        <v>503</v>
      </c>
      <c r="H69" s="101"/>
      <c r="I69" s="47"/>
      <c r="J69" s="92" t="s">
        <v>503</v>
      </c>
      <c r="K69" s="101"/>
      <c r="L69" s="47"/>
      <c r="M69" s="92" t="s">
        <v>503</v>
      </c>
      <c r="N69" s="101"/>
      <c r="O69" s="47"/>
      <c r="P69" s="92" t="s">
        <v>503</v>
      </c>
      <c r="Q69" s="101"/>
      <c r="R69" s="47"/>
      <c r="S69" s="92" t="s">
        <v>503</v>
      </c>
      <c r="T69" s="101"/>
      <c r="U69" s="47"/>
      <c r="V69" s="92" t="s">
        <v>503</v>
      </c>
      <c r="W69" s="101"/>
      <c r="X69" s="47"/>
    </row>
    <row r="70" spans="1:24" x14ac:dyDescent="0.2">
      <c r="A70" s="463" t="s">
        <v>504</v>
      </c>
      <c r="B70" s="101"/>
      <c r="C70" s="47"/>
      <c r="D70" s="463" t="s">
        <v>504</v>
      </c>
      <c r="E70" s="101"/>
      <c r="F70" s="47"/>
      <c r="G70" s="463" t="s">
        <v>504</v>
      </c>
      <c r="H70" s="101"/>
      <c r="I70" s="47"/>
      <c r="J70" s="463" t="s">
        <v>504</v>
      </c>
      <c r="K70" s="101"/>
      <c r="L70" s="47"/>
      <c r="M70" s="463" t="s">
        <v>504</v>
      </c>
      <c r="N70" s="101"/>
      <c r="O70" s="47"/>
      <c r="P70" s="463" t="s">
        <v>504</v>
      </c>
      <c r="Q70" s="101"/>
      <c r="R70" s="47"/>
      <c r="S70" s="463" t="s">
        <v>504</v>
      </c>
      <c r="T70" s="101"/>
      <c r="U70" s="47"/>
      <c r="V70" s="463" t="s">
        <v>504</v>
      </c>
      <c r="W70" s="101"/>
      <c r="X70" s="47"/>
    </row>
    <row r="71" spans="1:24" x14ac:dyDescent="0.2">
      <c r="A71" s="92" t="s">
        <v>505</v>
      </c>
      <c r="B71" s="101"/>
      <c r="C71" s="47"/>
      <c r="D71" s="92" t="s">
        <v>505</v>
      </c>
      <c r="E71" s="101"/>
      <c r="F71" s="47"/>
      <c r="G71" s="92" t="s">
        <v>505</v>
      </c>
      <c r="H71" s="101"/>
      <c r="I71" s="47"/>
      <c r="J71" s="92" t="s">
        <v>505</v>
      </c>
      <c r="K71" s="101"/>
      <c r="L71" s="47"/>
      <c r="M71" s="92" t="s">
        <v>505</v>
      </c>
      <c r="N71" s="101"/>
      <c r="O71" s="47"/>
      <c r="P71" s="92" t="s">
        <v>505</v>
      </c>
      <c r="Q71" s="101"/>
      <c r="R71" s="47"/>
      <c r="S71" s="92" t="s">
        <v>505</v>
      </c>
      <c r="T71" s="101"/>
      <c r="U71" s="47"/>
      <c r="V71" s="92" t="s">
        <v>505</v>
      </c>
      <c r="W71" s="101"/>
      <c r="X71" s="47"/>
    </row>
    <row r="72" spans="1:24" x14ac:dyDescent="0.2">
      <c r="A72" s="1039" t="s">
        <v>502</v>
      </c>
      <c r="B72" s="101"/>
      <c r="C72" s="47"/>
      <c r="D72" s="1039" t="s">
        <v>502</v>
      </c>
      <c r="E72" s="101"/>
      <c r="F72" s="47"/>
      <c r="G72" s="1039" t="s">
        <v>502</v>
      </c>
      <c r="H72" s="101"/>
      <c r="I72" s="47"/>
      <c r="J72" s="1039" t="s">
        <v>502</v>
      </c>
      <c r="K72" s="101"/>
      <c r="L72" s="47"/>
      <c r="M72" s="1039" t="s">
        <v>502</v>
      </c>
      <c r="N72" s="101"/>
      <c r="O72" s="47"/>
      <c r="P72" s="1039" t="s">
        <v>502</v>
      </c>
      <c r="Q72" s="101"/>
      <c r="R72" s="47"/>
      <c r="S72" s="1039" t="s">
        <v>502</v>
      </c>
      <c r="T72" s="101"/>
      <c r="U72" s="47"/>
      <c r="V72" s="1039" t="s">
        <v>502</v>
      </c>
      <c r="W72" s="101"/>
      <c r="X72" s="47"/>
    </row>
    <row r="73" spans="1:24" x14ac:dyDescent="0.2">
      <c r="A73" s="92" t="s">
        <v>506</v>
      </c>
      <c r="B73" s="101"/>
      <c r="C73" s="47"/>
      <c r="D73" s="92" t="s">
        <v>506</v>
      </c>
      <c r="E73" s="101"/>
      <c r="F73" s="47"/>
      <c r="G73" s="92" t="s">
        <v>506</v>
      </c>
      <c r="H73" s="101"/>
      <c r="I73" s="47"/>
      <c r="J73" s="92" t="s">
        <v>506</v>
      </c>
      <c r="K73" s="101"/>
      <c r="L73" s="47"/>
      <c r="M73" s="92" t="s">
        <v>506</v>
      </c>
      <c r="N73" s="101"/>
      <c r="O73" s="47"/>
      <c r="P73" s="92" t="s">
        <v>506</v>
      </c>
      <c r="Q73" s="101"/>
      <c r="R73" s="47"/>
      <c r="S73" s="92" t="s">
        <v>506</v>
      </c>
      <c r="T73" s="101"/>
      <c r="U73" s="47"/>
      <c r="V73" s="92" t="s">
        <v>506</v>
      </c>
      <c r="W73" s="101"/>
      <c r="X73" s="47"/>
    </row>
    <row r="74" spans="1:24" x14ac:dyDescent="0.2">
      <c r="A74" s="463" t="s">
        <v>504</v>
      </c>
      <c r="B74" s="101"/>
      <c r="C74" s="47"/>
      <c r="D74" s="463" t="s">
        <v>504</v>
      </c>
      <c r="E74" s="101"/>
      <c r="F74" s="47"/>
      <c r="G74" s="463" t="s">
        <v>504</v>
      </c>
      <c r="H74" s="101"/>
      <c r="I74" s="47"/>
      <c r="J74" s="463" t="s">
        <v>504</v>
      </c>
      <c r="K74" s="101"/>
      <c r="L74" s="47"/>
      <c r="M74" s="463" t="s">
        <v>504</v>
      </c>
      <c r="N74" s="101"/>
      <c r="O74" s="47"/>
      <c r="P74" s="463" t="s">
        <v>504</v>
      </c>
      <c r="Q74" s="101"/>
      <c r="R74" s="47"/>
      <c r="S74" s="463" t="s">
        <v>504</v>
      </c>
      <c r="T74" s="101"/>
      <c r="U74" s="47"/>
      <c r="V74" s="463" t="s">
        <v>504</v>
      </c>
      <c r="W74" s="101"/>
      <c r="X74" s="47"/>
    </row>
    <row r="75" spans="1:24" x14ac:dyDescent="0.2">
      <c r="A75" s="92" t="s">
        <v>507</v>
      </c>
      <c r="B75" s="101"/>
      <c r="C75" s="47"/>
      <c r="D75" s="92" t="s">
        <v>507</v>
      </c>
      <c r="E75" s="101"/>
      <c r="F75" s="47"/>
      <c r="G75" s="92" t="s">
        <v>507</v>
      </c>
      <c r="H75" s="101"/>
      <c r="I75" s="47"/>
      <c r="J75" s="92" t="s">
        <v>507</v>
      </c>
      <c r="K75" s="101"/>
      <c r="L75" s="47"/>
      <c r="M75" s="92" t="s">
        <v>507</v>
      </c>
      <c r="N75" s="101"/>
      <c r="O75" s="47"/>
      <c r="P75" s="92" t="s">
        <v>507</v>
      </c>
      <c r="Q75" s="101"/>
      <c r="R75" s="47"/>
      <c r="S75" s="92" t="s">
        <v>507</v>
      </c>
      <c r="T75" s="101"/>
      <c r="U75" s="47"/>
      <c r="V75" s="92" t="s">
        <v>507</v>
      </c>
      <c r="W75" s="101"/>
      <c r="X75" s="47"/>
    </row>
    <row r="76" spans="1:24" x14ac:dyDescent="0.2">
      <c r="A76" s="1039" t="s">
        <v>502</v>
      </c>
      <c r="B76" s="101"/>
      <c r="C76" s="47"/>
      <c r="D76" s="1039" t="s">
        <v>502</v>
      </c>
      <c r="E76" s="101"/>
      <c r="F76" s="47"/>
      <c r="G76" s="1039" t="s">
        <v>502</v>
      </c>
      <c r="H76" s="101"/>
      <c r="I76" s="47"/>
      <c r="J76" s="1039" t="s">
        <v>502</v>
      </c>
      <c r="K76" s="101"/>
      <c r="L76" s="47"/>
      <c r="M76" s="1039" t="s">
        <v>502</v>
      </c>
      <c r="N76" s="101"/>
      <c r="O76" s="47"/>
      <c r="P76" s="1039" t="s">
        <v>502</v>
      </c>
      <c r="Q76" s="101"/>
      <c r="R76" s="47"/>
      <c r="S76" s="1039" t="s">
        <v>502</v>
      </c>
      <c r="T76" s="101"/>
      <c r="U76" s="47"/>
      <c r="V76" s="1039" t="s">
        <v>502</v>
      </c>
      <c r="W76" s="101"/>
      <c r="X76" s="47"/>
    </row>
    <row r="77" spans="1:24" x14ac:dyDescent="0.2">
      <c r="A77" s="92" t="s">
        <v>508</v>
      </c>
      <c r="B77" s="101"/>
      <c r="C77" s="47"/>
      <c r="D77" s="92" t="s">
        <v>508</v>
      </c>
      <c r="E77" s="101"/>
      <c r="F77" s="47"/>
      <c r="G77" s="92" t="s">
        <v>508</v>
      </c>
      <c r="H77" s="101"/>
      <c r="I77" s="47"/>
      <c r="J77" s="92" t="s">
        <v>508</v>
      </c>
      <c r="K77" s="101"/>
      <c r="L77" s="47"/>
      <c r="M77" s="92" t="s">
        <v>508</v>
      </c>
      <c r="N77" s="101"/>
      <c r="O77" s="47"/>
      <c r="P77" s="92" t="s">
        <v>508</v>
      </c>
      <c r="Q77" s="101"/>
      <c r="R77" s="47"/>
      <c r="S77" s="92" t="s">
        <v>508</v>
      </c>
      <c r="T77" s="101"/>
      <c r="U77" s="47"/>
      <c r="V77" s="92" t="s">
        <v>508</v>
      </c>
      <c r="W77" s="101"/>
      <c r="X77" s="47"/>
    </row>
    <row r="78" spans="1:24" x14ac:dyDescent="0.2">
      <c r="A78" s="463" t="s">
        <v>504</v>
      </c>
      <c r="B78" s="101"/>
      <c r="C78" s="47"/>
      <c r="D78" s="463" t="s">
        <v>504</v>
      </c>
      <c r="E78" s="101"/>
      <c r="F78" s="47"/>
      <c r="G78" s="463" t="s">
        <v>504</v>
      </c>
      <c r="H78" s="101"/>
      <c r="I78" s="47"/>
      <c r="J78" s="463" t="s">
        <v>504</v>
      </c>
      <c r="K78" s="101"/>
      <c r="L78" s="47"/>
      <c r="M78" s="463" t="s">
        <v>504</v>
      </c>
      <c r="N78" s="101"/>
      <c r="O78" s="47"/>
      <c r="P78" s="463" t="s">
        <v>504</v>
      </c>
      <c r="Q78" s="101"/>
      <c r="R78" s="47"/>
      <c r="S78" s="463" t="s">
        <v>504</v>
      </c>
      <c r="T78" s="101"/>
      <c r="U78" s="47"/>
      <c r="V78" s="463" t="s">
        <v>504</v>
      </c>
      <c r="W78" s="101"/>
      <c r="X78" s="47"/>
    </row>
    <row r="79" spans="1:24" x14ac:dyDescent="0.2">
      <c r="A79" s="494" t="s">
        <v>73</v>
      </c>
      <c r="B79" s="502" t="e">
        <f>ROUND(AVERAGE(B67:B78), 5)</f>
        <v>#DIV/0!</v>
      </c>
      <c r="C79" s="47"/>
      <c r="D79" s="494" t="s">
        <v>73</v>
      </c>
      <c r="E79" s="502" t="e">
        <f>ROUND(AVERAGE(E67:E78), 5)</f>
        <v>#DIV/0!</v>
      </c>
      <c r="F79" s="47"/>
      <c r="G79" s="494" t="s">
        <v>73</v>
      </c>
      <c r="H79" s="502" t="e">
        <f>ROUND(AVERAGE(H67:H78), 5)</f>
        <v>#DIV/0!</v>
      </c>
      <c r="I79" s="47"/>
      <c r="J79" s="494" t="s">
        <v>73</v>
      </c>
      <c r="K79" s="502" t="e">
        <f>ROUND(AVERAGE(K67:K78), 5)</f>
        <v>#DIV/0!</v>
      </c>
      <c r="L79" s="47"/>
      <c r="M79" s="494" t="s">
        <v>73</v>
      </c>
      <c r="N79" s="502" t="e">
        <f>ROUND(AVERAGE(N67:N78), 5)</f>
        <v>#DIV/0!</v>
      </c>
      <c r="O79" s="47"/>
      <c r="P79" s="494" t="s">
        <v>73</v>
      </c>
      <c r="Q79" s="502" t="e">
        <f>ROUND(AVERAGE(Q67:Q78), 5)</f>
        <v>#DIV/0!</v>
      </c>
      <c r="R79" s="47"/>
      <c r="S79" s="494" t="s">
        <v>73</v>
      </c>
      <c r="T79" s="502" t="e">
        <f>ROUND(AVERAGE(T67:T78), 5)</f>
        <v>#DIV/0!</v>
      </c>
      <c r="U79" s="47"/>
      <c r="V79" s="494" t="s">
        <v>73</v>
      </c>
      <c r="W79" s="502" t="e">
        <f>ROUND(AVERAGE(W67:W78), 5)</f>
        <v>#DIV/0!</v>
      </c>
      <c r="X79" s="47"/>
    </row>
    <row r="80" spans="1:24" ht="13.5" thickBot="1" x14ac:dyDescent="0.25">
      <c r="A80" s="501" t="s">
        <v>74</v>
      </c>
      <c r="B80" s="503" t="e">
        <f>(IF(B64="ACME - 29°","--",3*(B79)-(0.86603/B65)))</f>
        <v>#DIV/0!</v>
      </c>
      <c r="C80" s="47"/>
      <c r="D80" s="501" t="s">
        <v>74</v>
      </c>
      <c r="E80" s="503" t="e">
        <f>(IF(E64="ACME - 29°","--",3*(E79)-(0.86603/E65)))</f>
        <v>#DIV/0!</v>
      </c>
      <c r="F80" s="47"/>
      <c r="G80" s="501" t="s">
        <v>74</v>
      </c>
      <c r="H80" s="503" t="e">
        <f>(IF(H64="ACME - 29°","--",3*(H79)-(0.86603/H65)))</f>
        <v>#DIV/0!</v>
      </c>
      <c r="I80" s="47"/>
      <c r="J80" s="501" t="s">
        <v>74</v>
      </c>
      <c r="K80" s="503" t="e">
        <f>(IF(K64="ACME - 29°","--",3*(K79)-(0.86603/K65)))</f>
        <v>#DIV/0!</v>
      </c>
      <c r="L80" s="47"/>
      <c r="M80" s="501" t="s">
        <v>74</v>
      </c>
      <c r="N80" s="503" t="e">
        <f>(IF(N64="ACME - 29°","--",3*(N79)-(0.86603/N65)))</f>
        <v>#DIV/0!</v>
      </c>
      <c r="O80" s="47"/>
      <c r="P80" s="501" t="s">
        <v>74</v>
      </c>
      <c r="Q80" s="503" t="str">
        <f>(IF(Q64="ACME - 29°","--",3*(Q79)-(0.86603/Q65)))</f>
        <v>--</v>
      </c>
      <c r="R80" s="47"/>
      <c r="S80" s="501" t="s">
        <v>74</v>
      </c>
      <c r="T80" s="503" t="str">
        <f>(IF(T64="ACME - 29°","--",3*(T79)-(0.86603/T65)))</f>
        <v>--</v>
      </c>
      <c r="U80" s="47"/>
      <c r="V80" s="501" t="s">
        <v>74</v>
      </c>
      <c r="W80" s="503" t="str">
        <f>(IF(W64="ACME - 29°","--",3*(W79)-(0.86603/W65)))</f>
        <v>--</v>
      </c>
      <c r="X80" s="47"/>
    </row>
    <row r="81" spans="1:24" ht="13.5" thickBot="1"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row>
    <row r="82" spans="1:24" ht="15.75" thickBot="1" x14ac:dyDescent="0.3">
      <c r="A82" s="235" t="s">
        <v>69</v>
      </c>
      <c r="B82" s="236"/>
      <c r="C82" s="237"/>
      <c r="D82" s="235" t="s">
        <v>69</v>
      </c>
      <c r="E82" s="238"/>
      <c r="F82" s="237"/>
      <c r="G82" s="235" t="s">
        <v>69</v>
      </c>
      <c r="H82" s="236"/>
      <c r="I82" s="237"/>
      <c r="J82" s="235" t="s">
        <v>69</v>
      </c>
      <c r="K82" s="236"/>
      <c r="L82" s="237"/>
      <c r="M82" s="235" t="s">
        <v>69</v>
      </c>
      <c r="N82" s="236"/>
      <c r="O82" s="237"/>
      <c r="P82" s="235" t="s">
        <v>69</v>
      </c>
      <c r="Q82" s="238"/>
      <c r="R82" s="237"/>
      <c r="S82" s="235" t="s">
        <v>69</v>
      </c>
      <c r="T82" s="236"/>
      <c r="U82" s="237"/>
      <c r="V82" s="235" t="s">
        <v>69</v>
      </c>
      <c r="W82" s="236"/>
      <c r="X82" s="237"/>
    </row>
    <row r="83" spans="1:24" ht="15" x14ac:dyDescent="0.25">
      <c r="A83" s="239" t="s">
        <v>70</v>
      </c>
      <c r="B83" s="872" t="s">
        <v>500</v>
      </c>
      <c r="C83" s="237"/>
      <c r="D83" s="240" t="s">
        <v>70</v>
      </c>
      <c r="E83" s="872" t="s">
        <v>500</v>
      </c>
      <c r="F83" s="237"/>
      <c r="G83" s="239" t="s">
        <v>70</v>
      </c>
      <c r="H83" s="872" t="s">
        <v>500</v>
      </c>
      <c r="I83" s="237"/>
      <c r="J83" s="239" t="s">
        <v>70</v>
      </c>
      <c r="K83" s="872" t="s">
        <v>500</v>
      </c>
      <c r="L83" s="237"/>
      <c r="M83" s="239" t="s">
        <v>70</v>
      </c>
      <c r="N83" s="872" t="s">
        <v>499</v>
      </c>
      <c r="O83" s="237"/>
      <c r="P83" s="240" t="s">
        <v>70</v>
      </c>
      <c r="Q83" s="872" t="s">
        <v>499</v>
      </c>
      <c r="R83" s="237"/>
      <c r="S83" s="239" t="s">
        <v>70</v>
      </c>
      <c r="T83" s="872" t="s">
        <v>499</v>
      </c>
      <c r="U83" s="237"/>
      <c r="V83" s="239" t="s">
        <v>70</v>
      </c>
      <c r="W83" s="872" t="s">
        <v>499</v>
      </c>
      <c r="X83" s="237"/>
    </row>
    <row r="84" spans="1:24" x14ac:dyDescent="0.2">
      <c r="A84" s="186" t="s">
        <v>71</v>
      </c>
      <c r="B84" s="194"/>
      <c r="C84" s="47"/>
      <c r="D84" s="186" t="s">
        <v>71</v>
      </c>
      <c r="E84" s="194"/>
      <c r="F84" s="47"/>
      <c r="G84" s="186" t="s">
        <v>71</v>
      </c>
      <c r="H84" s="194"/>
      <c r="I84" s="47"/>
      <c r="J84" s="186" t="s">
        <v>71</v>
      </c>
      <c r="K84" s="194"/>
      <c r="L84" s="47"/>
      <c r="M84" s="186" t="s">
        <v>71</v>
      </c>
      <c r="N84" s="194"/>
      <c r="O84" s="47"/>
      <c r="P84" s="186" t="s">
        <v>71</v>
      </c>
      <c r="Q84" s="194"/>
      <c r="R84" s="47"/>
      <c r="S84" s="186" t="s">
        <v>71</v>
      </c>
      <c r="T84" s="194"/>
      <c r="U84" s="47"/>
      <c r="V84" s="186" t="s">
        <v>71</v>
      </c>
      <c r="W84" s="194"/>
      <c r="X84" s="47"/>
    </row>
    <row r="85" spans="1:24" ht="13.5" thickBot="1" x14ac:dyDescent="0.25">
      <c r="A85" s="241" t="s">
        <v>72</v>
      </c>
      <c r="B85" s="242" t="e">
        <f>IF(B83="Regular - 60°",VLOOKUP(B84,'[2]Thread Wire Nominal Sizes'!$A$4:$B$397,2,FALSE),VLOOKUP(B84,'[2]Thread Wire Nominal Sizes'!$D$4:$E$25,2,FALSE))</f>
        <v>#N/A</v>
      </c>
      <c r="C85" s="47"/>
      <c r="D85" s="241" t="s">
        <v>72</v>
      </c>
      <c r="E85" s="242" t="e">
        <f>IF(E83="Regular - 60°",VLOOKUP(E84,'[2]Thread Wire Nominal Sizes'!$A$4:$B$39,2,FALSE),VLOOKUP(E84,'[2]Thread Wire Nominal Sizes'!$D$4:$E$25,2,FALSE))</f>
        <v>#N/A</v>
      </c>
      <c r="F85" s="47"/>
      <c r="G85" s="241" t="s">
        <v>72</v>
      </c>
      <c r="H85" s="242" t="e">
        <f>IF(H83="Regular - 60°",VLOOKUP(H84,'[2]Thread Wire Nominal Sizes'!$A$4:$B$39,2,FALSE),VLOOKUP(H84,'[2]Thread Wire Nominal Sizes'!$D$4:$E$25,2,FALSE))</f>
        <v>#N/A</v>
      </c>
      <c r="I85" s="47"/>
      <c r="J85" s="241" t="s">
        <v>72</v>
      </c>
      <c r="K85" s="242" t="e">
        <f>IF(K83="Regular - 60°",VLOOKUP(K84,'[2]Thread Wire Nominal Sizes'!$A$4:$B$39,2,FALSE),VLOOKUP(K84,'[2]Thread Wire Nominal Sizes'!$D$4:$E$25,2,FALSE))</f>
        <v>#N/A</v>
      </c>
      <c r="L85" s="47"/>
      <c r="M85" s="241" t="s">
        <v>72</v>
      </c>
      <c r="N85" s="242"/>
      <c r="O85" s="47"/>
      <c r="P85" s="241" t="s">
        <v>72</v>
      </c>
      <c r="Q85" s="242"/>
      <c r="R85" s="47"/>
      <c r="S85" s="241" t="s">
        <v>72</v>
      </c>
      <c r="T85" s="242"/>
      <c r="U85" s="47"/>
      <c r="V85" s="241" t="s">
        <v>72</v>
      </c>
      <c r="W85" s="242"/>
      <c r="X85" s="47"/>
    </row>
    <row r="86" spans="1:24" ht="13.5" thickTop="1" x14ac:dyDescent="0.2">
      <c r="A86" s="243" t="s">
        <v>501</v>
      </c>
      <c r="B86" s="101"/>
      <c r="C86" s="47"/>
      <c r="D86" s="243" t="s">
        <v>501</v>
      </c>
      <c r="E86" s="101"/>
      <c r="F86" s="47"/>
      <c r="G86" s="243" t="s">
        <v>501</v>
      </c>
      <c r="H86" s="101"/>
      <c r="I86" s="47"/>
      <c r="J86" s="243" t="s">
        <v>501</v>
      </c>
      <c r="K86" s="101"/>
      <c r="L86" s="47"/>
      <c r="M86" s="243" t="s">
        <v>501</v>
      </c>
      <c r="N86" s="101"/>
      <c r="O86" s="47"/>
      <c r="P86" s="243" t="s">
        <v>501</v>
      </c>
      <c r="Q86" s="101"/>
      <c r="R86" s="47"/>
      <c r="S86" s="243" t="s">
        <v>501</v>
      </c>
      <c r="T86" s="101"/>
      <c r="U86" s="47"/>
      <c r="V86" s="243" t="s">
        <v>501</v>
      </c>
      <c r="W86" s="101"/>
      <c r="X86" s="47"/>
    </row>
    <row r="87" spans="1:24" x14ac:dyDescent="0.2">
      <c r="A87" s="1039" t="s">
        <v>502</v>
      </c>
      <c r="B87" s="101"/>
      <c r="C87" s="47"/>
      <c r="D87" s="1039" t="s">
        <v>502</v>
      </c>
      <c r="E87" s="101"/>
      <c r="F87" s="47"/>
      <c r="G87" s="1039" t="s">
        <v>502</v>
      </c>
      <c r="H87" s="101"/>
      <c r="I87" s="47"/>
      <c r="J87" s="1039" t="s">
        <v>502</v>
      </c>
      <c r="K87" s="101"/>
      <c r="L87" s="47"/>
      <c r="M87" s="1039" t="s">
        <v>502</v>
      </c>
      <c r="N87" s="101"/>
      <c r="O87" s="47"/>
      <c r="P87" s="1039" t="s">
        <v>502</v>
      </c>
      <c r="Q87" s="101"/>
      <c r="R87" s="47"/>
      <c r="S87" s="1039" t="s">
        <v>502</v>
      </c>
      <c r="T87" s="101"/>
      <c r="U87" s="47"/>
      <c r="V87" s="1039" t="s">
        <v>502</v>
      </c>
      <c r="W87" s="101"/>
      <c r="X87" s="47"/>
    </row>
    <row r="88" spans="1:24" x14ac:dyDescent="0.2">
      <c r="A88" s="92" t="s">
        <v>503</v>
      </c>
      <c r="B88" s="101"/>
      <c r="C88" s="47"/>
      <c r="D88" s="92" t="s">
        <v>503</v>
      </c>
      <c r="E88" s="101"/>
      <c r="F88" s="47"/>
      <c r="G88" s="92" t="s">
        <v>503</v>
      </c>
      <c r="H88" s="101"/>
      <c r="I88" s="47"/>
      <c r="J88" s="92" t="s">
        <v>503</v>
      </c>
      <c r="K88" s="101"/>
      <c r="L88" s="47"/>
      <c r="M88" s="92" t="s">
        <v>503</v>
      </c>
      <c r="N88" s="101"/>
      <c r="O88" s="47"/>
      <c r="P88" s="92" t="s">
        <v>503</v>
      </c>
      <c r="Q88" s="101"/>
      <c r="R88" s="47"/>
      <c r="S88" s="92" t="s">
        <v>503</v>
      </c>
      <c r="T88" s="101"/>
      <c r="U88" s="47"/>
      <c r="V88" s="92" t="s">
        <v>503</v>
      </c>
      <c r="W88" s="101"/>
      <c r="X88" s="47"/>
    </row>
    <row r="89" spans="1:24" x14ac:dyDescent="0.2">
      <c r="A89" s="463" t="s">
        <v>504</v>
      </c>
      <c r="B89" s="101"/>
      <c r="C89" s="47"/>
      <c r="D89" s="463" t="s">
        <v>504</v>
      </c>
      <c r="E89" s="101"/>
      <c r="F89" s="47"/>
      <c r="G89" s="463" t="s">
        <v>504</v>
      </c>
      <c r="H89" s="101"/>
      <c r="I89" s="47"/>
      <c r="J89" s="463" t="s">
        <v>504</v>
      </c>
      <c r="K89" s="101"/>
      <c r="L89" s="47"/>
      <c r="M89" s="463" t="s">
        <v>504</v>
      </c>
      <c r="N89" s="101"/>
      <c r="O89" s="47"/>
      <c r="P89" s="463" t="s">
        <v>504</v>
      </c>
      <c r="Q89" s="101"/>
      <c r="R89" s="47"/>
      <c r="S89" s="463" t="s">
        <v>504</v>
      </c>
      <c r="T89" s="101"/>
      <c r="U89" s="47"/>
      <c r="V89" s="463" t="s">
        <v>504</v>
      </c>
      <c r="W89" s="101"/>
      <c r="X89" s="47"/>
    </row>
    <row r="90" spans="1:24" x14ac:dyDescent="0.2">
      <c r="A90" s="92" t="s">
        <v>505</v>
      </c>
      <c r="B90" s="101"/>
      <c r="C90" s="47"/>
      <c r="D90" s="92" t="s">
        <v>505</v>
      </c>
      <c r="E90" s="101"/>
      <c r="F90" s="47"/>
      <c r="G90" s="92" t="s">
        <v>505</v>
      </c>
      <c r="H90" s="101"/>
      <c r="I90" s="47"/>
      <c r="J90" s="92" t="s">
        <v>505</v>
      </c>
      <c r="K90" s="101"/>
      <c r="L90" s="47"/>
      <c r="M90" s="92" t="s">
        <v>505</v>
      </c>
      <c r="N90" s="101"/>
      <c r="O90" s="47"/>
      <c r="P90" s="92" t="s">
        <v>505</v>
      </c>
      <c r="Q90" s="101"/>
      <c r="R90" s="47"/>
      <c r="S90" s="92" t="s">
        <v>505</v>
      </c>
      <c r="T90" s="101"/>
      <c r="U90" s="47"/>
      <c r="V90" s="92" t="s">
        <v>505</v>
      </c>
      <c r="W90" s="101"/>
      <c r="X90" s="47"/>
    </row>
    <row r="91" spans="1:24" x14ac:dyDescent="0.2">
      <c r="A91" s="1039" t="s">
        <v>502</v>
      </c>
      <c r="B91" s="101"/>
      <c r="C91" s="47"/>
      <c r="D91" s="1039" t="s">
        <v>502</v>
      </c>
      <c r="E91" s="101"/>
      <c r="F91" s="47"/>
      <c r="G91" s="1039" t="s">
        <v>502</v>
      </c>
      <c r="H91" s="101"/>
      <c r="I91" s="47"/>
      <c r="J91" s="1039" t="s">
        <v>502</v>
      </c>
      <c r="K91" s="101"/>
      <c r="L91" s="47"/>
      <c r="M91" s="1039" t="s">
        <v>502</v>
      </c>
      <c r="N91" s="101"/>
      <c r="O91" s="47"/>
      <c r="P91" s="1039" t="s">
        <v>502</v>
      </c>
      <c r="Q91" s="101"/>
      <c r="R91" s="47"/>
      <c r="S91" s="1039" t="s">
        <v>502</v>
      </c>
      <c r="T91" s="101"/>
      <c r="U91" s="47"/>
      <c r="V91" s="1039" t="s">
        <v>502</v>
      </c>
      <c r="W91" s="101"/>
      <c r="X91" s="47"/>
    </row>
    <row r="92" spans="1:24" x14ac:dyDescent="0.2">
      <c r="A92" s="92" t="s">
        <v>506</v>
      </c>
      <c r="B92" s="101"/>
      <c r="C92" s="47"/>
      <c r="D92" s="92" t="s">
        <v>506</v>
      </c>
      <c r="E92" s="101"/>
      <c r="F92" s="47"/>
      <c r="G92" s="92" t="s">
        <v>506</v>
      </c>
      <c r="H92" s="101"/>
      <c r="I92" s="47"/>
      <c r="J92" s="92" t="s">
        <v>506</v>
      </c>
      <c r="K92" s="101"/>
      <c r="L92" s="47"/>
      <c r="M92" s="92" t="s">
        <v>506</v>
      </c>
      <c r="N92" s="101"/>
      <c r="O92" s="47"/>
      <c r="P92" s="92" t="s">
        <v>506</v>
      </c>
      <c r="Q92" s="101"/>
      <c r="R92" s="47"/>
      <c r="S92" s="92" t="s">
        <v>506</v>
      </c>
      <c r="T92" s="101"/>
      <c r="U92" s="47"/>
      <c r="V92" s="92" t="s">
        <v>506</v>
      </c>
      <c r="W92" s="101"/>
      <c r="X92" s="47"/>
    </row>
    <row r="93" spans="1:24" x14ac:dyDescent="0.2">
      <c r="A93" s="463" t="s">
        <v>504</v>
      </c>
      <c r="B93" s="101"/>
      <c r="C93" s="47"/>
      <c r="D93" s="463" t="s">
        <v>504</v>
      </c>
      <c r="E93" s="101"/>
      <c r="F93" s="47"/>
      <c r="G93" s="463" t="s">
        <v>504</v>
      </c>
      <c r="H93" s="101"/>
      <c r="I93" s="47"/>
      <c r="J93" s="463" t="s">
        <v>504</v>
      </c>
      <c r="K93" s="101"/>
      <c r="L93" s="47"/>
      <c r="M93" s="463" t="s">
        <v>504</v>
      </c>
      <c r="N93" s="101"/>
      <c r="O93" s="47"/>
      <c r="P93" s="463" t="s">
        <v>504</v>
      </c>
      <c r="Q93" s="101"/>
      <c r="R93" s="47"/>
      <c r="S93" s="463" t="s">
        <v>504</v>
      </c>
      <c r="T93" s="101"/>
      <c r="U93" s="47"/>
      <c r="V93" s="463" t="s">
        <v>504</v>
      </c>
      <c r="W93" s="101"/>
      <c r="X93" s="47"/>
    </row>
    <row r="94" spans="1:24" x14ac:dyDescent="0.2">
      <c r="A94" s="92" t="s">
        <v>507</v>
      </c>
      <c r="B94" s="101"/>
      <c r="C94" s="47"/>
      <c r="D94" s="92" t="s">
        <v>507</v>
      </c>
      <c r="E94" s="101"/>
      <c r="F94" s="47"/>
      <c r="G94" s="92" t="s">
        <v>507</v>
      </c>
      <c r="H94" s="101"/>
      <c r="I94" s="47"/>
      <c r="J94" s="92" t="s">
        <v>507</v>
      </c>
      <c r="K94" s="101"/>
      <c r="L94" s="47"/>
      <c r="M94" s="92" t="s">
        <v>507</v>
      </c>
      <c r="N94" s="101"/>
      <c r="O94" s="47"/>
      <c r="P94" s="92" t="s">
        <v>507</v>
      </c>
      <c r="Q94" s="101"/>
      <c r="R94" s="47"/>
      <c r="S94" s="92" t="s">
        <v>507</v>
      </c>
      <c r="T94" s="101"/>
      <c r="U94" s="47"/>
      <c r="V94" s="92" t="s">
        <v>507</v>
      </c>
      <c r="W94" s="101"/>
      <c r="X94" s="47"/>
    </row>
    <row r="95" spans="1:24" x14ac:dyDescent="0.2">
      <c r="A95" s="1039" t="s">
        <v>502</v>
      </c>
      <c r="B95" s="101"/>
      <c r="C95" s="47"/>
      <c r="D95" s="1039" t="s">
        <v>502</v>
      </c>
      <c r="E95" s="101"/>
      <c r="F95" s="47"/>
      <c r="G95" s="1039" t="s">
        <v>502</v>
      </c>
      <c r="H95" s="101"/>
      <c r="I95" s="47"/>
      <c r="J95" s="1039" t="s">
        <v>502</v>
      </c>
      <c r="K95" s="101"/>
      <c r="L95" s="47"/>
      <c r="M95" s="1039" t="s">
        <v>502</v>
      </c>
      <c r="N95" s="101"/>
      <c r="O95" s="47"/>
      <c r="P95" s="1039" t="s">
        <v>502</v>
      </c>
      <c r="Q95" s="101"/>
      <c r="R95" s="47"/>
      <c r="S95" s="1039" t="s">
        <v>502</v>
      </c>
      <c r="T95" s="101"/>
      <c r="U95" s="47"/>
      <c r="V95" s="1039" t="s">
        <v>502</v>
      </c>
      <c r="W95" s="101"/>
      <c r="X95" s="47"/>
    </row>
    <row r="96" spans="1:24" x14ac:dyDescent="0.2">
      <c r="A96" s="92" t="s">
        <v>508</v>
      </c>
      <c r="B96" s="101"/>
      <c r="C96" s="47"/>
      <c r="D96" s="92" t="s">
        <v>508</v>
      </c>
      <c r="E96" s="101"/>
      <c r="F96" s="47"/>
      <c r="G96" s="92" t="s">
        <v>508</v>
      </c>
      <c r="H96" s="101"/>
      <c r="I96" s="47"/>
      <c r="J96" s="92" t="s">
        <v>508</v>
      </c>
      <c r="K96" s="101"/>
      <c r="L96" s="47"/>
      <c r="M96" s="92" t="s">
        <v>508</v>
      </c>
      <c r="N96" s="101"/>
      <c r="O96" s="47"/>
      <c r="P96" s="92" t="s">
        <v>508</v>
      </c>
      <c r="Q96" s="101"/>
      <c r="R96" s="47"/>
      <c r="S96" s="92" t="s">
        <v>508</v>
      </c>
      <c r="T96" s="101"/>
      <c r="U96" s="47"/>
      <c r="V96" s="92" t="s">
        <v>508</v>
      </c>
      <c r="W96" s="101"/>
      <c r="X96" s="47"/>
    </row>
    <row r="97" spans="1:24" x14ac:dyDescent="0.2">
      <c r="A97" s="463" t="s">
        <v>504</v>
      </c>
      <c r="B97" s="101"/>
      <c r="C97" s="47"/>
      <c r="D97" s="463" t="s">
        <v>504</v>
      </c>
      <c r="E97" s="101"/>
      <c r="F97" s="47"/>
      <c r="G97" s="463" t="s">
        <v>504</v>
      </c>
      <c r="H97" s="101"/>
      <c r="I97" s="47"/>
      <c r="J97" s="463" t="s">
        <v>504</v>
      </c>
      <c r="K97" s="101"/>
      <c r="L97" s="47"/>
      <c r="M97" s="463" t="s">
        <v>504</v>
      </c>
      <c r="N97" s="101"/>
      <c r="O97" s="47"/>
      <c r="P97" s="463" t="s">
        <v>504</v>
      </c>
      <c r="Q97" s="101"/>
      <c r="R97" s="47"/>
      <c r="S97" s="463" t="s">
        <v>504</v>
      </c>
      <c r="T97" s="101"/>
      <c r="U97" s="47"/>
      <c r="V97" s="463" t="s">
        <v>504</v>
      </c>
      <c r="W97" s="101"/>
      <c r="X97" s="47"/>
    </row>
    <row r="98" spans="1:24" x14ac:dyDescent="0.2">
      <c r="A98" s="494" t="s">
        <v>73</v>
      </c>
      <c r="B98" s="502" t="e">
        <f>ROUND(AVERAGE(B86:B97), 5)</f>
        <v>#DIV/0!</v>
      </c>
      <c r="C98" s="47"/>
      <c r="D98" s="494" t="s">
        <v>73</v>
      </c>
      <c r="E98" s="502" t="e">
        <f>ROUND(AVERAGE(E86:E97), 5)</f>
        <v>#DIV/0!</v>
      </c>
      <c r="F98" s="47"/>
      <c r="G98" s="494" t="s">
        <v>73</v>
      </c>
      <c r="H98" s="502" t="e">
        <f>ROUND(AVERAGE(H86:H97), 5)</f>
        <v>#DIV/0!</v>
      </c>
      <c r="I98" s="47"/>
      <c r="J98" s="494" t="s">
        <v>73</v>
      </c>
      <c r="K98" s="502" t="e">
        <f>ROUND(AVERAGE(K86:K97), 5)</f>
        <v>#DIV/0!</v>
      </c>
      <c r="L98" s="47"/>
      <c r="M98" s="494" t="s">
        <v>73</v>
      </c>
      <c r="N98" s="502" t="e">
        <f>ROUND(AVERAGE(N86:N97), 5)</f>
        <v>#DIV/0!</v>
      </c>
      <c r="O98" s="47"/>
      <c r="P98" s="494" t="s">
        <v>73</v>
      </c>
      <c r="Q98" s="502" t="e">
        <f>ROUND(AVERAGE(Q86:Q97), 5)</f>
        <v>#DIV/0!</v>
      </c>
      <c r="R98" s="47"/>
      <c r="S98" s="494" t="s">
        <v>73</v>
      </c>
      <c r="T98" s="502" t="e">
        <f>ROUND(AVERAGE(T86:T97), 5)</f>
        <v>#DIV/0!</v>
      </c>
      <c r="U98" s="47"/>
      <c r="V98" s="494" t="s">
        <v>73</v>
      </c>
      <c r="W98" s="502" t="e">
        <f>ROUND(AVERAGE(W86:W97), 5)</f>
        <v>#DIV/0!</v>
      </c>
      <c r="X98" s="47"/>
    </row>
    <row r="99" spans="1:24" ht="13.5" thickBot="1" x14ac:dyDescent="0.25">
      <c r="A99" s="501" t="s">
        <v>74</v>
      </c>
      <c r="B99" s="503" t="str">
        <f>(IF(B83="ACME - 29°","--",3*(B98)-(0.86603/B84)))</f>
        <v>--</v>
      </c>
      <c r="C99" s="47"/>
      <c r="D99" s="501" t="s">
        <v>74</v>
      </c>
      <c r="E99" s="503" t="str">
        <f>(IF(E83="ACME - 29°","--",3*(E98)-(0.86603/E84)))</f>
        <v>--</v>
      </c>
      <c r="F99" s="47"/>
      <c r="G99" s="501" t="s">
        <v>74</v>
      </c>
      <c r="H99" s="503" t="str">
        <f>(IF(H83="ACME - 29°","--",3*(H98)-(0.86603/H84)))</f>
        <v>--</v>
      </c>
      <c r="I99" s="47"/>
      <c r="J99" s="501" t="s">
        <v>74</v>
      </c>
      <c r="K99" s="503" t="str">
        <f>(IF(K83="ACME - 29°","--",3*(K98)-(0.86603/K84)))</f>
        <v>--</v>
      </c>
      <c r="L99" s="47"/>
      <c r="M99" s="501" t="s">
        <v>74</v>
      </c>
      <c r="N99" s="503" t="e">
        <f>(IF(N83="ACME - 29°","--",3*(N98)-(0.86603/N84)))</f>
        <v>#DIV/0!</v>
      </c>
      <c r="O99" s="47"/>
      <c r="P99" s="501" t="s">
        <v>74</v>
      </c>
      <c r="Q99" s="503" t="e">
        <f>(IF(Q83="ACME - 29°","--",3*(Q98)-(0.86603/Q84)))</f>
        <v>#DIV/0!</v>
      </c>
      <c r="R99" s="47"/>
      <c r="S99" s="501" t="s">
        <v>74</v>
      </c>
      <c r="T99" s="503" t="e">
        <f>(IF(T83="ACME - 29°","--",3*(T98)-(0.86603/T84)))</f>
        <v>#DIV/0!</v>
      </c>
      <c r="U99" s="47"/>
      <c r="V99" s="501" t="s">
        <v>74</v>
      </c>
      <c r="W99" s="503" t="e">
        <f>(IF(W83="ACME - 29°","--",3*(W98)-(0.86603/W84)))</f>
        <v>#DIV/0!</v>
      </c>
      <c r="X99" s="47"/>
    </row>
    <row r="121" spans="1:4" x14ac:dyDescent="0.2">
      <c r="A121" s="415" t="s">
        <v>509</v>
      </c>
    </row>
    <row r="123" spans="1:4" x14ac:dyDescent="0.2">
      <c r="A123" s="84" t="s">
        <v>510</v>
      </c>
    </row>
    <row r="124" spans="1:4" x14ac:dyDescent="0.2">
      <c r="A124" s="47"/>
      <c r="B124" s="47"/>
      <c r="C124" s="47"/>
      <c r="D124" s="47"/>
    </row>
    <row r="125" spans="1:4" x14ac:dyDescent="0.2">
      <c r="A125" s="454" t="s">
        <v>511</v>
      </c>
      <c r="B125" s="1193" t="s">
        <v>512</v>
      </c>
      <c r="C125" s="1193"/>
      <c r="D125" s="454" t="s">
        <v>513</v>
      </c>
    </row>
    <row r="126" spans="1:4" x14ac:dyDescent="0.2">
      <c r="A126" s="5" t="s">
        <v>514</v>
      </c>
      <c r="B126" s="1127" t="s">
        <v>515</v>
      </c>
      <c r="C126" s="1127"/>
      <c r="D126" s="5" t="s">
        <v>516</v>
      </c>
    </row>
    <row r="127" spans="1:4" x14ac:dyDescent="0.2">
      <c r="A127" s="37" t="s">
        <v>517</v>
      </c>
      <c r="B127" s="1188" t="s">
        <v>518</v>
      </c>
      <c r="C127" s="1188"/>
      <c r="D127" s="37" t="s">
        <v>516</v>
      </c>
    </row>
    <row r="128" spans="1:4" x14ac:dyDescent="0.2">
      <c r="A128" s="5" t="s">
        <v>519</v>
      </c>
      <c r="B128" s="1127" t="s">
        <v>515</v>
      </c>
      <c r="C128" s="1127"/>
      <c r="D128" s="5" t="s">
        <v>516</v>
      </c>
    </row>
    <row r="129" spans="1:4" x14ac:dyDescent="0.2">
      <c r="A129" s="37" t="s">
        <v>520</v>
      </c>
      <c r="B129" s="1188" t="s">
        <v>518</v>
      </c>
      <c r="C129" s="1188"/>
      <c r="D129" s="37" t="s">
        <v>516</v>
      </c>
    </row>
    <row r="130" spans="1:4" x14ac:dyDescent="0.2">
      <c r="A130" s="5" t="s">
        <v>521</v>
      </c>
      <c r="B130" s="1127" t="s">
        <v>522</v>
      </c>
      <c r="C130" s="1127"/>
      <c r="D130" s="5" t="s">
        <v>523</v>
      </c>
    </row>
    <row r="131" spans="1:4" x14ac:dyDescent="0.2">
      <c r="A131" s="42" t="s">
        <v>524</v>
      </c>
      <c r="B131" s="1188" t="s">
        <v>525</v>
      </c>
      <c r="C131" s="1188"/>
      <c r="D131" s="37" t="s">
        <v>526</v>
      </c>
    </row>
    <row r="132" spans="1:4" x14ac:dyDescent="0.2">
      <c r="A132" s="5" t="s">
        <v>527</v>
      </c>
      <c r="B132" s="1127" t="s">
        <v>528</v>
      </c>
      <c r="C132" s="1127"/>
      <c r="D132" s="5" t="s">
        <v>529</v>
      </c>
    </row>
  </sheetData>
  <sheetProtection selectLockedCells="1"/>
  <mergeCells count="11">
    <mergeCell ref="B131:C131"/>
    <mergeCell ref="B132:C132"/>
    <mergeCell ref="B130:C130"/>
    <mergeCell ref="A2:L2"/>
    <mergeCell ref="A3:K3"/>
    <mergeCell ref="B128:C128"/>
    <mergeCell ref="B129:C129"/>
    <mergeCell ref="A4:K4"/>
    <mergeCell ref="B125:C125"/>
    <mergeCell ref="B126:C126"/>
    <mergeCell ref="B127:C127"/>
  </mergeCells>
  <phoneticPr fontId="13" type="noConversion"/>
  <conditionalFormatting sqref="Q22 N22 T22 W22 T79 B22 E22 K22 W41 E41 B41 H41 K41 Q41 N41 T41 E60 B60 H60 K60 K79 E79 B79 H79 Q60 N60 T60 W60 W79 Q79 N79 H22">
    <cfRule type="cellIs" dxfId="91" priority="3" stopIfTrue="1" operator="greaterThan">
      <formula>B9+0.00002</formula>
    </cfRule>
    <cfRule type="cellIs" dxfId="90" priority="4" stopIfTrue="1" operator="lessThan">
      <formula>B9-0.00002</formula>
    </cfRule>
  </conditionalFormatting>
  <conditionalFormatting sqref="T98 K98 E98 B98 H98 W98 Q98 N98">
    <cfRule type="cellIs" dxfId="89" priority="1" stopIfTrue="1" operator="greaterThan">
      <formula>B85+0.00002</formula>
    </cfRule>
    <cfRule type="cellIs" dxfId="88" priority="2" stopIfTrue="1" operator="lessThan">
      <formula>B85-0.00002</formula>
    </cfRule>
  </conditionalFormatting>
  <dataValidations count="1">
    <dataValidation type="list" allowBlank="1" showInputMessage="1" showErrorMessage="1" errorTitle="Options are 60° and 29° (ACME)" promptTitle="Please select wire type" sqref="B7 E7 H7 K7 N7 Q7 T7 W7 W26 T26 E45 Q26 N26 K26 H26 E26 B26 B45 H45 K45 N45 Q45 T45 W45 W64 T64 Q64 N64 K64 H64 E64 B64 W83 T83 Q83 N83 K83 H83 E83 B83" xr:uid="{36D4B60A-E7B8-42F4-B844-DE5C5A72D4AA}">
      <formula1>English_Thread_Types</formula1>
    </dataValidation>
  </dataValidations>
  <hyperlinks>
    <hyperlink ref="A121" location="'English Thread Wires'!A1" display="Return to Thread Wires" xr:uid="{00000000-0004-0000-1600-000000000000}"/>
    <hyperlink ref="A4:K4" location="'English Thread Wires'!A130" display="*Note: If TPI is above 40, see chart here." xr:uid="{00000000-0004-0000-1600-000001000000}"/>
  </hyperlinks>
  <pageMargins left="0.25" right="0.25" top="0.75" bottom="0.75" header="0.3" footer="0.3"/>
  <pageSetup scale="55"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98" r:id="rId4" name="Button 46">
              <controlPr defaultSize="0" print="0" autoFill="0" autoPict="0" macro="[0]!ReturnToMain">
                <anchor moveWithCells="1" sizeWithCells="1">
                  <from>
                    <xdr:col>0</xdr:col>
                    <xdr:colOff>19050</xdr:colOff>
                    <xdr:row>0</xdr:row>
                    <xdr:rowOff>19050</xdr:rowOff>
                  </from>
                  <to>
                    <xdr:col>1</xdr:col>
                    <xdr:colOff>219075</xdr:colOff>
                    <xdr:row>0</xdr:row>
                    <xdr:rowOff>161925</xdr:rowOff>
                  </to>
                </anchor>
              </controlPr>
            </control>
          </mc:Choice>
        </mc:AlternateContent>
        <mc:AlternateContent xmlns:mc="http://schemas.openxmlformats.org/markup-compatibility/2006">
          <mc:Choice Requires="x14">
            <control shapeId="23599" r:id="rId5" name="Button 47">
              <controlPr defaultSize="0" print="0" autoFill="0" autoPict="0" macro="[0]!ThreadWireNominals">
                <anchor moveWithCells="1" sizeWithCells="1">
                  <from>
                    <xdr:col>1</xdr:col>
                    <xdr:colOff>257175</xdr:colOff>
                    <xdr:row>0</xdr:row>
                    <xdr:rowOff>19050</xdr:rowOff>
                  </from>
                  <to>
                    <xdr:col>3</xdr:col>
                    <xdr:colOff>552450</xdr:colOff>
                    <xdr:row>0</xdr:row>
                    <xdr:rowOff>142875</xdr:rowOff>
                  </to>
                </anchor>
              </controlPr>
            </control>
          </mc:Choice>
        </mc:AlternateContent>
        <mc:AlternateContent xmlns:mc="http://schemas.openxmlformats.org/markup-compatibility/2006">
          <mc:Choice Requires="x14">
            <control shapeId="23650" r:id="rId6" name="Button 98">
              <controlPr defaultSize="0" print="0" autoFill="0" autoPict="0" macro="[0]!TWiresClearReadings">
                <anchor moveWithCells="1" sizeWithCells="1">
                  <from>
                    <xdr:col>4</xdr:col>
                    <xdr:colOff>66675</xdr:colOff>
                    <xdr:row>0</xdr:row>
                    <xdr:rowOff>19050</xdr:rowOff>
                  </from>
                  <to>
                    <xdr:col>6</xdr:col>
                    <xdr:colOff>304800</xdr:colOff>
                    <xdr:row>0</xdr:row>
                    <xdr:rowOff>161925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9">
    <tabColor rgb="FF009999"/>
  </sheetPr>
  <dimension ref="B1:G44"/>
  <sheetViews>
    <sheetView workbookViewId="0">
      <selection activeCell="F4" sqref="F4"/>
    </sheetView>
  </sheetViews>
  <sheetFormatPr defaultRowHeight="12.75" x14ac:dyDescent="0.2"/>
  <cols>
    <col min="1" max="1" width="6.140625" customWidth="1"/>
    <col min="2" max="2" width="13.5703125" customWidth="1"/>
    <col min="3" max="3" width="11.5703125" customWidth="1"/>
    <col min="4" max="4" width="16" bestFit="1" customWidth="1"/>
    <col min="5" max="5" width="19.42578125" bestFit="1" customWidth="1"/>
    <col min="6" max="6" width="17.5703125" customWidth="1"/>
    <col min="7" max="7" width="16.7109375" customWidth="1"/>
  </cols>
  <sheetData>
    <row r="1" spans="2:7" ht="15.75" x14ac:dyDescent="0.25">
      <c r="B1" s="922"/>
      <c r="C1" s="1126" t="s">
        <v>530</v>
      </c>
      <c r="D1" s="1126"/>
      <c r="E1" s="1126"/>
      <c r="F1" s="945"/>
    </row>
    <row r="2" spans="2:7" ht="22.5" customHeight="1" thickBot="1" x14ac:dyDescent="0.3">
      <c r="B2" s="922"/>
      <c r="C2" s="1194" t="s">
        <v>531</v>
      </c>
      <c r="D2" s="1194"/>
      <c r="E2" s="1194"/>
      <c r="F2" s="1119">
        <v>65636</v>
      </c>
      <c r="G2" s="943"/>
    </row>
    <row r="3" spans="2:7" ht="24.75" customHeight="1" thickBot="1" x14ac:dyDescent="0.3">
      <c r="B3" s="932" t="s">
        <v>532</v>
      </c>
      <c r="C3" s="933"/>
      <c r="D3" s="942"/>
      <c r="E3" s="929" t="s">
        <v>533</v>
      </c>
      <c r="F3" s="934">
        <v>45597</v>
      </c>
      <c r="G3" s="944"/>
    </row>
    <row r="4" spans="2:7" ht="15" x14ac:dyDescent="0.25">
      <c r="B4" s="922"/>
      <c r="C4" s="922"/>
      <c r="D4" s="931"/>
      <c r="E4" s="923"/>
      <c r="F4" s="923"/>
      <c r="G4" s="923"/>
    </row>
    <row r="5" spans="2:7" ht="16.5" thickBot="1" x14ac:dyDescent="0.3">
      <c r="B5" s="929" t="s">
        <v>534</v>
      </c>
      <c r="C5" s="941">
        <v>68.7</v>
      </c>
      <c r="D5" s="931"/>
      <c r="E5" s="929" t="s">
        <v>535</v>
      </c>
      <c r="F5" s="940">
        <v>0.47</v>
      </c>
      <c r="G5" s="923"/>
    </row>
    <row r="6" spans="2:7" ht="15" x14ac:dyDescent="0.25">
      <c r="D6" s="931"/>
      <c r="E6" s="923"/>
      <c r="F6" s="923"/>
      <c r="G6" s="923"/>
    </row>
    <row r="7" spans="2:7" ht="15.75" thickBot="1" x14ac:dyDescent="0.3">
      <c r="B7" s="925" t="s">
        <v>536</v>
      </c>
      <c r="C7" s="926" t="s">
        <v>71</v>
      </c>
      <c r="D7" s="926" t="s">
        <v>537</v>
      </c>
      <c r="E7" s="926" t="s">
        <v>437</v>
      </c>
      <c r="F7" s="936" t="s">
        <v>433</v>
      </c>
      <c r="G7" s="926" t="s">
        <v>538</v>
      </c>
    </row>
    <row r="8" spans="2:7" ht="15" x14ac:dyDescent="0.25">
      <c r="B8" s="924" t="str">
        <f>IF('English Thread Wires'!B6="","",'English Thread Wires'!B6)</f>
        <v>6-0185</v>
      </c>
      <c r="C8" s="924">
        <f>IF('English Thread Wires'!B8="","",'English Thread Wires'!B8)</f>
        <v>32</v>
      </c>
      <c r="D8" s="930">
        <f>IF(OR('English Thread Wires'!B8="",'English Thread Wires'!B10="Missing"),"",'English Thread Wires'!B9)</f>
        <v>1.8042187500000001E-2</v>
      </c>
      <c r="E8" s="930">
        <f>IF(OR('English Thread Wires'!B8="",'English Thread Wires'!B10="Missing"),"",'English Thread Wires'!B22)</f>
        <v>1.804E-2</v>
      </c>
      <c r="F8" s="930">
        <f>IF(OR('English Thread Wires'!B8="",'English Thread Wires'!B10="Missing"),"",'English Thread Wires'!B23)</f>
        <v>2.7057500000000002E-2</v>
      </c>
    </row>
    <row r="9" spans="2:7" ht="15" x14ac:dyDescent="0.25">
      <c r="B9" s="924" t="str">
        <f>IF('English Thread Wires'!E6="","",'English Thread Wires'!E6)</f>
        <v>6-0195</v>
      </c>
      <c r="C9" s="924">
        <f>IF('English Thread Wires'!E8="","",'English Thread Wires'!E8)</f>
        <v>36</v>
      </c>
      <c r="D9" s="930">
        <f>IF(OR('English Thread Wires'!E8="",'English Thread Wires'!E10="Missing"),"",'English Thread Wires'!E9)</f>
        <v>1.60375E-2</v>
      </c>
      <c r="E9" s="930">
        <f>IF(OR('English Thread Wires'!E8="",'English Thread Wires'!E10="Missing"),"",'English Thread Wires'!E22)</f>
        <v>1.6039999999999999E-2</v>
      </c>
      <c r="F9" s="930">
        <f>IF(OR('English Thread Wires'!E8="",'English Thread Wires'!E10="Missing",),"",'English Thread Wires'!E23)</f>
        <v>2.406444444444444E-2</v>
      </c>
      <c r="G9" s="2"/>
    </row>
    <row r="10" spans="2:7" ht="15" x14ac:dyDescent="0.25">
      <c r="B10" s="924" t="str">
        <f>IF('English Thread Wires'!H6="","",'English Thread Wires'!H6)</f>
        <v>6-0202</v>
      </c>
      <c r="C10" s="924">
        <f>IF('English Thread Wires'!H8="","",'English Thread Wires'!H8)</f>
        <v>40</v>
      </c>
      <c r="D10" s="930">
        <f>IF(OR('English Thread Wires'!H8="",'English Thread Wires'!H10="Missing"),"",'English Thread Wires'!H9)</f>
        <v>1.443375E-2</v>
      </c>
      <c r="E10" s="930">
        <f>IF(OR('English Thread Wires'!H8="",'English Thread Wires'!H10="Missing"),"",'English Thread Wires'!H22)</f>
        <v>1.443E-2</v>
      </c>
      <c r="F10" s="930">
        <f>IF(OR('English Thread Wires'!H8="",'English Thread Wires'!H10="Missing"),"",'English Thread Wires'!H23)</f>
        <v>2.1640000000000003E-2</v>
      </c>
      <c r="G10" s="874"/>
    </row>
    <row r="11" spans="2:7" ht="15" x14ac:dyDescent="0.25">
      <c r="B11" s="924" t="str">
        <f>IF('English Thread Wires'!K6="","",'English Thread Wires'!K6)</f>
        <v>6-0162</v>
      </c>
      <c r="C11" s="924">
        <f>IF('English Thread Wires'!K8="","",'English Thread Wires'!K8)</f>
        <v>28</v>
      </c>
      <c r="D11" s="930">
        <f>IF(OR('English Thread Wires'!K8="",'English Thread Wires'!K10="Missing"),"",'English Thread Wires'!K9)</f>
        <v>2.0619642857142857E-2</v>
      </c>
      <c r="E11" s="930">
        <f>IF(OR('English Thread Wires'!K8="",'English Thread Wires'!K10="Missing"),"",'English Thread Wires'!K22)</f>
        <v>2.0619999999999999E-2</v>
      </c>
      <c r="F11" s="930">
        <f>IF(OR('English Thread Wires'!K8="",'English Thread Wires'!K10="Missing"),"",'English Thread Wires'!K23)</f>
        <v>3.0930357142857141E-2</v>
      </c>
    </row>
    <row r="12" spans="2:7" ht="15" x14ac:dyDescent="0.25">
      <c r="B12" s="924" t="str">
        <f>IF('English Thread Wires'!N6="","",'English Thread Wires'!N6)</f>
        <v>6-0135</v>
      </c>
      <c r="C12" s="924">
        <f>IF('English Thread Wires'!N8="","",'English Thread Wires'!N8)</f>
        <v>24</v>
      </c>
      <c r="D12" s="930">
        <f>IF(OR('English Thread Wires'!N8="",'English Thread Wires'!N10="Missing"),"",'English Thread Wires'!N9)</f>
        <v>2.4056250000000001E-2</v>
      </c>
      <c r="E12" s="930">
        <f>IF(OR('English Thread Wires'!N8="",'English Thread Wires'!N10="Missing"),"",'English Thread Wires'!N22)</f>
        <v>2.4049999999999998E-2</v>
      </c>
      <c r="F12" s="930">
        <f>IF(OR('English Thread Wires'!N8="",'English Thread Wires'!N10="Missing"),"",'English Thread Wires'!N23)</f>
        <v>3.6065416666666662E-2</v>
      </c>
      <c r="G12" s="2"/>
    </row>
    <row r="13" spans="2:7" ht="15" x14ac:dyDescent="0.25">
      <c r="B13" s="924" t="str">
        <f>IF('English Thread Wires'!Q6="","",'English Thread Wires'!Q6)</f>
        <v>6-0055</v>
      </c>
      <c r="C13" s="924">
        <f>IF('English Thread Wires'!Q8="","",'English Thread Wires'!Q8)</f>
        <v>14</v>
      </c>
      <c r="D13" s="930">
        <f>IF(OR('English Thread Wires'!Q8="",'English Thread Wires'!Q10="Missing"),"",'English Thread Wires'!Q9)</f>
        <v>4.1239285714285714E-2</v>
      </c>
      <c r="E13" s="930">
        <f>IF(OR('English Thread Wires'!Q8="",'English Thread Wires'!Q10="Missing"),"",'English Thread Wires'!Q22)</f>
        <v>4.1250000000000002E-2</v>
      </c>
      <c r="F13" s="930">
        <f>IF(OR('English Thread Wires'!Q8="",'English Thread Wires'!Q10="Missing"),"",'English Thread Wires'!Q23)</f>
        <v>6.1890714285714285E-2</v>
      </c>
      <c r="G13" s="2"/>
    </row>
    <row r="14" spans="2:7" ht="15" x14ac:dyDescent="0.25">
      <c r="B14" s="924" t="str">
        <f>IF('English Thread Wires'!T6="","",'English Thread Wires'!T6)</f>
        <v>6-0111</v>
      </c>
      <c r="C14" s="924">
        <f>IF('English Thread Wires'!T8="","",'English Thread Wires'!T8)</f>
        <v>20</v>
      </c>
      <c r="D14" s="930">
        <f>IF(OR('English Thread Wires'!T8="",'English Thread Wires'!T10="Missing"),"",'English Thread Wires'!T9)</f>
        <v>2.8867500000000001E-2</v>
      </c>
      <c r="E14" s="930">
        <f>IF(OR('English Thread Wires'!T8="",'English Thread Wires'!T10="Missing"),"",'English Thread Wires'!T22)</f>
        <v>2.887E-2</v>
      </c>
      <c r="F14" s="930">
        <f>IF(OR('English Thread Wires'!T8="",'English Thread Wires'!T10="Missing"),"",'English Thread Wires'!T23)</f>
        <v>4.3308499999999993E-2</v>
      </c>
      <c r="G14" s="874"/>
    </row>
    <row r="15" spans="2:7" ht="15" x14ac:dyDescent="0.25">
      <c r="B15" s="924" t="str">
        <f>IF('English Thread Wires'!W6="","",'English Thread Wires'!W6)</f>
        <v>6-0065</v>
      </c>
      <c r="C15" s="924">
        <f>IF('English Thread Wires'!W8="","",'English Thread Wires'!W8)</f>
        <v>16</v>
      </c>
      <c r="D15" s="930">
        <f>IF(OR('English Thread Wires'!W8="",'English Thread Wires'!W10="Missing"),"",'English Thread Wires'!W9)</f>
        <v>3.6084375000000002E-2</v>
      </c>
      <c r="E15" s="930">
        <f>IF(OR('English Thread Wires'!W8="",'English Thread Wires'!W10="Missing"),"",'English Thread Wires'!W22)</f>
        <v>3.6069999999999998E-2</v>
      </c>
      <c r="F15" s="930">
        <f>IF(OR('English Thread Wires'!W8="",'English Thread Wires'!W10="Missing"),"",'English Thread Wires'!W23)</f>
        <v>5.4083125000000003E-2</v>
      </c>
      <c r="G15" s="2"/>
    </row>
    <row r="16" spans="2:7" ht="15" x14ac:dyDescent="0.25">
      <c r="B16" s="924" t="str">
        <f>IF('English Thread Wires'!B25="","",'English Thread Wires'!B25)</f>
        <v>6-0015</v>
      </c>
      <c r="C16" s="924">
        <f>IF('English Thread Wires'!B27="","",'English Thread Wires'!B27)</f>
        <v>8</v>
      </c>
      <c r="D16" s="930">
        <f>IF(OR('English Thread Wires'!B27="",'English Thread Wires'!B29="Missing"),"",'English Thread Wires'!B28)</f>
        <v>7.2168750000000004E-2</v>
      </c>
      <c r="E16" s="930">
        <f>IF(OR('English Thread Wires'!B27="",'English Thread Wires'!B29="Missing"),"",'English Thread Wires'!B41)</f>
        <v>7.2160000000000002E-2</v>
      </c>
      <c r="F16" s="930">
        <f>IF(OR('English Thread Wires'!B27="",'English Thread Wires'!B29="Missing"),"",'English Thread Wires'!B42)</f>
        <v>0.10822625000000001</v>
      </c>
      <c r="G16" s="874"/>
    </row>
    <row r="17" spans="2:7" ht="15" x14ac:dyDescent="0.25">
      <c r="B17" s="924" t="str">
        <f>IF('English Thread Wires'!E25="","",'English Thread Wires'!E25)</f>
        <v>6-0380</v>
      </c>
      <c r="C17" s="924">
        <f>IF('English Thread Wires'!E27="","",'English Thread Wires'!E27)</f>
        <v>14</v>
      </c>
      <c r="D17" s="930">
        <f>IF(OR('English Thread Wires'!E27="",'English Thread Wires'!E29="Missing"),"",'English Thread Wires'!E28)</f>
        <v>4.1239285714285714E-2</v>
      </c>
      <c r="E17" s="930">
        <f>IF(OR('English Thread Wires'!E27="",'English Thread Wires'!E29="Missing"),"",'English Thread Wires'!E41)</f>
        <v>4.1230000000000003E-2</v>
      </c>
      <c r="F17" s="930">
        <f>IF(OR('English Thread Wires'!E27="",'English Thread Wires'!E29="Missing"),"",'English Thread Wires'!E42)</f>
        <v>6.1830714285714294E-2</v>
      </c>
      <c r="G17" s="874"/>
    </row>
    <row r="18" spans="2:7" ht="15" x14ac:dyDescent="0.25">
      <c r="B18" s="924" t="str">
        <f>IF('English Thread Wires'!H25="","",'English Thread Wires'!H25)</f>
        <v>6-0070</v>
      </c>
      <c r="C18" s="924">
        <f>IF('English Thread Wires'!H27="","",'English Thread Wires'!H27)</f>
        <v>16</v>
      </c>
      <c r="D18" s="930">
        <f>IF(OR('English Thread Wires'!H27="",'English Thread Wires'!H29="Missing"),"",'English Thread Wires'!H28)</f>
        <v>3.6084375000000002E-2</v>
      </c>
      <c r="E18" s="930">
        <f>IF(OR('English Thread Wires'!H27="",'English Thread Wires'!H29="Missing"),"",'English Thread Wires'!H41)</f>
        <v>3.6069999999999998E-2</v>
      </c>
      <c r="F18" s="930">
        <f>IF(OR('English Thread Wires'!H27="",'English Thread Wires'!H29="Missing"),"",'English Thread Wires'!H42)</f>
        <v>5.4083125000000003E-2</v>
      </c>
      <c r="G18" s="874"/>
    </row>
    <row r="19" spans="2:7" ht="15" x14ac:dyDescent="0.25">
      <c r="B19" s="924" t="str">
        <f>IF('English Thread Wires'!K25="","",'English Thread Wires'!K25)</f>
        <v>6-0092</v>
      </c>
      <c r="C19" s="924">
        <f>IF('English Thread Wires'!K27="","",'English Thread Wires'!K27)</f>
        <v>18</v>
      </c>
      <c r="D19" s="930">
        <f>IF(OR('English Thread Wires'!K27="",'English Thread Wires'!K29="Missing"),"",'English Thread Wires'!K28)</f>
        <v>3.2074999999999999E-2</v>
      </c>
      <c r="E19" s="930">
        <f>IF(OR('English Thread Wires'!K27="",'English Thread Wires'!K29="Missing"),"",'English Thread Wires'!K41)</f>
        <v>3.2079999999999997E-2</v>
      </c>
      <c r="F19" s="930">
        <f>IF(OR('English Thread Wires'!K27="",'English Thread Wires'!K29="Missing"),"",'English Thread Wires'!K42)</f>
        <v>4.8127222222222217E-2</v>
      </c>
      <c r="G19" s="2"/>
    </row>
    <row r="20" spans="2:7" ht="15" x14ac:dyDescent="0.25">
      <c r="B20" s="924" t="str">
        <f>IF('English Thread Wires'!N25="","",'English Thread Wires'!N25)</f>
        <v/>
      </c>
      <c r="C20" s="924" t="str">
        <f>IF('English Thread Wires'!N27="","",'English Thread Wires'!N27)</f>
        <v/>
      </c>
      <c r="D20" s="930" t="str">
        <f>IF(OR('English Thread Wires'!N27="",'English Thread Wires'!N29="Missing"),"",'English Thread Wires'!N28)</f>
        <v/>
      </c>
      <c r="E20" s="930" t="str">
        <f>IF(OR('English Thread Wires'!N27="",'English Thread Wires'!N29="Missing"),"",'English Thread Wires'!N41)</f>
        <v/>
      </c>
      <c r="F20" s="930" t="str">
        <f>IF(OR('English Thread Wires'!N27="",'English Thread Wires'!N29="Missing"),"",'English Thread Wires'!N42)</f>
        <v/>
      </c>
      <c r="G20" s="2"/>
    </row>
    <row r="21" spans="2:7" ht="15" x14ac:dyDescent="0.25">
      <c r="B21" s="924" t="str">
        <f>IF('English Thread Wires'!Q25="","",'English Thread Wires'!Q25)</f>
        <v/>
      </c>
      <c r="C21" s="924" t="str">
        <f>IF('English Thread Wires'!Q27="","",'English Thread Wires'!Q27)</f>
        <v/>
      </c>
      <c r="D21" s="930" t="str">
        <f>IF(OR('English Thread Wires'!Q27="",'English Thread Wires'!Q29="Missing"),"",'English Thread Wires'!Q28)</f>
        <v/>
      </c>
      <c r="E21" s="930" t="str">
        <f>IF(OR('English Thread Wires'!Q27="",'English Thread Wires'!Q29="Missing"),"",'English Thread Wires'!Q41)</f>
        <v/>
      </c>
      <c r="F21" s="930" t="str">
        <f>IF(OR('English Thread Wires'!Q27="",'English Thread Wires'!Q29="Missing"),"",'English Thread Wires'!Q42)</f>
        <v/>
      </c>
      <c r="G21" s="2"/>
    </row>
    <row r="22" spans="2:7" ht="15" x14ac:dyDescent="0.25">
      <c r="B22" s="924" t="str">
        <f>IF('English Thread Wires'!T25="","",'English Thread Wires'!T25)</f>
        <v/>
      </c>
      <c r="C22" s="924" t="str">
        <f>IF('English Thread Wires'!T27="","",'English Thread Wires'!T27)</f>
        <v/>
      </c>
      <c r="D22" s="930" t="str">
        <f>IF(OR('English Thread Wires'!T27="",'English Thread Wires'!T29="Missing"),"",'English Thread Wires'!T28)</f>
        <v/>
      </c>
      <c r="E22" s="930" t="str">
        <f>IF(OR('English Thread Wires'!T27="",'English Thread Wires'!T29="Missing"),"",'English Thread Wires'!T41)</f>
        <v/>
      </c>
      <c r="F22" s="930" t="str">
        <f>IF(OR('English Thread Wires'!T27="",'English Thread Wires'!T29="Missing"),"",'English Thread Wires'!T42)</f>
        <v/>
      </c>
      <c r="G22" s="2"/>
    </row>
    <row r="23" spans="2:7" ht="15" x14ac:dyDescent="0.25">
      <c r="B23" s="924" t="str">
        <f>IF('English Thread Wires'!W25="","",'English Thread Wires'!W25)</f>
        <v/>
      </c>
      <c r="C23" s="924" t="str">
        <f>IF('English Thread Wires'!W27="","",'English Thread Wires'!W27)</f>
        <v/>
      </c>
      <c r="D23" s="930" t="str">
        <f>IF(OR('English Thread Wires'!W27="",'English Thread Wires'!W29="Missing"),"",'English Thread Wires'!W28)</f>
        <v/>
      </c>
      <c r="E23" s="930" t="str">
        <f>IF(OR('English Thread Wires'!W27="",'English Thread Wires'!W29="Missing"),"",'English Thread Wires'!W41)</f>
        <v/>
      </c>
      <c r="F23" s="930" t="str">
        <f>IF(OR('English Thread Wires'!W27="",'English Thread Wires'!W29="Missing"),"",'English Thread Wires'!W42)</f>
        <v/>
      </c>
      <c r="G23" s="2"/>
    </row>
    <row r="24" spans="2:7" ht="15" x14ac:dyDescent="0.25">
      <c r="B24" s="924" t="str">
        <f>IF('English Thread Wires'!B44="","",'English Thread Wires'!B44)</f>
        <v/>
      </c>
      <c r="C24" s="924" t="str">
        <f>IF('English Thread Wires'!B46="","",'English Thread Wires'!B46)</f>
        <v/>
      </c>
      <c r="D24" s="930" t="str">
        <f>IF(OR('English Thread Wires'!B46="",'English Thread Wires'!B48="Missing"),"",'English Thread Wires'!B47)</f>
        <v/>
      </c>
      <c r="E24" s="930" t="str">
        <f>IF(OR('English Thread Wires'!B46="",'English Thread Wires'!B48="Missing"),"",'English Thread Wires'!B60)</f>
        <v/>
      </c>
      <c r="F24" s="930" t="str">
        <f>IF(OR('English Thread Wires'!B46="",'English Thread Wires'!B48="Missing"),"",'English Thread Wires'!B61)</f>
        <v/>
      </c>
      <c r="G24" s="2"/>
    </row>
    <row r="25" spans="2:7" ht="15" x14ac:dyDescent="0.25">
      <c r="B25" s="924" t="str">
        <f>IF('English Thread Wires'!E44="","",'English Thread Wires'!E44)</f>
        <v/>
      </c>
      <c r="C25" s="924" t="str">
        <f>IF('English Thread Wires'!E46="","",'English Thread Wires'!E46)</f>
        <v/>
      </c>
      <c r="D25" s="930" t="str">
        <f>IF(OR('English Thread Wires'!E46="",'English Thread Wires'!E48="Missing"),"",'English Thread Wires'!E47)</f>
        <v/>
      </c>
      <c r="E25" s="930" t="str">
        <f>IF(OR('English Thread Wires'!E46="",'English Thread Wires'!E48="Missing"),"",'English Thread Wires'!E60)</f>
        <v/>
      </c>
      <c r="F25" s="930" t="str">
        <f>IF(OR('English Thread Wires'!E46="",'English Thread Wires'!E48="Missing"),"",'English Thread Wires'!E61)</f>
        <v/>
      </c>
      <c r="G25" s="2"/>
    </row>
    <row r="26" spans="2:7" ht="15" x14ac:dyDescent="0.25">
      <c r="B26" s="924" t="str">
        <f>IF('English Thread Wires'!H44="","",'English Thread Wires'!H44)</f>
        <v/>
      </c>
      <c r="C26" s="924" t="str">
        <f>IF('English Thread Wires'!H46="","",'English Thread Wires'!H46)</f>
        <v/>
      </c>
      <c r="D26" s="930" t="str">
        <f>IF(OR('English Thread Wires'!H46="",'English Thread Wires'!H48="Missing"),"",'English Thread Wires'!H47)</f>
        <v/>
      </c>
      <c r="E26" s="930" t="str">
        <f>IF(OR('English Thread Wires'!H46="",'English Thread Wires'!H48="Missing"),"",'English Thread Wires'!H60)</f>
        <v/>
      </c>
      <c r="F26" s="930" t="str">
        <f>IF(OR('English Thread Wires'!H46="",'English Thread Wires'!H48="Missing"),"",'English Thread Wires'!H61)</f>
        <v/>
      </c>
      <c r="G26" s="2"/>
    </row>
    <row r="27" spans="2:7" ht="15" x14ac:dyDescent="0.25">
      <c r="B27" s="924" t="str">
        <f>IF('English Thread Wires'!K44="","",'English Thread Wires'!K44)</f>
        <v/>
      </c>
      <c r="C27" s="924" t="str">
        <f>IF('English Thread Wires'!K46="","",'English Thread Wires'!K46)</f>
        <v/>
      </c>
      <c r="D27" s="930" t="str">
        <f>IF(OR('English Thread Wires'!K46="",'English Thread Wires'!K48="Missing"),"",'English Thread Wires'!K47)</f>
        <v/>
      </c>
      <c r="E27" s="930" t="str">
        <f>IF(OR('English Thread Wires'!K46="",'English Thread Wires'!K48="Missing"),"",'English Thread Wires'!K60)</f>
        <v/>
      </c>
      <c r="F27" s="930" t="str">
        <f>IF(OR('English Thread Wires'!K46="",'English Thread Wires'!K48="Missing",),"",'English Thread Wires'!K61)</f>
        <v/>
      </c>
      <c r="G27" s="2"/>
    </row>
    <row r="28" spans="2:7" ht="15" x14ac:dyDescent="0.25">
      <c r="B28" s="924" t="str">
        <f>IF('English Thread Wires'!N44="","",'English Thread Wires'!N44)</f>
        <v/>
      </c>
      <c r="C28" s="924" t="str">
        <f>IF('English Thread Wires'!N46="","",'English Thread Wires'!N46)</f>
        <v/>
      </c>
      <c r="D28" s="930" t="str">
        <f>IF(OR('English Thread Wires'!N46="",'English Thread Wires'!N48="Missing"),"",'English Thread Wires'!N47)</f>
        <v/>
      </c>
      <c r="E28" s="930" t="str">
        <f>IF(OR('English Thread Wires'!N46="",'English Thread Wires'!N48="Missing"),"",'English Thread Wires'!N60)</f>
        <v/>
      </c>
      <c r="F28" s="930" t="str">
        <f>IF(OR('English Thread Wires'!N46="",'English Thread Wires'!N48="Missing"),"",'English Thread Wires'!N61)</f>
        <v/>
      </c>
      <c r="G28" s="2"/>
    </row>
    <row r="29" spans="2:7" ht="15" x14ac:dyDescent="0.25">
      <c r="B29" s="924" t="str">
        <f>IF('English Thread Wires'!Q44="","",'English Thread Wires'!Q44)</f>
        <v/>
      </c>
      <c r="C29" s="924" t="str">
        <f>IF('English Thread Wires'!Q46="","",'English Thread Wires'!Q46)</f>
        <v/>
      </c>
      <c r="D29" s="930" t="str">
        <f>IF(OR('English Thread Wires'!Q46="",'English Thread Wires'!Q48="Missing"),"",'English Thread Wires'!Q47)</f>
        <v/>
      </c>
      <c r="E29" s="930" t="str">
        <f>IF(OR('English Thread Wires'!Q46="",'English Thread Wires'!Q48="Missing"),"",'English Thread Wires'!Q60)</f>
        <v/>
      </c>
      <c r="F29" s="930" t="str">
        <f>IF(OR('English Thread Wires'!Q46="",'English Thread Wires'!Q48="Missing"),"",'English Thread Wires'!Q61)</f>
        <v/>
      </c>
      <c r="G29" s="2"/>
    </row>
    <row r="30" spans="2:7" ht="15" x14ac:dyDescent="0.25">
      <c r="B30" s="924" t="str">
        <f>IF('English Thread Wires'!T44="","",'English Thread Wires'!T44)</f>
        <v/>
      </c>
      <c r="C30" s="924" t="str">
        <f>IF('English Thread Wires'!T46="","",'English Thread Wires'!T46)</f>
        <v/>
      </c>
      <c r="D30" s="930" t="str">
        <f>IF(OR('English Thread Wires'!T46="",'English Thread Wires'!T48="Missing"),"",'English Thread Wires'!T47)</f>
        <v/>
      </c>
      <c r="E30" s="930" t="str">
        <f>IF(OR('English Thread Wires'!T46="",'English Thread Wires'!T48="Missing"),"",'English Thread Wires'!T60)</f>
        <v/>
      </c>
      <c r="F30" s="930" t="str">
        <f>IF(OR('English Thread Wires'!T46="",'English Thread Wires'!T48="Missing"),"",'English Thread Wires'!T61)</f>
        <v/>
      </c>
      <c r="G30" s="2"/>
    </row>
    <row r="31" spans="2:7" ht="15" x14ac:dyDescent="0.25">
      <c r="B31" s="924" t="str">
        <f>IF('English Thread Wires'!W44="","",'English Thread Wires'!W44)</f>
        <v/>
      </c>
      <c r="C31" s="924" t="str">
        <f>IF('English Thread Wires'!W46="","",'English Thread Wires'!W46)</f>
        <v/>
      </c>
      <c r="D31" s="930" t="str">
        <f>IF(OR('English Thread Wires'!W46="",'English Thread Wires'!W48="Missing"),"",'English Thread Wires'!W47)</f>
        <v/>
      </c>
      <c r="E31" s="930" t="str">
        <f>IF(OR('English Thread Wires'!W46="",'English Thread Wires'!W48="Missing"),"",'English Thread Wires'!W60)</f>
        <v/>
      </c>
      <c r="F31" s="930" t="str">
        <f>IF(OR('English Thread Wires'!W46="",'English Thread Wires'!W48="Missing"),"",'English Thread Wires'!W61)</f>
        <v/>
      </c>
      <c r="G31" s="2"/>
    </row>
    <row r="32" spans="2:7" ht="15" x14ac:dyDescent="0.25">
      <c r="B32" s="924" t="str">
        <f>IF('English Thread Wires'!B63="","",'English Thread Wires'!B63)</f>
        <v/>
      </c>
      <c r="C32" s="924" t="str">
        <f>IF('English Thread Wires'!B65="","",'English Thread Wires'!B65)</f>
        <v/>
      </c>
      <c r="D32" s="930" t="str">
        <f>IF(OR('English Thread Wires'!B65="",'English Thread Wires'!B67="Missing"),"",'English Thread Wires'!B66)</f>
        <v/>
      </c>
      <c r="E32" s="930" t="str">
        <f>IF(OR('English Thread Wires'!B65="",'English Thread Wires'!B67="Missing"),"",'English Thread Wires'!B79)</f>
        <v/>
      </c>
      <c r="F32" s="930" t="str">
        <f>IF(OR('English Thread Wires'!B65="",'English Thread Wires'!B67="Missing"),"",'English Thread Wires'!B80)</f>
        <v/>
      </c>
      <c r="G32" s="938"/>
    </row>
    <row r="33" spans="2:7" ht="15" x14ac:dyDescent="0.25">
      <c r="B33" s="924" t="str">
        <f>IF('English Thread Wires'!E63="","",'English Thread Wires'!E63)</f>
        <v/>
      </c>
      <c r="C33" s="924" t="str">
        <f>IF('English Thread Wires'!E65="","",'English Thread Wires'!E65)</f>
        <v/>
      </c>
      <c r="D33" s="930" t="str">
        <f>IF(OR('English Thread Wires'!E65="",'English Thread Wires'!E67="Missing"),"",'English Thread Wires'!E66)</f>
        <v/>
      </c>
      <c r="E33" s="930" t="str">
        <f>IF(OR('English Thread Wires'!E65="",'English Thread Wires'!E67="Missing"),"",'English Thread Wires'!E79)</f>
        <v/>
      </c>
      <c r="F33" s="930" t="str">
        <f>IF(OR('English Thread Wires'!E65="",'English Thread Wires'!E67="Missing"),"",'English Thread Wires'!E80)</f>
        <v/>
      </c>
      <c r="G33" s="938"/>
    </row>
    <row r="34" spans="2:7" ht="15" x14ac:dyDescent="0.25">
      <c r="B34" s="924" t="str">
        <f>IF('English Thread Wires'!H63="","",'English Thread Wires'!H63)</f>
        <v/>
      </c>
      <c r="C34" s="924" t="str">
        <f>IF('English Thread Wires'!H65="","",'English Thread Wires'!H65)</f>
        <v/>
      </c>
      <c r="D34" s="930" t="str">
        <f>IF(OR('English Thread Wires'!H65="",'English Thread Wires'!H67="Missing"),"",'English Thread Wires'!H66)</f>
        <v/>
      </c>
      <c r="E34" s="930" t="str">
        <f>IF(OR('English Thread Wires'!H65="",'English Thread Wires'!H67="Missing"),"",'English Thread Wires'!H79)</f>
        <v/>
      </c>
      <c r="F34" s="930" t="str">
        <f>IF(OR('English Thread Wires'!H65="",'English Thread Wires'!H67="Missing"),"",'English Thread Wires'!H80)</f>
        <v/>
      </c>
      <c r="G34" s="938"/>
    </row>
    <row r="35" spans="2:7" ht="15" x14ac:dyDescent="0.25">
      <c r="B35" s="924" t="str">
        <f>IF('English Thread Wires'!K63="","",'English Thread Wires'!K63)</f>
        <v/>
      </c>
      <c r="C35" s="924" t="str">
        <f>IF('English Thread Wires'!K65="","",'English Thread Wires'!K65)</f>
        <v/>
      </c>
      <c r="D35" s="930" t="str">
        <f>IF(OR('English Thread Wires'!K65="",'English Thread Wires'!K67="Missing"),"",'English Thread Wires'!K66)</f>
        <v/>
      </c>
      <c r="E35" s="930" t="str">
        <f>IF(OR('English Thread Wires'!K65="",'English Thread Wires'!K67="Missing"),"",'English Thread Wires'!K79)</f>
        <v/>
      </c>
      <c r="F35" s="930" t="str">
        <f>IF(OR('English Thread Wires'!K65="",'English Thread Wires'!K67="Missing"),"",'English Thread Wires'!K80)</f>
        <v/>
      </c>
      <c r="G35" s="938"/>
    </row>
    <row r="36" spans="2:7" ht="15" x14ac:dyDescent="0.25">
      <c r="B36" s="924" t="str">
        <f>IF('English Thread Wires'!N63="","",'English Thread Wires'!N63)</f>
        <v/>
      </c>
      <c r="C36" s="924" t="str">
        <f>IF('English Thread Wires'!N65="","",'English Thread Wires'!N65)</f>
        <v/>
      </c>
      <c r="D36" s="930" t="str">
        <f>IF(OR('English Thread Wires'!N65="",'English Thread Wires'!N67="Missing"),"",'English Thread Wires'!N66)</f>
        <v/>
      </c>
      <c r="E36" s="930" t="str">
        <f>IF(OR('English Thread Wires'!N65="",'English Thread Wires'!N67="Missing"),"",'English Thread Wires'!N79)</f>
        <v/>
      </c>
      <c r="F36" s="930" t="str">
        <f>IF(OR('English Thread Wires'!N65="",'English Thread Wires'!N67="Missing"),"",'English Thread Wires'!N80)</f>
        <v/>
      </c>
      <c r="G36" s="2"/>
    </row>
    <row r="37" spans="2:7" ht="15" x14ac:dyDescent="0.25">
      <c r="B37" s="924" t="str">
        <f>IF('English Thread Wires'!Q63="","",'English Thread Wires'!Q63)</f>
        <v/>
      </c>
      <c r="C37" s="924" t="str">
        <f>IF('English Thread Wires'!Q65="","",'English Thread Wires'!Q65)</f>
        <v/>
      </c>
      <c r="D37" s="930" t="str">
        <f>IF(OR('English Thread Wires'!Q65="",'English Thread Wires'!Q67="Missing"),"",'English Thread Wires'!Q66)</f>
        <v/>
      </c>
      <c r="E37" s="930" t="str">
        <f>IF(OR('English Thread Wires'!Q65="",'English Thread Wires'!Q67="Missing"),"",'English Thread Wires'!Q79)</f>
        <v/>
      </c>
      <c r="F37" s="1117" t="str">
        <f>IF(OR('English Thread Wires'!Q65="",'English Thread Wires'!Q67="Missing"),"",'English Thread Wires'!Q80)</f>
        <v/>
      </c>
      <c r="G37" s="874"/>
    </row>
    <row r="38" spans="2:7" ht="15" x14ac:dyDescent="0.25">
      <c r="B38" s="924" t="str">
        <f>IF('English Thread Wires'!T63="","",'English Thread Wires'!T63)</f>
        <v/>
      </c>
      <c r="C38" s="924" t="str">
        <f>IF('English Thread Wires'!T65="","",'English Thread Wires'!T65)</f>
        <v/>
      </c>
      <c r="D38" s="930" t="str">
        <f>IF(OR('English Thread Wires'!T65="",'English Thread Wires'!T67="Missing"),"",'English Thread Wires'!T66)</f>
        <v/>
      </c>
      <c r="E38" s="930" t="str">
        <f>IF(OR('English Thread Wires'!T65="",'English Thread Wires'!T67="Missing"),"",'English Thread Wires'!T79)</f>
        <v/>
      </c>
      <c r="F38" s="1117" t="str">
        <f>IF(OR('English Thread Wires'!T65="",'English Thread Wires'!T67="Missing"),"",'English Thread Wires'!T80)</f>
        <v/>
      </c>
      <c r="G38" s="874"/>
    </row>
    <row r="39" spans="2:7" ht="15" x14ac:dyDescent="0.25">
      <c r="B39" s="924" t="str">
        <f>IF('English Thread Wires'!W63="","",'English Thread Wires'!W63)</f>
        <v/>
      </c>
      <c r="C39" s="924" t="str">
        <f>IF('English Thread Wires'!W65="","",'English Thread Wires'!W65)</f>
        <v/>
      </c>
      <c r="D39" s="930" t="str">
        <f>IF(OR('English Thread Wires'!W65="",'English Thread Wires'!W67="Missing"),"",'English Thread Wires'!W66)</f>
        <v/>
      </c>
      <c r="E39" s="930" t="str">
        <f>IF(OR('English Thread Wires'!W65="",'English Thread Wires'!W67="Missing"),"",'English Thread Wires'!W79)</f>
        <v/>
      </c>
      <c r="F39" s="1117" t="str">
        <f>IF(OR('English Thread Wires'!W65="",'English Thread Wires'!W67="Missing"),"",'English Thread Wires'!W80)</f>
        <v/>
      </c>
      <c r="G39" s="874"/>
    </row>
    <row r="40" spans="2:7" ht="15" x14ac:dyDescent="0.25">
      <c r="B40" s="924"/>
      <c r="C40" s="41"/>
      <c r="D40" s="1116"/>
      <c r="E40" s="1116"/>
      <c r="F40" s="1118"/>
      <c r="G40" s="874"/>
    </row>
    <row r="41" spans="2:7" ht="15" x14ac:dyDescent="0.25">
      <c r="B41" s="924"/>
      <c r="C41" s="41"/>
      <c r="D41" s="1116"/>
      <c r="E41" s="1116"/>
      <c r="F41" s="1118"/>
      <c r="G41" s="874"/>
    </row>
    <row r="42" spans="2:7" ht="15" x14ac:dyDescent="0.25">
      <c r="B42" s="924"/>
      <c r="C42" s="41"/>
      <c r="D42" s="1116"/>
      <c r="E42" s="1116"/>
      <c r="F42" s="1118"/>
      <c r="G42" s="874"/>
    </row>
    <row r="43" spans="2:7" ht="15" x14ac:dyDescent="0.25">
      <c r="B43" s="924"/>
      <c r="C43" s="41"/>
      <c r="D43" s="1116"/>
      <c r="E43" s="1116"/>
      <c r="F43" s="1118"/>
      <c r="G43" s="874"/>
    </row>
    <row r="44" spans="2:7" ht="15" x14ac:dyDescent="0.25">
      <c r="B44" s="924"/>
      <c r="C44" s="41"/>
      <c r="D44" s="41"/>
      <c r="E44" s="41"/>
      <c r="F44" s="935"/>
      <c r="G44" s="2"/>
    </row>
  </sheetData>
  <mergeCells count="2">
    <mergeCell ref="C1:E1"/>
    <mergeCell ref="C2:E2"/>
  </mergeCells>
  <pageMargins left="0.7" right="0.7" top="0.75" bottom="0.75" header="0.3" footer="0.3"/>
  <pageSetup scale="90" orientation="portrait" horizontalDpi="4294967295" verticalDpi="4294967295"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0">
    <tabColor indexed="38"/>
  </sheetPr>
  <dimension ref="A1:IV88"/>
  <sheetViews>
    <sheetView workbookViewId="0">
      <selection activeCell="B27" sqref="B27:C27"/>
    </sheetView>
  </sheetViews>
  <sheetFormatPr defaultRowHeight="12.75" x14ac:dyDescent="0.2"/>
  <cols>
    <col min="1" max="1" width="22" customWidth="1"/>
    <col min="3" max="3" width="9.5703125" bestFit="1" customWidth="1"/>
    <col min="4" max="4" width="2.7109375" style="951" customWidth="1"/>
    <col min="5" max="5" width="22" customWidth="1"/>
    <col min="8" max="8" width="2.85546875" style="951" customWidth="1"/>
    <col min="9" max="9" width="22" customWidth="1"/>
    <col min="12" max="12" width="3.28515625" style="951" customWidth="1"/>
    <col min="13" max="13" width="22" bestFit="1" customWidth="1"/>
    <col min="16" max="16" width="17.85546875" customWidth="1"/>
  </cols>
  <sheetData>
    <row r="1" spans="1:256" s="10" customFormat="1" ht="25.5" customHeight="1" x14ac:dyDescent="0.2">
      <c r="D1" s="951"/>
      <c r="H1" s="951"/>
      <c r="L1" s="951"/>
    </row>
    <row r="2" spans="1:256" ht="15.75" thickBot="1" x14ac:dyDescent="0.3">
      <c r="A2" s="1220" t="s">
        <v>539</v>
      </c>
      <c r="B2" s="1220"/>
      <c r="C2" s="1220"/>
      <c r="D2" s="1220"/>
      <c r="E2" s="1220"/>
      <c r="F2" s="1220"/>
      <c r="G2" s="1220"/>
      <c r="H2" s="1220"/>
      <c r="I2" s="1220"/>
      <c r="J2" s="1220"/>
      <c r="K2" s="1220"/>
      <c r="L2" s="1220"/>
      <c r="M2" s="234"/>
      <c r="N2" s="234"/>
      <c r="O2" s="234"/>
      <c r="P2" s="234"/>
      <c r="Q2" s="234"/>
    </row>
    <row r="3" spans="1:256" ht="15" customHeight="1" x14ac:dyDescent="0.25">
      <c r="A3" s="1217" t="s">
        <v>540</v>
      </c>
      <c r="B3" s="1218"/>
      <c r="C3" s="1218"/>
      <c r="D3" s="1218"/>
      <c r="E3" s="1218"/>
      <c r="F3" s="1218"/>
      <c r="G3" s="1218"/>
      <c r="H3" s="1218"/>
      <c r="I3" s="1218"/>
      <c r="J3" s="1218"/>
      <c r="K3" s="1218"/>
      <c r="L3" s="1219"/>
      <c r="M3" s="234"/>
      <c r="N3" s="234"/>
      <c r="O3" s="234"/>
      <c r="P3" s="234"/>
      <c r="Q3" s="234"/>
    </row>
    <row r="4" spans="1:256" ht="18" customHeight="1" thickBot="1" x14ac:dyDescent="0.3">
      <c r="A4" s="1214" t="s">
        <v>541</v>
      </c>
      <c r="B4" s="1215"/>
      <c r="C4" s="1215"/>
      <c r="D4" s="1215"/>
      <c r="E4" s="1215"/>
      <c r="F4" s="1215"/>
      <c r="G4" s="1215"/>
      <c r="H4" s="1215"/>
      <c r="I4" s="1215"/>
      <c r="J4" s="1215"/>
      <c r="K4" s="1215"/>
      <c r="L4" s="1216"/>
      <c r="M4" s="249"/>
      <c r="N4" s="249"/>
      <c r="O4" s="249"/>
      <c r="P4" s="249"/>
      <c r="Q4" s="249"/>
    </row>
    <row r="5" spans="1:256" ht="18" customHeight="1" thickBot="1" x14ac:dyDescent="0.25">
      <c r="A5" s="965" t="s">
        <v>542</v>
      </c>
      <c r="B5" s="962"/>
      <c r="C5" s="962"/>
      <c r="D5" s="962"/>
      <c r="E5" s="962"/>
      <c r="F5" s="962"/>
      <c r="G5" s="962"/>
      <c r="H5" s="962"/>
      <c r="I5" s="962"/>
      <c r="J5" s="962"/>
      <c r="K5" s="962"/>
      <c r="L5" s="962"/>
      <c r="M5" s="962"/>
      <c r="N5" s="937"/>
      <c r="O5" s="937"/>
      <c r="P5" s="937"/>
      <c r="Q5" s="937"/>
      <c r="R5" s="937"/>
      <c r="S5" s="937"/>
      <c r="T5" s="937"/>
      <c r="U5" s="937"/>
      <c r="V5" s="937"/>
      <c r="W5" s="937"/>
      <c r="X5" s="937"/>
      <c r="Y5" s="937"/>
      <c r="Z5" s="937"/>
      <c r="AA5" s="937"/>
      <c r="AB5" s="937"/>
      <c r="AC5" s="937"/>
      <c r="AD5" s="937"/>
      <c r="AE5" s="937"/>
      <c r="AF5" s="937"/>
      <c r="AG5" s="937"/>
      <c r="AH5" s="937"/>
      <c r="AI5" s="937"/>
      <c r="AJ5" s="937"/>
      <c r="AK5" s="937"/>
      <c r="AL5" s="937"/>
      <c r="AM5" s="937"/>
      <c r="AN5" s="937"/>
      <c r="AO5" s="937"/>
      <c r="AP5" s="937"/>
      <c r="AQ5" s="937"/>
      <c r="AR5" s="937"/>
      <c r="AS5" s="937"/>
      <c r="AT5" s="937"/>
      <c r="AU5" s="937"/>
      <c r="AV5" s="937"/>
      <c r="AW5" s="937"/>
      <c r="AX5" s="937"/>
      <c r="AY5" s="937"/>
      <c r="AZ5" s="937"/>
      <c r="BA5" s="937"/>
      <c r="BB5" s="937"/>
      <c r="BC5" s="937"/>
      <c r="BD5" s="937"/>
      <c r="BE5" s="937"/>
      <c r="BF5" s="937"/>
      <c r="BG5" s="937"/>
      <c r="BH5" s="937"/>
      <c r="BI5" s="937"/>
      <c r="BJ5" s="937"/>
      <c r="BK5" s="937"/>
      <c r="BL5" s="937"/>
      <c r="BM5" s="937"/>
      <c r="BN5" s="937"/>
      <c r="BO5" s="937"/>
      <c r="BP5" s="937"/>
      <c r="BQ5" s="937"/>
      <c r="BR5" s="937"/>
      <c r="BS5" s="937"/>
      <c r="BT5" s="937"/>
      <c r="BU5" s="937"/>
      <c r="BV5" s="937"/>
      <c r="BW5" s="937"/>
      <c r="BX5" s="937"/>
      <c r="BY5" s="937"/>
      <c r="BZ5" s="937"/>
      <c r="CA5" s="937"/>
      <c r="CB5" s="937"/>
      <c r="CC5" s="937"/>
      <c r="CD5" s="937"/>
      <c r="CE5" s="937"/>
      <c r="CF5" s="937"/>
      <c r="CG5" s="937"/>
      <c r="CH5" s="937"/>
      <c r="CI5" s="937"/>
      <c r="CJ5" s="937"/>
      <c r="CK5" s="937"/>
      <c r="CL5" s="937"/>
      <c r="CM5" s="937"/>
      <c r="CN5" s="937"/>
      <c r="CO5" s="937"/>
      <c r="CP5" s="937"/>
      <c r="CQ5" s="937"/>
      <c r="CR5" s="937"/>
      <c r="CS5" s="937"/>
      <c r="CT5" s="937"/>
      <c r="CU5" s="937"/>
      <c r="CV5" s="937"/>
      <c r="CW5" s="937"/>
      <c r="CX5" s="937"/>
      <c r="CY5" s="937"/>
      <c r="CZ5" s="937"/>
      <c r="DA5" s="937"/>
      <c r="DB5" s="937"/>
      <c r="DC5" s="937"/>
      <c r="DD5" s="937"/>
      <c r="DE5" s="937"/>
      <c r="DF5" s="937"/>
      <c r="DG5" s="937"/>
      <c r="DH5" s="937"/>
      <c r="DI5" s="937"/>
      <c r="DJ5" s="937"/>
      <c r="DK5" s="937"/>
      <c r="DL5" s="937"/>
      <c r="DM5" s="937"/>
      <c r="DN5" s="937"/>
      <c r="DO5" s="937"/>
      <c r="DP5" s="937"/>
      <c r="DQ5" s="937"/>
      <c r="DR5" s="937"/>
      <c r="DS5" s="937"/>
      <c r="DT5" s="937"/>
      <c r="DU5" s="937"/>
      <c r="DV5" s="937"/>
      <c r="DW5" s="937"/>
      <c r="DX5" s="937"/>
      <c r="DY5" s="937"/>
      <c r="DZ5" s="937"/>
      <c r="EA5" s="937"/>
      <c r="EB5" s="937"/>
      <c r="EC5" s="937"/>
      <c r="ED5" s="937"/>
      <c r="EE5" s="937"/>
      <c r="EF5" s="937"/>
      <c r="EG5" s="937"/>
      <c r="EH5" s="937"/>
      <c r="EI5" s="937"/>
      <c r="EJ5" s="937"/>
      <c r="EK5" s="937"/>
      <c r="EL5" s="937"/>
      <c r="EM5" s="937"/>
      <c r="EN5" s="937"/>
      <c r="EO5" s="937"/>
      <c r="EP5" s="937"/>
      <c r="EQ5" s="937"/>
      <c r="ER5" s="937"/>
      <c r="ES5" s="937"/>
      <c r="ET5" s="937"/>
      <c r="EU5" s="937"/>
      <c r="EV5" s="937"/>
      <c r="EW5" s="937"/>
      <c r="EX5" s="937"/>
      <c r="EY5" s="937"/>
      <c r="EZ5" s="937"/>
      <c r="FA5" s="937"/>
      <c r="FB5" s="937"/>
      <c r="FC5" s="937"/>
      <c r="FD5" s="937"/>
      <c r="FE5" s="937"/>
      <c r="FF5" s="937"/>
      <c r="FG5" s="937"/>
      <c r="FH5" s="937"/>
      <c r="FI5" s="937"/>
      <c r="FJ5" s="937"/>
      <c r="FK5" s="937"/>
      <c r="FL5" s="937"/>
      <c r="FM5" s="937"/>
      <c r="FN5" s="937"/>
      <c r="FO5" s="937"/>
      <c r="FP5" s="937"/>
      <c r="FQ5" s="937"/>
      <c r="FR5" s="937"/>
      <c r="FS5" s="937"/>
      <c r="FT5" s="937"/>
      <c r="FU5" s="937"/>
      <c r="FV5" s="937"/>
      <c r="FW5" s="937"/>
      <c r="FX5" s="937"/>
      <c r="FY5" s="937"/>
      <c r="FZ5" s="937"/>
      <c r="GA5" s="937"/>
      <c r="GB5" s="937"/>
      <c r="GC5" s="937"/>
      <c r="GD5" s="937"/>
      <c r="GE5" s="937"/>
      <c r="GF5" s="937"/>
      <c r="GG5" s="937"/>
      <c r="GH5" s="937"/>
      <c r="GI5" s="937"/>
      <c r="GJ5" s="937"/>
      <c r="GK5" s="937"/>
      <c r="GL5" s="937"/>
      <c r="GM5" s="937"/>
      <c r="GN5" s="937"/>
      <c r="GO5" s="937"/>
      <c r="GP5" s="937"/>
      <c r="GQ5" s="937"/>
      <c r="GR5" s="937"/>
      <c r="GS5" s="937"/>
      <c r="GT5" s="937"/>
      <c r="GU5" s="937"/>
      <c r="GV5" s="937"/>
      <c r="GW5" s="937"/>
      <c r="GX5" s="937"/>
      <c r="GY5" s="937"/>
      <c r="GZ5" s="937"/>
      <c r="HA5" s="937"/>
      <c r="HB5" s="937"/>
      <c r="HC5" s="937"/>
      <c r="HD5" s="937"/>
      <c r="HE5" s="937"/>
      <c r="HF5" s="937"/>
      <c r="HG5" s="937"/>
      <c r="HH5" s="937"/>
      <c r="HI5" s="937"/>
      <c r="HJ5" s="937"/>
      <c r="HK5" s="937"/>
      <c r="HL5" s="937"/>
      <c r="HM5" s="937"/>
      <c r="HN5" s="937"/>
      <c r="HO5" s="937"/>
      <c r="HP5" s="937"/>
      <c r="HQ5" s="937"/>
      <c r="HR5" s="937"/>
      <c r="HS5" s="937"/>
      <c r="HT5" s="937"/>
      <c r="HU5" s="937"/>
      <c r="HV5" s="937"/>
      <c r="HW5" s="937"/>
      <c r="HX5" s="937"/>
      <c r="HY5" s="937"/>
      <c r="HZ5" s="937"/>
      <c r="IA5" s="937"/>
      <c r="IB5" s="937"/>
      <c r="IC5" s="937"/>
      <c r="ID5" s="937"/>
      <c r="IE5" s="937"/>
      <c r="IF5" s="937"/>
      <c r="IG5" s="937"/>
      <c r="IH5" s="937"/>
      <c r="II5" s="937"/>
      <c r="IJ5" s="937"/>
      <c r="IK5" s="937"/>
      <c r="IL5" s="937"/>
      <c r="IM5" s="937"/>
      <c r="IN5" s="937"/>
      <c r="IO5" s="937"/>
      <c r="IP5" s="937"/>
      <c r="IQ5" s="937"/>
      <c r="IR5" s="937"/>
      <c r="IS5" s="937"/>
      <c r="IT5" s="937"/>
      <c r="IU5" s="937"/>
      <c r="IV5" s="937"/>
    </row>
    <row r="6" spans="1:256" ht="18" customHeight="1" x14ac:dyDescent="0.25">
      <c r="A6" s="948" t="s">
        <v>69</v>
      </c>
      <c r="B6" s="1221" t="s">
        <v>1569</v>
      </c>
      <c r="C6" s="1222"/>
      <c r="D6" s="963"/>
      <c r="E6" s="948" t="s">
        <v>69</v>
      </c>
      <c r="F6" s="1221"/>
      <c r="G6" s="1222"/>
      <c r="H6" s="963"/>
      <c r="I6" s="948" t="s">
        <v>69</v>
      </c>
      <c r="J6" s="1221"/>
      <c r="K6" s="1223"/>
      <c r="L6" s="954"/>
      <c r="M6" s="249"/>
      <c r="N6" s="249"/>
      <c r="O6" s="249"/>
      <c r="P6" s="249"/>
      <c r="Q6" s="249"/>
    </row>
    <row r="7" spans="1:256" ht="15" x14ac:dyDescent="0.25">
      <c r="A7" s="946" t="s">
        <v>544</v>
      </c>
      <c r="B7" s="1197">
        <v>60</v>
      </c>
      <c r="C7" s="1198"/>
      <c r="D7" s="953"/>
      <c r="E7" s="946" t="s">
        <v>544</v>
      </c>
      <c r="F7" s="1197">
        <v>60</v>
      </c>
      <c r="G7" s="1198"/>
      <c r="H7" s="953"/>
      <c r="I7" s="946" t="s">
        <v>544</v>
      </c>
      <c r="J7" s="1197">
        <v>60</v>
      </c>
      <c r="K7" s="1198"/>
      <c r="L7" s="953"/>
      <c r="M7" s="251"/>
      <c r="N7" s="1149"/>
      <c r="O7" s="1149"/>
      <c r="P7" s="251"/>
      <c r="Q7" s="1040"/>
    </row>
    <row r="8" spans="1:256" x14ac:dyDescent="0.2">
      <c r="A8" s="252" t="s">
        <v>122</v>
      </c>
      <c r="B8" s="1199">
        <v>1.5</v>
      </c>
      <c r="C8" s="1200"/>
      <c r="E8" s="252" t="s">
        <v>122</v>
      </c>
      <c r="F8" s="1199"/>
      <c r="G8" s="1200"/>
      <c r="I8" s="252" t="s">
        <v>122</v>
      </c>
      <c r="J8" s="1199"/>
      <c r="K8" s="1200"/>
      <c r="M8" s="84"/>
      <c r="N8" s="1206"/>
      <c r="O8" s="1206"/>
      <c r="P8" s="84"/>
    </row>
    <row r="9" spans="1:256" ht="13.5" thickBot="1" x14ac:dyDescent="0.25">
      <c r="A9" s="252" t="s">
        <v>545</v>
      </c>
      <c r="B9" s="1207">
        <f>IF(B8="","",IF(B7=60,VLOOKUP(B8,'Thread Wire Nominal Sizes'!$G$3:$H$23,2,FALSE)))</f>
        <v>0.86602500000000004</v>
      </c>
      <c r="C9" s="1208"/>
      <c r="E9" s="949" t="s">
        <v>545</v>
      </c>
      <c r="F9" s="1207" t="str">
        <f>IF(F8="","",IF(F7=60,VLOOKUP(F8,'Thread Wire Nominal Sizes'!$G$3:$H$23,2,FALSE)))</f>
        <v/>
      </c>
      <c r="G9" s="1208"/>
      <c r="I9" s="252" t="s">
        <v>545</v>
      </c>
      <c r="J9" s="1207" t="str">
        <f>IF(J8="","",IF(J7=60,VLOOKUP(J8,'Thread Wire Nominal Sizes'!$G$3:$H$23,2,FALSE)))</f>
        <v/>
      </c>
      <c r="K9" s="1208"/>
      <c r="M9" s="84"/>
      <c r="N9" s="1195"/>
      <c r="O9" s="1195"/>
      <c r="P9" s="84"/>
    </row>
    <row r="10" spans="1:256" ht="13.5" thickBot="1" x14ac:dyDescent="0.25">
      <c r="A10" s="949" t="s">
        <v>546</v>
      </c>
      <c r="B10" s="1204">
        <f>IF(B8="","",IF(B7=60,VLOOKUP(B8,'Thread Wire Nominal Sizes'!$G$3:$I$23,3,FALSE)))</f>
        <v>3.4095472440944886E-2</v>
      </c>
      <c r="C10" s="1205"/>
      <c r="D10" s="964"/>
      <c r="E10" s="950" t="s">
        <v>546</v>
      </c>
      <c r="F10" s="1204" t="str">
        <f>IF(F8="","",IF(F7=60,VLOOKUP(F8,'Thread Wire Nominal Sizes'!$G$3:$I$23,3,FALSE)))</f>
        <v/>
      </c>
      <c r="G10" s="1205"/>
      <c r="H10" s="964"/>
      <c r="I10" s="949" t="s">
        <v>546</v>
      </c>
      <c r="J10" s="1204" t="str">
        <f>IF(J8="","",IF(J7=60,VLOOKUP(J8,'Thread Wire Nominal Sizes'!$G$3:$I$23,3,FALSE)))</f>
        <v/>
      </c>
      <c r="K10" s="1205"/>
      <c r="M10" s="84"/>
      <c r="N10" s="1196"/>
      <c r="O10" s="1196"/>
      <c r="P10" s="84"/>
    </row>
    <row r="11" spans="1:256" ht="13.5" thickBot="1" x14ac:dyDescent="0.25">
      <c r="A11" s="254"/>
      <c r="B11" s="255"/>
      <c r="C11" s="256" t="s">
        <v>547</v>
      </c>
      <c r="E11" s="947"/>
      <c r="F11" s="255"/>
      <c r="G11" s="256" t="s">
        <v>547</v>
      </c>
      <c r="I11" s="254"/>
      <c r="J11" s="255"/>
      <c r="K11" s="256" t="s">
        <v>547</v>
      </c>
      <c r="M11" s="84"/>
      <c r="N11" s="84">
        <f>((3*(0.5774))-(1.9485/1))</f>
        <v>-0.21629999999999971</v>
      </c>
      <c r="O11" s="84"/>
      <c r="P11" s="84"/>
    </row>
    <row r="12" spans="1:256" x14ac:dyDescent="0.2">
      <c r="A12" s="218" t="s">
        <v>501</v>
      </c>
      <c r="B12" s="257">
        <v>3.4099999999999998E-2</v>
      </c>
      <c r="C12" s="867">
        <f>IF(OR(B12="Missing", B12=""),"",(B12*25.4))</f>
        <v>0.86613999999999991</v>
      </c>
      <c r="E12" s="258" t="s">
        <v>501</v>
      </c>
      <c r="F12" s="257"/>
      <c r="G12" s="867" t="str">
        <f>IF(OR(F12="Missing", F12=""),"",(F12*25.4))</f>
        <v/>
      </c>
      <c r="I12" s="218" t="s">
        <v>501</v>
      </c>
      <c r="J12" s="257"/>
      <c r="K12" s="867" t="str">
        <f>IF(OR(J12="Missing", J12=""),"",(J12*25.4))</f>
        <v/>
      </c>
      <c r="M12" s="84"/>
      <c r="P12" s="84"/>
    </row>
    <row r="13" spans="1:256" x14ac:dyDescent="0.2">
      <c r="A13" s="1041" t="s">
        <v>502</v>
      </c>
      <c r="B13" s="257">
        <v>3.4090000000000002E-2</v>
      </c>
      <c r="C13" s="867">
        <f t="shared" ref="C13:C23" si="0">IF(OR(B13="Missing", B13=""),"",(B13*25.4))</f>
        <v>0.86588600000000004</v>
      </c>
      <c r="E13" s="1041" t="s">
        <v>502</v>
      </c>
      <c r="F13" s="257"/>
      <c r="G13" s="867" t="str">
        <f t="shared" ref="G13:G23" si="1">IF(OR(F13="Missing", F13=""),"",(F13*25.4))</f>
        <v/>
      </c>
      <c r="I13" s="1041" t="s">
        <v>502</v>
      </c>
      <c r="J13" s="257"/>
      <c r="K13" s="867" t="str">
        <f t="shared" ref="K13:K23" si="2">IF(OR(J13="Missing", J13=""),"",(J13*25.4))</f>
        <v/>
      </c>
      <c r="M13" s="470"/>
      <c r="P13" s="470"/>
    </row>
    <row r="14" spans="1:256" x14ac:dyDescent="0.2">
      <c r="A14" s="221" t="s">
        <v>503</v>
      </c>
      <c r="B14" s="257">
        <v>3.4099999999999998E-2</v>
      </c>
      <c r="C14" s="867">
        <f t="shared" si="0"/>
        <v>0.86613999999999991</v>
      </c>
      <c r="E14" s="221" t="s">
        <v>503</v>
      </c>
      <c r="F14" s="257"/>
      <c r="G14" s="867" t="str">
        <f t="shared" si="1"/>
        <v/>
      </c>
      <c r="I14" s="221" t="s">
        <v>503</v>
      </c>
      <c r="J14" s="257"/>
      <c r="K14" s="867" t="str">
        <f t="shared" si="2"/>
        <v/>
      </c>
      <c r="M14" s="84"/>
      <c r="P14" s="84"/>
    </row>
    <row r="15" spans="1:256" x14ac:dyDescent="0.2">
      <c r="A15" s="1042" t="s">
        <v>504</v>
      </c>
      <c r="B15" s="257">
        <v>3.4090000000000002E-2</v>
      </c>
      <c r="C15" s="867">
        <f t="shared" si="0"/>
        <v>0.86588600000000004</v>
      </c>
      <c r="E15" s="1042" t="s">
        <v>504</v>
      </c>
      <c r="F15" s="257"/>
      <c r="G15" s="867" t="str">
        <f t="shared" si="1"/>
        <v/>
      </c>
      <c r="I15" s="1042" t="s">
        <v>504</v>
      </c>
      <c r="J15" s="257"/>
      <c r="K15" s="867" t="str">
        <f t="shared" si="2"/>
        <v/>
      </c>
      <c r="M15" s="470"/>
      <c r="P15" s="470"/>
    </row>
    <row r="16" spans="1:256" x14ac:dyDescent="0.2">
      <c r="A16" s="221" t="s">
        <v>505</v>
      </c>
      <c r="B16" s="257">
        <v>3.4099999999999998E-2</v>
      </c>
      <c r="C16" s="867">
        <f t="shared" si="0"/>
        <v>0.86613999999999991</v>
      </c>
      <c r="E16" s="221" t="s">
        <v>505</v>
      </c>
      <c r="F16" s="257"/>
      <c r="G16" s="867" t="str">
        <f t="shared" si="1"/>
        <v/>
      </c>
      <c r="I16" s="221" t="s">
        <v>505</v>
      </c>
      <c r="J16" s="257"/>
      <c r="K16" s="867" t="str">
        <f t="shared" si="2"/>
        <v/>
      </c>
      <c r="M16" s="84"/>
      <c r="P16" s="84"/>
    </row>
    <row r="17" spans="1:17" x14ac:dyDescent="0.2">
      <c r="A17" s="1041" t="s">
        <v>502</v>
      </c>
      <c r="B17" s="257">
        <v>3.4099999999999998E-2</v>
      </c>
      <c r="C17" s="867">
        <f t="shared" si="0"/>
        <v>0.86613999999999991</v>
      </c>
      <c r="E17" s="1041" t="s">
        <v>502</v>
      </c>
      <c r="F17" s="257"/>
      <c r="G17" s="867" t="str">
        <f t="shared" si="1"/>
        <v/>
      </c>
      <c r="I17" s="1041" t="s">
        <v>502</v>
      </c>
      <c r="J17" s="257"/>
      <c r="K17" s="867" t="str">
        <f t="shared" si="2"/>
        <v/>
      </c>
      <c r="M17" s="470"/>
      <c r="P17" s="470"/>
    </row>
    <row r="18" spans="1:17" x14ac:dyDescent="0.2">
      <c r="A18" s="221" t="s">
        <v>506</v>
      </c>
      <c r="B18" s="257">
        <v>3.4099999999999998E-2</v>
      </c>
      <c r="C18" s="867">
        <f t="shared" si="0"/>
        <v>0.86613999999999991</v>
      </c>
      <c r="E18" s="221" t="s">
        <v>506</v>
      </c>
      <c r="F18" s="257"/>
      <c r="G18" s="867" t="str">
        <f t="shared" si="1"/>
        <v/>
      </c>
      <c r="I18" s="221" t="s">
        <v>506</v>
      </c>
      <c r="J18" s="257"/>
      <c r="K18" s="867" t="str">
        <f t="shared" si="2"/>
        <v/>
      </c>
      <c r="M18" s="84"/>
      <c r="P18" s="84"/>
    </row>
    <row r="19" spans="1:17" x14ac:dyDescent="0.2">
      <c r="A19" s="1042" t="s">
        <v>504</v>
      </c>
      <c r="B19" s="257">
        <v>3.4099999999999998E-2</v>
      </c>
      <c r="C19" s="867">
        <f t="shared" si="0"/>
        <v>0.86613999999999991</v>
      </c>
      <c r="E19" s="1042" t="s">
        <v>504</v>
      </c>
      <c r="F19" s="257"/>
      <c r="G19" s="867" t="str">
        <f t="shared" si="1"/>
        <v/>
      </c>
      <c r="I19" s="1042" t="s">
        <v>504</v>
      </c>
      <c r="J19" s="257"/>
      <c r="K19" s="867" t="str">
        <f t="shared" si="2"/>
        <v/>
      </c>
      <c r="M19" s="470"/>
      <c r="P19" s="470"/>
    </row>
    <row r="20" spans="1:17" x14ac:dyDescent="0.2">
      <c r="A20" s="221" t="s">
        <v>507</v>
      </c>
      <c r="B20" s="257">
        <v>3.4090000000000002E-2</v>
      </c>
      <c r="C20" s="867">
        <f t="shared" si="0"/>
        <v>0.86588600000000004</v>
      </c>
      <c r="E20" s="221" t="s">
        <v>507</v>
      </c>
      <c r="F20" s="257"/>
      <c r="G20" s="867" t="str">
        <f t="shared" si="1"/>
        <v/>
      </c>
      <c r="I20" s="221" t="s">
        <v>507</v>
      </c>
      <c r="J20" s="257"/>
      <c r="K20" s="867" t="str">
        <f t="shared" si="2"/>
        <v/>
      </c>
      <c r="M20" s="84"/>
      <c r="P20" s="84"/>
    </row>
    <row r="21" spans="1:17" x14ac:dyDescent="0.2">
      <c r="A21" s="1041" t="s">
        <v>502</v>
      </c>
      <c r="B21" s="257">
        <v>3.4090000000000002E-2</v>
      </c>
      <c r="C21" s="867">
        <f t="shared" si="0"/>
        <v>0.86588600000000004</v>
      </c>
      <c r="E21" s="1041" t="s">
        <v>502</v>
      </c>
      <c r="F21" s="257"/>
      <c r="G21" s="867" t="str">
        <f t="shared" si="1"/>
        <v/>
      </c>
      <c r="I21" s="1041" t="s">
        <v>502</v>
      </c>
      <c r="J21" s="257"/>
      <c r="K21" s="867" t="str">
        <f t="shared" si="2"/>
        <v/>
      </c>
      <c r="M21" s="470"/>
      <c r="P21" s="470"/>
    </row>
    <row r="22" spans="1:17" x14ac:dyDescent="0.2">
      <c r="A22" s="221" t="s">
        <v>508</v>
      </c>
      <c r="B22" s="257">
        <v>3.4099999999999998E-2</v>
      </c>
      <c r="C22" s="867">
        <f t="shared" si="0"/>
        <v>0.86613999999999991</v>
      </c>
      <c r="E22" s="221" t="s">
        <v>508</v>
      </c>
      <c r="F22" s="257"/>
      <c r="G22" s="867" t="str">
        <f t="shared" si="1"/>
        <v/>
      </c>
      <c r="I22" s="221" t="s">
        <v>508</v>
      </c>
      <c r="J22" s="257"/>
      <c r="K22" s="867" t="str">
        <f t="shared" si="2"/>
        <v/>
      </c>
      <c r="M22" s="84"/>
      <c r="P22" s="84"/>
    </row>
    <row r="23" spans="1:17" x14ac:dyDescent="0.2">
      <c r="A23" s="1042" t="s">
        <v>504</v>
      </c>
      <c r="B23" s="257">
        <v>3.4099999999999998E-2</v>
      </c>
      <c r="C23" s="867">
        <f t="shared" si="0"/>
        <v>0.86613999999999991</v>
      </c>
      <c r="E23" s="1042" t="s">
        <v>504</v>
      </c>
      <c r="F23" s="257"/>
      <c r="G23" s="867" t="str">
        <f t="shared" si="1"/>
        <v/>
      </c>
      <c r="I23" s="1042" t="s">
        <v>504</v>
      </c>
      <c r="J23" s="257"/>
      <c r="K23" s="867" t="str">
        <f t="shared" si="2"/>
        <v/>
      </c>
      <c r="M23" s="470"/>
      <c r="P23" s="470"/>
    </row>
    <row r="24" spans="1:17" x14ac:dyDescent="0.2">
      <c r="A24" s="511" t="s">
        <v>73</v>
      </c>
      <c r="B24" s="506">
        <f>ROUND(AVERAGE(B12:B23), 5)</f>
        <v>3.4099999999999998E-2</v>
      </c>
      <c r="C24" s="869">
        <f>IF(C12="","",(AVERAGE(C12:C23)))</f>
        <v>0.86605533333333318</v>
      </c>
      <c r="E24" s="511" t="s">
        <v>73</v>
      </c>
      <c r="F24" s="508" t="e">
        <f>ROUND(AVERAGE(F12:F23), 5)</f>
        <v>#DIV/0!</v>
      </c>
      <c r="G24" s="869" t="str">
        <f>IF(G12="","",(AVERAGE(G12:G23)))</f>
        <v/>
      </c>
      <c r="I24" s="511" t="s">
        <v>73</v>
      </c>
      <c r="J24" s="508" t="e">
        <f>ROUND(AVERAGE(J12:J23), 5)</f>
        <v>#DIV/0!</v>
      </c>
      <c r="K24" s="869" t="str">
        <f>IF(K12="","",(AVERAGE(K12:K23)))</f>
        <v/>
      </c>
      <c r="M24" s="84"/>
      <c r="N24" s="84"/>
      <c r="O24" s="84"/>
      <c r="P24" s="84"/>
      <c r="Q24" s="84"/>
    </row>
    <row r="25" spans="1:17" ht="13.5" thickBot="1" x14ac:dyDescent="0.25">
      <c r="A25" s="512" t="s">
        <v>74</v>
      </c>
      <c r="B25" s="507"/>
      <c r="C25" s="868">
        <f>IF(C24="","",(3*(C24)-(0.866*B8)))</f>
        <v>1.2991659999999996</v>
      </c>
      <c r="E25" s="512" t="s">
        <v>74</v>
      </c>
      <c r="F25" s="507"/>
      <c r="G25" s="868" t="str">
        <f>IF(G24="","",(3*(G24)-(0.866*F8)))</f>
        <v/>
      </c>
      <c r="I25" s="512" t="s">
        <v>74</v>
      </c>
      <c r="J25" s="507"/>
      <c r="K25" s="868" t="str">
        <f>IF(K24="","",(3*(K24)-(0.866*J8)))</f>
        <v/>
      </c>
      <c r="M25" s="84"/>
      <c r="N25" s="84"/>
      <c r="O25" s="84"/>
      <c r="P25" s="84"/>
      <c r="Q25" s="84"/>
    </row>
    <row r="26" spans="1:17" ht="13.5" thickBot="1" x14ac:dyDescent="0.25">
      <c r="A26" s="47"/>
      <c r="B26" s="47"/>
      <c r="C26" s="47"/>
      <c r="E26" s="47"/>
      <c r="F26" s="47"/>
      <c r="G26" s="47"/>
      <c r="I26" s="47"/>
      <c r="J26" s="47"/>
      <c r="K26" s="47"/>
    </row>
    <row r="27" spans="1:17" ht="15.75" thickBot="1" x14ac:dyDescent="0.3">
      <c r="A27" s="948" t="s">
        <v>69</v>
      </c>
      <c r="B27" s="1209"/>
      <c r="C27" s="1210"/>
      <c r="D27" s="952"/>
      <c r="E27" s="948" t="s">
        <v>69</v>
      </c>
      <c r="F27" s="1209"/>
      <c r="G27" s="1210"/>
      <c r="H27" s="952"/>
      <c r="I27" s="948" t="s">
        <v>69</v>
      </c>
      <c r="J27" s="1209"/>
      <c r="K27" s="1210"/>
    </row>
    <row r="28" spans="1:17" x14ac:dyDescent="0.2">
      <c r="A28" s="250" t="s">
        <v>544</v>
      </c>
      <c r="B28" s="1201">
        <v>60</v>
      </c>
      <c r="C28" s="1202"/>
      <c r="E28" s="250" t="s">
        <v>544</v>
      </c>
      <c r="F28" s="1203">
        <v>60</v>
      </c>
      <c r="G28" s="1202"/>
      <c r="I28" s="250" t="s">
        <v>544</v>
      </c>
      <c r="J28" s="1203">
        <v>60</v>
      </c>
      <c r="K28" s="1202"/>
      <c r="M28" s="251"/>
      <c r="N28" s="1149"/>
      <c r="O28" s="1149"/>
      <c r="P28" s="251"/>
      <c r="Q28" s="1040"/>
    </row>
    <row r="29" spans="1:17" x14ac:dyDescent="0.2">
      <c r="A29" s="252" t="s">
        <v>122</v>
      </c>
      <c r="B29" s="1213"/>
      <c r="C29" s="1200"/>
      <c r="E29" s="252" t="s">
        <v>122</v>
      </c>
      <c r="F29" s="1199"/>
      <c r="G29" s="1200"/>
      <c r="I29" s="252" t="s">
        <v>122</v>
      </c>
      <c r="J29" s="1199"/>
      <c r="K29" s="1200"/>
      <c r="M29" s="84"/>
      <c r="N29" s="1206"/>
      <c r="O29" s="1206"/>
      <c r="P29" s="84"/>
    </row>
    <row r="30" spans="1:17" x14ac:dyDescent="0.2">
      <c r="A30" s="186" t="s">
        <v>545</v>
      </c>
      <c r="B30" s="1207" t="str">
        <f>IF(B29="","",IF(B28=60,VLOOKUP(B29,'Thread Wire Nominal Sizes'!$G$3:$H$23,2,FALSE)))</f>
        <v/>
      </c>
      <c r="C30" s="1208"/>
      <c r="E30" s="252" t="s">
        <v>545</v>
      </c>
      <c r="F30" s="1207" t="str">
        <f>IF(F29="","",IF(F28=60,VLOOKUP(F29,'Thread Wire Nominal Sizes'!$G$3:$H$23,2,FALSE)))</f>
        <v/>
      </c>
      <c r="G30" s="1208"/>
      <c r="I30" s="252" t="s">
        <v>545</v>
      </c>
      <c r="J30" s="1207" t="str">
        <f>IF(J29="","",IF(J28=60,VLOOKUP(J29,'Thread Wire Nominal Sizes'!$G$3:$H$23,2,FALSE)))</f>
        <v/>
      </c>
      <c r="K30" s="1208"/>
      <c r="M30" s="84"/>
      <c r="N30" s="1195"/>
      <c r="O30" s="1195"/>
      <c r="P30" s="84"/>
    </row>
    <row r="31" spans="1:17" ht="13.5" thickBot="1" x14ac:dyDescent="0.25">
      <c r="A31" s="241" t="s">
        <v>546</v>
      </c>
      <c r="B31" s="1211" t="str">
        <f>IF(B29="","",IF(B28=60,VLOOKUP(B29,'Thread Wire Nominal Sizes'!$G$3:$I$23,3,FALSE)))</f>
        <v/>
      </c>
      <c r="C31" s="1212"/>
      <c r="E31" s="253" t="s">
        <v>546</v>
      </c>
      <c r="F31" s="1211" t="str">
        <f>IF(F29="","",IF(F28=60,VLOOKUP(F29,'Thread Wire Nominal Sizes'!$G$3:$I$23,3,FALSE)))</f>
        <v/>
      </c>
      <c r="G31" s="1212"/>
      <c r="I31" s="253" t="s">
        <v>546</v>
      </c>
      <c r="J31" s="1211" t="str">
        <f>IF(J29="","",IF(J28=60,VLOOKUP(J29,'Thread Wire Nominal Sizes'!$G$3:$I$23,3,FALSE)))</f>
        <v/>
      </c>
      <c r="K31" s="1212"/>
      <c r="M31" s="84"/>
      <c r="N31" s="1196"/>
      <c r="O31" s="1196"/>
      <c r="P31" s="84"/>
    </row>
    <row r="32" spans="1:17" ht="14.25" thickTop="1" thickBot="1" x14ac:dyDescent="0.25">
      <c r="A32" s="260"/>
      <c r="B32" s="261"/>
      <c r="C32" s="256" t="s">
        <v>547</v>
      </c>
      <c r="E32" s="254"/>
      <c r="F32" s="255"/>
      <c r="G32" s="256" t="s">
        <v>547</v>
      </c>
      <c r="I32" s="254"/>
      <c r="J32" s="255"/>
      <c r="K32" s="256" t="s">
        <v>547</v>
      </c>
      <c r="M32" s="84"/>
      <c r="N32" s="84"/>
      <c r="O32" s="84"/>
      <c r="P32" s="470"/>
    </row>
    <row r="33" spans="1:17" x14ac:dyDescent="0.2">
      <c r="A33" s="218" t="s">
        <v>501</v>
      </c>
      <c r="B33" s="262"/>
      <c r="C33" s="867" t="str">
        <f>IF(OR(B33="Missing", B33=""),"",(B33*25.4))</f>
        <v/>
      </c>
      <c r="E33" s="218" t="s">
        <v>501</v>
      </c>
      <c r="F33" s="257"/>
      <c r="G33" s="867" t="str">
        <f>IF(OR(F33="Missing", F33=""),"",(F33*25.4))</f>
        <v/>
      </c>
      <c r="I33" s="218" t="s">
        <v>501</v>
      </c>
      <c r="J33" s="257"/>
      <c r="K33" s="867" t="str">
        <f>IF(OR(J33="Missing", J33=""),"",(J33*25.4))</f>
        <v/>
      </c>
      <c r="M33" s="84"/>
      <c r="P33" s="84"/>
    </row>
    <row r="34" spans="1:17" x14ac:dyDescent="0.2">
      <c r="A34" s="1041" t="s">
        <v>502</v>
      </c>
      <c r="B34" s="262"/>
      <c r="C34" s="867" t="str">
        <f t="shared" ref="C34:C44" si="3">IF(OR(B34="Missing", B34=""),"",(B34*25.4))</f>
        <v/>
      </c>
      <c r="E34" s="1041" t="s">
        <v>502</v>
      </c>
      <c r="F34" s="257"/>
      <c r="G34" s="867" t="str">
        <f t="shared" ref="G34:G44" si="4">IF(OR(F34="Missing", F34=""),"",(F34*25.4))</f>
        <v/>
      </c>
      <c r="I34" s="1041" t="s">
        <v>502</v>
      </c>
      <c r="J34" s="257"/>
      <c r="K34" s="867" t="str">
        <f t="shared" ref="K34:K44" si="5">IF(OR(J34="Missing", J34=""),"",(J34*25.4))</f>
        <v/>
      </c>
      <c r="M34" s="470"/>
      <c r="P34" s="470"/>
    </row>
    <row r="35" spans="1:17" x14ac:dyDescent="0.2">
      <c r="A35" s="221" t="s">
        <v>503</v>
      </c>
      <c r="B35" s="262"/>
      <c r="C35" s="867" t="str">
        <f t="shared" si="3"/>
        <v/>
      </c>
      <c r="E35" s="221" t="s">
        <v>503</v>
      </c>
      <c r="F35" s="257"/>
      <c r="G35" s="867" t="str">
        <f t="shared" si="4"/>
        <v/>
      </c>
      <c r="I35" s="221" t="s">
        <v>503</v>
      </c>
      <c r="J35" s="257"/>
      <c r="K35" s="867" t="str">
        <f t="shared" si="5"/>
        <v/>
      </c>
      <c r="M35" s="84"/>
      <c r="P35" s="84"/>
    </row>
    <row r="36" spans="1:17" x14ac:dyDescent="0.2">
      <c r="A36" s="1042" t="s">
        <v>504</v>
      </c>
      <c r="B36" s="262"/>
      <c r="C36" s="867" t="str">
        <f t="shared" si="3"/>
        <v/>
      </c>
      <c r="E36" s="1042" t="s">
        <v>504</v>
      </c>
      <c r="F36" s="257"/>
      <c r="G36" s="867" t="str">
        <f t="shared" si="4"/>
        <v/>
      </c>
      <c r="I36" s="1042" t="s">
        <v>504</v>
      </c>
      <c r="J36" s="257"/>
      <c r="K36" s="867" t="str">
        <f t="shared" si="5"/>
        <v/>
      </c>
      <c r="M36" s="470"/>
      <c r="P36" s="470"/>
    </row>
    <row r="37" spans="1:17" x14ac:dyDescent="0.2">
      <c r="A37" s="221" t="s">
        <v>505</v>
      </c>
      <c r="B37" s="262"/>
      <c r="C37" s="867" t="str">
        <f t="shared" si="3"/>
        <v/>
      </c>
      <c r="E37" s="221" t="s">
        <v>505</v>
      </c>
      <c r="F37" s="257"/>
      <c r="G37" s="867" t="str">
        <f t="shared" si="4"/>
        <v/>
      </c>
      <c r="I37" s="221" t="s">
        <v>505</v>
      </c>
      <c r="J37" s="257"/>
      <c r="K37" s="867" t="str">
        <f t="shared" si="5"/>
        <v/>
      </c>
      <c r="M37" s="84"/>
      <c r="P37" s="84"/>
    </row>
    <row r="38" spans="1:17" x14ac:dyDescent="0.2">
      <c r="A38" s="1041" t="s">
        <v>502</v>
      </c>
      <c r="B38" s="262"/>
      <c r="C38" s="867" t="str">
        <f t="shared" si="3"/>
        <v/>
      </c>
      <c r="E38" s="1041" t="s">
        <v>502</v>
      </c>
      <c r="F38" s="257"/>
      <c r="G38" s="867" t="str">
        <f t="shared" si="4"/>
        <v/>
      </c>
      <c r="I38" s="1041" t="s">
        <v>502</v>
      </c>
      <c r="J38" s="257"/>
      <c r="K38" s="867" t="str">
        <f t="shared" si="5"/>
        <v/>
      </c>
      <c r="M38" s="470"/>
      <c r="P38" s="470"/>
    </row>
    <row r="39" spans="1:17" x14ac:dyDescent="0.2">
      <c r="A39" s="221" t="s">
        <v>506</v>
      </c>
      <c r="B39" s="262"/>
      <c r="C39" s="867" t="str">
        <f t="shared" si="3"/>
        <v/>
      </c>
      <c r="E39" s="221" t="s">
        <v>506</v>
      </c>
      <c r="F39" s="257"/>
      <c r="G39" s="867" t="str">
        <f t="shared" si="4"/>
        <v/>
      </c>
      <c r="I39" s="221" t="s">
        <v>506</v>
      </c>
      <c r="J39" s="257"/>
      <c r="K39" s="867" t="str">
        <f t="shared" si="5"/>
        <v/>
      </c>
      <c r="M39" s="84"/>
      <c r="P39" s="84"/>
    </row>
    <row r="40" spans="1:17" x14ac:dyDescent="0.2">
      <c r="A40" s="1042" t="s">
        <v>504</v>
      </c>
      <c r="B40" s="262"/>
      <c r="C40" s="867" t="str">
        <f t="shared" si="3"/>
        <v/>
      </c>
      <c r="E40" s="1042" t="s">
        <v>504</v>
      </c>
      <c r="F40" s="257"/>
      <c r="G40" s="867" t="str">
        <f t="shared" si="4"/>
        <v/>
      </c>
      <c r="I40" s="1042" t="s">
        <v>504</v>
      </c>
      <c r="J40" s="257"/>
      <c r="K40" s="867" t="str">
        <f t="shared" si="5"/>
        <v/>
      </c>
      <c r="M40" s="470"/>
      <c r="P40" s="470"/>
    </row>
    <row r="41" spans="1:17" x14ac:dyDescent="0.2">
      <c r="A41" s="221" t="s">
        <v>507</v>
      </c>
      <c r="B41" s="262"/>
      <c r="C41" s="867" t="str">
        <f t="shared" si="3"/>
        <v/>
      </c>
      <c r="E41" s="221" t="s">
        <v>507</v>
      </c>
      <c r="F41" s="257"/>
      <c r="G41" s="867" t="str">
        <f t="shared" si="4"/>
        <v/>
      </c>
      <c r="I41" s="221" t="s">
        <v>507</v>
      </c>
      <c r="J41" s="257"/>
      <c r="K41" s="867" t="str">
        <f t="shared" si="5"/>
        <v/>
      </c>
      <c r="M41" s="84"/>
      <c r="P41" s="84"/>
    </row>
    <row r="42" spans="1:17" x14ac:dyDescent="0.2">
      <c r="A42" s="1041" t="s">
        <v>502</v>
      </c>
      <c r="B42" s="262"/>
      <c r="C42" s="867" t="str">
        <f t="shared" si="3"/>
        <v/>
      </c>
      <c r="E42" s="1041" t="s">
        <v>502</v>
      </c>
      <c r="F42" s="257"/>
      <c r="G42" s="867" t="str">
        <f t="shared" si="4"/>
        <v/>
      </c>
      <c r="I42" s="1041" t="s">
        <v>502</v>
      </c>
      <c r="J42" s="257"/>
      <c r="K42" s="867" t="str">
        <f t="shared" si="5"/>
        <v/>
      </c>
      <c r="M42" s="470"/>
      <c r="P42" s="470"/>
    </row>
    <row r="43" spans="1:17" x14ac:dyDescent="0.2">
      <c r="A43" s="221" t="s">
        <v>508</v>
      </c>
      <c r="B43" s="262"/>
      <c r="C43" s="867" t="str">
        <f t="shared" si="3"/>
        <v/>
      </c>
      <c r="E43" s="221" t="s">
        <v>508</v>
      </c>
      <c r="F43" s="257"/>
      <c r="G43" s="867" t="str">
        <f t="shared" si="4"/>
        <v/>
      </c>
      <c r="I43" s="221" t="s">
        <v>508</v>
      </c>
      <c r="J43" s="257"/>
      <c r="K43" s="867" t="str">
        <f t="shared" si="5"/>
        <v/>
      </c>
      <c r="M43" s="84"/>
      <c r="P43" s="84"/>
      <c r="Q43" s="84"/>
    </row>
    <row r="44" spans="1:17" x14ac:dyDescent="0.2">
      <c r="A44" s="1042" t="s">
        <v>504</v>
      </c>
      <c r="B44" s="262"/>
      <c r="C44" s="867" t="str">
        <f t="shared" si="3"/>
        <v/>
      </c>
      <c r="E44" s="1042" t="s">
        <v>504</v>
      </c>
      <c r="F44" s="257"/>
      <c r="G44" s="867" t="str">
        <f t="shared" si="4"/>
        <v/>
      </c>
      <c r="I44" s="1042" t="s">
        <v>504</v>
      </c>
      <c r="J44" s="257"/>
      <c r="K44" s="867" t="str">
        <f t="shared" si="5"/>
        <v/>
      </c>
      <c r="M44" s="470"/>
      <c r="P44" s="84"/>
      <c r="Q44" s="84"/>
    </row>
    <row r="45" spans="1:17" x14ac:dyDescent="0.2">
      <c r="A45" s="511" t="s">
        <v>73</v>
      </c>
      <c r="B45" s="508" t="e">
        <f>ROUND(AVERAGE(B33:B44), 5)</f>
        <v>#DIV/0!</v>
      </c>
      <c r="C45" s="869" t="str">
        <f>IF(C33="","",(AVERAGE(C33:C44)))</f>
        <v/>
      </c>
      <c r="E45" s="511" t="s">
        <v>73</v>
      </c>
      <c r="F45" s="508" t="e">
        <f>ROUND(AVERAGE(F33:F44), 5)</f>
        <v>#DIV/0!</v>
      </c>
      <c r="G45" s="869" t="str">
        <f>IF(G33="","",(AVERAGE(G33:G44)))</f>
        <v/>
      </c>
      <c r="I45" s="511" t="s">
        <v>73</v>
      </c>
      <c r="J45" s="508" t="e">
        <f>ROUND(AVERAGE(J33:J44), 5)</f>
        <v>#DIV/0!</v>
      </c>
      <c r="K45" s="869" t="str">
        <f>IF(K33="","",(AVERAGE(K33:K44)))</f>
        <v/>
      </c>
      <c r="M45" s="84"/>
      <c r="N45" s="84"/>
      <c r="O45" s="84"/>
      <c r="P45" s="84"/>
      <c r="Q45" s="84"/>
    </row>
    <row r="46" spans="1:17" ht="13.5" thickBot="1" x14ac:dyDescent="0.25">
      <c r="A46" s="512" t="s">
        <v>74</v>
      </c>
      <c r="B46" s="509"/>
      <c r="C46" s="868" t="str">
        <f>IF(C45="","",(3*(C45)-(0.866*B29)))</f>
        <v/>
      </c>
      <c r="E46" s="512" t="s">
        <v>74</v>
      </c>
      <c r="F46" s="507"/>
      <c r="G46" s="868" t="str">
        <f>IF(G45="","",(3*(G45)-(0.866*F29)))</f>
        <v/>
      </c>
      <c r="I46" s="512" t="s">
        <v>74</v>
      </c>
      <c r="J46" s="507"/>
      <c r="K46" s="868" t="str">
        <f>IF(K45="","",(3*(K45)-(0.866*J29)))</f>
        <v/>
      </c>
      <c r="M46" s="84"/>
      <c r="N46" s="84"/>
      <c r="O46" s="84"/>
    </row>
    <row r="47" spans="1:17" ht="13.5" thickBot="1" x14ac:dyDescent="0.25">
      <c r="A47" s="263"/>
      <c r="B47" s="260"/>
      <c r="C47" s="260"/>
      <c r="E47" s="260"/>
      <c r="F47" s="260"/>
      <c r="G47" s="260"/>
      <c r="I47" s="260"/>
      <c r="J47" s="260"/>
      <c r="K47" s="260"/>
      <c r="M47" s="84"/>
      <c r="N47" s="84"/>
      <c r="O47" s="84"/>
    </row>
    <row r="48" spans="1:17" ht="15.75" thickBot="1" x14ac:dyDescent="0.3">
      <c r="A48" s="948" t="s">
        <v>69</v>
      </c>
      <c r="B48" s="1209"/>
      <c r="C48" s="1210"/>
      <c r="D48" s="952"/>
      <c r="E48" s="948" t="s">
        <v>69</v>
      </c>
      <c r="F48" s="1209"/>
      <c r="G48" s="1210"/>
      <c r="H48" s="952"/>
      <c r="I48" s="948" t="s">
        <v>69</v>
      </c>
      <c r="J48" s="1209"/>
      <c r="K48" s="1210"/>
      <c r="M48" s="84"/>
      <c r="N48" s="84"/>
      <c r="O48" s="84"/>
    </row>
    <row r="49" spans="1:17" x14ac:dyDescent="0.2">
      <c r="A49" s="250" t="s">
        <v>544</v>
      </c>
      <c r="B49" s="1201">
        <v>60</v>
      </c>
      <c r="C49" s="1202"/>
      <c r="E49" s="250" t="s">
        <v>544</v>
      </c>
      <c r="F49" s="1203">
        <v>60</v>
      </c>
      <c r="G49" s="1202"/>
      <c r="I49" s="250" t="s">
        <v>544</v>
      </c>
      <c r="J49" s="1203">
        <v>60</v>
      </c>
      <c r="K49" s="1202"/>
      <c r="M49" s="251"/>
      <c r="N49" s="1149"/>
      <c r="O49" s="1149"/>
      <c r="P49" s="251"/>
      <c r="Q49" s="1040"/>
    </row>
    <row r="50" spans="1:17" x14ac:dyDescent="0.2">
      <c r="A50" s="252" t="s">
        <v>122</v>
      </c>
      <c r="B50" s="1213"/>
      <c r="C50" s="1200"/>
      <c r="E50" s="252" t="s">
        <v>122</v>
      </c>
      <c r="F50" s="1199"/>
      <c r="G50" s="1200"/>
      <c r="I50" s="252" t="s">
        <v>122</v>
      </c>
      <c r="J50" s="1199"/>
      <c r="K50" s="1200"/>
      <c r="M50" s="84"/>
      <c r="N50" s="1206"/>
      <c r="O50" s="1206"/>
      <c r="P50" s="84"/>
    </row>
    <row r="51" spans="1:17" x14ac:dyDescent="0.2">
      <c r="A51" s="186" t="s">
        <v>545</v>
      </c>
      <c r="B51" s="1207" t="str">
        <f>IF(B50="","",IF(B49=60,VLOOKUP(B50,'Thread Wire Nominal Sizes'!$G$3:$H$23,2,FALSE)))</f>
        <v/>
      </c>
      <c r="C51" s="1208"/>
      <c r="E51" s="252" t="s">
        <v>545</v>
      </c>
      <c r="F51" s="1207" t="str">
        <f>IF(F50="","",IF(F49=60,VLOOKUP(F50,'Thread Wire Nominal Sizes'!$G$3:$H$23,2,FALSE)))</f>
        <v/>
      </c>
      <c r="G51" s="1208"/>
      <c r="I51" s="252" t="s">
        <v>545</v>
      </c>
      <c r="J51" s="1207" t="str">
        <f>IF(J50="","",IF(J49=60,VLOOKUP(J50,'Thread Wire Nominal Sizes'!$G$3:$H$23,2,FALSE)))</f>
        <v/>
      </c>
      <c r="K51" s="1208"/>
      <c r="M51" s="84"/>
      <c r="N51" s="1195"/>
      <c r="O51" s="1195"/>
      <c r="P51" s="84"/>
    </row>
    <row r="52" spans="1:17" ht="13.5" thickBot="1" x14ac:dyDescent="0.25">
      <c r="A52" s="241" t="s">
        <v>546</v>
      </c>
      <c r="B52" s="1211" t="str">
        <f>IF(B50="","",IF(B49=60,VLOOKUP(B50,'Thread Wire Nominal Sizes'!$G$3:$I$23,3,FALSE)))</f>
        <v/>
      </c>
      <c r="C52" s="1212"/>
      <c r="E52" s="253" t="s">
        <v>546</v>
      </c>
      <c r="F52" s="1211" t="str">
        <f>IF(F50="","",IF(F49=60,VLOOKUP(F50,'Thread Wire Nominal Sizes'!$G$3:$I$23,3,FALSE)))</f>
        <v/>
      </c>
      <c r="G52" s="1212"/>
      <c r="I52" s="253" t="s">
        <v>546</v>
      </c>
      <c r="J52" s="1211" t="str">
        <f>IF(J50="","",IF(J49=60,VLOOKUP(J50,'Thread Wire Nominal Sizes'!$G$3:$I$23,3,FALSE)))</f>
        <v/>
      </c>
      <c r="K52" s="1212"/>
      <c r="M52" s="84"/>
      <c r="N52" s="1196"/>
      <c r="O52" s="1196"/>
      <c r="P52" s="84"/>
    </row>
    <row r="53" spans="1:17" ht="14.25" thickTop="1" thickBot="1" x14ac:dyDescent="0.25">
      <c r="A53" s="260"/>
      <c r="B53" s="261"/>
      <c r="C53" s="256" t="s">
        <v>547</v>
      </c>
      <c r="E53" s="254"/>
      <c r="F53" s="255"/>
      <c r="G53" s="256" t="s">
        <v>547</v>
      </c>
      <c r="I53" s="254"/>
      <c r="J53" s="255"/>
      <c r="K53" s="256" t="s">
        <v>547</v>
      </c>
      <c r="M53" s="84"/>
      <c r="N53" s="84"/>
      <c r="O53" s="84"/>
      <c r="P53" s="470"/>
    </row>
    <row r="54" spans="1:17" x14ac:dyDescent="0.2">
      <c r="A54" s="218" t="s">
        <v>501</v>
      </c>
      <c r="B54" s="262"/>
      <c r="C54" s="867" t="str">
        <f>IF(OR(B54="Missing", B54=""),"",(B54*25.4))</f>
        <v/>
      </c>
      <c r="E54" s="218" t="s">
        <v>501</v>
      </c>
      <c r="F54" s="257"/>
      <c r="G54" s="867" t="str">
        <f>IF(OR(F54="Missing", F54=""),"",(F54*25.4))</f>
        <v/>
      </c>
      <c r="I54" s="218" t="s">
        <v>501</v>
      </c>
      <c r="J54" s="257"/>
      <c r="K54" s="867" t="str">
        <f>IF(OR(J54="Missing", J54=""),"",(J54*25.4))</f>
        <v/>
      </c>
      <c r="M54" s="84"/>
      <c r="P54" s="84"/>
    </row>
    <row r="55" spans="1:17" x14ac:dyDescent="0.2">
      <c r="A55" s="1041" t="s">
        <v>502</v>
      </c>
      <c r="B55" s="262"/>
      <c r="C55" s="867" t="str">
        <f t="shared" ref="C55:C65" si="6">IF(OR(B55="Missing", B55=""),"",(B55*25.4))</f>
        <v/>
      </c>
      <c r="E55" s="1041" t="s">
        <v>502</v>
      </c>
      <c r="F55" s="257"/>
      <c r="G55" s="867" t="str">
        <f t="shared" ref="G55:G65" si="7">IF(OR(F55="Missing", F55=""),"",(F55*25.4))</f>
        <v/>
      </c>
      <c r="I55" s="1041" t="s">
        <v>502</v>
      </c>
      <c r="J55" s="257"/>
      <c r="K55" s="867" t="str">
        <f t="shared" ref="K55:K65" si="8">IF(OR(J55="Missing", J55=""),"",(J55*25.4))</f>
        <v/>
      </c>
      <c r="M55" s="470"/>
      <c r="P55" s="470"/>
    </row>
    <row r="56" spans="1:17" x14ac:dyDescent="0.2">
      <c r="A56" s="221" t="s">
        <v>503</v>
      </c>
      <c r="B56" s="262"/>
      <c r="C56" s="867" t="str">
        <f t="shared" si="6"/>
        <v/>
      </c>
      <c r="E56" s="221" t="s">
        <v>503</v>
      </c>
      <c r="F56" s="257"/>
      <c r="G56" s="867" t="str">
        <f t="shared" si="7"/>
        <v/>
      </c>
      <c r="I56" s="221" t="s">
        <v>503</v>
      </c>
      <c r="J56" s="257"/>
      <c r="K56" s="867" t="str">
        <f t="shared" si="8"/>
        <v/>
      </c>
      <c r="M56" s="84"/>
      <c r="P56" s="84"/>
    </row>
    <row r="57" spans="1:17" x14ac:dyDescent="0.2">
      <c r="A57" s="1042" t="s">
        <v>504</v>
      </c>
      <c r="B57" s="262"/>
      <c r="C57" s="867" t="str">
        <f t="shared" si="6"/>
        <v/>
      </c>
      <c r="E57" s="1042" t="s">
        <v>504</v>
      </c>
      <c r="F57" s="257"/>
      <c r="G57" s="867" t="str">
        <f t="shared" si="7"/>
        <v/>
      </c>
      <c r="I57" s="1042" t="s">
        <v>504</v>
      </c>
      <c r="J57" s="257"/>
      <c r="K57" s="867" t="str">
        <f t="shared" si="8"/>
        <v/>
      </c>
      <c r="M57" s="470"/>
      <c r="P57" s="470"/>
    </row>
    <row r="58" spans="1:17" x14ac:dyDescent="0.2">
      <c r="A58" s="221" t="s">
        <v>505</v>
      </c>
      <c r="B58" s="262"/>
      <c r="C58" s="867" t="str">
        <f t="shared" si="6"/>
        <v/>
      </c>
      <c r="E58" s="221" t="s">
        <v>505</v>
      </c>
      <c r="F58" s="257"/>
      <c r="G58" s="867" t="str">
        <f t="shared" si="7"/>
        <v/>
      </c>
      <c r="I58" s="221" t="s">
        <v>505</v>
      </c>
      <c r="J58" s="257"/>
      <c r="K58" s="867" t="str">
        <f t="shared" si="8"/>
        <v/>
      </c>
      <c r="M58" s="84"/>
      <c r="P58" s="84"/>
    </row>
    <row r="59" spans="1:17" x14ac:dyDescent="0.2">
      <c r="A59" s="1041" t="s">
        <v>502</v>
      </c>
      <c r="B59" s="262"/>
      <c r="C59" s="867" t="str">
        <f t="shared" si="6"/>
        <v/>
      </c>
      <c r="E59" s="1041" t="s">
        <v>502</v>
      </c>
      <c r="F59" s="257"/>
      <c r="G59" s="867" t="str">
        <f t="shared" si="7"/>
        <v/>
      </c>
      <c r="I59" s="1041" t="s">
        <v>502</v>
      </c>
      <c r="J59" s="257"/>
      <c r="K59" s="867" t="str">
        <f t="shared" si="8"/>
        <v/>
      </c>
      <c r="M59" s="470"/>
      <c r="P59" s="470"/>
    </row>
    <row r="60" spans="1:17" x14ac:dyDescent="0.2">
      <c r="A60" s="221" t="s">
        <v>506</v>
      </c>
      <c r="B60" s="262"/>
      <c r="C60" s="867" t="str">
        <f t="shared" si="6"/>
        <v/>
      </c>
      <c r="E60" s="221" t="s">
        <v>506</v>
      </c>
      <c r="F60" s="257"/>
      <c r="G60" s="867" t="str">
        <f t="shared" si="7"/>
        <v/>
      </c>
      <c r="I60" s="221" t="s">
        <v>506</v>
      </c>
      <c r="J60" s="257"/>
      <c r="K60" s="867" t="str">
        <f t="shared" si="8"/>
        <v/>
      </c>
      <c r="M60" s="84"/>
      <c r="P60" s="84"/>
    </row>
    <row r="61" spans="1:17" x14ac:dyDescent="0.2">
      <c r="A61" s="1042" t="s">
        <v>504</v>
      </c>
      <c r="B61" s="262"/>
      <c r="C61" s="867" t="str">
        <f t="shared" si="6"/>
        <v/>
      </c>
      <c r="E61" s="1042" t="s">
        <v>504</v>
      </c>
      <c r="F61" s="257"/>
      <c r="G61" s="867" t="str">
        <f t="shared" si="7"/>
        <v/>
      </c>
      <c r="I61" s="1042" t="s">
        <v>504</v>
      </c>
      <c r="J61" s="257"/>
      <c r="K61" s="867" t="str">
        <f t="shared" si="8"/>
        <v/>
      </c>
      <c r="M61" s="470"/>
      <c r="P61" s="470"/>
    </row>
    <row r="62" spans="1:17" x14ac:dyDescent="0.2">
      <c r="A62" s="221" t="s">
        <v>507</v>
      </c>
      <c r="B62" s="262"/>
      <c r="C62" s="867" t="str">
        <f t="shared" si="6"/>
        <v/>
      </c>
      <c r="E62" s="221" t="s">
        <v>507</v>
      </c>
      <c r="F62" s="257"/>
      <c r="G62" s="867" t="str">
        <f t="shared" si="7"/>
        <v/>
      </c>
      <c r="I62" s="221" t="s">
        <v>507</v>
      </c>
      <c r="J62" s="257"/>
      <c r="K62" s="867" t="str">
        <f t="shared" si="8"/>
        <v/>
      </c>
      <c r="M62" s="84"/>
      <c r="P62" s="84"/>
    </row>
    <row r="63" spans="1:17" x14ac:dyDescent="0.2">
      <c r="A63" s="1041" t="s">
        <v>502</v>
      </c>
      <c r="B63" s="262"/>
      <c r="C63" s="867" t="str">
        <f t="shared" si="6"/>
        <v/>
      </c>
      <c r="E63" s="1041" t="s">
        <v>502</v>
      </c>
      <c r="F63" s="257"/>
      <c r="G63" s="867" t="str">
        <f t="shared" si="7"/>
        <v/>
      </c>
      <c r="I63" s="1041" t="s">
        <v>502</v>
      </c>
      <c r="J63" s="257"/>
      <c r="K63" s="867" t="str">
        <f t="shared" si="8"/>
        <v/>
      </c>
      <c r="M63" s="470"/>
      <c r="P63" s="470"/>
    </row>
    <row r="64" spans="1:17" x14ac:dyDescent="0.2">
      <c r="A64" s="221" t="s">
        <v>508</v>
      </c>
      <c r="B64" s="262"/>
      <c r="C64" s="867" t="str">
        <f t="shared" si="6"/>
        <v/>
      </c>
      <c r="E64" s="221" t="s">
        <v>508</v>
      </c>
      <c r="F64" s="257"/>
      <c r="G64" s="867" t="str">
        <f t="shared" si="7"/>
        <v/>
      </c>
      <c r="I64" s="221" t="s">
        <v>508</v>
      </c>
      <c r="J64" s="257"/>
      <c r="K64" s="867" t="str">
        <f t="shared" si="8"/>
        <v/>
      </c>
      <c r="M64" s="84"/>
      <c r="P64" s="84"/>
      <c r="Q64" s="84"/>
    </row>
    <row r="65" spans="1:17" x14ac:dyDescent="0.2">
      <c r="A65" s="1042" t="s">
        <v>504</v>
      </c>
      <c r="B65" s="262"/>
      <c r="C65" s="867" t="str">
        <f t="shared" si="6"/>
        <v/>
      </c>
      <c r="E65" s="1042" t="s">
        <v>504</v>
      </c>
      <c r="F65" s="257"/>
      <c r="G65" s="867" t="str">
        <f t="shared" si="7"/>
        <v/>
      </c>
      <c r="I65" s="1042" t="s">
        <v>504</v>
      </c>
      <c r="J65" s="257"/>
      <c r="K65" s="867" t="str">
        <f t="shared" si="8"/>
        <v/>
      </c>
      <c r="M65" s="470"/>
      <c r="P65" s="84"/>
      <c r="Q65" s="84"/>
    </row>
    <row r="66" spans="1:17" x14ac:dyDescent="0.2">
      <c r="A66" s="511" t="s">
        <v>73</v>
      </c>
      <c r="B66" s="508" t="e">
        <f>ROUND(AVERAGE(B54:B65), 5)</f>
        <v>#DIV/0!</v>
      </c>
      <c r="C66" s="869" t="str">
        <f>IF(C54="","",(AVERAGE(C54:C65)))</f>
        <v/>
      </c>
      <c r="E66" s="511" t="s">
        <v>73</v>
      </c>
      <c r="F66" s="508" t="e">
        <f>ROUND(AVERAGE(F54:F65), 5)</f>
        <v>#DIV/0!</v>
      </c>
      <c r="G66" s="869" t="str">
        <f>IF(G54="","",(AVERAGE(G54:G65)))</f>
        <v/>
      </c>
      <c r="I66" s="511" t="s">
        <v>73</v>
      </c>
      <c r="J66" s="508" t="e">
        <f>ROUND(AVERAGE(J54:J65), 5)</f>
        <v>#DIV/0!</v>
      </c>
      <c r="K66" s="869" t="str">
        <f>IF(K54="","",(AVERAGE(K54:K65)))</f>
        <v/>
      </c>
      <c r="M66" s="84"/>
      <c r="N66" s="84"/>
      <c r="O66" s="84"/>
    </row>
    <row r="67" spans="1:17" ht="13.5" thickBot="1" x14ac:dyDescent="0.25">
      <c r="A67" s="512" t="s">
        <v>74</v>
      </c>
      <c r="B67" s="509"/>
      <c r="C67" s="868" t="str">
        <f>IF(C66="","",(3*(C66)-(0.866*B50)))</f>
        <v/>
      </c>
      <c r="E67" s="512" t="s">
        <v>74</v>
      </c>
      <c r="F67" s="507"/>
      <c r="G67" s="868" t="str">
        <f>IF(G66="","",(3*(G66)-(0.866*F50)))</f>
        <v/>
      </c>
      <c r="I67" s="512" t="s">
        <v>74</v>
      </c>
      <c r="J67" s="507"/>
      <c r="K67" s="868" t="str">
        <f>IF(K66="","",(3*(K66)-(0.866*J50)))</f>
        <v/>
      </c>
      <c r="M67" s="84"/>
      <c r="N67" s="84"/>
      <c r="O67" s="84"/>
    </row>
    <row r="68" spans="1:17" ht="13.5" thickBot="1" x14ac:dyDescent="0.25">
      <c r="A68" s="260"/>
      <c r="B68" s="260"/>
      <c r="C68" s="260"/>
      <c r="E68" s="260"/>
      <c r="F68" s="260"/>
      <c r="G68" s="260"/>
      <c r="I68" s="260"/>
      <c r="J68" s="260"/>
      <c r="K68" s="260"/>
      <c r="M68" s="84"/>
      <c r="N68" s="84"/>
      <c r="O68" s="84"/>
    </row>
    <row r="69" spans="1:17" ht="15.75" thickBot="1" x14ac:dyDescent="0.3">
      <c r="A69" s="948" t="s">
        <v>69</v>
      </c>
      <c r="B69" s="1209"/>
      <c r="C69" s="1210"/>
      <c r="D69" s="952"/>
      <c r="E69" s="948" t="s">
        <v>69</v>
      </c>
      <c r="F69" s="1209"/>
      <c r="G69" s="1210"/>
      <c r="H69" s="952"/>
      <c r="I69" s="948" t="s">
        <v>69</v>
      </c>
      <c r="J69" s="1209"/>
      <c r="K69" s="1210"/>
    </row>
    <row r="70" spans="1:17" x14ac:dyDescent="0.2">
      <c r="A70" s="250" t="s">
        <v>544</v>
      </c>
      <c r="B70" s="1201">
        <v>60</v>
      </c>
      <c r="C70" s="1202"/>
      <c r="E70" s="250" t="s">
        <v>544</v>
      </c>
      <c r="F70" s="1203">
        <v>60</v>
      </c>
      <c r="G70" s="1202"/>
      <c r="I70" s="250" t="s">
        <v>544</v>
      </c>
      <c r="J70" s="1203">
        <v>60</v>
      </c>
      <c r="K70" s="1202"/>
    </row>
    <row r="71" spans="1:17" x14ac:dyDescent="0.2">
      <c r="A71" s="252" t="s">
        <v>122</v>
      </c>
      <c r="B71" s="1213"/>
      <c r="C71" s="1200"/>
      <c r="E71" s="252" t="s">
        <v>122</v>
      </c>
      <c r="F71" s="1199"/>
      <c r="G71" s="1200"/>
      <c r="I71" s="252" t="s">
        <v>122</v>
      </c>
      <c r="J71" s="1199"/>
      <c r="K71" s="1200"/>
    </row>
    <row r="72" spans="1:17" x14ac:dyDescent="0.2">
      <c r="A72" s="186" t="s">
        <v>545</v>
      </c>
      <c r="B72" s="1207" t="str">
        <f>IF(B71="","",IF(B70=60,VLOOKUP(B71,'Thread Wire Nominal Sizes'!$G$3:$H$23,2,FALSE)))</f>
        <v/>
      </c>
      <c r="C72" s="1208"/>
      <c r="E72" s="252" t="s">
        <v>545</v>
      </c>
      <c r="F72" s="1207" t="str">
        <f>IF(F71="","",IF(F70=60,VLOOKUP(F71,'Thread Wire Nominal Sizes'!$G$3:$H$23,2,FALSE)))</f>
        <v/>
      </c>
      <c r="G72" s="1208"/>
      <c r="I72" s="252" t="s">
        <v>545</v>
      </c>
      <c r="J72" s="1207" t="str">
        <f>IF(J71="","",IF(J70=60,VLOOKUP(J71,'Thread Wire Nominal Sizes'!$G$3:$H$23,2,FALSE)))</f>
        <v/>
      </c>
      <c r="K72" s="1208"/>
    </row>
    <row r="73" spans="1:17" ht="13.5" thickBot="1" x14ac:dyDescent="0.25">
      <c r="A73" s="241" t="s">
        <v>546</v>
      </c>
      <c r="B73" s="1211" t="str">
        <f>IF(B71="","",IF(B70=60,VLOOKUP(B71,'Thread Wire Nominal Sizes'!$G$3:$I$23,3,FALSE)))</f>
        <v/>
      </c>
      <c r="C73" s="1212"/>
      <c r="E73" s="253" t="s">
        <v>546</v>
      </c>
      <c r="F73" s="1211" t="str">
        <f>IF(F71="","",IF(F70=60,VLOOKUP(F71,'Thread Wire Nominal Sizes'!$G$3:$I$23,3,FALSE)))</f>
        <v/>
      </c>
      <c r="G73" s="1212"/>
      <c r="I73" s="253" t="s">
        <v>546</v>
      </c>
      <c r="J73" s="1211" t="str">
        <f>IF(J71="","",IF(J70=60,VLOOKUP(J71,'Thread Wire Nominal Sizes'!$G$3:$I$23,3,FALSE)))</f>
        <v/>
      </c>
      <c r="K73" s="1212"/>
    </row>
    <row r="74" spans="1:17" ht="14.25" thickTop="1" thickBot="1" x14ac:dyDescent="0.25">
      <c r="A74" s="260"/>
      <c r="B74" s="261"/>
      <c r="C74" s="256" t="s">
        <v>547</v>
      </c>
      <c r="E74" s="254"/>
      <c r="F74" s="255"/>
      <c r="G74" s="256" t="s">
        <v>547</v>
      </c>
      <c r="I74" s="254"/>
      <c r="J74" s="255"/>
      <c r="K74" s="256" t="s">
        <v>547</v>
      </c>
    </row>
    <row r="75" spans="1:17" x14ac:dyDescent="0.2">
      <c r="A75" s="218" t="s">
        <v>501</v>
      </c>
      <c r="B75" s="262"/>
      <c r="C75" s="867" t="str">
        <f>IF(OR(B75="Missing", B75=""),"",(B75*25.4))</f>
        <v/>
      </c>
      <c r="E75" s="218" t="s">
        <v>501</v>
      </c>
      <c r="F75" s="257"/>
      <c r="G75" s="867" t="str">
        <f>IF(OR(F75="Missing", F75=""),"",(F75*25.4))</f>
        <v/>
      </c>
      <c r="I75" s="218" t="s">
        <v>501</v>
      </c>
      <c r="J75" s="257"/>
      <c r="K75" s="867" t="str">
        <f>IF(OR(J75="Missing", J75=""),"",(J75*25.4))</f>
        <v/>
      </c>
    </row>
    <row r="76" spans="1:17" x14ac:dyDescent="0.2">
      <c r="A76" s="1041" t="s">
        <v>502</v>
      </c>
      <c r="B76" s="262"/>
      <c r="C76" s="867" t="str">
        <f t="shared" ref="C76:C86" si="9">IF(OR(B76="Missing", B76=""),"",(B76*25.4))</f>
        <v/>
      </c>
      <c r="E76" s="1041" t="s">
        <v>502</v>
      </c>
      <c r="F76" s="257"/>
      <c r="G76" s="867" t="str">
        <f t="shared" ref="G76:G86" si="10">IF(OR(F76="Missing", F76=""),"",(F76*25.4))</f>
        <v/>
      </c>
      <c r="I76" s="1041" t="s">
        <v>502</v>
      </c>
      <c r="J76" s="257"/>
      <c r="K76" s="867" t="str">
        <f t="shared" ref="K76:K86" si="11">IF(J76="","",(J76*25.4))</f>
        <v/>
      </c>
    </row>
    <row r="77" spans="1:17" x14ac:dyDescent="0.2">
      <c r="A77" s="221" t="s">
        <v>503</v>
      </c>
      <c r="B77" s="262"/>
      <c r="C77" s="867" t="str">
        <f t="shared" si="9"/>
        <v/>
      </c>
      <c r="E77" s="221" t="s">
        <v>503</v>
      </c>
      <c r="F77" s="257"/>
      <c r="G77" s="867" t="str">
        <f t="shared" si="10"/>
        <v/>
      </c>
      <c r="I77" s="221" t="s">
        <v>503</v>
      </c>
      <c r="J77" s="257"/>
      <c r="K77" s="867" t="str">
        <f t="shared" si="11"/>
        <v/>
      </c>
    </row>
    <row r="78" spans="1:17" x14ac:dyDescent="0.2">
      <c r="A78" s="1042" t="s">
        <v>504</v>
      </c>
      <c r="B78" s="262"/>
      <c r="C78" s="867" t="str">
        <f t="shared" si="9"/>
        <v/>
      </c>
      <c r="E78" s="1042" t="s">
        <v>504</v>
      </c>
      <c r="F78" s="257"/>
      <c r="G78" s="867" t="str">
        <f t="shared" si="10"/>
        <v/>
      </c>
      <c r="I78" s="1042" t="s">
        <v>504</v>
      </c>
      <c r="J78" s="257"/>
      <c r="K78" s="867" t="str">
        <f t="shared" si="11"/>
        <v/>
      </c>
    </row>
    <row r="79" spans="1:17" x14ac:dyDescent="0.2">
      <c r="A79" s="221" t="s">
        <v>505</v>
      </c>
      <c r="B79" s="262"/>
      <c r="C79" s="867" t="str">
        <f t="shared" si="9"/>
        <v/>
      </c>
      <c r="E79" s="221" t="s">
        <v>505</v>
      </c>
      <c r="F79" s="257"/>
      <c r="G79" s="867" t="str">
        <f t="shared" si="10"/>
        <v/>
      </c>
      <c r="I79" s="221" t="s">
        <v>505</v>
      </c>
      <c r="J79" s="257"/>
      <c r="K79" s="867" t="str">
        <f t="shared" si="11"/>
        <v/>
      </c>
    </row>
    <row r="80" spans="1:17" x14ac:dyDescent="0.2">
      <c r="A80" s="1041" t="s">
        <v>502</v>
      </c>
      <c r="B80" s="262"/>
      <c r="C80" s="867" t="str">
        <f t="shared" si="9"/>
        <v/>
      </c>
      <c r="E80" s="1041" t="s">
        <v>502</v>
      </c>
      <c r="F80" s="257"/>
      <c r="G80" s="867" t="str">
        <f t="shared" si="10"/>
        <v/>
      </c>
      <c r="I80" s="1041" t="s">
        <v>502</v>
      </c>
      <c r="J80" s="257"/>
      <c r="K80" s="867" t="str">
        <f t="shared" si="11"/>
        <v/>
      </c>
    </row>
    <row r="81" spans="1:11" x14ac:dyDescent="0.2">
      <c r="A81" s="221" t="s">
        <v>506</v>
      </c>
      <c r="B81" s="262"/>
      <c r="C81" s="867" t="str">
        <f t="shared" si="9"/>
        <v/>
      </c>
      <c r="E81" s="221" t="s">
        <v>506</v>
      </c>
      <c r="F81" s="257"/>
      <c r="G81" s="867" t="str">
        <f t="shared" si="10"/>
        <v/>
      </c>
      <c r="I81" s="221" t="s">
        <v>506</v>
      </c>
      <c r="J81" s="257"/>
      <c r="K81" s="867" t="str">
        <f t="shared" si="11"/>
        <v/>
      </c>
    </row>
    <row r="82" spans="1:11" x14ac:dyDescent="0.2">
      <c r="A82" s="1042" t="s">
        <v>504</v>
      </c>
      <c r="B82" s="262"/>
      <c r="C82" s="867" t="str">
        <f t="shared" si="9"/>
        <v/>
      </c>
      <c r="E82" s="1042" t="s">
        <v>504</v>
      </c>
      <c r="F82" s="257"/>
      <c r="G82" s="867" t="str">
        <f t="shared" si="10"/>
        <v/>
      </c>
      <c r="I82" s="1042" t="s">
        <v>504</v>
      </c>
      <c r="J82" s="257"/>
      <c r="K82" s="867" t="str">
        <f t="shared" si="11"/>
        <v/>
      </c>
    </row>
    <row r="83" spans="1:11" x14ac:dyDescent="0.2">
      <c r="A83" s="221" t="s">
        <v>507</v>
      </c>
      <c r="B83" s="262"/>
      <c r="C83" s="867" t="str">
        <f t="shared" si="9"/>
        <v/>
      </c>
      <c r="E83" s="221" t="s">
        <v>507</v>
      </c>
      <c r="F83" s="257"/>
      <c r="G83" s="867" t="str">
        <f t="shared" si="10"/>
        <v/>
      </c>
      <c r="I83" s="221" t="s">
        <v>507</v>
      </c>
      <c r="J83" s="257"/>
      <c r="K83" s="867" t="str">
        <f t="shared" si="11"/>
        <v/>
      </c>
    </row>
    <row r="84" spans="1:11" x14ac:dyDescent="0.2">
      <c r="A84" s="1041" t="s">
        <v>502</v>
      </c>
      <c r="B84" s="262"/>
      <c r="C84" s="867" t="str">
        <f t="shared" si="9"/>
        <v/>
      </c>
      <c r="E84" s="1041" t="s">
        <v>502</v>
      </c>
      <c r="F84" s="257"/>
      <c r="G84" s="867" t="str">
        <f t="shared" si="10"/>
        <v/>
      </c>
      <c r="I84" s="1041" t="s">
        <v>502</v>
      </c>
      <c r="J84" s="257"/>
      <c r="K84" s="867" t="str">
        <f t="shared" si="11"/>
        <v/>
      </c>
    </row>
    <row r="85" spans="1:11" x14ac:dyDescent="0.2">
      <c r="A85" s="221" t="s">
        <v>508</v>
      </c>
      <c r="B85" s="262"/>
      <c r="C85" s="867" t="str">
        <f t="shared" si="9"/>
        <v/>
      </c>
      <c r="E85" s="221" t="s">
        <v>508</v>
      </c>
      <c r="F85" s="257"/>
      <c r="G85" s="867" t="str">
        <f t="shared" si="10"/>
        <v/>
      </c>
      <c r="I85" s="221" t="s">
        <v>508</v>
      </c>
      <c r="J85" s="257"/>
      <c r="K85" s="867" t="str">
        <f t="shared" si="11"/>
        <v/>
      </c>
    </row>
    <row r="86" spans="1:11" x14ac:dyDescent="0.2">
      <c r="A86" s="1042" t="s">
        <v>504</v>
      </c>
      <c r="B86" s="262"/>
      <c r="C86" s="867" t="str">
        <f t="shared" si="9"/>
        <v/>
      </c>
      <c r="E86" s="1042" t="s">
        <v>504</v>
      </c>
      <c r="F86" s="257"/>
      <c r="G86" s="867" t="str">
        <f t="shared" si="10"/>
        <v/>
      </c>
      <c r="I86" s="1042" t="s">
        <v>504</v>
      </c>
      <c r="J86" s="257"/>
      <c r="K86" s="867" t="str">
        <f t="shared" si="11"/>
        <v/>
      </c>
    </row>
    <row r="87" spans="1:11" x14ac:dyDescent="0.2">
      <c r="A87" s="511" t="s">
        <v>73</v>
      </c>
      <c r="B87" s="508" t="e">
        <f>ROUND(AVERAGE(B75:B86), 5)</f>
        <v>#DIV/0!</v>
      </c>
      <c r="C87" s="869" t="str">
        <f>IF(C75="","",(AVERAGE(C75:C86)))</f>
        <v/>
      </c>
      <c r="E87" s="511" t="s">
        <v>73</v>
      </c>
      <c r="F87" s="510" t="e">
        <f>ROUND(AVERAGE(F75:F86), 5)</f>
        <v>#DIV/0!</v>
      </c>
      <c r="G87" s="869" t="str">
        <f>IF(G75="","",(AVERAGE(G75:G86)))</f>
        <v/>
      </c>
      <c r="I87" s="511" t="s">
        <v>73</v>
      </c>
      <c r="J87" s="508" t="e">
        <f>ROUND(AVERAGE(J75:J86), 5)</f>
        <v>#DIV/0!</v>
      </c>
      <c r="K87" s="869" t="str">
        <f>IF(K75="","",(AVERAGE(K75:K86)))</f>
        <v/>
      </c>
    </row>
    <row r="88" spans="1:11" ht="13.5" thickBot="1" x14ac:dyDescent="0.25">
      <c r="A88" s="512" t="s">
        <v>74</v>
      </c>
      <c r="B88" s="509"/>
      <c r="C88" s="868" t="str">
        <f>IF(C87="","",(3*(C87)-(0.866*B71)))</f>
        <v/>
      </c>
      <c r="E88" s="512" t="s">
        <v>74</v>
      </c>
      <c r="F88" s="507"/>
      <c r="G88" s="868" t="str">
        <f>IF(G87="","",(3*(G87)-(0.866*F71)))</f>
        <v/>
      </c>
      <c r="I88" s="512" t="s">
        <v>74</v>
      </c>
      <c r="J88" s="507"/>
      <c r="K88" s="868" t="str">
        <f>IF(K87="","",(3*(K87)-(0.866*J71)))</f>
        <v/>
      </c>
    </row>
  </sheetData>
  <sheetProtection password="CC48" sheet="1" selectLockedCells="1"/>
  <mergeCells count="75">
    <mergeCell ref="A2:L2"/>
    <mergeCell ref="J51:K51"/>
    <mergeCell ref="F50:G50"/>
    <mergeCell ref="B51:C51"/>
    <mergeCell ref="F51:G51"/>
    <mergeCell ref="F49:G49"/>
    <mergeCell ref="J49:K49"/>
    <mergeCell ref="B50:C50"/>
    <mergeCell ref="B31:C31"/>
    <mergeCell ref="F48:G48"/>
    <mergeCell ref="J48:K48"/>
    <mergeCell ref="B6:C6"/>
    <mergeCell ref="F6:G6"/>
    <mergeCell ref="J6:K6"/>
    <mergeCell ref="B27:C27"/>
    <mergeCell ref="F27:G27"/>
    <mergeCell ref="A4:L4"/>
    <mergeCell ref="A3:L3"/>
    <mergeCell ref="J31:K31"/>
    <mergeCell ref="B29:C29"/>
    <mergeCell ref="F29:G29"/>
    <mergeCell ref="J29:K29"/>
    <mergeCell ref="B7:C7"/>
    <mergeCell ref="F7:G7"/>
    <mergeCell ref="F10:G10"/>
    <mergeCell ref="J27:K27"/>
    <mergeCell ref="J9:K9"/>
    <mergeCell ref="F9:G9"/>
    <mergeCell ref="N51:O51"/>
    <mergeCell ref="N52:O52"/>
    <mergeCell ref="J52:K52"/>
    <mergeCell ref="B72:C72"/>
    <mergeCell ref="F72:G72"/>
    <mergeCell ref="J72:K72"/>
    <mergeCell ref="B52:C52"/>
    <mergeCell ref="F52:G52"/>
    <mergeCell ref="B71:C71"/>
    <mergeCell ref="B69:C69"/>
    <mergeCell ref="F69:G69"/>
    <mergeCell ref="J69:K69"/>
    <mergeCell ref="F71:G71"/>
    <mergeCell ref="B73:C73"/>
    <mergeCell ref="F73:G73"/>
    <mergeCell ref="J73:K73"/>
    <mergeCell ref="B70:C70"/>
    <mergeCell ref="F70:G70"/>
    <mergeCell ref="J71:K71"/>
    <mergeCell ref="J70:K70"/>
    <mergeCell ref="J50:K50"/>
    <mergeCell ref="N50:O50"/>
    <mergeCell ref="B49:C49"/>
    <mergeCell ref="N49:O49"/>
    <mergeCell ref="N29:O29"/>
    <mergeCell ref="B30:C30"/>
    <mergeCell ref="F30:G30"/>
    <mergeCell ref="J30:K30"/>
    <mergeCell ref="N30:O30"/>
    <mergeCell ref="B48:C48"/>
    <mergeCell ref="F31:G31"/>
    <mergeCell ref="N9:O9"/>
    <mergeCell ref="N10:O10"/>
    <mergeCell ref="J7:K7"/>
    <mergeCell ref="N31:O31"/>
    <mergeCell ref="B8:C8"/>
    <mergeCell ref="F8:G8"/>
    <mergeCell ref="B28:C28"/>
    <mergeCell ref="F28:G28"/>
    <mergeCell ref="J28:K28"/>
    <mergeCell ref="N28:O28"/>
    <mergeCell ref="B10:C10"/>
    <mergeCell ref="J10:K10"/>
    <mergeCell ref="N7:O7"/>
    <mergeCell ref="J8:K8"/>
    <mergeCell ref="N8:O8"/>
    <mergeCell ref="B9:C9"/>
  </mergeCells>
  <phoneticPr fontId="13" type="noConversion"/>
  <conditionalFormatting sqref="Q43 Q64">
    <cfRule type="cellIs" dxfId="87" priority="23" stopIfTrue="1" operator="greaterThan">
      <formula>Q30+0.00002</formula>
    </cfRule>
    <cfRule type="cellIs" dxfId="86" priority="24" stopIfTrue="1" operator="lessThan">
      <formula>Q30-0.00002</formula>
    </cfRule>
  </conditionalFormatting>
  <conditionalFormatting sqref="N24:O24 N66:O66 N45:O45">
    <cfRule type="cellIs" dxfId="85" priority="25" stopIfTrue="1" operator="greaterThan">
      <formula>N9+0.00002</formula>
    </cfRule>
    <cfRule type="cellIs" dxfId="84" priority="26" stopIfTrue="1" operator="lessThan">
      <formula>N9-0.00002</formula>
    </cfRule>
  </conditionalFormatting>
  <conditionalFormatting sqref="Q24 B24 F24 J24 B45 F45 J45 B66 F66 J66 B87 F87 J87">
    <cfRule type="cellIs" dxfId="83" priority="27" stopIfTrue="1" operator="greaterThan">
      <formula>B10+0.00002</formula>
    </cfRule>
    <cfRule type="cellIs" dxfId="82" priority="28" stopIfTrue="1" operator="lessThan">
      <formula>B10-0.00002</formula>
    </cfRule>
  </conditionalFormatting>
  <conditionalFormatting sqref="C45">
    <cfRule type="cellIs" dxfId="81" priority="29" stopIfTrue="1" operator="greaterThan">
      <formula>B30+0.00051</formula>
    </cfRule>
    <cfRule type="cellIs" dxfId="80" priority="30" stopIfTrue="1" operator="lessThan">
      <formula>B30-0.00051</formula>
    </cfRule>
  </conditionalFormatting>
  <conditionalFormatting sqref="C24">
    <cfRule type="cellIs" dxfId="79" priority="21" stopIfTrue="1" operator="greaterThan">
      <formula>B9+0.00051</formula>
    </cfRule>
    <cfRule type="cellIs" dxfId="78" priority="22" stopIfTrue="1" operator="lessThan">
      <formula>B9-0.00051</formula>
    </cfRule>
  </conditionalFormatting>
  <conditionalFormatting sqref="G24">
    <cfRule type="cellIs" dxfId="77" priority="19" stopIfTrue="1" operator="greaterThan">
      <formula>F9+0.00051</formula>
    </cfRule>
    <cfRule type="cellIs" dxfId="76" priority="20" stopIfTrue="1" operator="lessThan">
      <formula>F9-0.00051</formula>
    </cfRule>
  </conditionalFormatting>
  <conditionalFormatting sqref="G45">
    <cfRule type="cellIs" dxfId="75" priority="17" stopIfTrue="1" operator="greaterThan">
      <formula>F30+0.00051</formula>
    </cfRule>
    <cfRule type="cellIs" dxfId="74" priority="18" stopIfTrue="1" operator="lessThan">
      <formula>F30-0.00051</formula>
    </cfRule>
  </conditionalFormatting>
  <conditionalFormatting sqref="K45">
    <cfRule type="cellIs" dxfId="73" priority="15" stopIfTrue="1" operator="greaterThan">
      <formula>J30+0.00051</formula>
    </cfRule>
    <cfRule type="cellIs" dxfId="72" priority="16" stopIfTrue="1" operator="lessThan">
      <formula>J30-0.00051</formula>
    </cfRule>
  </conditionalFormatting>
  <conditionalFormatting sqref="K66">
    <cfRule type="cellIs" dxfId="71" priority="13" stopIfTrue="1" operator="greaterThan">
      <formula>J51+0.00051</formula>
    </cfRule>
    <cfRule type="cellIs" dxfId="70" priority="14" stopIfTrue="1" operator="lessThan">
      <formula>J51-0.00051</formula>
    </cfRule>
  </conditionalFormatting>
  <conditionalFormatting sqref="G66">
    <cfRule type="cellIs" dxfId="69" priority="11" stopIfTrue="1" operator="greaterThan">
      <formula>F51+0.00051</formula>
    </cfRule>
    <cfRule type="cellIs" dxfId="68" priority="12" stopIfTrue="1" operator="lessThan">
      <formula>F51-0.00051</formula>
    </cfRule>
  </conditionalFormatting>
  <conditionalFormatting sqref="C66">
    <cfRule type="cellIs" dxfId="67" priority="9" stopIfTrue="1" operator="greaterThan">
      <formula>B51+0.00051</formula>
    </cfRule>
    <cfRule type="cellIs" dxfId="66" priority="10" stopIfTrue="1" operator="lessThan">
      <formula>B51-0.00051</formula>
    </cfRule>
  </conditionalFormatting>
  <conditionalFormatting sqref="C87">
    <cfRule type="cellIs" dxfId="65" priority="7" stopIfTrue="1" operator="greaterThan">
      <formula>B72+0.00051</formula>
    </cfRule>
    <cfRule type="cellIs" dxfId="64" priority="8" stopIfTrue="1" operator="lessThan">
      <formula>B72-0.00051</formula>
    </cfRule>
  </conditionalFormatting>
  <conditionalFormatting sqref="G87">
    <cfRule type="cellIs" dxfId="63" priority="5" stopIfTrue="1" operator="greaterThan">
      <formula>F72+0.00051</formula>
    </cfRule>
    <cfRule type="cellIs" dxfId="62" priority="6" stopIfTrue="1" operator="lessThan">
      <formula>F72-0.00051</formula>
    </cfRule>
  </conditionalFormatting>
  <conditionalFormatting sqref="K87">
    <cfRule type="cellIs" dxfId="61" priority="3" stopIfTrue="1" operator="greaterThan">
      <formula>J72+0.00051</formula>
    </cfRule>
    <cfRule type="cellIs" dxfId="60" priority="4" stopIfTrue="1" operator="lessThan">
      <formula>J72-0.00051</formula>
    </cfRule>
  </conditionalFormatting>
  <conditionalFormatting sqref="K24">
    <cfRule type="cellIs" dxfId="59" priority="1" stopIfTrue="1" operator="greaterThan">
      <formula>J9+0.00051</formula>
    </cfRule>
    <cfRule type="cellIs" dxfId="58" priority="2" stopIfTrue="1" operator="lessThan">
      <formula>J9-0.00051</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9" r:id="rId4" name="Button 3">
              <controlPr defaultSize="0" print="0" autoFill="0" autoPict="0" macro="[0]!ReturnToMain">
                <anchor moveWithCells="1" sizeWithCells="1">
                  <from>
                    <xdr:col>0</xdr:col>
                    <xdr:colOff>19050</xdr:colOff>
                    <xdr:row>0</xdr:row>
                    <xdr:rowOff>19050</xdr:rowOff>
                  </from>
                  <to>
                    <xdr:col>1</xdr:col>
                    <xdr:colOff>38100</xdr:colOff>
                    <xdr:row>0</xdr:row>
                    <xdr:rowOff>161925</xdr:rowOff>
                  </to>
                </anchor>
              </controlPr>
            </control>
          </mc:Choice>
        </mc:AlternateContent>
        <mc:AlternateContent xmlns:mc="http://schemas.openxmlformats.org/markup-compatibility/2006">
          <mc:Choice Requires="x14">
            <control shapeId="24581" r:id="rId5" name="Button 5">
              <controlPr defaultSize="0" print="0" autoFill="0" autoPict="0" macro="[0]!ThreadWireNominals">
                <anchor moveWithCells="1" sizeWithCells="1">
                  <from>
                    <xdr:col>1</xdr:col>
                    <xdr:colOff>66675</xdr:colOff>
                    <xdr:row>0</xdr:row>
                    <xdr:rowOff>19050</xdr:rowOff>
                  </from>
                  <to>
                    <xdr:col>4</xdr:col>
                    <xdr:colOff>114300</xdr:colOff>
                    <xdr:row>0</xdr:row>
                    <xdr:rowOff>161925</xdr:rowOff>
                  </to>
                </anchor>
              </controlPr>
            </control>
          </mc:Choice>
        </mc:AlternateContent>
        <mc:AlternateContent xmlns:mc="http://schemas.openxmlformats.org/markup-compatibility/2006">
          <mc:Choice Requires="x14">
            <control shapeId="24582" r:id="rId6" name="Button 6">
              <controlPr locked="0" defaultSize="0" print="0" autoFill="0" autoPict="0" macro="[0]!MetricWiresClearContents2">
                <anchor moveWithCells="1" sizeWithCells="1">
                  <from>
                    <xdr:col>4</xdr:col>
                    <xdr:colOff>142875</xdr:colOff>
                    <xdr:row>0</xdr:row>
                    <xdr:rowOff>19050</xdr:rowOff>
                  </from>
                  <to>
                    <xdr:col>5</xdr:col>
                    <xdr:colOff>85725</xdr:colOff>
                    <xdr:row>0</xdr:row>
                    <xdr:rowOff>152400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0">
    <tabColor rgb="FF009999"/>
  </sheetPr>
  <dimension ref="B1:G45"/>
  <sheetViews>
    <sheetView workbookViewId="0">
      <selection activeCell="D3" sqref="D3"/>
    </sheetView>
  </sheetViews>
  <sheetFormatPr defaultRowHeight="12.75" x14ac:dyDescent="0.2"/>
  <cols>
    <col min="1" max="1" width="6.140625" customWidth="1"/>
    <col min="2" max="2" width="13.5703125" customWidth="1"/>
    <col min="3" max="3" width="11.5703125" customWidth="1"/>
    <col min="4" max="4" width="16" bestFit="1" customWidth="1"/>
    <col min="5" max="5" width="19.42578125" bestFit="1" customWidth="1"/>
    <col min="6" max="6" width="17" bestFit="1" customWidth="1"/>
    <col min="7" max="7" width="16.7109375" customWidth="1"/>
  </cols>
  <sheetData>
    <row r="1" spans="2:7" ht="15.75" x14ac:dyDescent="0.25">
      <c r="B1" s="922"/>
      <c r="C1" s="1126" t="s">
        <v>530</v>
      </c>
      <c r="D1" s="1126"/>
      <c r="E1" s="1126"/>
      <c r="F1" s="945" t="s">
        <v>548</v>
      </c>
    </row>
    <row r="2" spans="2:7" ht="22.5" customHeight="1" thickBot="1" x14ac:dyDescent="0.3">
      <c r="B2" s="922"/>
      <c r="C2" s="1194" t="s">
        <v>531</v>
      </c>
      <c r="D2" s="1194"/>
      <c r="E2" s="1194"/>
      <c r="F2" s="939">
        <v>65636</v>
      </c>
      <c r="G2" s="943"/>
    </row>
    <row r="3" spans="2:7" ht="24.75" customHeight="1" thickBot="1" x14ac:dyDescent="0.3">
      <c r="B3" s="932" t="s">
        <v>532</v>
      </c>
      <c r="C3" s="933"/>
      <c r="D3" s="942" t="s">
        <v>543</v>
      </c>
      <c r="E3" s="929" t="s">
        <v>533</v>
      </c>
      <c r="F3" s="934"/>
      <c r="G3" s="944"/>
    </row>
    <row r="4" spans="2:7" ht="15" x14ac:dyDescent="0.25">
      <c r="B4" s="922"/>
      <c r="C4" s="922"/>
      <c r="D4" s="931"/>
      <c r="E4" s="923"/>
      <c r="F4" s="923"/>
      <c r="G4" s="923"/>
    </row>
    <row r="5" spans="2:7" ht="16.5" thickBot="1" x14ac:dyDescent="0.3">
      <c r="B5" s="929" t="s">
        <v>534</v>
      </c>
      <c r="C5" s="941">
        <v>68.7</v>
      </c>
      <c r="D5" s="931"/>
      <c r="E5" s="929" t="s">
        <v>535</v>
      </c>
      <c r="F5" s="940">
        <v>0.47</v>
      </c>
      <c r="G5" s="923"/>
    </row>
    <row r="6" spans="2:7" ht="15" x14ac:dyDescent="0.25">
      <c r="D6" s="931"/>
      <c r="E6" s="923"/>
      <c r="F6" s="923"/>
      <c r="G6" s="923"/>
    </row>
    <row r="7" spans="2:7" ht="15.75" thickBot="1" x14ac:dyDescent="0.3">
      <c r="B7" s="925" t="s">
        <v>536</v>
      </c>
      <c r="C7" s="926" t="s">
        <v>122</v>
      </c>
      <c r="D7" s="926" t="s">
        <v>537</v>
      </c>
      <c r="E7" s="926" t="s">
        <v>437</v>
      </c>
      <c r="F7" s="936" t="s">
        <v>433</v>
      </c>
      <c r="G7" s="926" t="s">
        <v>538</v>
      </c>
    </row>
    <row r="8" spans="2:7" ht="15" x14ac:dyDescent="0.25">
      <c r="B8" s="924" t="str">
        <f>IF('Metric Thread Wires'!B6:C6="","",'Metric Thread Wires'!B6:C6)</f>
        <v>6-0350</v>
      </c>
      <c r="C8" s="924">
        <f>IF('Metric Thread Wires'!B8="","",'Metric Thread Wires'!B8)</f>
        <v>1.5</v>
      </c>
      <c r="D8" s="955">
        <f>IF(OR('Metric Thread Wires'!B9="",'Metric Thread Wires'!B12="Missing"),"",'Metric Thread Wires'!B9)</f>
        <v>0.86602500000000004</v>
      </c>
      <c r="E8" s="955">
        <f>IF(OR('Metric Thread Wires'!B12="Missing", 'Metric Thread Wires'!B12=""),"",'Metric Thread Wires'!C24)</f>
        <v>0.86605533333333318</v>
      </c>
      <c r="F8" s="955">
        <f>IF('Metric Thread Wires'!C25="","",'Metric Thread Wires'!C25)</f>
        <v>1.2991659999999996</v>
      </c>
      <c r="G8" s="32"/>
    </row>
    <row r="9" spans="2:7" ht="15" x14ac:dyDescent="0.25">
      <c r="B9" s="924" t="str">
        <f>IF('Metric Thread Wires'!F6="","",'Metric Thread Wires'!F6)</f>
        <v/>
      </c>
      <c r="C9" s="924" t="str">
        <f>IF('Metric Thread Wires'!F8="","",'Metric Thread Wires'!F8)</f>
        <v/>
      </c>
      <c r="D9" s="955" t="str">
        <f>IF('Metric Thread Wires'!F9="","",'Metric Thread Wires'!F9)</f>
        <v/>
      </c>
      <c r="E9" s="955" t="str">
        <f>IF(OR('Metric Thread Wires'!F12="Missing", 'Metric Thread Wires'!F12=""),"",'Metric Thread Wires'!G24)</f>
        <v/>
      </c>
      <c r="F9" s="955" t="str">
        <f>IF('Metric Thread Wires'!G25="","",'Metric Thread Wires'!G25)</f>
        <v/>
      </c>
      <c r="G9" s="2"/>
    </row>
    <row r="10" spans="2:7" ht="15" x14ac:dyDescent="0.25">
      <c r="B10" s="924" t="str">
        <f>IF('Metric Thread Wires'!J6="","",'Metric Thread Wires'!J6)</f>
        <v/>
      </c>
      <c r="C10" s="924" t="str">
        <f>IF('Metric Thread Wires'!J8="","",'Metric Thread Wires'!J8)</f>
        <v/>
      </c>
      <c r="D10" s="955" t="str">
        <f>IF('Metric Thread Wires'!J9="","",'Metric Thread Wires'!J9)</f>
        <v/>
      </c>
      <c r="E10" s="955" t="str">
        <f>IF(OR('Metric Thread Wires'!J12="Missing", 'Metric Thread Wires'!J12=""),"",'Metric Thread Wires'!K24)</f>
        <v/>
      </c>
      <c r="F10" s="955" t="str">
        <f>IF('Metric Thread Wires'!K25="","",'Metric Thread Wires'!K25)</f>
        <v/>
      </c>
      <c r="G10" s="2"/>
    </row>
    <row r="11" spans="2:7" ht="15" x14ac:dyDescent="0.25">
      <c r="B11" s="924" t="str">
        <f>IF('Metric Thread Wires'!B27:C27="","",'Metric Thread Wires'!B27:C27)</f>
        <v/>
      </c>
      <c r="C11" s="924" t="str">
        <f>IF('Metric Thread Wires'!B29="","",'Metric Thread Wires'!B29)</f>
        <v/>
      </c>
      <c r="D11" s="955" t="str">
        <f>IF('Metric Thread Wires'!B30="","",'Metric Thread Wires'!B30)</f>
        <v/>
      </c>
      <c r="E11" s="955" t="str">
        <f>IF(OR('Metric Thread Wires'!B33="Missing", 'Metric Thread Wires'!B33=""),"",'Metric Thread Wires'!C45)</f>
        <v/>
      </c>
      <c r="F11" s="955" t="str">
        <f>IF('Metric Thread Wires'!C46="","",'Metric Thread Wires'!C46)</f>
        <v/>
      </c>
      <c r="G11" s="2"/>
    </row>
    <row r="12" spans="2:7" ht="15" x14ac:dyDescent="0.25">
      <c r="B12" s="924" t="str">
        <f>IF('Metric Thread Wires'!F27="","",'Metric Thread Wires'!F27)</f>
        <v/>
      </c>
      <c r="C12" s="924" t="str">
        <f>IF('Metric Thread Wires'!F29="","",'Metric Thread Wires'!F29)</f>
        <v/>
      </c>
      <c r="D12" s="955" t="str">
        <f>IF('Metric Thread Wires'!F30="","",'Metric Thread Wires'!F30)</f>
        <v/>
      </c>
      <c r="E12" s="955" t="str">
        <f>IF(OR('Metric Thread Wires'!F33="Missing", 'Metric Thread Wires'!F33=""),"",'Metric Thread Wires'!G45)</f>
        <v/>
      </c>
      <c r="F12" s="955" t="str">
        <f>IF('Metric Thread Wires'!G46="","",'Metric Thread Wires'!G46)</f>
        <v/>
      </c>
      <c r="G12" s="2"/>
    </row>
    <row r="13" spans="2:7" ht="15" x14ac:dyDescent="0.25">
      <c r="B13" s="924" t="str">
        <f>IF('Metric Thread Wires'!J27="","",'Metric Thread Wires'!J27)</f>
        <v/>
      </c>
      <c r="C13" s="924" t="str">
        <f>IF('Metric Thread Wires'!J29="","",'Metric Thread Wires'!J29)</f>
        <v/>
      </c>
      <c r="D13" s="955" t="str">
        <f>IF('Metric Thread Wires'!J30="","",'Metric Thread Wires'!J30)</f>
        <v/>
      </c>
      <c r="E13" s="955" t="str">
        <f>IF(OR('Metric Thread Wires'!J33="Missing", 'Metric Thread Wires'!J33=""),"",'Metric Thread Wires'!K45)</f>
        <v/>
      </c>
      <c r="F13" s="955" t="str">
        <f>IF('Metric Thread Wires'!K46="","",'Metric Thread Wires'!K46)</f>
        <v/>
      </c>
      <c r="G13" s="2"/>
    </row>
    <row r="14" spans="2:7" ht="15" x14ac:dyDescent="0.25">
      <c r="B14" s="924" t="str">
        <f>IF('Metric Thread Wires'!B48="","",'Metric Thread Wires'!B48)</f>
        <v/>
      </c>
      <c r="C14" s="924" t="str">
        <f>IF('Metric Thread Wires'!B50="","",'Metric Thread Wires'!B50)</f>
        <v/>
      </c>
      <c r="D14" s="955" t="str">
        <f>IF('Metric Thread Wires'!B51="","",'Metric Thread Wires'!B51)</f>
        <v/>
      </c>
      <c r="E14" s="955" t="str">
        <f>IF(OR('Metric Thread Wires'!B54="Missing", 'Metric Thread Wires'!B54=""),"",'Metric Thread Wires'!C66)</f>
        <v/>
      </c>
      <c r="F14" s="955" t="str">
        <f>IF('Metric Thread Wires'!C67="","",'Metric Thread Wires'!C67)</f>
        <v/>
      </c>
      <c r="G14" s="2"/>
    </row>
    <row r="15" spans="2:7" ht="15" x14ac:dyDescent="0.25">
      <c r="B15" s="924" t="str">
        <f>IF('Metric Thread Wires'!F48="","",'Metric Thread Wires'!F48)</f>
        <v/>
      </c>
      <c r="C15" s="924" t="str">
        <f>IF('Metric Thread Wires'!F50="","",'Metric Thread Wires'!F50)</f>
        <v/>
      </c>
      <c r="D15" s="955" t="str">
        <f>IF('Metric Thread Wires'!F51="","",'Metric Thread Wires'!F51)</f>
        <v/>
      </c>
      <c r="E15" s="955" t="str">
        <f>IF(OR('Metric Thread Wires'!F54="Missing", 'Metric Thread Wires'!F54=""),"",'Metric Thread Wires'!G66)</f>
        <v/>
      </c>
      <c r="F15" s="955" t="str">
        <f>IF('Metric Thread Wires'!G67="","",'Metric Thread Wires'!G67)</f>
        <v/>
      </c>
      <c r="G15" s="2"/>
    </row>
    <row r="16" spans="2:7" ht="15" x14ac:dyDescent="0.25">
      <c r="B16" s="924" t="str">
        <f>IF('Metric Thread Wires'!J48="","",'Metric Thread Wires'!J48)</f>
        <v/>
      </c>
      <c r="C16" s="924" t="str">
        <f>IF('Metric Thread Wires'!J50="","",'Metric Thread Wires'!J50)</f>
        <v/>
      </c>
      <c r="D16" s="955" t="str">
        <f>IF('Metric Thread Wires'!J51="","",'Metric Thread Wires'!J51)</f>
        <v/>
      </c>
      <c r="E16" s="955" t="str">
        <f>IF(OR('Metric Thread Wires'!J54="Missing", 'Metric Thread Wires'!J54=""),"",'Metric Thread Wires'!K66)</f>
        <v/>
      </c>
      <c r="F16" s="955" t="str">
        <f>IF('Metric Thread Wires'!K67="","",'Metric Thread Wires'!K67)</f>
        <v/>
      </c>
      <c r="G16" s="2"/>
    </row>
    <row r="17" spans="2:7" ht="15" x14ac:dyDescent="0.25">
      <c r="B17" s="924" t="str">
        <f>IF('Metric Thread Wires'!B69="","",'Metric Thread Wires'!B69)</f>
        <v/>
      </c>
      <c r="C17" s="924" t="str">
        <f>IF('Metric Thread Wires'!B71="","",'Metric Thread Wires'!B71)</f>
        <v/>
      </c>
      <c r="D17" s="955" t="str">
        <f>IF('Metric Thread Wires'!B72="","",'Metric Thread Wires'!B72)</f>
        <v/>
      </c>
      <c r="E17" s="955" t="str">
        <f>IF(OR('Metric Thread Wires'!B75="Missing", 'Metric Thread Wires'!B75=""),"",'Metric Thread Wires'!C87)</f>
        <v/>
      </c>
      <c r="F17" s="955" t="str">
        <f>IF('Metric Thread Wires'!C88="","",'Metric Thread Wires'!C88)</f>
        <v/>
      </c>
      <c r="G17" s="2"/>
    </row>
    <row r="18" spans="2:7" ht="15" x14ac:dyDescent="0.25">
      <c r="B18" s="924" t="str">
        <f>IF('Metric Thread Wires'!F69="","",'Metric Thread Wires'!F69)</f>
        <v/>
      </c>
      <c r="C18" s="924" t="str">
        <f>IF('Metric Thread Wires'!F71="","",'Metric Thread Wires'!F71)</f>
        <v/>
      </c>
      <c r="D18" s="955" t="str">
        <f>IF('Metric Thread Wires'!F72="","",'Metric Thread Wires'!F72)</f>
        <v/>
      </c>
      <c r="E18" s="955" t="str">
        <f>IF(OR('Metric Thread Wires'!F75="Missing", 'Metric Thread Wires'!F75=""),"",'Metric Thread Wires'!G87)</f>
        <v/>
      </c>
      <c r="F18" s="955" t="str">
        <f>IF('Metric Thread Wires'!G88="","",'Metric Thread Wires'!G88)</f>
        <v/>
      </c>
      <c r="G18" s="2"/>
    </row>
    <row r="19" spans="2:7" ht="15" x14ac:dyDescent="0.25">
      <c r="B19" s="924" t="str">
        <f>IF('Metric Thread Wires'!J69="","",'Metric Thread Wires'!J69)</f>
        <v/>
      </c>
      <c r="C19" s="924" t="str">
        <f>IF('Metric Thread Wires'!J71="","",'Metric Thread Wires'!J71)</f>
        <v/>
      </c>
      <c r="D19" s="955" t="str">
        <f>IF('Metric Thread Wires'!J72="","",'Metric Thread Wires'!J72)</f>
        <v/>
      </c>
      <c r="E19" s="955" t="str">
        <f>IF(OR('Metric Thread Wires'!J75="Missing", 'Metric Thread Wires'!J75=""),"",'Metric Thread Wires'!G87)</f>
        <v/>
      </c>
      <c r="F19" s="955" t="str">
        <f>IF('Metric Thread Wires'!K88="","",'Metric Thread Wires'!K88)</f>
        <v/>
      </c>
      <c r="G19" s="2"/>
    </row>
    <row r="20" spans="2:7" ht="15" x14ac:dyDescent="0.25">
      <c r="B20" s="924"/>
      <c r="C20" s="924"/>
      <c r="D20" s="955"/>
      <c r="E20" s="955"/>
      <c r="F20" s="955"/>
      <c r="G20" s="2"/>
    </row>
    <row r="21" spans="2:7" ht="15" x14ac:dyDescent="0.25">
      <c r="B21" s="924"/>
      <c r="C21" s="924"/>
      <c r="D21" s="930"/>
      <c r="E21" s="930"/>
      <c r="F21" s="930"/>
      <c r="G21" s="2"/>
    </row>
    <row r="22" spans="2:7" ht="15" x14ac:dyDescent="0.25">
      <c r="B22" s="924"/>
      <c r="C22" s="924"/>
      <c r="D22" s="930"/>
      <c r="E22" s="930"/>
      <c r="F22" s="930"/>
      <c r="G22" s="2"/>
    </row>
    <row r="23" spans="2:7" ht="15" x14ac:dyDescent="0.25">
      <c r="B23" s="924"/>
      <c r="C23" s="924"/>
      <c r="D23" s="930"/>
      <c r="E23" s="930"/>
      <c r="F23" s="930"/>
      <c r="G23" s="2"/>
    </row>
    <row r="24" spans="2:7" ht="15" x14ac:dyDescent="0.25">
      <c r="B24" s="924"/>
      <c r="C24" s="924"/>
      <c r="D24" s="930"/>
      <c r="E24" s="930"/>
      <c r="F24" s="930"/>
      <c r="G24" s="2"/>
    </row>
    <row r="25" spans="2:7" ht="15" x14ac:dyDescent="0.25">
      <c r="B25" s="924"/>
      <c r="C25" s="924"/>
      <c r="D25" s="930"/>
      <c r="E25" s="930"/>
      <c r="F25" s="930"/>
      <c r="G25" s="2"/>
    </row>
    <row r="26" spans="2:7" ht="15" x14ac:dyDescent="0.25">
      <c r="B26" s="924"/>
      <c r="C26" s="924"/>
      <c r="D26" s="930"/>
      <c r="E26" s="930"/>
      <c r="F26" s="930"/>
      <c r="G26" s="2"/>
    </row>
    <row r="27" spans="2:7" ht="15" x14ac:dyDescent="0.25">
      <c r="B27" s="924"/>
      <c r="C27" s="924"/>
      <c r="D27" s="930"/>
      <c r="E27" s="930"/>
      <c r="F27" s="930"/>
      <c r="G27" s="2"/>
    </row>
    <row r="28" spans="2:7" ht="15" x14ac:dyDescent="0.25">
      <c r="B28" s="924"/>
      <c r="C28" s="924"/>
      <c r="D28" s="930"/>
      <c r="E28" s="930"/>
      <c r="F28" s="930"/>
      <c r="G28" s="2"/>
    </row>
    <row r="29" spans="2:7" ht="15" x14ac:dyDescent="0.25">
      <c r="B29" s="924"/>
      <c r="C29" s="924"/>
      <c r="D29" s="930"/>
      <c r="E29" s="930"/>
      <c r="F29" s="930"/>
      <c r="G29" s="2"/>
    </row>
    <row r="30" spans="2:7" ht="15" x14ac:dyDescent="0.25">
      <c r="B30" s="924"/>
      <c r="C30" s="924"/>
      <c r="D30" s="930"/>
      <c r="E30" s="930"/>
      <c r="F30" s="930"/>
      <c r="G30" s="2"/>
    </row>
    <row r="31" spans="2:7" ht="15" x14ac:dyDescent="0.25">
      <c r="B31" s="924"/>
      <c r="C31" s="924"/>
      <c r="D31" s="930"/>
      <c r="E31" s="930"/>
      <c r="F31" s="930"/>
      <c r="G31" s="2"/>
    </row>
    <row r="32" spans="2:7" ht="15" x14ac:dyDescent="0.25">
      <c r="B32" s="924"/>
      <c r="C32" s="924"/>
      <c r="D32" s="930"/>
      <c r="E32" s="930"/>
      <c r="F32" s="930"/>
      <c r="G32" s="938"/>
    </row>
    <row r="33" spans="2:7" ht="15" x14ac:dyDescent="0.25">
      <c r="B33" s="924"/>
      <c r="C33" s="924"/>
      <c r="D33" s="930"/>
      <c r="E33" s="930"/>
      <c r="F33" s="930"/>
      <c r="G33" s="938"/>
    </row>
    <row r="34" spans="2:7" ht="15" x14ac:dyDescent="0.25">
      <c r="B34" s="924"/>
      <c r="C34" s="924"/>
      <c r="D34" s="930"/>
      <c r="E34" s="930"/>
      <c r="F34" s="930"/>
      <c r="G34" s="938"/>
    </row>
    <row r="35" spans="2:7" ht="15" x14ac:dyDescent="0.25">
      <c r="B35" s="924"/>
      <c r="C35" s="924"/>
      <c r="D35" s="930"/>
      <c r="E35" s="930"/>
      <c r="F35" s="930"/>
      <c r="G35" s="938"/>
    </row>
    <row r="36" spans="2:7" ht="15" x14ac:dyDescent="0.25">
      <c r="B36" s="924"/>
      <c r="C36" s="924"/>
      <c r="D36" s="930"/>
      <c r="E36" s="930"/>
      <c r="F36" s="930"/>
      <c r="G36" s="2"/>
    </row>
    <row r="37" spans="2:7" ht="15" x14ac:dyDescent="0.25">
      <c r="B37" s="924"/>
      <c r="C37" s="924"/>
      <c r="D37" s="930"/>
      <c r="E37" s="930"/>
      <c r="F37" s="930"/>
      <c r="G37" s="2"/>
    </row>
    <row r="38" spans="2:7" ht="15" x14ac:dyDescent="0.25">
      <c r="B38" s="924"/>
      <c r="C38" s="924"/>
      <c r="D38" s="930"/>
      <c r="E38" s="930"/>
      <c r="F38" s="930"/>
      <c r="G38" s="2"/>
    </row>
    <row r="39" spans="2:7" ht="15" x14ac:dyDescent="0.25">
      <c r="B39" s="924"/>
      <c r="C39" s="924"/>
      <c r="D39" s="930"/>
      <c r="E39" s="930"/>
      <c r="F39" s="930"/>
      <c r="G39" s="2"/>
    </row>
    <row r="40" spans="2:7" ht="15" x14ac:dyDescent="0.25">
      <c r="B40" s="924"/>
      <c r="C40" s="41"/>
      <c r="D40" s="41"/>
      <c r="E40" s="41"/>
      <c r="F40" s="935"/>
      <c r="G40" s="2"/>
    </row>
    <row r="41" spans="2:7" ht="15" x14ac:dyDescent="0.25">
      <c r="B41" s="924"/>
      <c r="C41" s="41"/>
      <c r="D41" s="41"/>
      <c r="E41" s="41"/>
      <c r="F41" s="935"/>
      <c r="G41" s="2"/>
    </row>
    <row r="42" spans="2:7" ht="15" x14ac:dyDescent="0.25">
      <c r="B42" s="924"/>
      <c r="C42" s="41"/>
      <c r="D42" s="41"/>
      <c r="E42" s="41"/>
      <c r="F42" s="935"/>
      <c r="G42" s="2"/>
    </row>
    <row r="43" spans="2:7" ht="15" x14ac:dyDescent="0.25">
      <c r="B43" s="924"/>
      <c r="C43" s="41"/>
      <c r="D43" s="41"/>
      <c r="E43" s="41"/>
      <c r="F43" s="935"/>
      <c r="G43" s="2"/>
    </row>
    <row r="44" spans="2:7" ht="15" x14ac:dyDescent="0.25">
      <c r="B44" s="924"/>
      <c r="C44" s="41"/>
      <c r="D44" s="41"/>
      <c r="E44" s="41"/>
      <c r="F44" s="935"/>
      <c r="G44" s="2"/>
    </row>
    <row r="45" spans="2:7" ht="15" x14ac:dyDescent="0.25">
      <c r="B45" s="924"/>
      <c r="C45" s="41"/>
      <c r="D45" s="41"/>
      <c r="E45" s="41"/>
      <c r="F45" s="935"/>
      <c r="G45" s="2"/>
    </row>
  </sheetData>
  <sheetProtection password="CC48" sheet="1"/>
  <mergeCells count="2">
    <mergeCell ref="C1:E1"/>
    <mergeCell ref="C2:E2"/>
  </mergeCells>
  <pageMargins left="0.7" right="0.7" top="0.75" bottom="0.75" header="0.3" footer="0.3"/>
  <pageSetup scale="92" orientation="portrait" horizontalDpi="4294967295" verticalDpi="4294967295"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52204-58E1-4FDC-A783-7148463BE176}">
  <dimension ref="A1:F39"/>
  <sheetViews>
    <sheetView workbookViewId="0">
      <selection activeCell="H4" sqref="H4"/>
    </sheetView>
  </sheetViews>
  <sheetFormatPr defaultRowHeight="12.75" x14ac:dyDescent="0.2"/>
  <cols>
    <col min="1" max="1" width="10.85546875" bestFit="1" customWidth="1"/>
    <col min="2" max="2" width="6.5703125" bestFit="1" customWidth="1"/>
    <col min="3" max="3" width="14.42578125" bestFit="1" customWidth="1"/>
    <col min="4" max="4" width="17.7109375" bestFit="1" customWidth="1"/>
    <col min="5" max="5" width="14.85546875" bestFit="1" customWidth="1"/>
    <col min="6" max="6" width="6" bestFit="1" customWidth="1"/>
  </cols>
  <sheetData>
    <row r="1" spans="1:6" s="84" customFormat="1" x14ac:dyDescent="0.2">
      <c r="A1" s="84" t="str" cm="1">
        <f t="array" ref="A1:F39">IF('Metric Thread Wires Datasheet'!B7:G45=0,"",'Metric Thread Wires Datasheet'!B7:G45)</f>
        <v>S/N (if any)</v>
      </c>
      <c r="B1" s="84" t="str">
        <v>MMPT</v>
      </c>
      <c r="C1" s="84" t="str">
        <v>Best Wire Size</v>
      </c>
      <c r="D1" s="84" t="str">
        <v>Average Diameter</v>
      </c>
      <c r="E1" s="84" t="str">
        <v>Minus Constant</v>
      </c>
      <c r="F1" s="84" t="str">
        <v>Notes</v>
      </c>
    </row>
    <row r="2" spans="1:6" x14ac:dyDescent="0.2">
      <c r="A2" t="str">
        <v>6-0350</v>
      </c>
      <c r="B2">
        <v>1.5</v>
      </c>
      <c r="C2" s="1121">
        <v>0.86602500000000004</v>
      </c>
      <c r="D2" s="1121">
        <v>0.86605533333333318</v>
      </c>
      <c r="E2" s="1121">
        <v>1.2991659999999996</v>
      </c>
      <c r="F2" t="str">
        <v/>
      </c>
    </row>
    <row r="3" spans="1:6" x14ac:dyDescent="0.2">
      <c r="A3" t="str">
        <v/>
      </c>
      <c r="B3" t="str">
        <v/>
      </c>
      <c r="C3" s="1121" t="str">
        <v/>
      </c>
      <c r="D3" s="1121" t="str">
        <v/>
      </c>
      <c r="E3" s="1121" t="str">
        <v/>
      </c>
      <c r="F3" t="str">
        <v/>
      </c>
    </row>
    <row r="4" spans="1:6" x14ac:dyDescent="0.2">
      <c r="A4" t="str">
        <v/>
      </c>
      <c r="B4" t="str">
        <v/>
      </c>
      <c r="C4" s="1121" t="str">
        <v/>
      </c>
      <c r="D4" s="1121" t="str">
        <v/>
      </c>
      <c r="E4" s="1121" t="str">
        <v/>
      </c>
      <c r="F4" t="str">
        <v/>
      </c>
    </row>
    <row r="5" spans="1:6" x14ac:dyDescent="0.2">
      <c r="A5" t="str">
        <v/>
      </c>
      <c r="B5" t="str">
        <v/>
      </c>
      <c r="C5" s="1121" t="str">
        <v/>
      </c>
      <c r="D5" s="1121" t="str">
        <v/>
      </c>
      <c r="E5" s="1121" t="str">
        <v/>
      </c>
      <c r="F5" t="str">
        <v/>
      </c>
    </row>
    <row r="6" spans="1:6" x14ac:dyDescent="0.2">
      <c r="A6" t="str">
        <v/>
      </c>
      <c r="B6" t="str">
        <v/>
      </c>
      <c r="C6" s="1121" t="str">
        <v/>
      </c>
      <c r="D6" s="1121" t="str">
        <v/>
      </c>
      <c r="E6" s="1121" t="str">
        <v/>
      </c>
      <c r="F6" t="str">
        <v/>
      </c>
    </row>
    <row r="7" spans="1:6" x14ac:dyDescent="0.2">
      <c r="A7" t="str">
        <v/>
      </c>
      <c r="B7" t="str">
        <v/>
      </c>
      <c r="C7" s="1121" t="str">
        <v/>
      </c>
      <c r="D7" s="1121" t="str">
        <v/>
      </c>
      <c r="E7" s="1121" t="str">
        <v/>
      </c>
      <c r="F7" t="str">
        <v/>
      </c>
    </row>
    <row r="8" spans="1:6" x14ac:dyDescent="0.2">
      <c r="A8" t="str">
        <v/>
      </c>
      <c r="B8" t="str">
        <v/>
      </c>
      <c r="C8" s="1121" t="str">
        <v/>
      </c>
      <c r="D8" s="1121" t="str">
        <v/>
      </c>
      <c r="E8" s="1121" t="str">
        <v/>
      </c>
      <c r="F8" t="str">
        <v/>
      </c>
    </row>
    <row r="9" spans="1:6" x14ac:dyDescent="0.2">
      <c r="A9" t="str">
        <v/>
      </c>
      <c r="B9" t="str">
        <v/>
      </c>
      <c r="C9" s="1121" t="str">
        <v/>
      </c>
      <c r="D9" s="1121" t="str">
        <v/>
      </c>
      <c r="E9" s="1121" t="str">
        <v/>
      </c>
      <c r="F9" t="str">
        <v/>
      </c>
    </row>
    <row r="10" spans="1:6" x14ac:dyDescent="0.2">
      <c r="A10" t="str">
        <v/>
      </c>
      <c r="B10" t="str">
        <v/>
      </c>
      <c r="C10" s="1121" t="str">
        <v/>
      </c>
      <c r="D10" s="1121" t="str">
        <v/>
      </c>
      <c r="E10" s="1121" t="str">
        <v/>
      </c>
      <c r="F10" t="str">
        <v/>
      </c>
    </row>
    <row r="11" spans="1:6" x14ac:dyDescent="0.2">
      <c r="A11" t="str">
        <v/>
      </c>
      <c r="B11" t="str">
        <v/>
      </c>
      <c r="C11" s="1121" t="str">
        <v/>
      </c>
      <c r="D11" s="1121" t="str">
        <v/>
      </c>
      <c r="E11" s="1121" t="str">
        <v/>
      </c>
      <c r="F11" t="str">
        <v/>
      </c>
    </row>
    <row r="12" spans="1:6" x14ac:dyDescent="0.2">
      <c r="A12" t="str">
        <v/>
      </c>
      <c r="B12" t="str">
        <v/>
      </c>
      <c r="C12" s="1121" t="str">
        <v/>
      </c>
      <c r="D12" s="1121" t="str">
        <v/>
      </c>
      <c r="E12" s="1121" t="str">
        <v/>
      </c>
      <c r="F12" t="str">
        <v/>
      </c>
    </row>
    <row r="13" spans="1:6" x14ac:dyDescent="0.2">
      <c r="A13" t="str">
        <v/>
      </c>
      <c r="B13" t="str">
        <v/>
      </c>
      <c r="C13" s="1121" t="str">
        <v/>
      </c>
      <c r="D13" s="1121" t="str">
        <v/>
      </c>
      <c r="E13" s="1121" t="str">
        <v/>
      </c>
      <c r="F13" t="str">
        <v/>
      </c>
    </row>
    <row r="14" spans="1:6" x14ac:dyDescent="0.2">
      <c r="A14" t="str">
        <v/>
      </c>
      <c r="B14" t="str">
        <v/>
      </c>
      <c r="C14" s="1121" t="str">
        <v/>
      </c>
      <c r="D14" s="1121" t="str">
        <v/>
      </c>
      <c r="E14" s="1121" t="str">
        <v/>
      </c>
      <c r="F14" t="str">
        <v/>
      </c>
    </row>
    <row r="15" spans="1:6" x14ac:dyDescent="0.2">
      <c r="A15" t="str">
        <v/>
      </c>
      <c r="B15" t="str">
        <v/>
      </c>
      <c r="C15" s="1121" t="str">
        <v/>
      </c>
      <c r="D15" s="1121" t="str">
        <v/>
      </c>
      <c r="E15" s="1121" t="str">
        <v/>
      </c>
      <c r="F15" t="str">
        <v/>
      </c>
    </row>
    <row r="16" spans="1:6" x14ac:dyDescent="0.2">
      <c r="A16" t="str">
        <v/>
      </c>
      <c r="B16" t="str">
        <v/>
      </c>
      <c r="C16" s="1121" t="str">
        <v/>
      </c>
      <c r="D16" s="1121" t="str">
        <v/>
      </c>
      <c r="E16" s="1121" t="str">
        <v/>
      </c>
      <c r="F16" t="str">
        <v/>
      </c>
    </row>
    <row r="17" spans="1:6" x14ac:dyDescent="0.2">
      <c r="A17" t="str">
        <v/>
      </c>
      <c r="B17" t="str">
        <v/>
      </c>
      <c r="C17" s="1121" t="str">
        <v/>
      </c>
      <c r="D17" s="1121" t="str">
        <v/>
      </c>
      <c r="E17" s="1121" t="str">
        <v/>
      </c>
      <c r="F17" t="str">
        <v/>
      </c>
    </row>
    <row r="18" spans="1:6" x14ac:dyDescent="0.2">
      <c r="A18" t="str">
        <v/>
      </c>
      <c r="B18" t="str">
        <v/>
      </c>
      <c r="C18" s="1121" t="str">
        <v/>
      </c>
      <c r="D18" s="1121" t="str">
        <v/>
      </c>
      <c r="E18" s="1121" t="str">
        <v/>
      </c>
      <c r="F18" t="str">
        <v/>
      </c>
    </row>
    <row r="19" spans="1:6" x14ac:dyDescent="0.2">
      <c r="A19" t="str">
        <v/>
      </c>
      <c r="B19" t="str">
        <v/>
      </c>
      <c r="C19" s="1121" t="str">
        <v/>
      </c>
      <c r="D19" s="1121" t="str">
        <v/>
      </c>
      <c r="E19" s="1121" t="str">
        <v/>
      </c>
      <c r="F19" t="str">
        <v/>
      </c>
    </row>
    <row r="20" spans="1:6" x14ac:dyDescent="0.2">
      <c r="A20" t="str">
        <v/>
      </c>
      <c r="B20" t="str">
        <v/>
      </c>
      <c r="C20" s="1121" t="str">
        <v/>
      </c>
      <c r="D20" s="1121" t="str">
        <v/>
      </c>
      <c r="E20" s="1121" t="str">
        <v/>
      </c>
      <c r="F20" t="str">
        <v/>
      </c>
    </row>
    <row r="21" spans="1:6" x14ac:dyDescent="0.2">
      <c r="A21" t="str">
        <v/>
      </c>
      <c r="B21" t="str">
        <v/>
      </c>
      <c r="C21" s="1121" t="str">
        <v/>
      </c>
      <c r="D21" s="1121" t="str">
        <v/>
      </c>
      <c r="E21" s="1121" t="str">
        <v/>
      </c>
      <c r="F21" t="str">
        <v/>
      </c>
    </row>
    <row r="22" spans="1:6" x14ac:dyDescent="0.2">
      <c r="A22" t="str">
        <v/>
      </c>
      <c r="B22" t="str">
        <v/>
      </c>
      <c r="C22" s="1121" t="str">
        <v/>
      </c>
      <c r="D22" s="1121" t="str">
        <v/>
      </c>
      <c r="E22" s="1121" t="str">
        <v/>
      </c>
      <c r="F22" t="str">
        <v/>
      </c>
    </row>
    <row r="23" spans="1:6" x14ac:dyDescent="0.2">
      <c r="A23" t="str">
        <v/>
      </c>
      <c r="B23" t="str">
        <v/>
      </c>
      <c r="C23" s="1121" t="str">
        <v/>
      </c>
      <c r="D23" s="1121" t="str">
        <v/>
      </c>
      <c r="E23" s="1121" t="str">
        <v/>
      </c>
      <c r="F23" t="str">
        <v/>
      </c>
    </row>
    <row r="24" spans="1:6" x14ac:dyDescent="0.2">
      <c r="A24" t="str">
        <v/>
      </c>
      <c r="B24" t="str">
        <v/>
      </c>
      <c r="C24" s="1121" t="str">
        <v/>
      </c>
      <c r="D24" s="1121" t="str">
        <v/>
      </c>
      <c r="E24" s="1121" t="str">
        <v/>
      </c>
      <c r="F24" t="str">
        <v/>
      </c>
    </row>
    <row r="25" spans="1:6" x14ac:dyDescent="0.2">
      <c r="A25" t="str">
        <v/>
      </c>
      <c r="B25" t="str">
        <v/>
      </c>
      <c r="C25" s="1121" t="str">
        <v/>
      </c>
      <c r="D25" s="1121" t="str">
        <v/>
      </c>
      <c r="E25" s="1121" t="str">
        <v/>
      </c>
      <c r="F25" t="str">
        <v/>
      </c>
    </row>
    <row r="26" spans="1:6" x14ac:dyDescent="0.2">
      <c r="A26" t="str">
        <v/>
      </c>
      <c r="B26" t="str">
        <v/>
      </c>
      <c r="C26" s="1121" t="str">
        <v/>
      </c>
      <c r="D26" s="1121" t="str">
        <v/>
      </c>
      <c r="E26" s="1121" t="str">
        <v/>
      </c>
      <c r="F26" t="str">
        <v/>
      </c>
    </row>
    <row r="27" spans="1:6" x14ac:dyDescent="0.2">
      <c r="A27" t="str">
        <v/>
      </c>
      <c r="B27" t="str">
        <v/>
      </c>
      <c r="C27" s="1121" t="str">
        <v/>
      </c>
      <c r="D27" s="1121" t="str">
        <v/>
      </c>
      <c r="E27" s="1121" t="str">
        <v/>
      </c>
      <c r="F27" t="str">
        <v/>
      </c>
    </row>
    <row r="28" spans="1:6" x14ac:dyDescent="0.2">
      <c r="A28" t="str">
        <v/>
      </c>
      <c r="B28" t="str">
        <v/>
      </c>
      <c r="C28" s="1121" t="str">
        <v/>
      </c>
      <c r="D28" s="1121" t="str">
        <v/>
      </c>
      <c r="E28" s="1121" t="str">
        <v/>
      </c>
      <c r="F28" t="str">
        <v/>
      </c>
    </row>
    <row r="29" spans="1:6" x14ac:dyDescent="0.2">
      <c r="A29" t="str">
        <v/>
      </c>
      <c r="B29" t="str">
        <v/>
      </c>
      <c r="C29" s="1121" t="str">
        <v/>
      </c>
      <c r="D29" s="1121" t="str">
        <v/>
      </c>
      <c r="E29" s="1121" t="str">
        <v/>
      </c>
      <c r="F29" t="str">
        <v/>
      </c>
    </row>
    <row r="30" spans="1:6" x14ac:dyDescent="0.2">
      <c r="A30" t="str">
        <v/>
      </c>
      <c r="B30" t="str">
        <v/>
      </c>
      <c r="C30" s="1121" t="str">
        <v/>
      </c>
      <c r="D30" s="1121" t="str">
        <v/>
      </c>
      <c r="E30" s="1121" t="str">
        <v/>
      </c>
      <c r="F30" t="str">
        <v/>
      </c>
    </row>
    <row r="31" spans="1:6" x14ac:dyDescent="0.2">
      <c r="A31" t="str">
        <v/>
      </c>
      <c r="B31" t="str">
        <v/>
      </c>
      <c r="C31" s="1121" t="str">
        <v/>
      </c>
      <c r="D31" s="1121" t="str">
        <v/>
      </c>
      <c r="E31" s="1121" t="str">
        <v/>
      </c>
      <c r="F31" t="str">
        <v/>
      </c>
    </row>
    <row r="32" spans="1:6" x14ac:dyDescent="0.2">
      <c r="A32" t="str">
        <v/>
      </c>
      <c r="B32" t="str">
        <v/>
      </c>
      <c r="C32" s="1121" t="str">
        <v/>
      </c>
      <c r="D32" s="1121" t="str">
        <v/>
      </c>
      <c r="E32" s="1121" t="str">
        <v/>
      </c>
      <c r="F32" t="str">
        <v/>
      </c>
    </row>
    <row r="33" spans="1:6" x14ac:dyDescent="0.2">
      <c r="A33" t="str">
        <v/>
      </c>
      <c r="B33" t="str">
        <v/>
      </c>
      <c r="C33" s="1121" t="str">
        <v/>
      </c>
      <c r="D33" s="1121" t="str">
        <v/>
      </c>
      <c r="E33" s="1121" t="str">
        <v/>
      </c>
      <c r="F33" t="str">
        <v/>
      </c>
    </row>
    <row r="34" spans="1:6" x14ac:dyDescent="0.2">
      <c r="A34" t="str">
        <v/>
      </c>
      <c r="B34" t="str">
        <v/>
      </c>
      <c r="C34" s="1121" t="str">
        <v/>
      </c>
      <c r="D34" s="1121" t="str">
        <v/>
      </c>
      <c r="E34" s="1121" t="str">
        <v/>
      </c>
      <c r="F34" t="str">
        <v/>
      </c>
    </row>
    <row r="35" spans="1:6" x14ac:dyDescent="0.2">
      <c r="A35" t="str">
        <v/>
      </c>
      <c r="B35" t="str">
        <v/>
      </c>
      <c r="C35" s="1121" t="str">
        <v/>
      </c>
      <c r="D35" s="1121" t="str">
        <v/>
      </c>
      <c r="E35" s="1121" t="str">
        <v/>
      </c>
      <c r="F35" t="str">
        <v/>
      </c>
    </row>
    <row r="36" spans="1:6" x14ac:dyDescent="0.2">
      <c r="A36" t="str">
        <v/>
      </c>
      <c r="B36" t="str">
        <v/>
      </c>
      <c r="C36" s="1121" t="str">
        <v/>
      </c>
      <c r="D36" s="1121" t="str">
        <v/>
      </c>
      <c r="E36" s="1121" t="str">
        <v/>
      </c>
      <c r="F36" t="str">
        <v/>
      </c>
    </row>
    <row r="37" spans="1:6" x14ac:dyDescent="0.2">
      <c r="A37" t="str">
        <v/>
      </c>
      <c r="B37" t="str">
        <v/>
      </c>
      <c r="C37" s="1121" t="str">
        <v/>
      </c>
      <c r="D37" s="1121" t="str">
        <v/>
      </c>
      <c r="E37" s="1121" t="str">
        <v/>
      </c>
      <c r="F37" t="str">
        <v/>
      </c>
    </row>
    <row r="38" spans="1:6" x14ac:dyDescent="0.2">
      <c r="A38" t="str">
        <v/>
      </c>
      <c r="B38" t="str">
        <v/>
      </c>
      <c r="C38" s="1121" t="str">
        <v/>
      </c>
      <c r="D38" s="1121" t="str">
        <v/>
      </c>
      <c r="E38" s="1121" t="str">
        <v/>
      </c>
      <c r="F38" t="str">
        <v/>
      </c>
    </row>
    <row r="39" spans="1:6" x14ac:dyDescent="0.2">
      <c r="A39" t="str">
        <v/>
      </c>
      <c r="B39" t="str">
        <v/>
      </c>
      <c r="C39" s="1121" t="str">
        <v/>
      </c>
      <c r="D39" s="1121" t="str">
        <v/>
      </c>
      <c r="E39" s="1121" t="str">
        <v/>
      </c>
      <c r="F39" t="str">
        <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1">
    <tabColor indexed="38"/>
  </sheetPr>
  <dimension ref="A1:AI70"/>
  <sheetViews>
    <sheetView workbookViewId="0">
      <selection activeCell="W19" sqref="W19"/>
    </sheetView>
  </sheetViews>
  <sheetFormatPr defaultRowHeight="12.75" x14ac:dyDescent="0.2"/>
  <cols>
    <col min="1" max="1" width="16.42578125" bestFit="1" customWidth="1"/>
    <col min="2" max="2" width="10.85546875" bestFit="1" customWidth="1"/>
    <col min="3" max="3" width="3.28515625" customWidth="1"/>
    <col min="4" max="4" width="16.42578125" bestFit="1" customWidth="1"/>
    <col min="5" max="5" width="10.85546875" bestFit="1" customWidth="1"/>
    <col min="6" max="6" width="4" customWidth="1"/>
    <col min="7" max="7" width="16.42578125" bestFit="1" customWidth="1"/>
    <col min="8" max="8" width="10.85546875" bestFit="1" customWidth="1"/>
    <col min="9" max="9" width="3.28515625" customWidth="1"/>
    <col min="10" max="10" width="16.42578125" bestFit="1" customWidth="1"/>
    <col min="11" max="11" width="10.42578125" bestFit="1" customWidth="1"/>
    <col min="12" max="12" width="3.42578125" customWidth="1"/>
    <col min="13" max="13" width="16.42578125" bestFit="1" customWidth="1"/>
    <col min="14" max="14" width="10.42578125" bestFit="1" customWidth="1"/>
    <col min="15" max="15" width="2.42578125" customWidth="1"/>
    <col min="16" max="16" width="16.42578125" bestFit="1" customWidth="1"/>
    <col min="17" max="17" width="11.140625" bestFit="1" customWidth="1"/>
    <col min="18" max="18" width="3" customWidth="1"/>
    <col min="19" max="19" width="18.28515625" bestFit="1" customWidth="1"/>
    <col min="21" max="21" width="3.85546875" customWidth="1"/>
    <col min="22" max="22" width="18.28515625" bestFit="1" customWidth="1"/>
  </cols>
  <sheetData>
    <row r="1" spans="1:35" s="10" customFormat="1" ht="25.5" customHeight="1" x14ac:dyDescent="0.2"/>
    <row r="2" spans="1:35" x14ac:dyDescent="0.2">
      <c r="A2" s="1125" t="s">
        <v>549</v>
      </c>
      <c r="B2" s="1125"/>
      <c r="C2" s="1125"/>
      <c r="D2" s="1125"/>
      <c r="E2" s="1125"/>
      <c r="F2" s="1125"/>
      <c r="G2" s="1125"/>
      <c r="H2" s="1125"/>
      <c r="I2" s="1125"/>
      <c r="J2" s="84"/>
      <c r="K2" s="84"/>
      <c r="L2" s="84"/>
      <c r="M2" s="84"/>
      <c r="N2" s="84"/>
    </row>
    <row r="3" spans="1:35" s="411" customFormat="1" ht="21.75" customHeight="1" x14ac:dyDescent="0.2">
      <c r="A3" s="966" t="s">
        <v>550</v>
      </c>
    </row>
    <row r="4" spans="1:35" s="84" customFormat="1" x14ac:dyDescent="0.2">
      <c r="A4" s="84" t="s">
        <v>542</v>
      </c>
    </row>
    <row r="5" spans="1:35" ht="15.75" thickBot="1" x14ac:dyDescent="0.3">
      <c r="A5" s="237"/>
      <c r="B5" s="237"/>
      <c r="C5" s="237"/>
      <c r="D5" s="237"/>
      <c r="E5" s="237"/>
      <c r="F5" s="237"/>
      <c r="G5" s="237"/>
      <c r="H5" s="237"/>
      <c r="I5" s="237"/>
      <c r="J5" s="237"/>
      <c r="K5" s="237"/>
      <c r="L5" s="953"/>
      <c r="M5" s="237"/>
      <c r="N5" s="237"/>
      <c r="O5" s="47"/>
      <c r="P5" s="47"/>
      <c r="Q5" s="47"/>
      <c r="R5" s="47"/>
      <c r="S5" s="47"/>
      <c r="T5" s="47"/>
      <c r="U5" s="47"/>
      <c r="V5" s="47"/>
      <c r="W5" s="47"/>
      <c r="Y5" s="251"/>
      <c r="Z5" s="1040"/>
      <c r="AB5" s="251"/>
      <c r="AC5" s="1040"/>
      <c r="AE5" s="251"/>
      <c r="AF5" s="1040"/>
      <c r="AH5" s="251"/>
      <c r="AI5" s="1040"/>
    </row>
    <row r="6" spans="1:35" ht="15" x14ac:dyDescent="0.25">
      <c r="A6" s="239" t="s">
        <v>70</v>
      </c>
      <c r="B6" s="872"/>
      <c r="C6" s="237"/>
      <c r="D6" s="239" t="s">
        <v>70</v>
      </c>
      <c r="E6" s="872"/>
      <c r="F6" s="237"/>
      <c r="G6" s="239" t="s">
        <v>70</v>
      </c>
      <c r="H6" s="872"/>
      <c r="I6" s="237"/>
      <c r="J6" s="239" t="s">
        <v>70</v>
      </c>
      <c r="K6" s="872"/>
      <c r="L6" s="953"/>
      <c r="M6" s="239" t="s">
        <v>70</v>
      </c>
      <c r="N6" s="872"/>
      <c r="O6" s="47"/>
      <c r="P6" s="239" t="s">
        <v>70</v>
      </c>
      <c r="Q6" s="872"/>
      <c r="R6" s="47"/>
      <c r="S6" s="239" t="s">
        <v>70</v>
      </c>
      <c r="T6" s="872"/>
      <c r="U6" s="47"/>
      <c r="V6" s="239" t="s">
        <v>70</v>
      </c>
      <c r="W6" s="872"/>
      <c r="Y6" s="84"/>
      <c r="AB6" s="84"/>
      <c r="AE6" s="84"/>
      <c r="AH6" s="84"/>
      <c r="AI6" s="264"/>
    </row>
    <row r="7" spans="1:35" ht="13.5" thickBot="1" x14ac:dyDescent="0.25">
      <c r="A7" s="241" t="s">
        <v>72</v>
      </c>
      <c r="B7" s="337">
        <v>1.7999999999999999E-2</v>
      </c>
      <c r="C7" s="47"/>
      <c r="D7" s="241" t="s">
        <v>72</v>
      </c>
      <c r="E7" s="337">
        <v>2.4E-2</v>
      </c>
      <c r="F7" s="47"/>
      <c r="G7" s="241" t="s">
        <v>72</v>
      </c>
      <c r="H7" s="337">
        <v>2.9000000000000001E-2</v>
      </c>
      <c r="I7" s="47"/>
      <c r="J7" s="241" t="s">
        <v>72</v>
      </c>
      <c r="K7" s="337">
        <v>3.2000000000000001E-2</v>
      </c>
      <c r="L7" s="976"/>
      <c r="M7" s="241" t="s">
        <v>72</v>
      </c>
      <c r="N7" s="337">
        <v>0.04</v>
      </c>
      <c r="O7" s="47"/>
      <c r="P7" s="241" t="s">
        <v>72</v>
      </c>
      <c r="Q7" s="337">
        <v>4.4999999999999998E-2</v>
      </c>
      <c r="R7" s="47"/>
      <c r="S7" s="241" t="s">
        <v>72</v>
      </c>
      <c r="T7" s="337">
        <v>5.5E-2</v>
      </c>
      <c r="U7" s="47"/>
      <c r="V7" s="241" t="s">
        <v>72</v>
      </c>
      <c r="W7" s="337">
        <v>6.3E-2</v>
      </c>
      <c r="Y7" s="84"/>
      <c r="AB7" s="84"/>
      <c r="AE7" s="84"/>
      <c r="AH7" s="84"/>
    </row>
    <row r="8" spans="1:35" ht="13.5" thickTop="1" x14ac:dyDescent="0.2">
      <c r="A8" s="243" t="s">
        <v>501</v>
      </c>
      <c r="B8" s="975"/>
      <c r="C8" s="47"/>
      <c r="D8" s="243" t="s">
        <v>501</v>
      </c>
      <c r="E8" s="975"/>
      <c r="F8" s="47"/>
      <c r="G8" s="243" t="s">
        <v>501</v>
      </c>
      <c r="H8" s="101"/>
      <c r="I8" s="47"/>
      <c r="J8" s="243" t="s">
        <v>501</v>
      </c>
      <c r="K8" s="101"/>
      <c r="L8" s="976"/>
      <c r="M8" s="243" t="s">
        <v>501</v>
      </c>
      <c r="N8" s="101"/>
      <c r="O8" s="47"/>
      <c r="P8" s="243" t="s">
        <v>501</v>
      </c>
      <c r="Q8" s="101"/>
      <c r="R8" s="47"/>
      <c r="S8" s="243" t="s">
        <v>501</v>
      </c>
      <c r="T8" s="101"/>
      <c r="U8" s="47"/>
      <c r="V8" s="243" t="s">
        <v>501</v>
      </c>
      <c r="W8" s="101"/>
      <c r="Y8" s="470"/>
      <c r="AB8" s="470"/>
      <c r="AE8" s="470"/>
      <c r="AH8" s="470"/>
    </row>
    <row r="9" spans="1:35" x14ac:dyDescent="0.2">
      <c r="A9" s="1039" t="s">
        <v>502</v>
      </c>
      <c r="B9" s="101"/>
      <c r="C9" s="47"/>
      <c r="D9" s="1039" t="s">
        <v>502</v>
      </c>
      <c r="E9" s="101"/>
      <c r="F9" s="47"/>
      <c r="G9" s="1039" t="s">
        <v>502</v>
      </c>
      <c r="H9" s="101"/>
      <c r="I9" s="47"/>
      <c r="J9" s="1039" t="s">
        <v>502</v>
      </c>
      <c r="K9" s="101"/>
      <c r="L9" s="976"/>
      <c r="M9" s="1039" t="s">
        <v>502</v>
      </c>
      <c r="N9" s="194"/>
      <c r="O9" s="47"/>
      <c r="P9" s="1039" t="s">
        <v>502</v>
      </c>
      <c r="Q9" s="194"/>
      <c r="R9" s="47"/>
      <c r="S9" s="1039" t="s">
        <v>502</v>
      </c>
      <c r="T9" s="194"/>
      <c r="U9" s="47"/>
      <c r="V9" s="1039" t="s">
        <v>502</v>
      </c>
      <c r="W9" s="194"/>
      <c r="Y9" s="84"/>
      <c r="AB9" s="84"/>
      <c r="AE9" s="84"/>
      <c r="AH9" s="84"/>
    </row>
    <row r="10" spans="1:35" x14ac:dyDescent="0.2">
      <c r="A10" s="92" t="s">
        <v>503</v>
      </c>
      <c r="B10" s="101"/>
      <c r="C10" s="47"/>
      <c r="D10" s="92" t="s">
        <v>503</v>
      </c>
      <c r="E10" s="101"/>
      <c r="F10" s="47"/>
      <c r="G10" s="92" t="s">
        <v>503</v>
      </c>
      <c r="H10" s="101"/>
      <c r="I10" s="47"/>
      <c r="J10" s="92" t="s">
        <v>503</v>
      </c>
      <c r="K10" s="101"/>
      <c r="L10" s="976"/>
      <c r="M10" s="92" t="s">
        <v>503</v>
      </c>
      <c r="N10" s="194"/>
      <c r="O10" s="47"/>
      <c r="P10" s="92" t="s">
        <v>503</v>
      </c>
      <c r="Q10" s="194"/>
      <c r="R10" s="47"/>
      <c r="S10" s="92" t="s">
        <v>503</v>
      </c>
      <c r="T10" s="194"/>
      <c r="U10" s="47"/>
      <c r="V10" s="92" t="s">
        <v>503</v>
      </c>
      <c r="W10" s="194"/>
      <c r="Y10" s="470"/>
      <c r="AB10" s="470"/>
      <c r="AE10" s="470"/>
      <c r="AH10" s="470"/>
    </row>
    <row r="11" spans="1:35" x14ac:dyDescent="0.2">
      <c r="A11" s="463" t="s">
        <v>504</v>
      </c>
      <c r="B11" s="101"/>
      <c r="C11" s="47"/>
      <c r="D11" s="463" t="s">
        <v>504</v>
      </c>
      <c r="E11" s="101"/>
      <c r="F11" s="47"/>
      <c r="G11" s="463" t="s">
        <v>504</v>
      </c>
      <c r="H11" s="101"/>
      <c r="I11" s="47"/>
      <c r="J11" s="463" t="s">
        <v>504</v>
      </c>
      <c r="K11" s="101"/>
      <c r="L11" s="976"/>
      <c r="M11" s="463" t="s">
        <v>504</v>
      </c>
      <c r="N11" s="194"/>
      <c r="O11" s="47"/>
      <c r="P11" s="463" t="s">
        <v>504</v>
      </c>
      <c r="Q11" s="194"/>
      <c r="R11" s="47"/>
      <c r="S11" s="463" t="s">
        <v>504</v>
      </c>
      <c r="T11" s="194"/>
      <c r="U11" s="47"/>
      <c r="V11" s="463" t="s">
        <v>504</v>
      </c>
      <c r="W11" s="194"/>
      <c r="Y11" s="84"/>
      <c r="AB11" s="84"/>
      <c r="AE11" s="84"/>
      <c r="AH11" s="84"/>
    </row>
    <row r="12" spans="1:35" x14ac:dyDescent="0.2">
      <c r="A12" s="92" t="s">
        <v>505</v>
      </c>
      <c r="B12" s="101"/>
      <c r="C12" s="47"/>
      <c r="D12" s="92" t="s">
        <v>505</v>
      </c>
      <c r="E12" s="101"/>
      <c r="F12" s="47"/>
      <c r="G12" s="92" t="s">
        <v>505</v>
      </c>
      <c r="H12" s="101"/>
      <c r="I12" s="47"/>
      <c r="J12" s="92" t="s">
        <v>505</v>
      </c>
      <c r="K12" s="101"/>
      <c r="L12" s="976"/>
      <c r="M12" s="92" t="s">
        <v>505</v>
      </c>
      <c r="N12" s="194"/>
      <c r="O12" s="47"/>
      <c r="P12" s="92" t="s">
        <v>505</v>
      </c>
      <c r="Q12" s="194"/>
      <c r="R12" s="47"/>
      <c r="S12" s="92" t="s">
        <v>505</v>
      </c>
      <c r="T12" s="194"/>
      <c r="U12" s="47"/>
      <c r="V12" s="92" t="s">
        <v>505</v>
      </c>
      <c r="W12" s="194"/>
      <c r="Y12" s="470"/>
      <c r="AB12" s="470"/>
      <c r="AE12" s="470"/>
      <c r="AH12" s="470"/>
    </row>
    <row r="13" spans="1:35" x14ac:dyDescent="0.2">
      <c r="A13" s="1039" t="s">
        <v>502</v>
      </c>
      <c r="B13" s="101"/>
      <c r="C13" s="47"/>
      <c r="D13" s="1039" t="s">
        <v>502</v>
      </c>
      <c r="E13" s="101"/>
      <c r="F13" s="47"/>
      <c r="G13" s="1039" t="s">
        <v>502</v>
      </c>
      <c r="H13" s="101"/>
      <c r="I13" s="47"/>
      <c r="J13" s="1039" t="s">
        <v>502</v>
      </c>
      <c r="K13" s="101"/>
      <c r="L13" s="976"/>
      <c r="M13" s="1039" t="s">
        <v>502</v>
      </c>
      <c r="N13" s="194"/>
      <c r="O13" s="47"/>
      <c r="P13" s="1039" t="s">
        <v>502</v>
      </c>
      <c r="Q13" s="194"/>
      <c r="R13" s="47"/>
      <c r="S13" s="1039" t="s">
        <v>502</v>
      </c>
      <c r="T13" s="194"/>
      <c r="U13" s="47"/>
      <c r="V13" s="1039" t="s">
        <v>502</v>
      </c>
      <c r="W13" s="194"/>
      <c r="Y13" s="84"/>
      <c r="AB13" s="84"/>
      <c r="AE13" s="84"/>
      <c r="AH13" s="84"/>
    </row>
    <row r="14" spans="1:35" x14ac:dyDescent="0.2">
      <c r="A14" s="92" t="s">
        <v>506</v>
      </c>
      <c r="B14" s="101"/>
      <c r="C14" s="47"/>
      <c r="D14" s="92" t="s">
        <v>506</v>
      </c>
      <c r="E14" s="101"/>
      <c r="F14" s="47"/>
      <c r="G14" s="92" t="s">
        <v>506</v>
      </c>
      <c r="H14" s="101"/>
      <c r="I14" s="47"/>
      <c r="J14" s="92" t="s">
        <v>506</v>
      </c>
      <c r="K14" s="101"/>
      <c r="L14" s="976"/>
      <c r="M14" s="92" t="s">
        <v>506</v>
      </c>
      <c r="N14" s="194"/>
      <c r="O14" s="47"/>
      <c r="P14" s="92" t="s">
        <v>506</v>
      </c>
      <c r="Q14" s="194"/>
      <c r="R14" s="47"/>
      <c r="S14" s="92" t="s">
        <v>506</v>
      </c>
      <c r="T14" s="194"/>
      <c r="U14" s="47"/>
      <c r="V14" s="92" t="s">
        <v>506</v>
      </c>
      <c r="W14" s="194"/>
      <c r="Y14" s="470"/>
      <c r="AB14" s="470"/>
      <c r="AE14" s="470"/>
      <c r="AH14" s="470"/>
    </row>
    <row r="15" spans="1:35" x14ac:dyDescent="0.2">
      <c r="A15" s="463" t="s">
        <v>504</v>
      </c>
      <c r="B15" s="101"/>
      <c r="C15" s="47"/>
      <c r="D15" s="463" t="s">
        <v>504</v>
      </c>
      <c r="E15" s="101"/>
      <c r="F15" s="47"/>
      <c r="G15" s="463" t="s">
        <v>504</v>
      </c>
      <c r="H15" s="101"/>
      <c r="I15" s="47"/>
      <c r="J15" s="463" t="s">
        <v>504</v>
      </c>
      <c r="K15" s="101"/>
      <c r="L15" s="976"/>
      <c r="M15" s="463" t="s">
        <v>504</v>
      </c>
      <c r="N15" s="101"/>
      <c r="O15" s="47"/>
      <c r="P15" s="463" t="s">
        <v>504</v>
      </c>
      <c r="Q15" s="101"/>
      <c r="R15" s="47"/>
      <c r="S15" s="463" t="s">
        <v>504</v>
      </c>
      <c r="T15" s="101"/>
      <c r="U15" s="47"/>
      <c r="V15" s="463" t="s">
        <v>504</v>
      </c>
      <c r="W15" s="101"/>
      <c r="Y15" s="84"/>
      <c r="AB15" s="84"/>
      <c r="AE15" s="84"/>
      <c r="AH15" s="84"/>
    </row>
    <row r="16" spans="1:35" x14ac:dyDescent="0.2">
      <c r="A16" s="92" t="s">
        <v>507</v>
      </c>
      <c r="B16" s="101"/>
      <c r="C16" s="47"/>
      <c r="D16" s="92" t="s">
        <v>507</v>
      </c>
      <c r="E16" s="101"/>
      <c r="F16" s="47"/>
      <c r="G16" s="92" t="s">
        <v>507</v>
      </c>
      <c r="H16" s="101"/>
      <c r="I16" s="47"/>
      <c r="J16" s="92" t="s">
        <v>507</v>
      </c>
      <c r="K16" s="101"/>
      <c r="L16" s="976"/>
      <c r="M16" s="92" t="s">
        <v>507</v>
      </c>
      <c r="N16" s="101"/>
      <c r="O16" s="47"/>
      <c r="P16" s="92" t="s">
        <v>507</v>
      </c>
      <c r="Q16" s="101"/>
      <c r="R16" s="47"/>
      <c r="S16" s="92" t="s">
        <v>507</v>
      </c>
      <c r="T16" s="101"/>
      <c r="U16" s="47"/>
      <c r="V16" s="92" t="s">
        <v>507</v>
      </c>
      <c r="W16" s="101"/>
      <c r="Y16" s="470"/>
      <c r="AB16" s="470"/>
      <c r="AE16" s="470"/>
      <c r="AH16" s="470"/>
    </row>
    <row r="17" spans="1:35" x14ac:dyDescent="0.2">
      <c r="A17" s="1039" t="s">
        <v>502</v>
      </c>
      <c r="B17" s="101"/>
      <c r="C17" s="47"/>
      <c r="D17" s="1039" t="s">
        <v>502</v>
      </c>
      <c r="E17" s="101"/>
      <c r="F17" s="47"/>
      <c r="G17" s="1039" t="s">
        <v>502</v>
      </c>
      <c r="H17" s="101"/>
      <c r="I17" s="47"/>
      <c r="J17" s="1039" t="s">
        <v>502</v>
      </c>
      <c r="K17" s="101"/>
      <c r="L17" s="976"/>
      <c r="M17" s="1039" t="s">
        <v>502</v>
      </c>
      <c r="N17" s="101"/>
      <c r="O17" s="47"/>
      <c r="P17" s="1039" t="s">
        <v>502</v>
      </c>
      <c r="Q17" s="101"/>
      <c r="R17" s="47"/>
      <c r="S17" s="1039" t="s">
        <v>502</v>
      </c>
      <c r="T17" s="101"/>
      <c r="U17" s="47"/>
      <c r="V17" s="1039" t="s">
        <v>502</v>
      </c>
      <c r="W17" s="101"/>
      <c r="Y17" s="84"/>
      <c r="AB17" s="84"/>
      <c r="AE17" s="84"/>
      <c r="AH17" s="84"/>
    </row>
    <row r="18" spans="1:35" x14ac:dyDescent="0.2">
      <c r="A18" s="92" t="s">
        <v>508</v>
      </c>
      <c r="B18" s="101"/>
      <c r="C18" s="47"/>
      <c r="D18" s="92" t="s">
        <v>508</v>
      </c>
      <c r="E18" s="101"/>
      <c r="F18" s="47"/>
      <c r="G18" s="92" t="s">
        <v>508</v>
      </c>
      <c r="H18" s="101"/>
      <c r="I18" s="47"/>
      <c r="J18" s="92" t="s">
        <v>508</v>
      </c>
      <c r="K18" s="101"/>
      <c r="L18" s="976"/>
      <c r="M18" s="92" t="s">
        <v>508</v>
      </c>
      <c r="N18" s="101"/>
      <c r="O18" s="47"/>
      <c r="P18" s="92" t="s">
        <v>508</v>
      </c>
      <c r="Q18" s="101"/>
      <c r="R18" s="47"/>
      <c r="S18" s="92" t="s">
        <v>508</v>
      </c>
      <c r="T18" s="101"/>
      <c r="U18" s="47"/>
      <c r="V18" s="92" t="s">
        <v>508</v>
      </c>
      <c r="W18" s="101"/>
      <c r="Y18" s="470"/>
      <c r="AB18" s="470"/>
      <c r="AE18" s="470"/>
      <c r="AH18" s="470"/>
    </row>
    <row r="19" spans="1:35" x14ac:dyDescent="0.2">
      <c r="A19" s="463" t="s">
        <v>504</v>
      </c>
      <c r="B19" s="101"/>
      <c r="C19" s="47"/>
      <c r="D19" s="463" t="s">
        <v>504</v>
      </c>
      <c r="E19" s="101"/>
      <c r="F19" s="47"/>
      <c r="G19" s="463" t="s">
        <v>504</v>
      </c>
      <c r="H19" s="101"/>
      <c r="I19" s="47"/>
      <c r="J19" s="463" t="s">
        <v>504</v>
      </c>
      <c r="K19" s="101"/>
      <c r="L19" s="976"/>
      <c r="M19" s="463" t="s">
        <v>504</v>
      </c>
      <c r="N19" s="101"/>
      <c r="O19" s="47"/>
      <c r="P19" s="463" t="s">
        <v>504</v>
      </c>
      <c r="Q19" s="101"/>
      <c r="R19" s="47"/>
      <c r="S19" s="463" t="s">
        <v>504</v>
      </c>
      <c r="T19" s="101"/>
      <c r="U19" s="47"/>
      <c r="V19" s="463" t="s">
        <v>504</v>
      </c>
      <c r="W19" s="101"/>
      <c r="Y19" s="84"/>
      <c r="Z19" s="265"/>
      <c r="AB19" s="84"/>
      <c r="AC19" s="265"/>
      <c r="AE19" s="84"/>
      <c r="AF19" s="265"/>
      <c r="AH19" s="84"/>
      <c r="AI19" s="265"/>
    </row>
    <row r="20" spans="1:35" ht="13.5" thickBot="1" x14ac:dyDescent="0.25">
      <c r="A20" s="494" t="s">
        <v>73</v>
      </c>
      <c r="B20" s="502" t="e">
        <f>ROUND(AVERAGE(B8:B19), 5)</f>
        <v>#DIV/0!</v>
      </c>
      <c r="C20" s="47"/>
      <c r="D20" s="494" t="s">
        <v>73</v>
      </c>
      <c r="E20" s="502" t="e">
        <f>ROUND(AVERAGE(E8:E19), 5)</f>
        <v>#DIV/0!</v>
      </c>
      <c r="F20" s="47"/>
      <c r="G20" s="494" t="s">
        <v>73</v>
      </c>
      <c r="H20" s="502" t="e">
        <f>ROUND(AVERAGE(H8:H19), 5)</f>
        <v>#DIV/0!</v>
      </c>
      <c r="I20" s="47"/>
      <c r="J20" s="494" t="s">
        <v>73</v>
      </c>
      <c r="K20" s="502" t="e">
        <f>ROUND(AVERAGE(K8:K19), 5)</f>
        <v>#DIV/0!</v>
      </c>
      <c r="L20" s="976"/>
      <c r="M20" s="501" t="s">
        <v>73</v>
      </c>
      <c r="N20" s="503" t="e">
        <f>ROUND(AVERAGE(N8:N19), 5)</f>
        <v>#DIV/0!</v>
      </c>
      <c r="O20" s="47"/>
      <c r="P20" s="501" t="s">
        <v>73</v>
      </c>
      <c r="Q20" s="503" t="e">
        <f>ROUND(AVERAGE(Q8:Q19), 5)</f>
        <v>#DIV/0!</v>
      </c>
      <c r="R20" s="47"/>
      <c r="S20" s="501" t="s">
        <v>73</v>
      </c>
      <c r="T20" s="503" t="e">
        <f>ROUND(AVERAGE(T8:T19), 5)</f>
        <v>#DIV/0!</v>
      </c>
      <c r="U20" s="47"/>
      <c r="V20" s="501" t="s">
        <v>73</v>
      </c>
      <c r="W20" s="503" t="e">
        <f>ROUND(AVERAGE(W8:W19), 5)</f>
        <v>#DIV/0!</v>
      </c>
    </row>
    <row r="21" spans="1:35" ht="13.5" thickBot="1" x14ac:dyDescent="0.25">
      <c r="A21" s="47"/>
      <c r="B21" s="47"/>
      <c r="C21" s="47"/>
      <c r="D21" s="47"/>
      <c r="E21" s="47"/>
      <c r="F21" s="47"/>
      <c r="G21" s="47"/>
      <c r="H21" s="47"/>
      <c r="I21" s="47"/>
      <c r="J21" s="47"/>
      <c r="K21" s="47"/>
      <c r="L21" s="976"/>
      <c r="M21" s="47"/>
      <c r="N21" s="47"/>
      <c r="O21" s="47"/>
      <c r="P21" s="47"/>
      <c r="Q21" s="47"/>
      <c r="R21" s="47"/>
      <c r="S21" s="47"/>
      <c r="T21" s="47"/>
      <c r="U21" s="47"/>
      <c r="V21" s="47"/>
      <c r="W21" s="47" t="s">
        <v>551</v>
      </c>
    </row>
    <row r="22" spans="1:35" x14ac:dyDescent="0.2">
      <c r="A22" s="239" t="s">
        <v>70</v>
      </c>
      <c r="B22" s="872"/>
      <c r="C22" s="47"/>
      <c r="D22" s="266" t="s">
        <v>70</v>
      </c>
      <c r="E22" s="872"/>
      <c r="F22" s="1043"/>
      <c r="G22" s="239" t="s">
        <v>70</v>
      </c>
      <c r="H22" s="872"/>
      <c r="I22" s="47"/>
      <c r="J22" s="239" t="s">
        <v>70</v>
      </c>
      <c r="K22" s="872"/>
      <c r="L22" s="1044"/>
      <c r="M22" s="239" t="s">
        <v>70</v>
      </c>
      <c r="N22" s="872"/>
      <c r="O22" s="47"/>
      <c r="P22" s="239" t="s">
        <v>70</v>
      </c>
      <c r="Q22" s="872"/>
      <c r="R22" s="47"/>
      <c r="S22" s="239" t="s">
        <v>70</v>
      </c>
      <c r="T22" s="872"/>
      <c r="U22" s="47"/>
      <c r="V22" s="239" t="s">
        <v>70</v>
      </c>
      <c r="W22" s="872"/>
    </row>
    <row r="23" spans="1:35" ht="13.5" thickBot="1" x14ac:dyDescent="0.25">
      <c r="A23" s="241" t="s">
        <v>72</v>
      </c>
      <c r="B23" s="337">
        <v>7.1999999999999995E-2</v>
      </c>
      <c r="C23" s="47"/>
      <c r="D23" s="267" t="s">
        <v>72</v>
      </c>
      <c r="E23" s="337">
        <v>8.1000000000000003E-2</v>
      </c>
      <c r="F23" s="47"/>
      <c r="G23" s="241" t="s">
        <v>72</v>
      </c>
      <c r="H23" s="337">
        <v>9.1999999999999998E-2</v>
      </c>
      <c r="I23" s="47"/>
      <c r="J23" s="241" t="s">
        <v>72</v>
      </c>
      <c r="K23" s="337">
        <v>0.108</v>
      </c>
      <c r="L23" s="977"/>
      <c r="M23" s="241" t="s">
        <v>72</v>
      </c>
      <c r="N23" s="337">
        <v>0.12</v>
      </c>
      <c r="O23" s="47"/>
      <c r="P23" s="241" t="s">
        <v>72</v>
      </c>
      <c r="Q23" s="337">
        <v>0.127</v>
      </c>
      <c r="R23" s="47"/>
      <c r="S23" s="241" t="s">
        <v>72</v>
      </c>
      <c r="T23" s="337">
        <v>0.14299999999999999</v>
      </c>
      <c r="U23" s="47"/>
      <c r="V23" s="241" t="s">
        <v>72</v>
      </c>
      <c r="W23" s="337">
        <v>0.185</v>
      </c>
    </row>
    <row r="24" spans="1:35" ht="13.5" thickTop="1" x14ac:dyDescent="0.2">
      <c r="A24" s="243" t="s">
        <v>501</v>
      </c>
      <c r="B24" s="101"/>
      <c r="C24" s="47"/>
      <c r="D24" s="268" t="s">
        <v>501</v>
      </c>
      <c r="E24" s="101"/>
      <c r="F24" s="47"/>
      <c r="G24" s="243" t="s">
        <v>501</v>
      </c>
      <c r="H24" s="101"/>
      <c r="I24" s="47"/>
      <c r="J24" s="243" t="s">
        <v>501</v>
      </c>
      <c r="K24" s="101"/>
      <c r="L24" s="976"/>
      <c r="M24" s="243" t="s">
        <v>501</v>
      </c>
      <c r="N24" s="101"/>
      <c r="O24" s="47"/>
      <c r="P24" s="243" t="s">
        <v>501</v>
      </c>
      <c r="Q24" s="101"/>
      <c r="R24" s="47"/>
      <c r="S24" s="243" t="s">
        <v>501</v>
      </c>
      <c r="T24" s="101"/>
      <c r="U24" s="47"/>
      <c r="V24" s="243" t="s">
        <v>501</v>
      </c>
      <c r="W24" s="101"/>
    </row>
    <row r="25" spans="1:35" x14ac:dyDescent="0.2">
      <c r="A25" s="1039" t="s">
        <v>502</v>
      </c>
      <c r="B25" s="101"/>
      <c r="C25" s="47"/>
      <c r="D25" s="1045" t="s">
        <v>502</v>
      </c>
      <c r="E25" s="101"/>
      <c r="F25" s="47"/>
      <c r="G25" s="1039" t="s">
        <v>502</v>
      </c>
      <c r="H25" s="101"/>
      <c r="I25" s="47"/>
      <c r="J25" s="1039" t="s">
        <v>502</v>
      </c>
      <c r="K25" s="101"/>
      <c r="L25" s="976"/>
      <c r="M25" s="1039" t="s">
        <v>502</v>
      </c>
      <c r="N25" s="194"/>
      <c r="O25" s="47"/>
      <c r="P25" s="1039" t="s">
        <v>502</v>
      </c>
      <c r="Q25" s="194"/>
      <c r="R25" s="47"/>
      <c r="S25" s="1039" t="s">
        <v>502</v>
      </c>
      <c r="T25" s="194"/>
      <c r="U25" s="47"/>
      <c r="V25" s="1039" t="s">
        <v>502</v>
      </c>
      <c r="W25" s="194"/>
    </row>
    <row r="26" spans="1:35" x14ac:dyDescent="0.2">
      <c r="A26" s="92" t="s">
        <v>503</v>
      </c>
      <c r="B26" s="101"/>
      <c r="C26" s="47"/>
      <c r="D26" s="269" t="s">
        <v>503</v>
      </c>
      <c r="E26" s="101"/>
      <c r="F26" s="47"/>
      <c r="G26" s="92" t="s">
        <v>503</v>
      </c>
      <c r="H26" s="101"/>
      <c r="I26" s="47"/>
      <c r="J26" s="92" t="s">
        <v>503</v>
      </c>
      <c r="K26" s="101"/>
      <c r="L26" s="976"/>
      <c r="M26" s="92" t="s">
        <v>503</v>
      </c>
      <c r="N26" s="194"/>
      <c r="O26" s="47"/>
      <c r="P26" s="92" t="s">
        <v>503</v>
      </c>
      <c r="Q26" s="194"/>
      <c r="R26" s="47"/>
      <c r="S26" s="92" t="s">
        <v>503</v>
      </c>
      <c r="T26" s="194"/>
      <c r="U26" s="47"/>
      <c r="V26" s="92" t="s">
        <v>503</v>
      </c>
      <c r="W26" s="194"/>
    </row>
    <row r="27" spans="1:35" x14ac:dyDescent="0.2">
      <c r="A27" s="463" t="s">
        <v>504</v>
      </c>
      <c r="B27" s="101"/>
      <c r="C27" s="47"/>
      <c r="D27" s="1046" t="s">
        <v>504</v>
      </c>
      <c r="E27" s="101"/>
      <c r="F27" s="47"/>
      <c r="G27" s="463" t="s">
        <v>504</v>
      </c>
      <c r="H27" s="101"/>
      <c r="I27" s="47"/>
      <c r="J27" s="463" t="s">
        <v>504</v>
      </c>
      <c r="K27" s="101"/>
      <c r="L27" s="976"/>
      <c r="M27" s="463" t="s">
        <v>504</v>
      </c>
      <c r="N27" s="194"/>
      <c r="O27" s="47"/>
      <c r="P27" s="463" t="s">
        <v>504</v>
      </c>
      <c r="Q27" s="194"/>
      <c r="R27" s="47"/>
      <c r="S27" s="463" t="s">
        <v>504</v>
      </c>
      <c r="T27" s="194"/>
      <c r="U27" s="47"/>
      <c r="V27" s="463" t="s">
        <v>504</v>
      </c>
      <c r="W27" s="194"/>
    </row>
    <row r="28" spans="1:35" x14ac:dyDescent="0.2">
      <c r="A28" s="92" t="s">
        <v>505</v>
      </c>
      <c r="B28" s="101"/>
      <c r="C28" s="47"/>
      <c r="D28" s="269" t="s">
        <v>505</v>
      </c>
      <c r="E28" s="101"/>
      <c r="F28" s="47"/>
      <c r="G28" s="92" t="s">
        <v>505</v>
      </c>
      <c r="H28" s="101"/>
      <c r="I28" s="47"/>
      <c r="J28" s="92" t="s">
        <v>505</v>
      </c>
      <c r="K28" s="101"/>
      <c r="L28" s="976"/>
      <c r="M28" s="92" t="s">
        <v>505</v>
      </c>
      <c r="N28" s="194"/>
      <c r="O28" s="47"/>
      <c r="P28" s="92" t="s">
        <v>505</v>
      </c>
      <c r="Q28" s="194"/>
      <c r="R28" s="47"/>
      <c r="S28" s="92" t="s">
        <v>505</v>
      </c>
      <c r="T28" s="194"/>
      <c r="U28" s="47"/>
      <c r="V28" s="92" t="s">
        <v>505</v>
      </c>
      <c r="W28" s="194"/>
    </row>
    <row r="29" spans="1:35" x14ac:dyDescent="0.2">
      <c r="A29" s="1039" t="s">
        <v>502</v>
      </c>
      <c r="B29" s="101"/>
      <c r="C29" s="47"/>
      <c r="D29" s="1045" t="s">
        <v>502</v>
      </c>
      <c r="E29" s="101"/>
      <c r="F29" s="47"/>
      <c r="G29" s="1039" t="s">
        <v>502</v>
      </c>
      <c r="H29" s="101"/>
      <c r="I29" s="47"/>
      <c r="J29" s="1039" t="s">
        <v>502</v>
      </c>
      <c r="K29" s="101"/>
      <c r="L29" s="976"/>
      <c r="M29" s="1039" t="s">
        <v>502</v>
      </c>
      <c r="N29" s="194"/>
      <c r="O29" s="47"/>
      <c r="P29" s="1039" t="s">
        <v>502</v>
      </c>
      <c r="Q29" s="194"/>
      <c r="R29" s="47"/>
      <c r="S29" s="1039" t="s">
        <v>502</v>
      </c>
      <c r="T29" s="194"/>
      <c r="U29" s="47"/>
      <c r="V29" s="1039" t="s">
        <v>502</v>
      </c>
      <c r="W29" s="194"/>
    </row>
    <row r="30" spans="1:35" x14ac:dyDescent="0.2">
      <c r="A30" s="92" t="s">
        <v>506</v>
      </c>
      <c r="B30" s="101"/>
      <c r="C30" s="47"/>
      <c r="D30" s="269" t="s">
        <v>506</v>
      </c>
      <c r="E30" s="101"/>
      <c r="F30" s="47"/>
      <c r="G30" s="92" t="s">
        <v>506</v>
      </c>
      <c r="H30" s="101"/>
      <c r="I30" s="47"/>
      <c r="J30" s="92" t="s">
        <v>506</v>
      </c>
      <c r="K30" s="101"/>
      <c r="L30" s="976"/>
      <c r="M30" s="92" t="s">
        <v>506</v>
      </c>
      <c r="N30" s="194"/>
      <c r="O30" s="47"/>
      <c r="P30" s="92" t="s">
        <v>506</v>
      </c>
      <c r="Q30" s="194"/>
      <c r="R30" s="47"/>
      <c r="S30" s="92" t="s">
        <v>506</v>
      </c>
      <c r="T30" s="194"/>
      <c r="U30" s="47"/>
      <c r="V30" s="92" t="s">
        <v>506</v>
      </c>
      <c r="W30" s="194"/>
    </row>
    <row r="31" spans="1:35" x14ac:dyDescent="0.2">
      <c r="A31" s="463" t="s">
        <v>504</v>
      </c>
      <c r="B31" s="101"/>
      <c r="C31" s="47"/>
      <c r="D31" s="1046" t="s">
        <v>504</v>
      </c>
      <c r="E31" s="101"/>
      <c r="F31" s="47"/>
      <c r="G31" s="463" t="s">
        <v>504</v>
      </c>
      <c r="H31" s="101"/>
      <c r="I31" s="47"/>
      <c r="J31" s="463" t="s">
        <v>504</v>
      </c>
      <c r="K31" s="101"/>
      <c r="L31" s="976"/>
      <c r="M31" s="463" t="s">
        <v>504</v>
      </c>
      <c r="N31" s="101"/>
      <c r="O31" s="47"/>
      <c r="P31" s="463" t="s">
        <v>504</v>
      </c>
      <c r="Q31" s="101"/>
      <c r="R31" s="47"/>
      <c r="S31" s="463" t="s">
        <v>504</v>
      </c>
      <c r="T31" s="101"/>
      <c r="U31" s="47"/>
      <c r="V31" s="463" t="s">
        <v>504</v>
      </c>
      <c r="W31" s="101"/>
    </row>
    <row r="32" spans="1:35" x14ac:dyDescent="0.2">
      <c r="A32" s="92" t="s">
        <v>507</v>
      </c>
      <c r="B32" s="101"/>
      <c r="C32" s="47"/>
      <c r="D32" s="269" t="s">
        <v>507</v>
      </c>
      <c r="E32" s="101"/>
      <c r="F32" s="47"/>
      <c r="G32" s="92" t="s">
        <v>507</v>
      </c>
      <c r="H32" s="101"/>
      <c r="I32" s="47"/>
      <c r="J32" s="92" t="s">
        <v>507</v>
      </c>
      <c r="K32" s="101"/>
      <c r="L32" s="976"/>
      <c r="M32" s="92" t="s">
        <v>507</v>
      </c>
      <c r="N32" s="101"/>
      <c r="O32" s="47"/>
      <c r="P32" s="92" t="s">
        <v>507</v>
      </c>
      <c r="Q32" s="101"/>
      <c r="R32" s="47"/>
      <c r="S32" s="92" t="s">
        <v>507</v>
      </c>
      <c r="T32" s="101"/>
      <c r="U32" s="47"/>
      <c r="V32" s="92" t="s">
        <v>507</v>
      </c>
      <c r="W32" s="101"/>
    </row>
    <row r="33" spans="1:35" x14ac:dyDescent="0.2">
      <c r="A33" s="1039" t="s">
        <v>502</v>
      </c>
      <c r="B33" s="101"/>
      <c r="C33" s="47"/>
      <c r="D33" s="1045" t="s">
        <v>502</v>
      </c>
      <c r="E33" s="101"/>
      <c r="F33" s="47"/>
      <c r="G33" s="1039" t="s">
        <v>502</v>
      </c>
      <c r="H33" s="101"/>
      <c r="I33" s="47"/>
      <c r="J33" s="1039" t="s">
        <v>502</v>
      </c>
      <c r="K33" s="101"/>
      <c r="L33" s="976"/>
      <c r="M33" s="1039" t="s">
        <v>502</v>
      </c>
      <c r="N33" s="101"/>
      <c r="O33" s="47"/>
      <c r="P33" s="1039" t="s">
        <v>502</v>
      </c>
      <c r="Q33" s="101"/>
      <c r="R33" s="47"/>
      <c r="S33" s="1039" t="s">
        <v>502</v>
      </c>
      <c r="T33" s="101"/>
      <c r="U33" s="47"/>
      <c r="V33" s="1039" t="s">
        <v>502</v>
      </c>
      <c r="W33" s="101"/>
    </row>
    <row r="34" spans="1:35" x14ac:dyDescent="0.2">
      <c r="A34" s="92" t="s">
        <v>508</v>
      </c>
      <c r="B34" s="101"/>
      <c r="C34" s="47"/>
      <c r="D34" s="269" t="s">
        <v>508</v>
      </c>
      <c r="E34" s="101"/>
      <c r="F34" s="47"/>
      <c r="G34" s="92" t="s">
        <v>508</v>
      </c>
      <c r="H34" s="101"/>
      <c r="I34" s="47"/>
      <c r="J34" s="92" t="s">
        <v>508</v>
      </c>
      <c r="K34" s="101"/>
      <c r="L34" s="976"/>
      <c r="M34" s="92" t="s">
        <v>508</v>
      </c>
      <c r="N34" s="101"/>
      <c r="O34" s="47"/>
      <c r="P34" s="92" t="s">
        <v>508</v>
      </c>
      <c r="Q34" s="101"/>
      <c r="R34" s="47"/>
      <c r="S34" s="92" t="s">
        <v>508</v>
      </c>
      <c r="T34" s="101"/>
      <c r="U34" s="47"/>
      <c r="V34" s="92" t="s">
        <v>508</v>
      </c>
      <c r="W34" s="101"/>
    </row>
    <row r="35" spans="1:35" x14ac:dyDescent="0.2">
      <c r="A35" s="463" t="s">
        <v>504</v>
      </c>
      <c r="B35" s="101"/>
      <c r="C35" s="47"/>
      <c r="D35" s="1046" t="s">
        <v>504</v>
      </c>
      <c r="E35" s="101"/>
      <c r="F35" s="47"/>
      <c r="G35" s="463" t="s">
        <v>504</v>
      </c>
      <c r="H35" s="101"/>
      <c r="I35" s="47"/>
      <c r="J35" s="463" t="s">
        <v>504</v>
      </c>
      <c r="K35" s="101"/>
      <c r="L35" s="976"/>
      <c r="M35" s="463" t="s">
        <v>504</v>
      </c>
      <c r="N35" s="101"/>
      <c r="O35" s="47"/>
      <c r="P35" s="463" t="s">
        <v>504</v>
      </c>
      <c r="Q35" s="101"/>
      <c r="R35" s="47"/>
      <c r="S35" s="463" t="s">
        <v>504</v>
      </c>
      <c r="T35" s="101"/>
      <c r="U35" s="47"/>
      <c r="V35" s="463" t="s">
        <v>504</v>
      </c>
      <c r="W35" s="101"/>
    </row>
    <row r="36" spans="1:35" ht="13.5" thickBot="1" x14ac:dyDescent="0.25">
      <c r="A36" s="494" t="s">
        <v>73</v>
      </c>
      <c r="B36" s="502" t="e">
        <f>ROUND(AVERAGE(B24:B35), 5)</f>
        <v>#DIV/0!</v>
      </c>
      <c r="C36" s="47"/>
      <c r="D36" s="515" t="s">
        <v>73</v>
      </c>
      <c r="E36" s="502" t="e">
        <f>ROUND(AVERAGE(E24:E35), 5)</f>
        <v>#DIV/0!</v>
      </c>
      <c r="F36" s="270"/>
      <c r="G36" s="494" t="s">
        <v>73</v>
      </c>
      <c r="H36" s="502" t="e">
        <f>ROUND(AVERAGE(H24:H35), 5)</f>
        <v>#DIV/0!</v>
      </c>
      <c r="I36" s="47"/>
      <c r="J36" s="494" t="s">
        <v>73</v>
      </c>
      <c r="K36" s="502" t="e">
        <f>ROUND(AVERAGE(K24:K35), 5)</f>
        <v>#DIV/0!</v>
      </c>
      <c r="L36" s="978"/>
      <c r="M36" s="501" t="s">
        <v>73</v>
      </c>
      <c r="N36" s="503" t="e">
        <f>ROUND(AVERAGE(N24:N35), 5)</f>
        <v>#DIV/0!</v>
      </c>
      <c r="O36" s="47"/>
      <c r="P36" s="501" t="s">
        <v>73</v>
      </c>
      <c r="Q36" s="503" t="e">
        <f>ROUND(AVERAGE(Q24:Q35), 5)</f>
        <v>#DIV/0!</v>
      </c>
      <c r="R36" s="47"/>
      <c r="S36" s="501" t="s">
        <v>73</v>
      </c>
      <c r="T36" s="513" t="e">
        <f>ROUND(AVERAGE(T24:T35), 5)</f>
        <v>#DIV/0!</v>
      </c>
      <c r="U36" s="47"/>
      <c r="V36" s="501" t="s">
        <v>73</v>
      </c>
      <c r="W36" s="503" t="e">
        <f>ROUND(AVERAGE(W24:W35), 5)</f>
        <v>#DIV/0!</v>
      </c>
    </row>
    <row r="37" spans="1:35" ht="13.5" thickBot="1" x14ac:dyDescent="0.25">
      <c r="A37" s="47"/>
      <c r="B37" s="47"/>
      <c r="C37" s="47"/>
      <c r="D37" s="47"/>
      <c r="E37" s="47"/>
      <c r="F37" s="47"/>
      <c r="G37" s="47"/>
      <c r="H37" s="47"/>
      <c r="I37" s="47"/>
      <c r="J37" s="47"/>
      <c r="K37" s="47"/>
      <c r="L37" s="976"/>
      <c r="M37" s="47"/>
      <c r="N37" s="47"/>
      <c r="O37" s="47"/>
      <c r="P37" s="47"/>
      <c r="Q37" s="47"/>
      <c r="R37" s="47"/>
      <c r="S37" s="47"/>
      <c r="T37" s="47"/>
      <c r="U37" s="47"/>
      <c r="V37" s="47"/>
      <c r="W37" s="47"/>
    </row>
    <row r="38" spans="1:35" x14ac:dyDescent="0.2">
      <c r="A38" s="239" t="s">
        <v>70</v>
      </c>
      <c r="B38" s="872"/>
      <c r="C38" s="47"/>
      <c r="D38" s="239" t="s">
        <v>70</v>
      </c>
      <c r="E38" s="872"/>
      <c r="F38" s="47"/>
      <c r="G38" s="239" t="s">
        <v>70</v>
      </c>
      <c r="H38" s="872"/>
      <c r="I38" s="47"/>
      <c r="J38" s="239" t="s">
        <v>70</v>
      </c>
      <c r="K38" s="872"/>
      <c r="L38" s="976"/>
      <c r="M38" s="239" t="s">
        <v>70</v>
      </c>
      <c r="N38" s="872"/>
      <c r="O38" s="47"/>
      <c r="P38" s="239" t="s">
        <v>70</v>
      </c>
      <c r="Q38" s="872"/>
      <c r="R38" s="47"/>
      <c r="S38" s="239" t="s">
        <v>70</v>
      </c>
      <c r="T38" s="872"/>
      <c r="U38" s="47"/>
      <c r="V38" s="239" t="s">
        <v>70</v>
      </c>
      <c r="W38" s="872"/>
      <c r="Y38" s="251"/>
      <c r="Z38" s="1040"/>
      <c r="AB38" s="251"/>
      <c r="AC38" s="1040"/>
      <c r="AE38" s="251"/>
      <c r="AF38" s="1040"/>
      <c r="AH38" s="251"/>
      <c r="AI38" s="1040"/>
    </row>
    <row r="39" spans="1:35" ht="13.5" thickBot="1" x14ac:dyDescent="0.25">
      <c r="A39" s="241" t="s">
        <v>72</v>
      </c>
      <c r="B39" s="337"/>
      <c r="C39" s="47"/>
      <c r="D39" s="241" t="s">
        <v>72</v>
      </c>
      <c r="E39" s="337"/>
      <c r="F39" s="47"/>
      <c r="G39" s="241" t="s">
        <v>72</v>
      </c>
      <c r="H39" s="338"/>
      <c r="I39" s="47"/>
      <c r="J39" s="241" t="s">
        <v>72</v>
      </c>
      <c r="K39" s="337"/>
      <c r="L39" s="976"/>
      <c r="M39" s="241" t="s">
        <v>72</v>
      </c>
      <c r="N39" s="337"/>
      <c r="O39" s="47"/>
      <c r="P39" s="241" t="s">
        <v>72</v>
      </c>
      <c r="Q39" s="337"/>
      <c r="R39" s="47"/>
      <c r="S39" s="241" t="s">
        <v>72</v>
      </c>
      <c r="T39" s="337"/>
      <c r="U39" s="47"/>
      <c r="V39" s="241" t="s">
        <v>72</v>
      </c>
      <c r="W39" s="337"/>
      <c r="Y39" s="84"/>
      <c r="AB39" s="84"/>
      <c r="AE39" s="84"/>
      <c r="AH39" s="84"/>
    </row>
    <row r="40" spans="1:35" ht="13.5" thickTop="1" x14ac:dyDescent="0.2">
      <c r="A40" s="243" t="s">
        <v>501</v>
      </c>
      <c r="B40" s="101"/>
      <c r="C40" s="47"/>
      <c r="D40" s="243" t="s">
        <v>501</v>
      </c>
      <c r="E40" s="101"/>
      <c r="F40" s="47"/>
      <c r="G40" s="243" t="s">
        <v>501</v>
      </c>
      <c r="H40" s="101"/>
      <c r="I40" s="47"/>
      <c r="J40" s="243" t="s">
        <v>501</v>
      </c>
      <c r="K40" s="101"/>
      <c r="L40" s="976"/>
      <c r="M40" s="243" t="s">
        <v>501</v>
      </c>
      <c r="N40" s="101"/>
      <c r="O40" s="47"/>
      <c r="P40" s="243" t="s">
        <v>501</v>
      </c>
      <c r="Q40" s="101"/>
      <c r="R40" s="47"/>
      <c r="S40" s="243" t="s">
        <v>501</v>
      </c>
      <c r="T40" s="101"/>
      <c r="U40" s="47"/>
      <c r="V40" s="243" t="s">
        <v>501</v>
      </c>
      <c r="W40" s="101"/>
      <c r="Y40" s="84"/>
      <c r="AB40" s="84"/>
      <c r="AE40" s="84"/>
      <c r="AH40" s="84"/>
    </row>
    <row r="41" spans="1:35" x14ac:dyDescent="0.2">
      <c r="A41" s="1039" t="s">
        <v>502</v>
      </c>
      <c r="B41" s="101"/>
      <c r="C41" s="47"/>
      <c r="D41" s="1039" t="s">
        <v>502</v>
      </c>
      <c r="E41" s="101"/>
      <c r="F41" s="47"/>
      <c r="G41" s="1039" t="s">
        <v>502</v>
      </c>
      <c r="H41" s="194"/>
      <c r="I41" s="47"/>
      <c r="J41" s="1039" t="s">
        <v>502</v>
      </c>
      <c r="K41" s="194"/>
      <c r="L41" s="976"/>
      <c r="M41" s="1039" t="s">
        <v>502</v>
      </c>
      <c r="N41" s="194"/>
      <c r="O41" s="47"/>
      <c r="P41" s="1039" t="s">
        <v>502</v>
      </c>
      <c r="Q41" s="194"/>
      <c r="R41" s="47"/>
      <c r="S41" s="1039" t="s">
        <v>502</v>
      </c>
      <c r="T41" s="194"/>
      <c r="U41" s="47"/>
      <c r="V41" s="1039" t="s">
        <v>502</v>
      </c>
      <c r="W41" s="194"/>
      <c r="Y41" s="470"/>
      <c r="AB41" s="470"/>
      <c r="AE41" s="470"/>
      <c r="AH41" s="470"/>
    </row>
    <row r="42" spans="1:35" x14ac:dyDescent="0.2">
      <c r="A42" s="92" t="s">
        <v>503</v>
      </c>
      <c r="B42" s="101"/>
      <c r="C42" s="47"/>
      <c r="D42" s="92" t="s">
        <v>503</v>
      </c>
      <c r="E42" s="101"/>
      <c r="F42" s="47"/>
      <c r="G42" s="92" t="s">
        <v>503</v>
      </c>
      <c r="H42" s="194"/>
      <c r="I42" s="47"/>
      <c r="J42" s="92" t="s">
        <v>503</v>
      </c>
      <c r="K42" s="194"/>
      <c r="L42" s="976"/>
      <c r="M42" s="92" t="s">
        <v>503</v>
      </c>
      <c r="N42" s="194"/>
      <c r="O42" s="47"/>
      <c r="P42" s="92" t="s">
        <v>503</v>
      </c>
      <c r="Q42" s="194"/>
      <c r="R42" s="47"/>
      <c r="S42" s="92" t="s">
        <v>503</v>
      </c>
      <c r="T42" s="194"/>
      <c r="U42" s="47"/>
      <c r="V42" s="92" t="s">
        <v>503</v>
      </c>
      <c r="W42" s="194"/>
      <c r="Y42" s="84"/>
      <c r="AB42" s="84"/>
      <c r="AE42" s="84"/>
      <c r="AH42" s="84"/>
    </row>
    <row r="43" spans="1:35" x14ac:dyDescent="0.2">
      <c r="A43" s="463" t="s">
        <v>504</v>
      </c>
      <c r="B43" s="101"/>
      <c r="C43" s="47"/>
      <c r="D43" s="463" t="s">
        <v>504</v>
      </c>
      <c r="E43" s="101"/>
      <c r="F43" s="47"/>
      <c r="G43" s="463" t="s">
        <v>504</v>
      </c>
      <c r="H43" s="194"/>
      <c r="I43" s="47"/>
      <c r="J43" s="463" t="s">
        <v>504</v>
      </c>
      <c r="K43" s="194"/>
      <c r="L43" s="976"/>
      <c r="M43" s="463" t="s">
        <v>504</v>
      </c>
      <c r="N43" s="194"/>
      <c r="O43" s="47"/>
      <c r="P43" s="463" t="s">
        <v>504</v>
      </c>
      <c r="Q43" s="194"/>
      <c r="R43" s="47"/>
      <c r="S43" s="463" t="s">
        <v>504</v>
      </c>
      <c r="T43" s="194"/>
      <c r="U43" s="47"/>
      <c r="V43" s="463" t="s">
        <v>504</v>
      </c>
      <c r="W43" s="194"/>
      <c r="Y43" s="470"/>
      <c r="AB43" s="470"/>
      <c r="AE43" s="470"/>
      <c r="AH43" s="470"/>
    </row>
    <row r="44" spans="1:35" x14ac:dyDescent="0.2">
      <c r="A44" s="92" t="s">
        <v>505</v>
      </c>
      <c r="B44" s="101"/>
      <c r="C44" s="47"/>
      <c r="D44" s="92" t="s">
        <v>505</v>
      </c>
      <c r="E44" s="101"/>
      <c r="F44" s="47"/>
      <c r="G44" s="92" t="s">
        <v>505</v>
      </c>
      <c r="H44" s="194"/>
      <c r="I44" s="47"/>
      <c r="J44" s="92" t="s">
        <v>505</v>
      </c>
      <c r="K44" s="194"/>
      <c r="L44" s="976"/>
      <c r="M44" s="92" t="s">
        <v>505</v>
      </c>
      <c r="N44" s="194"/>
      <c r="O44" s="47"/>
      <c r="P44" s="92" t="s">
        <v>505</v>
      </c>
      <c r="Q44" s="194"/>
      <c r="R44" s="47"/>
      <c r="S44" s="92" t="s">
        <v>505</v>
      </c>
      <c r="T44" s="194"/>
      <c r="U44" s="47"/>
      <c r="V44" s="92" t="s">
        <v>505</v>
      </c>
      <c r="W44" s="194"/>
      <c r="Y44" s="84"/>
      <c r="AB44" s="84"/>
      <c r="AE44" s="84"/>
      <c r="AH44" s="84"/>
    </row>
    <row r="45" spans="1:35" x14ac:dyDescent="0.2">
      <c r="A45" s="1039" t="s">
        <v>502</v>
      </c>
      <c r="B45" s="101"/>
      <c r="C45" s="47"/>
      <c r="D45" s="1039" t="s">
        <v>502</v>
      </c>
      <c r="E45" s="101"/>
      <c r="F45" s="47"/>
      <c r="G45" s="1039" t="s">
        <v>502</v>
      </c>
      <c r="H45" s="194"/>
      <c r="I45" s="47"/>
      <c r="J45" s="1039" t="s">
        <v>502</v>
      </c>
      <c r="K45" s="194"/>
      <c r="L45" s="976"/>
      <c r="M45" s="1039" t="s">
        <v>502</v>
      </c>
      <c r="N45" s="194"/>
      <c r="O45" s="47"/>
      <c r="P45" s="1039" t="s">
        <v>502</v>
      </c>
      <c r="Q45" s="194"/>
      <c r="R45" s="47"/>
      <c r="S45" s="1039" t="s">
        <v>502</v>
      </c>
      <c r="T45" s="194"/>
      <c r="U45" s="47"/>
      <c r="V45" s="1039" t="s">
        <v>502</v>
      </c>
      <c r="W45" s="194"/>
      <c r="Y45" s="470"/>
      <c r="AB45" s="470"/>
      <c r="AE45" s="470"/>
      <c r="AH45" s="470"/>
    </row>
    <row r="46" spans="1:35" x14ac:dyDescent="0.2">
      <c r="A46" s="92" t="s">
        <v>506</v>
      </c>
      <c r="B46" s="101"/>
      <c r="C46" s="47"/>
      <c r="D46" s="92" t="s">
        <v>506</v>
      </c>
      <c r="E46" s="101"/>
      <c r="F46" s="47"/>
      <c r="G46" s="92" t="s">
        <v>506</v>
      </c>
      <c r="H46" s="194"/>
      <c r="I46" s="47"/>
      <c r="J46" s="92" t="s">
        <v>506</v>
      </c>
      <c r="K46" s="194"/>
      <c r="L46" s="976"/>
      <c r="M46" s="92" t="s">
        <v>506</v>
      </c>
      <c r="N46" s="194"/>
      <c r="O46" s="47"/>
      <c r="P46" s="92" t="s">
        <v>506</v>
      </c>
      <c r="Q46" s="194"/>
      <c r="R46" s="47"/>
      <c r="S46" s="92" t="s">
        <v>506</v>
      </c>
      <c r="T46" s="194"/>
      <c r="U46" s="47"/>
      <c r="V46" s="92" t="s">
        <v>506</v>
      </c>
      <c r="W46" s="194"/>
      <c r="Y46" s="84"/>
      <c r="AB46" s="84"/>
      <c r="AE46" s="84"/>
      <c r="AH46" s="84"/>
    </row>
    <row r="47" spans="1:35" x14ac:dyDescent="0.2">
      <c r="A47" s="463" t="s">
        <v>504</v>
      </c>
      <c r="B47" s="101"/>
      <c r="C47" s="47"/>
      <c r="D47" s="463" t="s">
        <v>504</v>
      </c>
      <c r="E47" s="101"/>
      <c r="F47" s="47"/>
      <c r="G47" s="463" t="s">
        <v>504</v>
      </c>
      <c r="H47" s="101"/>
      <c r="I47" s="47"/>
      <c r="J47" s="463" t="s">
        <v>504</v>
      </c>
      <c r="K47" s="101"/>
      <c r="L47" s="976"/>
      <c r="M47" s="463" t="s">
        <v>504</v>
      </c>
      <c r="N47" s="101"/>
      <c r="O47" s="47"/>
      <c r="P47" s="463" t="s">
        <v>504</v>
      </c>
      <c r="Q47" s="101"/>
      <c r="R47" s="47"/>
      <c r="S47" s="463" t="s">
        <v>504</v>
      </c>
      <c r="T47" s="101"/>
      <c r="U47" s="47"/>
      <c r="V47" s="463" t="s">
        <v>504</v>
      </c>
      <c r="W47" s="101"/>
      <c r="Y47" s="470"/>
      <c r="AB47" s="470"/>
      <c r="AE47" s="470"/>
      <c r="AH47" s="470"/>
    </row>
    <row r="48" spans="1:35" x14ac:dyDescent="0.2">
      <c r="A48" s="92" t="s">
        <v>507</v>
      </c>
      <c r="B48" s="101"/>
      <c r="C48" s="47"/>
      <c r="D48" s="92" t="s">
        <v>507</v>
      </c>
      <c r="E48" s="101"/>
      <c r="F48" s="47"/>
      <c r="G48" s="92" t="s">
        <v>507</v>
      </c>
      <c r="H48" s="101"/>
      <c r="I48" s="47"/>
      <c r="J48" s="92" t="s">
        <v>507</v>
      </c>
      <c r="K48" s="101"/>
      <c r="L48" s="976"/>
      <c r="M48" s="92" t="s">
        <v>507</v>
      </c>
      <c r="N48" s="101"/>
      <c r="O48" s="47"/>
      <c r="P48" s="92" t="s">
        <v>507</v>
      </c>
      <c r="Q48" s="101"/>
      <c r="R48" s="47"/>
      <c r="S48" s="92" t="s">
        <v>507</v>
      </c>
      <c r="T48" s="101"/>
      <c r="U48" s="47"/>
      <c r="V48" s="92" t="s">
        <v>507</v>
      </c>
      <c r="W48" s="101"/>
      <c r="Y48" s="84"/>
      <c r="AB48" s="84"/>
      <c r="AE48" s="84"/>
      <c r="AH48" s="84"/>
    </row>
    <row r="49" spans="1:35" x14ac:dyDescent="0.2">
      <c r="A49" s="1039" t="s">
        <v>502</v>
      </c>
      <c r="B49" s="101"/>
      <c r="C49" s="47"/>
      <c r="D49" s="1039" t="s">
        <v>502</v>
      </c>
      <c r="E49" s="101"/>
      <c r="F49" s="47"/>
      <c r="G49" s="1039" t="s">
        <v>502</v>
      </c>
      <c r="H49" s="101"/>
      <c r="I49" s="47"/>
      <c r="J49" s="1039" t="s">
        <v>502</v>
      </c>
      <c r="K49" s="101"/>
      <c r="L49" s="976"/>
      <c r="M49" s="1039" t="s">
        <v>502</v>
      </c>
      <c r="N49" s="101"/>
      <c r="O49" s="47"/>
      <c r="P49" s="1039" t="s">
        <v>502</v>
      </c>
      <c r="Q49" s="101"/>
      <c r="R49" s="47"/>
      <c r="S49" s="1039" t="s">
        <v>502</v>
      </c>
      <c r="T49" s="101"/>
      <c r="U49" s="47"/>
      <c r="V49" s="1039" t="s">
        <v>502</v>
      </c>
      <c r="W49" s="101"/>
      <c r="Y49" s="470"/>
      <c r="AB49" s="470"/>
      <c r="AE49" s="470"/>
      <c r="AH49" s="470"/>
    </row>
    <row r="50" spans="1:35" x14ac:dyDescent="0.2">
      <c r="A50" s="92" t="s">
        <v>508</v>
      </c>
      <c r="B50" s="101"/>
      <c r="C50" s="47"/>
      <c r="D50" s="92" t="s">
        <v>508</v>
      </c>
      <c r="E50" s="101"/>
      <c r="F50" s="47"/>
      <c r="G50" s="92" t="s">
        <v>508</v>
      </c>
      <c r="H50" s="101"/>
      <c r="I50" s="47"/>
      <c r="J50" s="92" t="s">
        <v>508</v>
      </c>
      <c r="K50" s="101"/>
      <c r="L50" s="976"/>
      <c r="M50" s="92" t="s">
        <v>508</v>
      </c>
      <c r="N50" s="101"/>
      <c r="O50" s="47"/>
      <c r="P50" s="92" t="s">
        <v>508</v>
      </c>
      <c r="Q50" s="101"/>
      <c r="R50" s="47"/>
      <c r="S50" s="92" t="s">
        <v>508</v>
      </c>
      <c r="T50" s="101"/>
      <c r="U50" s="47"/>
      <c r="V50" s="92" t="s">
        <v>508</v>
      </c>
      <c r="W50" s="101"/>
      <c r="Y50" s="84"/>
      <c r="AB50" s="84"/>
      <c r="AE50" s="84"/>
      <c r="AH50" s="84"/>
    </row>
    <row r="51" spans="1:35" x14ac:dyDescent="0.2">
      <c r="A51" s="463" t="s">
        <v>504</v>
      </c>
      <c r="B51" s="101"/>
      <c r="C51" s="47"/>
      <c r="D51" s="463" t="s">
        <v>504</v>
      </c>
      <c r="E51" s="101"/>
      <c r="F51" s="47"/>
      <c r="G51" s="463" t="s">
        <v>504</v>
      </c>
      <c r="H51" s="101"/>
      <c r="I51" s="47"/>
      <c r="J51" s="463" t="s">
        <v>504</v>
      </c>
      <c r="K51" s="101"/>
      <c r="L51" s="976"/>
      <c r="M51" s="463" t="s">
        <v>504</v>
      </c>
      <c r="N51" s="101"/>
      <c r="O51" s="47"/>
      <c r="P51" s="463" t="s">
        <v>504</v>
      </c>
      <c r="Q51" s="101"/>
      <c r="R51" s="47"/>
      <c r="S51" s="463" t="s">
        <v>504</v>
      </c>
      <c r="T51" s="101"/>
      <c r="U51" s="47"/>
      <c r="V51" s="463" t="s">
        <v>504</v>
      </c>
      <c r="W51" s="101"/>
      <c r="Y51" s="470"/>
      <c r="AB51" s="470"/>
      <c r="AE51" s="470"/>
      <c r="AH51" s="470"/>
    </row>
    <row r="52" spans="1:35" ht="13.5" thickBot="1" x14ac:dyDescent="0.25">
      <c r="A52" s="516" t="s">
        <v>73</v>
      </c>
      <c r="B52" s="514" t="e">
        <f>ROUND(AVERAGE(B40:B51), 5)</f>
        <v>#DIV/0!</v>
      </c>
      <c r="C52" s="47"/>
      <c r="D52" s="516" t="s">
        <v>73</v>
      </c>
      <c r="E52" s="514" t="e">
        <f>ROUND(AVERAGE(E40:E51), 5)</f>
        <v>#DIV/0!</v>
      </c>
      <c r="F52" s="47"/>
      <c r="G52" s="516" t="s">
        <v>73</v>
      </c>
      <c r="H52" s="514" t="e">
        <f>ROUND(AVERAGE(H40:H51), 5)</f>
        <v>#DIV/0!</v>
      </c>
      <c r="I52" s="47"/>
      <c r="J52" s="516" t="s">
        <v>73</v>
      </c>
      <c r="K52" s="514" t="e">
        <f>ROUND(AVERAGE(K40:K51), 5)</f>
        <v>#DIV/0!</v>
      </c>
      <c r="L52" s="976"/>
      <c r="M52" s="501" t="s">
        <v>73</v>
      </c>
      <c r="N52" s="503" t="e">
        <f>ROUND(AVERAGE(N40:N51), 5)</f>
        <v>#DIV/0!</v>
      </c>
      <c r="O52" s="47"/>
      <c r="P52" s="501" t="s">
        <v>73</v>
      </c>
      <c r="Q52" s="503" t="e">
        <f>ROUND(AVERAGE(Q40:Q51), 5)</f>
        <v>#DIV/0!</v>
      </c>
      <c r="R52" s="47"/>
      <c r="S52" s="501" t="s">
        <v>73</v>
      </c>
      <c r="T52" s="503" t="e">
        <f>ROUND(AVERAGE(T40:T51), 5)</f>
        <v>#DIV/0!</v>
      </c>
      <c r="U52" s="47"/>
      <c r="V52" s="501" t="s">
        <v>73</v>
      </c>
      <c r="W52" s="503" t="e">
        <f>ROUND(AVERAGE(W40:W51), 5)</f>
        <v>#DIV/0!</v>
      </c>
      <c r="Y52" s="84"/>
      <c r="Z52" s="265"/>
      <c r="AB52" s="84"/>
      <c r="AC52" s="265"/>
      <c r="AE52" s="84"/>
      <c r="AF52" s="265"/>
      <c r="AH52" s="84"/>
      <c r="AI52" s="265"/>
    </row>
    <row r="53" spans="1:35" ht="13.5" thickBot="1" x14ac:dyDescent="0.25">
      <c r="A53" s="260"/>
      <c r="B53" s="270"/>
      <c r="C53" s="47"/>
      <c r="D53" s="260"/>
      <c r="E53" s="270"/>
      <c r="F53" s="47"/>
      <c r="G53" s="260"/>
      <c r="H53" s="270"/>
      <c r="I53" s="47"/>
      <c r="J53" s="260"/>
      <c r="K53" s="270"/>
      <c r="L53" s="976"/>
      <c r="M53" s="260"/>
      <c r="N53" s="270"/>
      <c r="O53" s="47"/>
      <c r="P53" s="260"/>
      <c r="Q53" s="270"/>
      <c r="R53" s="47"/>
      <c r="S53" s="260"/>
      <c r="T53" s="270"/>
      <c r="U53" s="47"/>
      <c r="V53" s="260"/>
      <c r="W53" s="270"/>
      <c r="Y53" s="84"/>
      <c r="Z53" s="265"/>
      <c r="AB53" s="84"/>
      <c r="AC53" s="265"/>
      <c r="AE53" s="84"/>
      <c r="AF53" s="265"/>
      <c r="AH53" s="84"/>
      <c r="AI53" s="265"/>
    </row>
    <row r="54" spans="1:35" x14ac:dyDescent="0.2">
      <c r="A54" s="239" t="s">
        <v>70</v>
      </c>
      <c r="B54" s="872"/>
      <c r="C54" s="47"/>
      <c r="D54" s="239" t="s">
        <v>70</v>
      </c>
      <c r="E54" s="872"/>
      <c r="F54" s="47"/>
      <c r="G54" s="239" t="s">
        <v>70</v>
      </c>
      <c r="H54" s="872"/>
      <c r="I54" s="47"/>
      <c r="J54" s="239" t="s">
        <v>70</v>
      </c>
      <c r="K54" s="872"/>
      <c r="L54" s="976"/>
      <c r="M54" s="239" t="s">
        <v>70</v>
      </c>
      <c r="N54" s="872"/>
      <c r="O54" s="47"/>
      <c r="P54" s="239" t="s">
        <v>70</v>
      </c>
      <c r="Q54" s="872"/>
      <c r="R54" s="47"/>
      <c r="S54" s="239" t="s">
        <v>70</v>
      </c>
      <c r="T54" s="872"/>
      <c r="U54" s="47"/>
      <c r="V54" s="239" t="s">
        <v>70</v>
      </c>
      <c r="W54" s="872"/>
    </row>
    <row r="55" spans="1:35" ht="13.5" thickBot="1" x14ac:dyDescent="0.25">
      <c r="A55" s="241" t="s">
        <v>72</v>
      </c>
      <c r="B55" s="337"/>
      <c r="C55" s="47"/>
      <c r="D55" s="241" t="s">
        <v>72</v>
      </c>
      <c r="E55" s="337"/>
      <c r="F55" s="47"/>
      <c r="G55" s="241" t="s">
        <v>72</v>
      </c>
      <c r="H55" s="337"/>
      <c r="I55" s="47"/>
      <c r="J55" s="241" t="s">
        <v>72</v>
      </c>
      <c r="K55" s="337"/>
      <c r="L55" s="976"/>
      <c r="M55" s="241" t="s">
        <v>72</v>
      </c>
      <c r="N55" s="337"/>
      <c r="O55" s="47"/>
      <c r="P55" s="241" t="s">
        <v>72</v>
      </c>
      <c r="Q55" s="337"/>
      <c r="R55" s="47"/>
      <c r="S55" s="241" t="s">
        <v>72</v>
      </c>
      <c r="T55" s="337"/>
      <c r="U55" s="339"/>
      <c r="V55" s="241" t="s">
        <v>72</v>
      </c>
      <c r="W55" s="337"/>
    </row>
    <row r="56" spans="1:35" ht="13.5" thickTop="1" x14ac:dyDescent="0.2">
      <c r="A56" s="243" t="s">
        <v>501</v>
      </c>
      <c r="B56" s="101"/>
      <c r="C56" s="47"/>
      <c r="D56" s="243" t="s">
        <v>501</v>
      </c>
      <c r="E56" s="101"/>
      <c r="F56" s="47"/>
      <c r="G56" s="243" t="s">
        <v>501</v>
      </c>
      <c r="H56" s="101"/>
      <c r="I56" s="47"/>
      <c r="J56" s="243" t="s">
        <v>501</v>
      </c>
      <c r="K56" s="101"/>
      <c r="L56" s="976"/>
      <c r="M56" s="243" t="s">
        <v>501</v>
      </c>
      <c r="N56" s="101"/>
      <c r="O56" s="47"/>
      <c r="P56" s="243" t="s">
        <v>501</v>
      </c>
      <c r="Q56" s="101"/>
      <c r="R56" s="47"/>
      <c r="S56" s="243" t="s">
        <v>501</v>
      </c>
      <c r="T56" s="101"/>
      <c r="U56" s="47"/>
      <c r="V56" s="243" t="s">
        <v>501</v>
      </c>
      <c r="W56" s="101"/>
    </row>
    <row r="57" spans="1:35" x14ac:dyDescent="0.2">
      <c r="A57" s="1039" t="s">
        <v>502</v>
      </c>
      <c r="B57" s="194"/>
      <c r="C57" s="47"/>
      <c r="D57" s="1039" t="s">
        <v>502</v>
      </c>
      <c r="E57" s="194"/>
      <c r="F57" s="47"/>
      <c r="G57" s="1039" t="s">
        <v>502</v>
      </c>
      <c r="H57" s="194"/>
      <c r="I57" s="47"/>
      <c r="J57" s="1039" t="s">
        <v>502</v>
      </c>
      <c r="K57" s="194"/>
      <c r="L57" s="976"/>
      <c r="M57" s="1039" t="s">
        <v>502</v>
      </c>
      <c r="N57" s="194"/>
      <c r="O57" s="47"/>
      <c r="P57" s="1039" t="s">
        <v>502</v>
      </c>
      <c r="Q57" s="194"/>
      <c r="R57" s="47"/>
      <c r="S57" s="1039" t="s">
        <v>502</v>
      </c>
      <c r="T57" s="194"/>
      <c r="U57" s="47"/>
      <c r="V57" s="1039" t="s">
        <v>502</v>
      </c>
      <c r="W57" s="194"/>
    </row>
    <row r="58" spans="1:35" x14ac:dyDescent="0.2">
      <c r="A58" s="92" t="s">
        <v>503</v>
      </c>
      <c r="B58" s="194"/>
      <c r="C58" s="47"/>
      <c r="D58" s="92" t="s">
        <v>503</v>
      </c>
      <c r="E58" s="194"/>
      <c r="F58" s="47"/>
      <c r="G58" s="92" t="s">
        <v>503</v>
      </c>
      <c r="H58" s="194"/>
      <c r="I58" s="47"/>
      <c r="J58" s="92" t="s">
        <v>503</v>
      </c>
      <c r="K58" s="194"/>
      <c r="L58" s="976"/>
      <c r="M58" s="92" t="s">
        <v>503</v>
      </c>
      <c r="N58" s="194"/>
      <c r="O58" s="47"/>
      <c r="P58" s="92" t="s">
        <v>503</v>
      </c>
      <c r="Q58" s="194"/>
      <c r="R58" s="47"/>
      <c r="S58" s="92" t="s">
        <v>503</v>
      </c>
      <c r="T58" s="194"/>
      <c r="U58" s="47"/>
      <c r="V58" s="92" t="s">
        <v>503</v>
      </c>
      <c r="W58" s="194"/>
    </row>
    <row r="59" spans="1:35" x14ac:dyDescent="0.2">
      <c r="A59" s="463" t="s">
        <v>504</v>
      </c>
      <c r="B59" s="194"/>
      <c r="C59" s="47"/>
      <c r="D59" s="463" t="s">
        <v>504</v>
      </c>
      <c r="E59" s="194"/>
      <c r="F59" s="47"/>
      <c r="G59" s="463" t="s">
        <v>504</v>
      </c>
      <c r="H59" s="194"/>
      <c r="I59" s="47"/>
      <c r="J59" s="463" t="s">
        <v>504</v>
      </c>
      <c r="K59" s="194"/>
      <c r="L59" s="976"/>
      <c r="M59" s="463" t="s">
        <v>504</v>
      </c>
      <c r="N59" s="194"/>
      <c r="O59" s="47"/>
      <c r="P59" s="463" t="s">
        <v>504</v>
      </c>
      <c r="Q59" s="194"/>
      <c r="R59" s="47"/>
      <c r="S59" s="463" t="s">
        <v>504</v>
      </c>
      <c r="T59" s="194"/>
      <c r="U59" s="47"/>
      <c r="V59" s="463" t="s">
        <v>504</v>
      </c>
      <c r="W59" s="194"/>
    </row>
    <row r="60" spans="1:35" x14ac:dyDescent="0.2">
      <c r="A60" s="92" t="s">
        <v>505</v>
      </c>
      <c r="B60" s="194"/>
      <c r="C60" s="47"/>
      <c r="D60" s="92" t="s">
        <v>505</v>
      </c>
      <c r="E60" s="194"/>
      <c r="F60" s="47"/>
      <c r="G60" s="92" t="s">
        <v>505</v>
      </c>
      <c r="H60" s="194"/>
      <c r="I60" s="47"/>
      <c r="J60" s="92" t="s">
        <v>505</v>
      </c>
      <c r="K60" s="194"/>
      <c r="L60" s="976"/>
      <c r="M60" s="92" t="s">
        <v>505</v>
      </c>
      <c r="N60" s="194"/>
      <c r="O60" s="47"/>
      <c r="P60" s="92" t="s">
        <v>505</v>
      </c>
      <c r="Q60" s="194"/>
      <c r="R60" s="47"/>
      <c r="S60" s="92" t="s">
        <v>505</v>
      </c>
      <c r="T60" s="194"/>
      <c r="U60" s="47"/>
      <c r="V60" s="92" t="s">
        <v>505</v>
      </c>
      <c r="W60" s="194"/>
    </row>
    <row r="61" spans="1:35" x14ac:dyDescent="0.2">
      <c r="A61" s="1039" t="s">
        <v>502</v>
      </c>
      <c r="B61" s="194"/>
      <c r="C61" s="47"/>
      <c r="D61" s="1039" t="s">
        <v>502</v>
      </c>
      <c r="E61" s="194"/>
      <c r="F61" s="47"/>
      <c r="G61" s="1039" t="s">
        <v>502</v>
      </c>
      <c r="H61" s="194"/>
      <c r="I61" s="47"/>
      <c r="J61" s="1039" t="s">
        <v>502</v>
      </c>
      <c r="K61" s="194"/>
      <c r="L61" s="976"/>
      <c r="M61" s="1039" t="s">
        <v>502</v>
      </c>
      <c r="N61" s="194"/>
      <c r="O61" s="47"/>
      <c r="P61" s="1039" t="s">
        <v>502</v>
      </c>
      <c r="Q61" s="194"/>
      <c r="R61" s="47"/>
      <c r="S61" s="1039" t="s">
        <v>502</v>
      </c>
      <c r="T61" s="194"/>
      <c r="U61" s="47"/>
      <c r="V61" s="1039" t="s">
        <v>502</v>
      </c>
      <c r="W61" s="194"/>
    </row>
    <row r="62" spans="1:35" x14ac:dyDescent="0.2">
      <c r="A62" s="92" t="s">
        <v>506</v>
      </c>
      <c r="B62" s="194"/>
      <c r="C62" s="47"/>
      <c r="D62" s="92" t="s">
        <v>506</v>
      </c>
      <c r="E62" s="194"/>
      <c r="F62" s="47"/>
      <c r="G62" s="92" t="s">
        <v>506</v>
      </c>
      <c r="H62" s="194"/>
      <c r="I62" s="47"/>
      <c r="J62" s="92" t="s">
        <v>506</v>
      </c>
      <c r="K62" s="194"/>
      <c r="L62" s="976"/>
      <c r="M62" s="92" t="s">
        <v>506</v>
      </c>
      <c r="N62" s="194"/>
      <c r="O62" s="47"/>
      <c r="P62" s="92" t="s">
        <v>506</v>
      </c>
      <c r="Q62" s="194"/>
      <c r="R62" s="47"/>
      <c r="S62" s="92" t="s">
        <v>506</v>
      </c>
      <c r="T62" s="194"/>
      <c r="U62" s="47"/>
      <c r="V62" s="92" t="s">
        <v>506</v>
      </c>
      <c r="W62" s="194"/>
    </row>
    <row r="63" spans="1:35" x14ac:dyDescent="0.2">
      <c r="A63" s="463" t="s">
        <v>504</v>
      </c>
      <c r="B63" s="101"/>
      <c r="C63" s="47"/>
      <c r="D63" s="463" t="s">
        <v>504</v>
      </c>
      <c r="E63" s="101"/>
      <c r="F63" s="47"/>
      <c r="G63" s="463" t="s">
        <v>504</v>
      </c>
      <c r="H63" s="101"/>
      <c r="I63" s="47"/>
      <c r="J63" s="463" t="s">
        <v>504</v>
      </c>
      <c r="K63" s="101"/>
      <c r="L63" s="976"/>
      <c r="M63" s="463" t="s">
        <v>504</v>
      </c>
      <c r="N63" s="101"/>
      <c r="O63" s="47"/>
      <c r="P63" s="463" t="s">
        <v>504</v>
      </c>
      <c r="Q63" s="101"/>
      <c r="R63" s="47"/>
      <c r="S63" s="463" t="s">
        <v>504</v>
      </c>
      <c r="T63" s="101"/>
      <c r="U63" s="47"/>
      <c r="V63" s="463" t="s">
        <v>504</v>
      </c>
      <c r="W63" s="101"/>
    </row>
    <row r="64" spans="1:35" x14ac:dyDescent="0.2">
      <c r="A64" s="92" t="s">
        <v>507</v>
      </c>
      <c r="B64" s="101"/>
      <c r="C64" s="47"/>
      <c r="D64" s="92" t="s">
        <v>507</v>
      </c>
      <c r="E64" s="101"/>
      <c r="F64" s="47"/>
      <c r="G64" s="92" t="s">
        <v>507</v>
      </c>
      <c r="H64" s="101"/>
      <c r="I64" s="47"/>
      <c r="J64" s="92" t="s">
        <v>507</v>
      </c>
      <c r="K64" s="101"/>
      <c r="L64" s="976"/>
      <c r="M64" s="92" t="s">
        <v>507</v>
      </c>
      <c r="N64" s="101"/>
      <c r="O64" s="47"/>
      <c r="P64" s="92" t="s">
        <v>507</v>
      </c>
      <c r="Q64" s="101"/>
      <c r="R64" s="47"/>
      <c r="S64" s="92" t="s">
        <v>507</v>
      </c>
      <c r="T64" s="101"/>
      <c r="U64" s="47"/>
      <c r="V64" s="92" t="s">
        <v>507</v>
      </c>
      <c r="W64" s="101"/>
    </row>
    <row r="65" spans="1:23" x14ac:dyDescent="0.2">
      <c r="A65" s="1039" t="s">
        <v>502</v>
      </c>
      <c r="B65" s="101"/>
      <c r="C65" s="47"/>
      <c r="D65" s="1039" t="s">
        <v>502</v>
      </c>
      <c r="E65" s="101"/>
      <c r="F65" s="47"/>
      <c r="G65" s="1039" t="s">
        <v>502</v>
      </c>
      <c r="H65" s="101"/>
      <c r="I65" s="47"/>
      <c r="J65" s="1039" t="s">
        <v>502</v>
      </c>
      <c r="K65" s="101"/>
      <c r="L65" s="976"/>
      <c r="M65" s="1039" t="s">
        <v>502</v>
      </c>
      <c r="N65" s="101"/>
      <c r="O65" s="47"/>
      <c r="P65" s="1039" t="s">
        <v>502</v>
      </c>
      <c r="Q65" s="101"/>
      <c r="R65" s="47"/>
      <c r="S65" s="1039" t="s">
        <v>502</v>
      </c>
      <c r="T65" s="101"/>
      <c r="U65" s="47"/>
      <c r="V65" s="1039" t="s">
        <v>502</v>
      </c>
      <c r="W65" s="101"/>
    </row>
    <row r="66" spans="1:23" x14ac:dyDescent="0.2">
      <c r="A66" s="92" t="s">
        <v>508</v>
      </c>
      <c r="B66" s="101"/>
      <c r="C66" s="47"/>
      <c r="D66" s="92" t="s">
        <v>508</v>
      </c>
      <c r="E66" s="101"/>
      <c r="F66" s="47"/>
      <c r="G66" s="92" t="s">
        <v>508</v>
      </c>
      <c r="H66" s="101"/>
      <c r="I66" s="47"/>
      <c r="J66" s="92" t="s">
        <v>508</v>
      </c>
      <c r="K66" s="101"/>
      <c r="L66" s="976"/>
      <c r="M66" s="92" t="s">
        <v>508</v>
      </c>
      <c r="N66" s="101"/>
      <c r="O66" s="47"/>
      <c r="P66" s="92" t="s">
        <v>508</v>
      </c>
      <c r="Q66" s="101"/>
      <c r="R66" s="47"/>
      <c r="S66" s="92" t="s">
        <v>508</v>
      </c>
      <c r="T66" s="101"/>
      <c r="U66" s="47"/>
      <c r="V66" s="92" t="s">
        <v>508</v>
      </c>
      <c r="W66" s="101"/>
    </row>
    <row r="67" spans="1:23" x14ac:dyDescent="0.2">
      <c r="A67" s="463" t="s">
        <v>504</v>
      </c>
      <c r="B67" s="101"/>
      <c r="C67" s="47"/>
      <c r="D67" s="463" t="s">
        <v>504</v>
      </c>
      <c r="E67" s="101"/>
      <c r="F67" s="47"/>
      <c r="G67" s="463" t="s">
        <v>504</v>
      </c>
      <c r="H67" s="101"/>
      <c r="I67" s="47"/>
      <c r="J67" s="463" t="s">
        <v>504</v>
      </c>
      <c r="K67" s="101"/>
      <c r="L67" s="976"/>
      <c r="M67" s="463" t="s">
        <v>504</v>
      </c>
      <c r="N67" s="101"/>
      <c r="O67" s="47"/>
      <c r="P67" s="463" t="s">
        <v>504</v>
      </c>
      <c r="Q67" s="101"/>
      <c r="R67" s="47"/>
      <c r="S67" s="463" t="s">
        <v>504</v>
      </c>
      <c r="T67" s="101"/>
      <c r="U67" s="47"/>
      <c r="V67" s="463" t="s">
        <v>504</v>
      </c>
      <c r="W67" s="101"/>
    </row>
    <row r="68" spans="1:23" ht="13.5" thickBot="1" x14ac:dyDescent="0.25">
      <c r="A68" s="501" t="s">
        <v>73</v>
      </c>
      <c r="B68" s="503" t="e">
        <f>ROUND(AVERAGE(B56:B67), 5)</f>
        <v>#DIV/0!</v>
      </c>
      <c r="C68" s="47"/>
      <c r="D68" s="501" t="s">
        <v>73</v>
      </c>
      <c r="E68" s="503" t="e">
        <f>ROUND(AVERAGE(E56:E67), 5)</f>
        <v>#DIV/0!</v>
      </c>
      <c r="F68" s="47"/>
      <c r="G68" s="501" t="s">
        <v>73</v>
      </c>
      <c r="H68" s="503" t="e">
        <f>ROUND(AVERAGE(H56:H67), 5)</f>
        <v>#DIV/0!</v>
      </c>
      <c r="I68" s="47"/>
      <c r="J68" s="501" t="s">
        <v>73</v>
      </c>
      <c r="K68" s="503" t="e">
        <f>ROUND(AVERAGE(K56:K67), 5)</f>
        <v>#DIV/0!</v>
      </c>
      <c r="L68" s="976"/>
      <c r="M68" s="501" t="s">
        <v>73</v>
      </c>
      <c r="N68" s="503" t="e">
        <f>ROUND(AVERAGE(N56:N67), 5)</f>
        <v>#DIV/0!</v>
      </c>
      <c r="O68" s="47"/>
      <c r="P68" s="501" t="s">
        <v>73</v>
      </c>
      <c r="Q68" s="503" t="e">
        <f>ROUND(AVERAGE(Q56:Q67), 5)</f>
        <v>#DIV/0!</v>
      </c>
      <c r="R68" s="47"/>
      <c r="S68" s="501" t="s">
        <v>73</v>
      </c>
      <c r="T68" s="503" t="e">
        <f>ROUND(AVERAGE(T56:T67), 5)</f>
        <v>#DIV/0!</v>
      </c>
      <c r="U68" s="47"/>
      <c r="V68" s="501" t="s">
        <v>73</v>
      </c>
      <c r="W68" s="503" t="e">
        <f>ROUND(AVERAGE(W56:W67), 5)</f>
        <v>#DIV/0!</v>
      </c>
    </row>
    <row r="69" spans="1:23" x14ac:dyDescent="0.2">
      <c r="A69" s="47"/>
      <c r="B69" s="47"/>
      <c r="C69" s="47"/>
      <c r="D69" s="47"/>
      <c r="E69" s="47"/>
      <c r="F69" s="47"/>
      <c r="G69" s="47"/>
      <c r="H69" s="47"/>
      <c r="I69" s="47"/>
      <c r="J69" s="47"/>
      <c r="K69" s="47"/>
      <c r="L69" s="976"/>
      <c r="M69" s="47"/>
      <c r="N69" s="47"/>
      <c r="O69" s="47"/>
      <c r="P69" s="47"/>
      <c r="Q69" s="47"/>
      <c r="R69" s="47"/>
      <c r="S69" s="47"/>
      <c r="T69" s="47"/>
      <c r="U69" s="47"/>
      <c r="V69" s="47"/>
      <c r="W69" s="47"/>
    </row>
    <row r="70" spans="1:23" x14ac:dyDescent="0.2">
      <c r="G70" s="84"/>
      <c r="H70" s="84"/>
    </row>
  </sheetData>
  <sheetProtection password="CC48" sheet="1" objects="1" scenarios="1" selectLockedCells="1"/>
  <mergeCells count="1">
    <mergeCell ref="A2:I2"/>
  </mergeCells>
  <phoneticPr fontId="13" type="noConversion"/>
  <conditionalFormatting sqref="E20 H20 K20 B36 AC19 Z19 K36:L36 E36:F36 B20 AI19 N36 T36 W36 Z52:Z53 K52:K53 H70 Q20 W20 Q36 N20 AF52:AF53 AI52:AI53 AC52:AC53 H36 AF19 B52:B53 Q52:Q53 H52:H53 E52:E53 N52:N53 T52:T53 W52:W53 T20 E68 K68 B68 H68 Q68 N68 T68 W68">
    <cfRule type="cellIs" dxfId="57" priority="1" stopIfTrue="1" operator="greaterThan">
      <formula>B6+0.0001</formula>
    </cfRule>
    <cfRule type="cellIs" dxfId="56" priority="2" stopIfTrue="1" operator="lessThan">
      <formula>B6-0.0001</formula>
    </cfRule>
  </conditionalFormatting>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3" r:id="rId4" name="Button 3">
              <controlPr defaultSize="0" print="0" autoFill="0" autoPict="0" macro="[0]!ReturnToMain">
                <anchor moveWithCells="1" sizeWithCells="1">
                  <from>
                    <xdr:col>0</xdr:col>
                    <xdr:colOff>19050</xdr:colOff>
                    <xdr:row>0</xdr:row>
                    <xdr:rowOff>19050</xdr:rowOff>
                  </from>
                  <to>
                    <xdr:col>1</xdr:col>
                    <xdr:colOff>219075</xdr:colOff>
                    <xdr:row>0</xdr:row>
                    <xdr:rowOff>152400</xdr:rowOff>
                  </to>
                </anchor>
              </controlPr>
            </control>
          </mc:Choice>
        </mc:AlternateContent>
        <mc:AlternateContent xmlns:mc="http://schemas.openxmlformats.org/markup-compatibility/2006">
          <mc:Choice Requires="x14">
            <control shapeId="25604" r:id="rId5" name="Button 4">
              <controlPr defaultSize="0" print="0" autoFill="0" autoPict="0" macro="[0]!PeeDeeClearContents">
                <anchor moveWithCells="1" sizeWithCells="1">
                  <from>
                    <xdr:col>1</xdr:col>
                    <xdr:colOff>247650</xdr:colOff>
                    <xdr:row>0</xdr:row>
                    <xdr:rowOff>19050</xdr:rowOff>
                  </from>
                  <to>
                    <xdr:col>3</xdr:col>
                    <xdr:colOff>523875</xdr:colOff>
                    <xdr:row>0</xdr:row>
                    <xdr:rowOff>142875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1">
    <tabColor rgb="FF009999"/>
  </sheetPr>
  <dimension ref="B1:G45"/>
  <sheetViews>
    <sheetView workbookViewId="0">
      <selection activeCell="F5" sqref="F5"/>
    </sheetView>
  </sheetViews>
  <sheetFormatPr defaultRowHeight="12.75" x14ac:dyDescent="0.2"/>
  <cols>
    <col min="1" max="1" width="6.140625" customWidth="1"/>
    <col min="2" max="2" width="13.5703125" customWidth="1"/>
    <col min="3" max="3" width="15.42578125" customWidth="1"/>
    <col min="4" max="4" width="23.140625" customWidth="1"/>
    <col min="5" max="5" width="24.42578125" customWidth="1"/>
    <col min="6" max="7" width="16.7109375" customWidth="1"/>
  </cols>
  <sheetData>
    <row r="1" spans="2:7" ht="15.75" x14ac:dyDescent="0.25">
      <c r="B1" s="922"/>
      <c r="C1" s="1126" t="s">
        <v>530</v>
      </c>
      <c r="D1" s="1126"/>
      <c r="E1" s="1126"/>
      <c r="F1" s="945" t="s">
        <v>548</v>
      </c>
    </row>
    <row r="2" spans="2:7" ht="22.5" customHeight="1" thickBot="1" x14ac:dyDescent="0.3">
      <c r="B2" s="922"/>
      <c r="C2" s="1194" t="s">
        <v>531</v>
      </c>
      <c r="D2" s="1194"/>
      <c r="E2" s="1194"/>
      <c r="F2" s="939" t="s">
        <v>552</v>
      </c>
      <c r="G2" s="943"/>
    </row>
    <row r="3" spans="2:7" ht="24.75" customHeight="1" thickBot="1" x14ac:dyDescent="0.3">
      <c r="B3" s="932" t="s">
        <v>532</v>
      </c>
      <c r="C3" s="933"/>
      <c r="D3" s="942">
        <v>3293529</v>
      </c>
      <c r="E3" s="929" t="s">
        <v>533</v>
      </c>
      <c r="F3" s="934">
        <v>45509</v>
      </c>
      <c r="G3" s="944"/>
    </row>
    <row r="4" spans="2:7" ht="15" x14ac:dyDescent="0.25">
      <c r="B4" s="922"/>
      <c r="C4" s="922"/>
      <c r="D4" s="931"/>
      <c r="E4" s="923"/>
      <c r="F4" s="923"/>
      <c r="G4" s="923"/>
    </row>
    <row r="5" spans="2:7" ht="16.5" thickBot="1" x14ac:dyDescent="0.3">
      <c r="B5" s="929" t="s">
        <v>534</v>
      </c>
      <c r="C5" s="941">
        <v>69.599999999999994</v>
      </c>
      <c r="D5" s="931"/>
      <c r="E5" s="929" t="s">
        <v>535</v>
      </c>
      <c r="F5" s="940">
        <v>0.46</v>
      </c>
      <c r="G5" s="923"/>
    </row>
    <row r="6" spans="2:7" ht="15.75" thickBot="1" x14ac:dyDescent="0.3">
      <c r="D6" s="931"/>
      <c r="E6" s="923"/>
      <c r="F6" s="923"/>
      <c r="G6" s="923"/>
    </row>
    <row r="7" spans="2:7" ht="15.75" thickBot="1" x14ac:dyDescent="0.3">
      <c r="B7" s="98"/>
      <c r="C7" s="957" t="s">
        <v>553</v>
      </c>
      <c r="D7" s="958" t="s">
        <v>437</v>
      </c>
      <c r="E7" s="959" t="s">
        <v>538</v>
      </c>
    </row>
    <row r="8" spans="2:7" ht="15" x14ac:dyDescent="0.25">
      <c r="B8" s="922"/>
      <c r="C8" s="960" t="str">
        <f>IF('PeeDee Wires'!B8="","",'PeeDee Wires'!B7)</f>
        <v/>
      </c>
      <c r="D8" s="960" t="str">
        <f>IF(OR('PeeDee Wires'!B8="Missing", 'PeeDee Wires'!B8=""),"",'PeeDee Wires'!B20)</f>
        <v/>
      </c>
      <c r="E8" s="967"/>
      <c r="G8" s="60"/>
    </row>
    <row r="9" spans="2:7" ht="15" x14ac:dyDescent="0.25">
      <c r="B9" s="922"/>
      <c r="C9" s="960" t="str">
        <f>IF('PeeDee Wires'!E8="","",'PeeDee Wires'!E7)</f>
        <v/>
      </c>
      <c r="D9" s="960" t="str">
        <f>IF(OR('PeeDee Wires'!E8="Missing", 'PeeDee Wires'!E8=""),"",'PeeDee Wires'!E20)</f>
        <v/>
      </c>
      <c r="E9" s="967"/>
      <c r="G9" s="60"/>
    </row>
    <row r="10" spans="2:7" ht="15" x14ac:dyDescent="0.25">
      <c r="B10" s="922"/>
      <c r="C10" s="960" t="str">
        <f>IF('PeeDee Wires'!H8="","",'PeeDee Wires'!H7)</f>
        <v/>
      </c>
      <c r="D10" s="960" t="str">
        <f>IF(OR('PeeDee Wires'!H8="Missing", 'PeeDee Wires'!H8=""),"",'PeeDee Wires'!H20)</f>
        <v/>
      </c>
      <c r="E10" s="967"/>
      <c r="G10" s="60"/>
    </row>
    <row r="11" spans="2:7" ht="15" x14ac:dyDescent="0.25">
      <c r="B11" s="922"/>
      <c r="C11" s="960" t="str">
        <f>IF('PeeDee Wires'!K8="","",'PeeDee Wires'!K7)</f>
        <v/>
      </c>
      <c r="D11" s="960" t="str">
        <f>IF(OR('PeeDee Wires'!K8="Missing", 'PeeDee Wires'!K8=""),"",'PeeDee Wires'!K20)</f>
        <v/>
      </c>
      <c r="E11" s="967"/>
      <c r="G11" s="60"/>
    </row>
    <row r="12" spans="2:7" ht="15" x14ac:dyDescent="0.25">
      <c r="B12" s="922"/>
      <c r="C12" s="960" t="str">
        <f>IF('PeeDee Wires'!N8="","",'PeeDee Wires'!N7)</f>
        <v/>
      </c>
      <c r="D12" s="960" t="str">
        <f>IF(OR('PeeDee Wires'!N8="Missing", 'PeeDee Wires'!N8=""),"",'PeeDee Wires'!N20)</f>
        <v/>
      </c>
      <c r="E12" s="967"/>
      <c r="G12" s="60"/>
    </row>
    <row r="13" spans="2:7" ht="15" x14ac:dyDescent="0.25">
      <c r="B13" s="922"/>
      <c r="C13" s="960" t="str">
        <f>IF('PeeDee Wires'!Q8="","",'PeeDee Wires'!Q7)</f>
        <v/>
      </c>
      <c r="D13" s="960" t="str">
        <f>IF(OR('PeeDee Wires'!Q8="Missing", 'PeeDee Wires'!Q8=""),"",'PeeDee Wires'!Q20)</f>
        <v/>
      </c>
      <c r="E13" s="967"/>
      <c r="G13" s="60"/>
    </row>
    <row r="14" spans="2:7" ht="15" x14ac:dyDescent="0.25">
      <c r="B14" s="922"/>
      <c r="C14" s="960" t="str">
        <f>IF('PeeDee Wires'!T8="","",'PeeDee Wires'!T7)</f>
        <v/>
      </c>
      <c r="D14" s="960" t="str">
        <f>IF(OR('PeeDee Wires'!T8="Missing", 'PeeDee Wires'!T8=""),"",'PeeDee Wires'!T20)</f>
        <v/>
      </c>
      <c r="E14" s="967"/>
      <c r="G14" s="60"/>
    </row>
    <row r="15" spans="2:7" ht="15" x14ac:dyDescent="0.25">
      <c r="B15" s="922"/>
      <c r="C15" s="960" t="str">
        <f>IF('PeeDee Wires'!W8="","",'PeeDee Wires'!W7)</f>
        <v/>
      </c>
      <c r="D15" s="960" t="str">
        <f>IF(OR('PeeDee Wires'!W8="Missing", 'PeeDee Wires'!W8=""),"",'PeeDee Wires'!W20)</f>
        <v/>
      </c>
      <c r="E15" s="967"/>
      <c r="G15" s="60"/>
    </row>
    <row r="16" spans="2:7" ht="15" x14ac:dyDescent="0.25">
      <c r="B16" s="922"/>
      <c r="C16" s="960" t="str">
        <f>IF('PeeDee Wires'!B24="","",'PeeDee Wires'!B23)</f>
        <v/>
      </c>
      <c r="D16" s="960" t="str">
        <f>IF(OR('PeeDee Wires'!B24="Missing", 'PeeDee Wires'!B24=""),"",'PeeDee Wires'!B36)</f>
        <v/>
      </c>
      <c r="E16" s="967"/>
      <c r="G16" s="60"/>
    </row>
    <row r="17" spans="2:7" ht="15" x14ac:dyDescent="0.25">
      <c r="B17" s="922"/>
      <c r="C17" s="960" t="str">
        <f>IF('PeeDee Wires'!E24="","",'PeeDee Wires'!E23)</f>
        <v/>
      </c>
      <c r="D17" s="960" t="str">
        <f>IF(OR('PeeDee Wires'!E24="Missing", 'PeeDee Wires'!E24=""),"",'PeeDee Wires'!E36)</f>
        <v/>
      </c>
      <c r="E17" s="967"/>
      <c r="G17" s="60"/>
    </row>
    <row r="18" spans="2:7" ht="15" x14ac:dyDescent="0.25">
      <c r="B18" s="922"/>
      <c r="C18" s="960" t="str">
        <f>IF('PeeDee Wires'!H24="","",'PeeDee Wires'!H23)</f>
        <v/>
      </c>
      <c r="D18" s="960" t="str">
        <f>IF(OR('PeeDee Wires'!H24="Missing", 'PeeDee Wires'!H24=""),"",'PeeDee Wires'!H36)</f>
        <v/>
      </c>
      <c r="E18" s="967"/>
      <c r="G18" s="60"/>
    </row>
    <row r="19" spans="2:7" ht="15" x14ac:dyDescent="0.25">
      <c r="B19" s="922"/>
      <c r="C19" s="960" t="str">
        <f>IF('PeeDee Wires'!K24="","",'PeeDee Wires'!K23)</f>
        <v/>
      </c>
      <c r="D19" s="960" t="str">
        <f>IF(OR('PeeDee Wires'!K24="Missing", 'PeeDee Wires'!K24=""),"",'PeeDee Wires'!K36)</f>
        <v/>
      </c>
      <c r="E19" s="967"/>
      <c r="G19" s="60"/>
    </row>
    <row r="20" spans="2:7" ht="15" x14ac:dyDescent="0.25">
      <c r="B20" s="922"/>
      <c r="C20" s="960" t="str">
        <f>IF('PeeDee Wires'!N24="","",'PeeDee Wires'!N23)</f>
        <v/>
      </c>
      <c r="D20" s="960" t="str">
        <f>IF(OR('PeeDee Wires'!N24="Missing", 'PeeDee Wires'!N24=""),"",'PeeDee Wires'!N36)</f>
        <v/>
      </c>
      <c r="E20" s="967"/>
      <c r="G20" s="60"/>
    </row>
    <row r="21" spans="2:7" ht="15" x14ac:dyDescent="0.25">
      <c r="B21" s="922"/>
      <c r="C21" s="960" t="str">
        <f>IF('PeeDee Wires'!Q24="","",'PeeDee Wires'!Q23)</f>
        <v/>
      </c>
      <c r="D21" s="960" t="str">
        <f>IF(OR('PeeDee Wires'!Q24="Missing", 'PeeDee Wires'!Q24=""),"",'PeeDee Wires'!Q36)</f>
        <v/>
      </c>
      <c r="E21" s="967"/>
      <c r="G21" s="60"/>
    </row>
    <row r="22" spans="2:7" ht="15" x14ac:dyDescent="0.25">
      <c r="B22" s="922"/>
      <c r="C22" s="960" t="str">
        <f>IF('PeeDee Wires'!T24="","",'PeeDee Wires'!T23)</f>
        <v/>
      </c>
      <c r="D22" s="960" t="str">
        <f>IF(OR('PeeDee Wires'!T24="Missing", 'PeeDee Wires'!T24=""),"",'PeeDee Wires'!T36)</f>
        <v/>
      </c>
      <c r="E22" s="967"/>
      <c r="G22" s="60"/>
    </row>
    <row r="23" spans="2:7" ht="15" x14ac:dyDescent="0.25">
      <c r="B23" s="922"/>
      <c r="C23" s="960" t="str">
        <f>IF('PeeDee Wires'!W24="","",'PeeDee Wires'!W23)</f>
        <v/>
      </c>
      <c r="D23" s="960" t="str">
        <f>IF(OR('PeeDee Wires'!W24="Missing", 'PeeDee Wires'!W24=""),"",'PeeDee Wires'!W36)</f>
        <v/>
      </c>
      <c r="E23" s="967"/>
      <c r="G23" s="60"/>
    </row>
    <row r="24" spans="2:7" ht="15" x14ac:dyDescent="0.25">
      <c r="B24" s="922"/>
      <c r="C24" s="960"/>
      <c r="D24" s="960"/>
      <c r="E24" s="967"/>
      <c r="G24" s="60"/>
    </row>
    <row r="25" spans="2:7" ht="15" x14ac:dyDescent="0.25">
      <c r="B25" s="922"/>
      <c r="C25" s="960"/>
      <c r="D25" s="960"/>
      <c r="E25" s="967"/>
      <c r="G25" s="60"/>
    </row>
    <row r="26" spans="2:7" ht="15" x14ac:dyDescent="0.25">
      <c r="B26" s="922"/>
      <c r="C26" s="960"/>
      <c r="D26" s="960"/>
      <c r="E26" s="967"/>
      <c r="G26" s="60"/>
    </row>
    <row r="27" spans="2:7" ht="15" x14ac:dyDescent="0.25">
      <c r="B27" s="922"/>
      <c r="C27" s="960"/>
      <c r="D27" s="960"/>
      <c r="E27" s="967"/>
      <c r="G27" s="60"/>
    </row>
    <row r="28" spans="2:7" ht="15" x14ac:dyDescent="0.25">
      <c r="B28" s="922"/>
      <c r="C28" s="960"/>
      <c r="D28" s="960"/>
      <c r="E28" s="967"/>
      <c r="G28" s="60"/>
    </row>
    <row r="29" spans="2:7" ht="15" x14ac:dyDescent="0.25">
      <c r="B29" s="922"/>
      <c r="C29" s="960"/>
      <c r="D29" s="960"/>
      <c r="E29" s="967"/>
      <c r="G29" s="60"/>
    </row>
    <row r="30" spans="2:7" ht="15" x14ac:dyDescent="0.25">
      <c r="B30" s="922"/>
      <c r="C30" s="960"/>
      <c r="D30" s="960"/>
      <c r="E30" s="967"/>
      <c r="G30" s="60"/>
    </row>
    <row r="31" spans="2:7" ht="15" x14ac:dyDescent="0.25">
      <c r="B31" s="922"/>
      <c r="C31" s="960"/>
      <c r="D31" s="960"/>
      <c r="E31" s="967"/>
      <c r="G31" s="60"/>
    </row>
    <row r="32" spans="2:7" ht="15" x14ac:dyDescent="0.25">
      <c r="B32" s="922"/>
      <c r="C32" s="960"/>
      <c r="D32" s="960"/>
      <c r="E32" s="967"/>
      <c r="G32" s="956"/>
    </row>
    <row r="33" spans="2:7" ht="15" x14ac:dyDescent="0.25">
      <c r="B33" s="922"/>
      <c r="C33" s="960"/>
      <c r="D33" s="960"/>
      <c r="E33" s="967"/>
      <c r="G33" s="956"/>
    </row>
    <row r="34" spans="2:7" ht="15" x14ac:dyDescent="0.25">
      <c r="B34" s="922"/>
      <c r="C34" s="960"/>
      <c r="D34" s="960"/>
      <c r="E34" s="967"/>
      <c r="G34" s="956"/>
    </row>
    <row r="35" spans="2:7" ht="15" x14ac:dyDescent="0.25">
      <c r="B35" s="922"/>
      <c r="C35" s="960"/>
      <c r="D35" s="960"/>
      <c r="E35" s="967"/>
      <c r="G35" s="956"/>
    </row>
    <row r="36" spans="2:7" ht="15" x14ac:dyDescent="0.25">
      <c r="B36" s="922"/>
      <c r="C36" s="960"/>
      <c r="D36" s="960"/>
      <c r="E36" s="967"/>
      <c r="G36" s="60"/>
    </row>
    <row r="37" spans="2:7" ht="15.75" thickBot="1" x14ac:dyDescent="0.3">
      <c r="B37" s="922"/>
      <c r="C37" s="960"/>
      <c r="D37" s="960"/>
      <c r="E37" s="968"/>
      <c r="G37" s="60"/>
    </row>
    <row r="38" spans="2:7" ht="15" x14ac:dyDescent="0.25">
      <c r="B38" s="922"/>
      <c r="C38" s="960"/>
      <c r="D38" s="930"/>
      <c r="E38" s="969"/>
      <c r="G38" s="60"/>
    </row>
    <row r="39" spans="2:7" ht="15" x14ac:dyDescent="0.25">
      <c r="B39" s="922"/>
      <c r="C39" s="960"/>
      <c r="D39" s="930"/>
      <c r="E39" s="969"/>
      <c r="G39" s="60"/>
    </row>
    <row r="40" spans="2:7" ht="15" x14ac:dyDescent="0.25">
      <c r="B40" s="922"/>
      <c r="C40" s="960"/>
      <c r="D40" s="41"/>
      <c r="E40" s="970"/>
      <c r="G40" s="60"/>
    </row>
    <row r="41" spans="2:7" ht="15" x14ac:dyDescent="0.25">
      <c r="B41" s="922"/>
      <c r="C41" s="960"/>
      <c r="D41" s="41"/>
      <c r="E41" s="970"/>
      <c r="G41" s="60"/>
    </row>
    <row r="42" spans="2:7" ht="15" x14ac:dyDescent="0.25">
      <c r="B42" s="922"/>
      <c r="C42" s="960"/>
      <c r="D42" s="41"/>
      <c r="E42" s="970"/>
      <c r="G42" s="60"/>
    </row>
    <row r="43" spans="2:7" ht="15" x14ac:dyDescent="0.25">
      <c r="B43" s="922"/>
      <c r="C43" s="960"/>
      <c r="D43" s="41"/>
      <c r="E43" s="970"/>
      <c r="G43" s="60"/>
    </row>
    <row r="44" spans="2:7" ht="15" x14ac:dyDescent="0.25">
      <c r="B44" s="922"/>
      <c r="C44" s="960"/>
      <c r="D44" s="41"/>
      <c r="E44" s="970"/>
      <c r="G44" s="60"/>
    </row>
    <row r="45" spans="2:7" ht="15.75" thickBot="1" x14ac:dyDescent="0.3">
      <c r="B45" s="922"/>
      <c r="C45" s="960"/>
      <c r="D45" s="961"/>
      <c r="E45" s="971"/>
      <c r="G45" s="60"/>
    </row>
  </sheetData>
  <sheetProtection password="CC48" sheet="1" objects="1" scenarios="1"/>
  <mergeCells count="2">
    <mergeCell ref="C1:E1"/>
    <mergeCell ref="C2:E2"/>
  </mergeCells>
  <pageMargins left="0.7" right="0.7" top="0.75" bottom="0.75" header="0.3" footer="0.3"/>
  <pageSetup paperSize="261" orientation="landscape" horizontalDpi="180" verticalDpi="18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3">
    <tabColor indexed="38"/>
    <pageSetUpPr fitToPage="1"/>
  </sheetPr>
  <dimension ref="A1:X117"/>
  <sheetViews>
    <sheetView zoomScale="85" zoomScaleNormal="85" workbookViewId="0">
      <selection activeCell="H9" sqref="H9"/>
    </sheetView>
  </sheetViews>
  <sheetFormatPr defaultRowHeight="12.75" x14ac:dyDescent="0.2"/>
  <cols>
    <col min="1" max="1" width="16.7109375" bestFit="1" customWidth="1"/>
    <col min="2" max="2" width="12" bestFit="1" customWidth="1"/>
    <col min="3" max="3" width="3.7109375" customWidth="1"/>
    <col min="4" max="4" width="16.42578125" bestFit="1" customWidth="1"/>
    <col min="5" max="5" width="12" bestFit="1" customWidth="1"/>
    <col min="6" max="6" width="4.7109375" customWidth="1"/>
    <col min="7" max="7" width="16.42578125" bestFit="1" customWidth="1"/>
    <col min="8" max="8" width="12" bestFit="1" customWidth="1"/>
    <col min="9" max="9" width="4.7109375" customWidth="1"/>
    <col min="10" max="10" width="16.42578125" bestFit="1" customWidth="1"/>
    <col min="11" max="11" width="12" bestFit="1" customWidth="1"/>
    <col min="12" max="12" width="4.28515625" customWidth="1"/>
    <col min="13" max="13" width="16.42578125" bestFit="1" customWidth="1"/>
    <col min="14" max="14" width="12" bestFit="1" customWidth="1"/>
    <col min="15" max="15" width="3.7109375" customWidth="1"/>
    <col min="16" max="16" width="16.42578125" bestFit="1" customWidth="1"/>
    <col min="17" max="17" width="12" bestFit="1" customWidth="1"/>
    <col min="18" max="18" width="3.28515625" customWidth="1"/>
    <col min="19" max="19" width="16.42578125" bestFit="1" customWidth="1"/>
    <col min="20" max="20" width="12" bestFit="1" customWidth="1"/>
    <col min="21" max="21" width="3.85546875" customWidth="1"/>
    <col min="22" max="22" width="16.42578125" bestFit="1" customWidth="1"/>
    <col min="23" max="23" width="12" bestFit="1" customWidth="1"/>
  </cols>
  <sheetData>
    <row r="1" spans="1:24" s="10" customFormat="1" ht="25.5" customHeight="1" x14ac:dyDescent="0.2"/>
    <row r="2" spans="1:24" ht="15" x14ac:dyDescent="0.25">
      <c r="A2" s="1220" t="s">
        <v>554</v>
      </c>
      <c r="B2" s="1220"/>
      <c r="C2" s="1220"/>
      <c r="D2" s="1220"/>
      <c r="E2" s="1220"/>
      <c r="F2" s="1220"/>
      <c r="G2" s="1220"/>
      <c r="H2" s="1220"/>
      <c r="I2" s="1220"/>
      <c r="J2" s="1220"/>
      <c r="K2" s="1220"/>
      <c r="L2" s="1220"/>
      <c r="M2" s="1220"/>
      <c r="N2" s="1220"/>
    </row>
    <row r="3" spans="1:24" ht="15" x14ac:dyDescent="0.25">
      <c r="A3" s="1224" t="s">
        <v>555</v>
      </c>
      <c r="B3" s="1224"/>
      <c r="C3" s="1224"/>
      <c r="D3" s="1224"/>
      <c r="E3" s="1224"/>
      <c r="F3" s="1224"/>
      <c r="G3" s="1224"/>
      <c r="H3" s="1224"/>
      <c r="I3" s="1224"/>
      <c r="J3" s="1224"/>
      <c r="K3" s="1224"/>
      <c r="L3" s="1224"/>
      <c r="M3" s="1224"/>
      <c r="N3" s="1224"/>
    </row>
    <row r="4" spans="1:24" s="896" customFormat="1" ht="15.75" thickBot="1" x14ac:dyDescent="0.3">
      <c r="A4" s="84" t="s">
        <v>556</v>
      </c>
      <c r="B4" s="985"/>
      <c r="C4" s="985"/>
      <c r="D4" s="985"/>
      <c r="E4" s="985"/>
      <c r="F4" s="985"/>
      <c r="G4" s="985"/>
      <c r="H4" s="985"/>
      <c r="I4" s="985"/>
      <c r="J4" s="985"/>
      <c r="K4" s="985"/>
      <c r="L4" s="985"/>
      <c r="M4" s="985"/>
      <c r="N4" s="985"/>
    </row>
    <row r="5" spans="1:24" s="87" customFormat="1" ht="15.75" thickBot="1" x14ac:dyDescent="0.3">
      <c r="A5" s="277" t="s">
        <v>69</v>
      </c>
      <c r="B5" s="278"/>
      <c r="C5" s="279"/>
      <c r="D5" s="277" t="s">
        <v>69</v>
      </c>
      <c r="E5" s="278"/>
      <c r="F5" s="279"/>
      <c r="G5" s="277" t="s">
        <v>69</v>
      </c>
      <c r="H5" s="278"/>
      <c r="I5" s="279"/>
      <c r="J5" s="277" t="s">
        <v>69</v>
      </c>
      <c r="K5" s="278"/>
      <c r="L5" s="279"/>
      <c r="M5" s="277" t="s">
        <v>69</v>
      </c>
      <c r="N5" s="278"/>
      <c r="O5" s="279"/>
      <c r="P5" s="277" t="s">
        <v>69</v>
      </c>
      <c r="Q5" s="278"/>
      <c r="R5" s="280"/>
      <c r="S5" s="277" t="s">
        <v>69</v>
      </c>
      <c r="T5" s="278"/>
      <c r="U5" s="280"/>
      <c r="V5" s="277" t="s">
        <v>69</v>
      </c>
      <c r="W5" s="278"/>
      <c r="X5" s="280"/>
    </row>
    <row r="6" spans="1:24" x14ac:dyDescent="0.2">
      <c r="A6" s="6" t="s">
        <v>557</v>
      </c>
      <c r="B6" s="281">
        <v>1.728</v>
      </c>
      <c r="C6" s="47"/>
      <c r="D6" s="6" t="s">
        <v>557</v>
      </c>
      <c r="E6" s="281">
        <v>1.44</v>
      </c>
      <c r="F6" s="47"/>
      <c r="G6" s="6" t="s">
        <v>557</v>
      </c>
      <c r="H6" s="281">
        <v>1.92</v>
      </c>
      <c r="I6" s="47"/>
      <c r="J6" s="6" t="s">
        <v>557</v>
      </c>
      <c r="K6" s="281">
        <v>1.44</v>
      </c>
      <c r="L6" s="47"/>
      <c r="M6" s="6" t="s">
        <v>557</v>
      </c>
      <c r="N6" s="281">
        <v>1.728</v>
      </c>
      <c r="O6" s="47"/>
      <c r="P6" s="6" t="s">
        <v>557</v>
      </c>
      <c r="Q6" s="281">
        <v>1.44</v>
      </c>
      <c r="R6" s="47"/>
      <c r="S6" s="6" t="s">
        <v>557</v>
      </c>
      <c r="T6" s="281">
        <v>1.728</v>
      </c>
      <c r="U6" s="47"/>
      <c r="V6" s="6" t="s">
        <v>557</v>
      </c>
      <c r="W6" s="281">
        <v>1.44</v>
      </c>
      <c r="X6" s="47"/>
    </row>
    <row r="7" spans="1:24" x14ac:dyDescent="0.2">
      <c r="A7" s="518" t="s">
        <v>70</v>
      </c>
      <c r="B7" s="875"/>
      <c r="C7" s="47"/>
      <c r="D7" s="518" t="s">
        <v>70</v>
      </c>
      <c r="E7" s="194"/>
      <c r="F7" s="47"/>
      <c r="G7" s="518" t="s">
        <v>70</v>
      </c>
      <c r="H7" s="194"/>
      <c r="I7" s="47"/>
      <c r="J7" s="518" t="s">
        <v>70</v>
      </c>
      <c r="K7" s="194"/>
      <c r="L7" s="47"/>
      <c r="M7" s="518" t="s">
        <v>70</v>
      </c>
      <c r="N7" s="194"/>
      <c r="O7" s="47"/>
      <c r="P7" s="518" t="s">
        <v>70</v>
      </c>
      <c r="Q7" s="194"/>
      <c r="R7" s="47"/>
      <c r="S7" s="518" t="s">
        <v>70</v>
      </c>
      <c r="T7" s="194"/>
      <c r="U7" s="47"/>
      <c r="V7" s="518" t="s">
        <v>70</v>
      </c>
      <c r="W7" s="194"/>
      <c r="X7" s="47"/>
    </row>
    <row r="8" spans="1:24" x14ac:dyDescent="0.2">
      <c r="A8" s="981" t="s">
        <v>72</v>
      </c>
      <c r="B8" s="175" t="e">
        <f>IF(B6=1.92,VLOOKUP(B7,'Gear Wire Nominal Sizes'!$A$3:$E$33,2,FALSE),IF(B6=1.728,VLOOKUP(B7,'Gear Wire Nominal Sizes'!$A$3:$E$33,3,FALSE),IF(B6=1.68,VLOOKUP(B7,'Gear Wire Nominal Sizes'!$A$3:$E$33,4,FALSE),IF(B6=1.44,VLOOKUP(B7,'Gear Wire Nominal Sizes'!$A$3:$E$33,5,FALSE),0))))</f>
        <v>#N/A</v>
      </c>
      <c r="C8" s="47"/>
      <c r="D8" s="434" t="s">
        <v>72</v>
      </c>
      <c r="E8" s="175" t="e">
        <f>IF(E6=1.92,VLOOKUP(E7,'Gear Wire Nominal Sizes'!$A$3:$E$33,2,FALSE),IF(E6=1.728,VLOOKUP(E7,'Gear Wire Nominal Sizes'!$A$3:$E$33,3,FALSE),IF(E6=1.68,VLOOKUP(E7,'Gear Wire Nominal Sizes'!$A$3:$E$33,4,FALSE),IF(E6=1.44,VLOOKUP(E7,'Gear Wire Nominal Sizes'!$A$3:$E$33,5,FALSE),0))))</f>
        <v>#N/A</v>
      </c>
      <c r="F8" s="47"/>
      <c r="G8" s="434" t="s">
        <v>72</v>
      </c>
      <c r="H8" s="5" t="e">
        <f>IF(H6=1.92,VLOOKUP(H7,'Gear Wire Nominal Sizes'!$A$3:$E$33,2,FALSE),IF(H6=1.728,VLOOKUP(H7,'Gear Wire Nominal Sizes'!$A$3:$E$33,3,FALSE),IF(H6=1.68,VLOOKUP(H7,'Gear Wire Nominal Sizes'!$A$3:$E$33,4,FALSE),IF(H6=1.44,VLOOKUP(H7,'Gear Wire Nominal Sizes'!$A$3:$E$33,5,FALSE),0))))</f>
        <v>#N/A</v>
      </c>
      <c r="I8" s="47"/>
      <c r="J8" s="434" t="s">
        <v>72</v>
      </c>
      <c r="K8" s="5" t="e">
        <f>IF(K6=1.92,VLOOKUP(K7,'Gear Wire Nominal Sizes'!$A$3:$E$33,2,FALSE),IF(K6=1.728,VLOOKUP(K7,'Gear Wire Nominal Sizes'!$A$3:$E$33,3,FALSE),IF(K6=1.68,VLOOKUP(K7,'Gear Wire Nominal Sizes'!$A$3:$E$33,4,FALSE),IF(K6=1.44,VLOOKUP(K7,'Gear Wire Nominal Sizes'!$A$3:$E$33,5,FALSE),0))))</f>
        <v>#N/A</v>
      </c>
      <c r="L8" s="47"/>
      <c r="M8" s="434" t="s">
        <v>72</v>
      </c>
      <c r="N8" s="5" t="e">
        <f>IF(N6=1.92,VLOOKUP(N7,'Gear Wire Nominal Sizes'!$A$3:$E$33,2,FALSE),IF(N6=1.728,VLOOKUP(N7,'Gear Wire Nominal Sizes'!$A$3:$E$33,3,FALSE),IF(N6=1.68,VLOOKUP(N7,'Gear Wire Nominal Sizes'!$A$3:$E$33,4,FALSE),IF(N6=1.44,VLOOKUP(N7,'Gear Wire Nominal Sizes'!$A$3:$E$33,5,FALSE),0))))</f>
        <v>#N/A</v>
      </c>
      <c r="O8" s="47"/>
      <c r="P8" s="434" t="s">
        <v>72</v>
      </c>
      <c r="Q8" s="5" t="e">
        <f>IF(Q6=1.92,VLOOKUP(Q7,'Gear Wire Nominal Sizes'!$A$3:$E$33,2,FALSE),IF(Q6=1.728,VLOOKUP(Q7,'Gear Wire Nominal Sizes'!$A$3:$E$33,3,FALSE),IF(Q6=1.68,VLOOKUP(Q7,'Gear Wire Nominal Sizes'!$A$3:$E$33,4,FALSE),IF(Q6=1.44,VLOOKUP(Q7,'Gear Wire Nominal Sizes'!$A$3:$E$33,5,FALSE),0))))</f>
        <v>#N/A</v>
      </c>
      <c r="R8" s="47"/>
      <c r="S8" s="434" t="s">
        <v>72</v>
      </c>
      <c r="T8" s="5" t="e">
        <f>IF(T6=1.92,VLOOKUP(T7,'Gear Wire Nominal Sizes'!$A$3:$E$33,2,FALSE),IF(T6=1.728,VLOOKUP(T7,'Gear Wire Nominal Sizes'!$A$3:$E$33,3,FALSE),IF(T6=1.68,VLOOKUP(T7,'Gear Wire Nominal Sizes'!$A$3:$E$33,4,FALSE),IF(T6=1.44,VLOOKUP(T7,'Gear Wire Nominal Sizes'!$A$3:$E$33,5,FALSE),0))))</f>
        <v>#N/A</v>
      </c>
      <c r="U8" s="47"/>
      <c r="V8" s="434" t="s">
        <v>72</v>
      </c>
      <c r="W8" s="5" t="e">
        <f>IF(W6=1.92,VLOOKUP(W7,'Gear Wire Nominal Sizes'!$A$3:$E$33,2,FALSE),IF(W6=1.728,VLOOKUP(W7,'Gear Wire Nominal Sizes'!$A$3:$E$33,3,FALSE),IF(W6=1.68,VLOOKUP(W7,'Gear Wire Nominal Sizes'!$A$3:$E$33,4,FALSE),IF(W6=1.44,VLOOKUP(W7,'Gear Wire Nominal Sizes'!$A$3:$E$33,5,FALSE),0))))</f>
        <v>#N/A</v>
      </c>
      <c r="X8" s="47"/>
    </row>
    <row r="9" spans="1:24" ht="13.5" thickBot="1" x14ac:dyDescent="0.25">
      <c r="A9" s="982" t="s">
        <v>558</v>
      </c>
      <c r="B9" s="337"/>
      <c r="C9" s="47"/>
      <c r="D9" s="983" t="s">
        <v>558</v>
      </c>
      <c r="E9" s="984"/>
      <c r="F9" s="47"/>
      <c r="G9" s="983" t="s">
        <v>558</v>
      </c>
      <c r="H9" s="984"/>
      <c r="I9" s="47"/>
      <c r="J9" s="983" t="s">
        <v>558</v>
      </c>
      <c r="K9" s="984"/>
      <c r="L9" s="47"/>
      <c r="M9" s="983" t="s">
        <v>558</v>
      </c>
      <c r="N9" s="984"/>
      <c r="O9" s="47"/>
      <c r="P9" s="983" t="s">
        <v>558</v>
      </c>
      <c r="Q9" s="984"/>
      <c r="R9" s="47"/>
      <c r="S9" s="983" t="s">
        <v>558</v>
      </c>
      <c r="T9" s="984"/>
      <c r="U9" s="47"/>
      <c r="V9" s="983" t="s">
        <v>558</v>
      </c>
      <c r="W9" s="984"/>
      <c r="X9" s="47"/>
    </row>
    <row r="10" spans="1:24" ht="13.5" thickTop="1" x14ac:dyDescent="0.2">
      <c r="A10" s="332" t="s">
        <v>501</v>
      </c>
      <c r="B10" s="333"/>
      <c r="C10" s="47"/>
      <c r="D10" s="332" t="s">
        <v>501</v>
      </c>
      <c r="E10" s="333"/>
      <c r="F10" s="47"/>
      <c r="G10" s="332" t="s">
        <v>501</v>
      </c>
      <c r="H10" s="333"/>
      <c r="I10" s="47"/>
      <c r="J10" s="332" t="s">
        <v>501</v>
      </c>
      <c r="K10" s="333"/>
      <c r="L10" s="47"/>
      <c r="M10" s="332" t="s">
        <v>501</v>
      </c>
      <c r="N10" s="333"/>
      <c r="O10" s="47"/>
      <c r="P10" s="332" t="s">
        <v>501</v>
      </c>
      <c r="Q10" s="333"/>
      <c r="R10" s="47"/>
      <c r="S10" s="332" t="s">
        <v>501</v>
      </c>
      <c r="T10" s="333"/>
      <c r="U10" s="47"/>
      <c r="V10" s="332" t="s">
        <v>501</v>
      </c>
      <c r="W10" s="333"/>
      <c r="X10" s="47"/>
    </row>
    <row r="11" spans="1:24" x14ac:dyDescent="0.2">
      <c r="A11" s="470" t="s">
        <v>502</v>
      </c>
      <c r="B11" s="406"/>
      <c r="C11" s="47"/>
      <c r="D11" s="470" t="s">
        <v>502</v>
      </c>
      <c r="E11" s="194"/>
      <c r="F11" s="47"/>
      <c r="G11" s="470" t="s">
        <v>502</v>
      </c>
      <c r="H11" s="194"/>
      <c r="I11" s="47"/>
      <c r="J11" s="470" t="s">
        <v>502</v>
      </c>
      <c r="K11" s="194"/>
      <c r="L11" s="47"/>
      <c r="M11" s="470" t="s">
        <v>502</v>
      </c>
      <c r="N11" s="194"/>
      <c r="O11" s="47"/>
      <c r="P11" s="470" t="s">
        <v>502</v>
      </c>
      <c r="Q11" s="194"/>
      <c r="R11" s="47"/>
      <c r="S11" s="470" t="s">
        <v>502</v>
      </c>
      <c r="T11" s="194"/>
      <c r="U11" s="47"/>
      <c r="V11" s="470" t="s">
        <v>502</v>
      </c>
      <c r="W11" s="194"/>
      <c r="X11" s="47"/>
    </row>
    <row r="12" spans="1:24" x14ac:dyDescent="0.2">
      <c r="A12" s="326" t="s">
        <v>503</v>
      </c>
      <c r="B12" s="333"/>
      <c r="C12" s="47"/>
      <c r="D12" s="326" t="s">
        <v>503</v>
      </c>
      <c r="E12" s="297"/>
      <c r="F12" s="47"/>
      <c r="G12" s="326" t="s">
        <v>503</v>
      </c>
      <c r="H12" s="297"/>
      <c r="I12" s="47"/>
      <c r="J12" s="326" t="s">
        <v>503</v>
      </c>
      <c r="K12" s="297"/>
      <c r="L12" s="47"/>
      <c r="M12" s="326" t="s">
        <v>503</v>
      </c>
      <c r="N12" s="297"/>
      <c r="O12" s="47"/>
      <c r="P12" s="326" t="s">
        <v>503</v>
      </c>
      <c r="Q12" s="297"/>
      <c r="R12" s="47"/>
      <c r="S12" s="326" t="s">
        <v>503</v>
      </c>
      <c r="T12" s="297"/>
      <c r="U12" s="47"/>
      <c r="V12" s="326" t="s">
        <v>503</v>
      </c>
      <c r="W12" s="297"/>
      <c r="X12" s="47"/>
    </row>
    <row r="13" spans="1:24" x14ac:dyDescent="0.2">
      <c r="A13" s="463" t="s">
        <v>504</v>
      </c>
      <c r="B13" s="406"/>
      <c r="C13" s="47"/>
      <c r="D13" s="463" t="s">
        <v>504</v>
      </c>
      <c r="E13" s="194"/>
      <c r="F13" s="47"/>
      <c r="G13" s="463" t="s">
        <v>504</v>
      </c>
      <c r="H13" s="194"/>
      <c r="I13" s="47"/>
      <c r="J13" s="463" t="s">
        <v>504</v>
      </c>
      <c r="K13" s="194"/>
      <c r="L13" s="47"/>
      <c r="M13" s="463" t="s">
        <v>504</v>
      </c>
      <c r="N13" s="194"/>
      <c r="O13" s="47"/>
      <c r="P13" s="463" t="s">
        <v>504</v>
      </c>
      <c r="Q13" s="194"/>
      <c r="R13" s="47"/>
      <c r="S13" s="463" t="s">
        <v>504</v>
      </c>
      <c r="T13" s="194"/>
      <c r="U13" s="47"/>
      <c r="V13" s="463" t="s">
        <v>504</v>
      </c>
      <c r="W13" s="194"/>
      <c r="X13" s="47"/>
    </row>
    <row r="14" spans="1:24" x14ac:dyDescent="0.2">
      <c r="A14" s="326" t="s">
        <v>505</v>
      </c>
      <c r="B14" s="297"/>
      <c r="C14" s="47"/>
      <c r="D14" s="326" t="s">
        <v>505</v>
      </c>
      <c r="E14" s="297"/>
      <c r="F14" s="47"/>
      <c r="G14" s="326" t="s">
        <v>505</v>
      </c>
      <c r="H14" s="297"/>
      <c r="I14" s="47"/>
      <c r="J14" s="326" t="s">
        <v>505</v>
      </c>
      <c r="K14" s="297"/>
      <c r="L14" s="47"/>
      <c r="M14" s="326" t="s">
        <v>505</v>
      </c>
      <c r="N14" s="297"/>
      <c r="O14" s="47"/>
      <c r="P14" s="326" t="s">
        <v>505</v>
      </c>
      <c r="Q14" s="297"/>
      <c r="R14" s="47"/>
      <c r="S14" s="326" t="s">
        <v>505</v>
      </c>
      <c r="T14" s="297"/>
      <c r="U14" s="47"/>
      <c r="V14" s="326" t="s">
        <v>505</v>
      </c>
      <c r="W14" s="297"/>
      <c r="X14" s="47"/>
    </row>
    <row r="15" spans="1:24" x14ac:dyDescent="0.2">
      <c r="A15" s="470" t="s">
        <v>502</v>
      </c>
      <c r="B15" s="194"/>
      <c r="C15" s="47"/>
      <c r="D15" s="470" t="s">
        <v>502</v>
      </c>
      <c r="E15" s="194"/>
      <c r="F15" s="47"/>
      <c r="G15" s="470" t="s">
        <v>502</v>
      </c>
      <c r="H15" s="194"/>
      <c r="I15" s="47"/>
      <c r="J15" s="470" t="s">
        <v>502</v>
      </c>
      <c r="K15" s="194"/>
      <c r="L15" s="47"/>
      <c r="M15" s="470" t="s">
        <v>502</v>
      </c>
      <c r="N15" s="194"/>
      <c r="O15" s="47"/>
      <c r="P15" s="470" t="s">
        <v>502</v>
      </c>
      <c r="Q15" s="194"/>
      <c r="R15" s="47"/>
      <c r="S15" s="470" t="s">
        <v>502</v>
      </c>
      <c r="T15" s="194"/>
      <c r="U15" s="47"/>
      <c r="V15" s="470" t="s">
        <v>502</v>
      </c>
      <c r="W15" s="194"/>
      <c r="X15" s="47"/>
    </row>
    <row r="16" spans="1:24" x14ac:dyDescent="0.2">
      <c r="A16" s="326" t="s">
        <v>506</v>
      </c>
      <c r="B16" s="297"/>
      <c r="C16" s="47"/>
      <c r="D16" s="326" t="s">
        <v>506</v>
      </c>
      <c r="E16" s="297"/>
      <c r="F16" s="47"/>
      <c r="G16" s="326" t="s">
        <v>506</v>
      </c>
      <c r="H16" s="297"/>
      <c r="I16" s="47"/>
      <c r="J16" s="326" t="s">
        <v>506</v>
      </c>
      <c r="K16" s="297"/>
      <c r="L16" s="47"/>
      <c r="M16" s="326" t="s">
        <v>506</v>
      </c>
      <c r="N16" s="297"/>
      <c r="O16" s="47"/>
      <c r="P16" s="326" t="s">
        <v>506</v>
      </c>
      <c r="Q16" s="297"/>
      <c r="R16" s="47"/>
      <c r="S16" s="326" t="s">
        <v>506</v>
      </c>
      <c r="T16" s="297"/>
      <c r="U16" s="47"/>
      <c r="V16" s="326" t="s">
        <v>506</v>
      </c>
      <c r="W16" s="297"/>
      <c r="X16" s="47"/>
    </row>
    <row r="17" spans="1:24" x14ac:dyDescent="0.2">
      <c r="A17" s="454" t="s">
        <v>504</v>
      </c>
      <c r="B17" s="194"/>
      <c r="C17" s="47"/>
      <c r="D17" s="454" t="s">
        <v>504</v>
      </c>
      <c r="E17" s="194"/>
      <c r="F17" s="47"/>
      <c r="G17" s="454" t="s">
        <v>504</v>
      </c>
      <c r="H17" s="194"/>
      <c r="I17" s="47"/>
      <c r="J17" s="454" t="s">
        <v>504</v>
      </c>
      <c r="K17" s="194"/>
      <c r="L17" s="47"/>
      <c r="M17" s="454" t="s">
        <v>504</v>
      </c>
      <c r="N17" s="194"/>
      <c r="O17" s="47"/>
      <c r="P17" s="454" t="s">
        <v>504</v>
      </c>
      <c r="Q17" s="194"/>
      <c r="R17" s="47"/>
      <c r="S17" s="454" t="s">
        <v>504</v>
      </c>
      <c r="T17" s="194"/>
      <c r="U17" s="47"/>
      <c r="V17" s="454" t="s">
        <v>504</v>
      </c>
      <c r="W17" s="194"/>
      <c r="X17" s="47"/>
    </row>
    <row r="18" spans="1:24" x14ac:dyDescent="0.2">
      <c r="A18" s="980"/>
      <c r="B18" s="979"/>
      <c r="C18" s="47"/>
      <c r="D18" s="980"/>
      <c r="E18" s="979"/>
      <c r="F18" s="47"/>
      <c r="G18" s="980" t="s">
        <v>507</v>
      </c>
      <c r="H18" s="979"/>
      <c r="I18" s="47"/>
      <c r="J18" s="980" t="s">
        <v>507</v>
      </c>
      <c r="K18" s="979"/>
      <c r="L18" s="47"/>
      <c r="M18" s="980" t="s">
        <v>507</v>
      </c>
      <c r="N18" s="979"/>
      <c r="O18" s="47"/>
      <c r="P18" s="980" t="s">
        <v>507</v>
      </c>
      <c r="Q18" s="979"/>
      <c r="R18" s="47"/>
      <c r="S18" s="980" t="s">
        <v>507</v>
      </c>
      <c r="T18" s="979"/>
      <c r="U18" s="47"/>
      <c r="V18" s="980" t="s">
        <v>507</v>
      </c>
      <c r="W18" s="979"/>
      <c r="X18" s="47"/>
    </row>
    <row r="19" spans="1:24" x14ac:dyDescent="0.2">
      <c r="A19" s="454"/>
      <c r="B19" s="829"/>
      <c r="C19" s="47"/>
      <c r="D19" s="454"/>
      <c r="E19" s="829"/>
      <c r="F19" s="47"/>
      <c r="G19" s="454" t="s">
        <v>504</v>
      </c>
      <c r="H19" s="829"/>
      <c r="I19" s="47"/>
      <c r="J19" s="454" t="s">
        <v>504</v>
      </c>
      <c r="K19" s="829"/>
      <c r="L19" s="47"/>
      <c r="M19" s="454" t="s">
        <v>504</v>
      </c>
      <c r="N19" s="829"/>
      <c r="O19" s="47"/>
      <c r="P19" s="454" t="s">
        <v>504</v>
      </c>
      <c r="Q19" s="829"/>
      <c r="R19" s="47"/>
      <c r="S19" s="454" t="s">
        <v>504</v>
      </c>
      <c r="T19" s="829"/>
      <c r="U19" s="47"/>
      <c r="V19" s="454" t="s">
        <v>504</v>
      </c>
      <c r="W19" s="829"/>
      <c r="X19" s="47"/>
    </row>
    <row r="20" spans="1:24" x14ac:dyDescent="0.2">
      <c r="A20" s="326"/>
      <c r="B20" s="979"/>
      <c r="C20" s="47"/>
      <c r="D20" s="326"/>
      <c r="E20" s="979"/>
      <c r="F20" s="47"/>
      <c r="G20" s="326" t="s">
        <v>508</v>
      </c>
      <c r="H20" s="979"/>
      <c r="I20" s="47"/>
      <c r="J20" s="326" t="s">
        <v>508</v>
      </c>
      <c r="K20" s="979"/>
      <c r="L20" s="47"/>
      <c r="M20" s="326" t="s">
        <v>508</v>
      </c>
      <c r="N20" s="979"/>
      <c r="O20" s="47"/>
      <c r="P20" s="326" t="s">
        <v>508</v>
      </c>
      <c r="Q20" s="979"/>
      <c r="R20" s="47"/>
      <c r="S20" s="326" t="s">
        <v>508</v>
      </c>
      <c r="T20" s="979"/>
      <c r="U20" s="47"/>
      <c r="V20" s="326" t="s">
        <v>508</v>
      </c>
      <c r="W20" s="979"/>
      <c r="X20" s="47"/>
    </row>
    <row r="21" spans="1:24" x14ac:dyDescent="0.2">
      <c r="A21" s="454"/>
      <c r="B21" s="829"/>
      <c r="C21" s="47"/>
      <c r="D21" s="454"/>
      <c r="E21" s="829"/>
      <c r="F21" s="47"/>
      <c r="G21" s="454" t="s">
        <v>504</v>
      </c>
      <c r="H21" s="829"/>
      <c r="I21" s="47"/>
      <c r="J21" s="454" t="s">
        <v>504</v>
      </c>
      <c r="K21" s="829"/>
      <c r="L21" s="47"/>
      <c r="M21" s="454" t="s">
        <v>504</v>
      </c>
      <c r="N21" s="829"/>
      <c r="O21" s="47"/>
      <c r="P21" s="454" t="s">
        <v>504</v>
      </c>
      <c r="Q21" s="829"/>
      <c r="R21" s="47"/>
      <c r="S21" s="454" t="s">
        <v>504</v>
      </c>
      <c r="T21" s="829"/>
      <c r="U21" s="47"/>
      <c r="V21" s="454" t="s">
        <v>504</v>
      </c>
      <c r="W21" s="829"/>
      <c r="X21" s="47"/>
    </row>
    <row r="22" spans="1:24" ht="13.5" thickBot="1" x14ac:dyDescent="0.25">
      <c r="A22" s="501" t="s">
        <v>73</v>
      </c>
      <c r="B22" s="517" t="e">
        <f>ROUND(AVERAGE(B10:B21), 5)</f>
        <v>#DIV/0!</v>
      </c>
      <c r="C22" s="47"/>
      <c r="D22" s="501" t="s">
        <v>73</v>
      </c>
      <c r="E22" s="503" t="e">
        <f>ROUND(AVERAGE(E10:E21), 5)</f>
        <v>#DIV/0!</v>
      </c>
      <c r="F22" s="47"/>
      <c r="G22" s="501" t="s">
        <v>73</v>
      </c>
      <c r="H22" s="503" t="e">
        <f>ROUND(AVERAGE(H10:H21), 5)</f>
        <v>#DIV/0!</v>
      </c>
      <c r="I22" s="47"/>
      <c r="J22" s="501" t="s">
        <v>73</v>
      </c>
      <c r="K22" s="503" t="e">
        <f>ROUND(AVERAGE(K10:K21), 5)</f>
        <v>#DIV/0!</v>
      </c>
      <c r="L22" s="47"/>
      <c r="M22" s="501" t="s">
        <v>73</v>
      </c>
      <c r="N22" s="517" t="e">
        <f>ROUND(AVERAGE(N10:N21), 5)</f>
        <v>#DIV/0!</v>
      </c>
      <c r="O22" s="47"/>
      <c r="P22" s="501" t="s">
        <v>73</v>
      </c>
      <c r="Q22" s="503" t="e">
        <f>ROUND(AVERAGE(Q10:Q21), 5)</f>
        <v>#DIV/0!</v>
      </c>
      <c r="R22" s="47"/>
      <c r="S22" s="501" t="s">
        <v>73</v>
      </c>
      <c r="T22" s="503" t="e">
        <f>ROUND(AVERAGE(T10:T21), 5)</f>
        <v>#DIV/0!</v>
      </c>
      <c r="U22" s="47"/>
      <c r="V22" s="501" t="s">
        <v>73</v>
      </c>
      <c r="W22" s="503" t="e">
        <f>ROUND(AVERAGE(W10:W21), 5)</f>
        <v>#DIV/0!</v>
      </c>
      <c r="X22" s="47"/>
    </row>
    <row r="23" spans="1:24" ht="8.25" customHeight="1" thickBot="1" x14ac:dyDescent="0.25">
      <c r="A23" s="47"/>
      <c r="B23" s="47"/>
      <c r="C23" s="47"/>
      <c r="D23" s="47"/>
      <c r="E23" s="47"/>
      <c r="F23" s="47"/>
      <c r="G23" s="47"/>
      <c r="H23" s="47"/>
      <c r="I23" s="47"/>
      <c r="J23" s="47"/>
      <c r="K23" s="47"/>
      <c r="L23" s="47"/>
      <c r="M23" s="47"/>
      <c r="N23" s="47"/>
      <c r="O23" s="47"/>
      <c r="P23" s="47"/>
      <c r="Q23" s="47"/>
      <c r="R23" s="47"/>
      <c r="S23" s="47"/>
      <c r="T23" s="47"/>
      <c r="U23" s="47"/>
      <c r="V23" s="47"/>
      <c r="W23" s="47"/>
      <c r="X23" s="47"/>
    </row>
    <row r="24" spans="1:24" s="87" customFormat="1" ht="15.75" thickBot="1" x14ac:dyDescent="0.3">
      <c r="A24" s="235" t="s">
        <v>69</v>
      </c>
      <c r="B24" s="487"/>
      <c r="C24" s="280"/>
      <c r="D24" s="235" t="s">
        <v>69</v>
      </c>
      <c r="E24" s="487"/>
      <c r="F24" s="280"/>
      <c r="G24" s="235" t="s">
        <v>69</v>
      </c>
      <c r="H24" s="873"/>
      <c r="I24" s="280"/>
      <c r="J24" s="235" t="s">
        <v>69</v>
      </c>
      <c r="K24" s="487"/>
      <c r="L24" s="280"/>
      <c r="M24" s="235" t="s">
        <v>69</v>
      </c>
      <c r="N24" s="487"/>
      <c r="O24" s="280"/>
      <c r="P24" s="235" t="s">
        <v>69</v>
      </c>
      <c r="Q24" s="487"/>
      <c r="R24" s="280"/>
      <c r="S24" s="235" t="s">
        <v>69</v>
      </c>
      <c r="T24" s="236"/>
      <c r="U24" s="280"/>
      <c r="V24" s="235" t="s">
        <v>69</v>
      </c>
      <c r="W24" s="236"/>
      <c r="X24" s="280"/>
    </row>
    <row r="25" spans="1:24" x14ac:dyDescent="0.2">
      <c r="A25" s="6" t="s">
        <v>557</v>
      </c>
      <c r="B25" s="281">
        <v>1.728</v>
      </c>
      <c r="C25" s="47"/>
      <c r="D25" s="6" t="s">
        <v>557</v>
      </c>
      <c r="E25" s="281">
        <v>1.44</v>
      </c>
      <c r="F25" s="47"/>
      <c r="G25" s="6" t="s">
        <v>557</v>
      </c>
      <c r="H25" s="281">
        <v>1.44</v>
      </c>
      <c r="I25" s="47"/>
      <c r="J25" s="6" t="s">
        <v>557</v>
      </c>
      <c r="K25" s="281">
        <v>1.728</v>
      </c>
      <c r="L25" s="47"/>
      <c r="M25" s="6" t="s">
        <v>557</v>
      </c>
      <c r="N25" s="281" t="s">
        <v>559</v>
      </c>
      <c r="O25" s="47"/>
      <c r="P25" s="6" t="s">
        <v>557</v>
      </c>
      <c r="Q25" s="281">
        <v>1.44</v>
      </c>
      <c r="R25" s="47"/>
      <c r="S25" s="6" t="s">
        <v>557</v>
      </c>
      <c r="T25" s="281">
        <v>1.92</v>
      </c>
      <c r="U25" s="47"/>
      <c r="V25" s="6" t="s">
        <v>557</v>
      </c>
      <c r="W25" s="281">
        <v>1.92</v>
      </c>
      <c r="X25" s="47"/>
    </row>
    <row r="26" spans="1:24" x14ac:dyDescent="0.2">
      <c r="A26" s="518" t="s">
        <v>70</v>
      </c>
      <c r="B26" s="194"/>
      <c r="C26" s="47"/>
      <c r="D26" s="518" t="s">
        <v>70</v>
      </c>
      <c r="E26" s="194"/>
      <c r="F26" s="47"/>
      <c r="G26" s="518" t="s">
        <v>70</v>
      </c>
      <c r="H26" s="194"/>
      <c r="I26" s="47"/>
      <c r="J26" s="520" t="s">
        <v>70</v>
      </c>
      <c r="K26" s="194"/>
      <c r="L26" s="47"/>
      <c r="M26" s="518" t="s">
        <v>70</v>
      </c>
      <c r="N26" s="194"/>
      <c r="O26" s="47"/>
      <c r="P26" s="518" t="s">
        <v>70</v>
      </c>
      <c r="Q26" s="194"/>
      <c r="R26" s="47"/>
      <c r="S26" s="518" t="s">
        <v>70</v>
      </c>
      <c r="T26" s="194"/>
      <c r="U26" s="47"/>
      <c r="V26" s="520" t="s">
        <v>70</v>
      </c>
      <c r="W26" s="194"/>
      <c r="X26" s="47"/>
    </row>
    <row r="27" spans="1:24" ht="13.5" thickBot="1" x14ac:dyDescent="0.25">
      <c r="A27" s="519" t="s">
        <v>72</v>
      </c>
      <c r="B27" s="282" t="e">
        <f>IF(B25=1.92,VLOOKUP(B26,'Gear Wire Nominal Sizes'!$A$3:$E$33,2,FALSE),IF(B25=1.728,VLOOKUP(B26,'Gear Wire Nominal Sizes'!$A$3:$E$33,3,FALSE),IF(B25=1.68,VLOOKUP(B26,'Gear Wire Nominal Sizes'!$A$3:$E$33,4,FALSE),IF(B25=1.44,VLOOKUP(B26,'Gear Wire Nominal Sizes'!$A$3:$E$33,5,FALSE),0))))</f>
        <v>#N/A</v>
      </c>
      <c r="C27" s="47"/>
      <c r="D27" s="519" t="s">
        <v>72</v>
      </c>
      <c r="E27" s="282" t="e">
        <f>IF(E25=1.92,VLOOKUP(E26,'Gear Wire Nominal Sizes'!$A$3:$E$33,2,FALSE),IF(E25=1.728,VLOOKUP(E26,'Gear Wire Nominal Sizes'!$A$3:$E$33,3,FALSE),IF(E25=1.68,VLOOKUP(E26,'Gear Wire Nominal Sizes'!$A$3:$E$33,4,FALSE),IF(E25=1.44,VLOOKUP(E26,'Gear Wire Nominal Sizes'!$A$3:$E$33,5,FALSE),0))))</f>
        <v>#N/A</v>
      </c>
      <c r="F27" s="47"/>
      <c r="G27" s="434" t="s">
        <v>72</v>
      </c>
      <c r="H27" s="5" t="e">
        <f>IF(H25=1.92,VLOOKUP(H26,'Gear Wire Nominal Sizes'!$A$3:$E$33,2,FALSE),IF(H25=1.728,VLOOKUP(H26,'Gear Wire Nominal Sizes'!$A$3:$E$33,3,FALSE),IF(H25=1.68,VLOOKUP(H26,'Gear Wire Nominal Sizes'!$A$3:$E$33,4,FALSE),IF(H25=1.44,VLOOKUP(H26,'Gear Wire Nominal Sizes'!$A$3:$E$33,5,FALSE),0))))</f>
        <v>#N/A</v>
      </c>
      <c r="I27" s="47"/>
      <c r="J27" s="434" t="s">
        <v>72</v>
      </c>
      <c r="K27" s="5" t="e">
        <f>IF(K25=1.92,VLOOKUP(K26,'Gear Wire Nominal Sizes'!$A$3:$E$33,2,FALSE),IF(K25=1.728,VLOOKUP(K26,'Gear Wire Nominal Sizes'!$A$3:$E$33,3,FALSE),IF(K25=1.68,VLOOKUP(K26,'Gear Wire Nominal Sizes'!$A$3:$E$33,4,FALSE),IF(K25=1.44,VLOOKUP(K26,'Gear Wire Nominal Sizes'!$A$3:$E$33,5,FALSE),0))))</f>
        <v>#N/A</v>
      </c>
      <c r="L27" s="47"/>
      <c r="M27" s="434" t="s">
        <v>72</v>
      </c>
      <c r="N27" s="5">
        <f>IF(N25=1.92,VLOOKUP(N26,'Gear Wire Nominal Sizes'!$A$3:$E$33,2,FALSE),IF(N25=1.728,VLOOKUP(N26,'Gear Wire Nominal Sizes'!$A$3:$E$33,3,FALSE),IF(N25=1.68,VLOOKUP(N26,'Gear Wire Nominal Sizes'!$A$3:$E$33,4,FALSE),IF(N25=1.44,VLOOKUP(N26,'Gear Wire Nominal Sizes'!$A$3:$E$33,5,FALSE),0))))</f>
        <v>0</v>
      </c>
      <c r="O27" s="47"/>
      <c r="P27" s="434" t="s">
        <v>72</v>
      </c>
      <c r="Q27" s="5" t="e">
        <f>IF(Q25=1.92,VLOOKUP(Q26,'Gear Wire Nominal Sizes'!$A$3:$E$33,2,FALSE),IF(Q25=1.728,VLOOKUP(Q26,'Gear Wire Nominal Sizes'!$A$3:$E$33,3,FALSE),IF(Q25=1.68,VLOOKUP(Q26,'Gear Wire Nominal Sizes'!$A$3:$E$33,4,FALSE),IF(Q25=1.44,VLOOKUP(Q26,'Gear Wire Nominal Sizes'!$A$3:$E$33,5,FALSE),0))))</f>
        <v>#N/A</v>
      </c>
      <c r="R27" s="47"/>
      <c r="S27" s="434" t="s">
        <v>72</v>
      </c>
      <c r="T27" s="5" t="e">
        <f>IF(T25=1.92,VLOOKUP(T26,'Gear Wire Nominal Sizes'!$A$3:$E$33,2,FALSE),IF(T25=1.728,VLOOKUP(T26,'Gear Wire Nominal Sizes'!$A$3:$E$33,3,FALSE),IF(T25=1.68,VLOOKUP(T26,'Gear Wire Nominal Sizes'!$A$3:$E$33,4,FALSE),IF(T25=1.44,VLOOKUP(T26,'Gear Wire Nominal Sizes'!$A$3:$E$33,5,FALSE),0))))</f>
        <v>#N/A</v>
      </c>
      <c r="U27" s="47"/>
      <c r="V27" s="434" t="s">
        <v>72</v>
      </c>
      <c r="W27" s="5" t="e">
        <f>IF(W25=1.92,VLOOKUP(W26,'Gear Wire Nominal Sizes'!$A$3:$E$33,2,FALSE),IF(W25=1.728,VLOOKUP(W26,'Gear Wire Nominal Sizes'!$A$3:$E$33,3,FALSE),IF(W25=1.68,VLOOKUP(W26,'Gear Wire Nominal Sizes'!$A$3:$E$33,4,FALSE),IF(W25=1.44,VLOOKUP(W26,'Gear Wire Nominal Sizes'!$A$3:$E$33,5,FALSE),0))))</f>
        <v>#N/A</v>
      </c>
      <c r="X27" s="47"/>
    </row>
    <row r="28" spans="1:24" ht="14.25" thickTop="1" thickBot="1" x14ac:dyDescent="0.25">
      <c r="A28" s="982" t="s">
        <v>558</v>
      </c>
      <c r="B28" s="337"/>
      <c r="C28" s="47"/>
      <c r="D28" s="982" t="s">
        <v>558</v>
      </c>
      <c r="E28" s="337"/>
      <c r="F28" s="47"/>
      <c r="G28" s="983" t="s">
        <v>558</v>
      </c>
      <c r="H28" s="984"/>
      <c r="I28" s="47"/>
      <c r="J28" s="983" t="s">
        <v>558</v>
      </c>
      <c r="K28" s="984"/>
      <c r="L28" s="47"/>
      <c r="M28" s="983" t="s">
        <v>558</v>
      </c>
      <c r="N28" s="984"/>
      <c r="O28" s="47"/>
      <c r="P28" s="983" t="s">
        <v>558</v>
      </c>
      <c r="Q28" s="984"/>
      <c r="R28" s="47"/>
      <c r="S28" s="983" t="s">
        <v>558</v>
      </c>
      <c r="T28" s="984"/>
      <c r="U28" s="47"/>
      <c r="V28" s="983" t="s">
        <v>558</v>
      </c>
      <c r="W28" s="984"/>
      <c r="X28" s="47"/>
    </row>
    <row r="29" spans="1:24" ht="13.5" thickTop="1" x14ac:dyDescent="0.2">
      <c r="A29" s="332" t="s">
        <v>501</v>
      </c>
      <c r="B29" s="333"/>
      <c r="C29" s="47"/>
      <c r="D29" s="332" t="s">
        <v>501</v>
      </c>
      <c r="E29" s="333"/>
      <c r="F29" s="47"/>
      <c r="G29" s="332" t="s">
        <v>501</v>
      </c>
      <c r="H29" s="333"/>
      <c r="I29" s="47"/>
      <c r="J29" s="332" t="s">
        <v>501</v>
      </c>
      <c r="K29" s="333"/>
      <c r="L29" s="47"/>
      <c r="M29" s="332" t="s">
        <v>501</v>
      </c>
      <c r="N29" s="333"/>
      <c r="O29" s="47"/>
      <c r="P29" s="332" t="s">
        <v>501</v>
      </c>
      <c r="Q29" s="333"/>
      <c r="R29" s="47"/>
      <c r="S29" s="332" t="s">
        <v>501</v>
      </c>
      <c r="T29" s="333"/>
      <c r="U29" s="47"/>
      <c r="V29" s="332" t="s">
        <v>501</v>
      </c>
      <c r="W29" s="333"/>
      <c r="X29" s="47"/>
    </row>
    <row r="30" spans="1:24" x14ac:dyDescent="0.2">
      <c r="A30" s="470" t="s">
        <v>502</v>
      </c>
      <c r="B30" s="194"/>
      <c r="C30" s="47"/>
      <c r="D30" s="470" t="s">
        <v>502</v>
      </c>
      <c r="E30" s="194"/>
      <c r="F30" s="47"/>
      <c r="G30" s="470" t="s">
        <v>502</v>
      </c>
      <c r="H30" s="194"/>
      <c r="I30" s="47"/>
      <c r="J30" s="470" t="s">
        <v>502</v>
      </c>
      <c r="K30" s="194"/>
      <c r="L30" s="47"/>
      <c r="M30" s="470" t="s">
        <v>502</v>
      </c>
      <c r="N30" s="194"/>
      <c r="O30" s="47"/>
      <c r="P30" s="470" t="s">
        <v>502</v>
      </c>
      <c r="Q30" s="194"/>
      <c r="R30" s="47"/>
      <c r="S30" s="470" t="s">
        <v>502</v>
      </c>
      <c r="T30" s="194"/>
      <c r="U30" s="47"/>
      <c r="V30" s="470" t="s">
        <v>502</v>
      </c>
      <c r="W30" s="194"/>
      <c r="X30" s="47"/>
    </row>
    <row r="31" spans="1:24" x14ac:dyDescent="0.2">
      <c r="A31" s="326" t="s">
        <v>503</v>
      </c>
      <c r="B31" s="297"/>
      <c r="C31" s="47"/>
      <c r="D31" s="326" t="s">
        <v>503</v>
      </c>
      <c r="E31" s="297"/>
      <c r="F31" s="47"/>
      <c r="G31" s="326" t="s">
        <v>503</v>
      </c>
      <c r="H31" s="297"/>
      <c r="I31" s="47"/>
      <c r="J31" s="326" t="s">
        <v>503</v>
      </c>
      <c r="K31" s="297"/>
      <c r="L31" s="47"/>
      <c r="M31" s="326" t="s">
        <v>503</v>
      </c>
      <c r="N31" s="297"/>
      <c r="O31" s="47"/>
      <c r="P31" s="326" t="s">
        <v>503</v>
      </c>
      <c r="Q31" s="297"/>
      <c r="R31" s="47"/>
      <c r="S31" s="326" t="s">
        <v>503</v>
      </c>
      <c r="T31" s="297"/>
      <c r="U31" s="47"/>
      <c r="V31" s="326" t="s">
        <v>503</v>
      </c>
      <c r="W31" s="297"/>
      <c r="X31" s="47"/>
    </row>
    <row r="32" spans="1:24" x14ac:dyDescent="0.2">
      <c r="A32" s="463" t="s">
        <v>504</v>
      </c>
      <c r="B32" s="194"/>
      <c r="C32" s="47"/>
      <c r="D32" s="463" t="s">
        <v>504</v>
      </c>
      <c r="E32" s="194"/>
      <c r="F32" s="47"/>
      <c r="G32" s="463" t="s">
        <v>504</v>
      </c>
      <c r="H32" s="194"/>
      <c r="I32" s="47"/>
      <c r="J32" s="463" t="s">
        <v>504</v>
      </c>
      <c r="K32" s="194"/>
      <c r="L32" s="47"/>
      <c r="M32" s="463" t="s">
        <v>504</v>
      </c>
      <c r="N32" s="194"/>
      <c r="O32" s="47"/>
      <c r="P32" s="463" t="s">
        <v>504</v>
      </c>
      <c r="Q32" s="194"/>
      <c r="R32" s="47"/>
      <c r="S32" s="463" t="s">
        <v>504</v>
      </c>
      <c r="T32" s="194"/>
      <c r="U32" s="47"/>
      <c r="V32" s="463" t="s">
        <v>504</v>
      </c>
      <c r="W32" s="194"/>
      <c r="X32" s="47"/>
    </row>
    <row r="33" spans="1:24" x14ac:dyDescent="0.2">
      <c r="A33" s="326" t="s">
        <v>505</v>
      </c>
      <c r="B33" s="297"/>
      <c r="C33" s="47"/>
      <c r="D33" s="326" t="s">
        <v>505</v>
      </c>
      <c r="E33" s="297"/>
      <c r="F33" s="47"/>
      <c r="G33" s="326" t="s">
        <v>505</v>
      </c>
      <c r="H33" s="297"/>
      <c r="I33" s="47"/>
      <c r="J33" s="326" t="s">
        <v>505</v>
      </c>
      <c r="K33" s="297"/>
      <c r="L33" s="47"/>
      <c r="M33" s="326" t="s">
        <v>505</v>
      </c>
      <c r="N33" s="297"/>
      <c r="O33" s="47"/>
      <c r="P33" s="326" t="s">
        <v>505</v>
      </c>
      <c r="Q33" s="297"/>
      <c r="R33" s="47"/>
      <c r="S33" s="326" t="s">
        <v>505</v>
      </c>
      <c r="T33" s="297"/>
      <c r="U33" s="47"/>
      <c r="V33" s="326" t="s">
        <v>505</v>
      </c>
      <c r="W33" s="297"/>
      <c r="X33" s="47"/>
    </row>
    <row r="34" spans="1:24" x14ac:dyDescent="0.2">
      <c r="A34" s="470" t="s">
        <v>502</v>
      </c>
      <c r="B34" s="194"/>
      <c r="C34" s="47"/>
      <c r="D34" s="470" t="s">
        <v>502</v>
      </c>
      <c r="E34" s="194"/>
      <c r="F34" s="47"/>
      <c r="G34" s="470" t="s">
        <v>502</v>
      </c>
      <c r="H34" s="194"/>
      <c r="I34" s="47"/>
      <c r="J34" s="470" t="s">
        <v>502</v>
      </c>
      <c r="K34" s="194"/>
      <c r="L34" s="47"/>
      <c r="M34" s="470" t="s">
        <v>502</v>
      </c>
      <c r="N34" s="194"/>
      <c r="O34" s="47"/>
      <c r="P34" s="470" t="s">
        <v>502</v>
      </c>
      <c r="Q34" s="194"/>
      <c r="R34" s="47"/>
      <c r="S34" s="470" t="s">
        <v>502</v>
      </c>
      <c r="T34" s="194"/>
      <c r="U34" s="47"/>
      <c r="V34" s="470" t="s">
        <v>502</v>
      </c>
      <c r="W34" s="194"/>
      <c r="X34" s="47"/>
    </row>
    <row r="35" spans="1:24" x14ac:dyDescent="0.2">
      <c r="A35" s="326" t="s">
        <v>506</v>
      </c>
      <c r="B35" s="297"/>
      <c r="C35" s="47"/>
      <c r="D35" s="326" t="s">
        <v>506</v>
      </c>
      <c r="E35" s="297"/>
      <c r="F35" s="47"/>
      <c r="G35" s="326" t="s">
        <v>506</v>
      </c>
      <c r="H35" s="297"/>
      <c r="I35" s="47"/>
      <c r="J35" s="326" t="s">
        <v>506</v>
      </c>
      <c r="K35" s="297"/>
      <c r="L35" s="47"/>
      <c r="M35" s="326" t="s">
        <v>506</v>
      </c>
      <c r="N35" s="297"/>
      <c r="O35" s="47"/>
      <c r="P35" s="326" t="s">
        <v>506</v>
      </c>
      <c r="Q35" s="297"/>
      <c r="R35" s="47"/>
      <c r="S35" s="326" t="s">
        <v>506</v>
      </c>
      <c r="T35" s="297"/>
      <c r="U35" s="47"/>
      <c r="V35" s="326" t="s">
        <v>506</v>
      </c>
      <c r="W35" s="297"/>
      <c r="X35" s="47"/>
    </row>
    <row r="36" spans="1:24" x14ac:dyDescent="0.2">
      <c r="A36" s="454" t="s">
        <v>504</v>
      </c>
      <c r="B36" s="194"/>
      <c r="C36" s="47"/>
      <c r="D36" s="454" t="s">
        <v>504</v>
      </c>
      <c r="E36" s="194"/>
      <c r="F36" s="47"/>
      <c r="G36" s="454" t="s">
        <v>504</v>
      </c>
      <c r="H36" s="194"/>
      <c r="I36" s="47"/>
      <c r="J36" s="454" t="s">
        <v>504</v>
      </c>
      <c r="K36" s="194"/>
      <c r="L36" s="47"/>
      <c r="M36" s="454" t="s">
        <v>504</v>
      </c>
      <c r="N36" s="194"/>
      <c r="O36" s="47"/>
      <c r="P36" s="454" t="s">
        <v>504</v>
      </c>
      <c r="Q36" s="194"/>
      <c r="R36" s="47"/>
      <c r="S36" s="454" t="s">
        <v>504</v>
      </c>
      <c r="T36" s="194"/>
      <c r="U36" s="47"/>
      <c r="V36" s="454" t="s">
        <v>504</v>
      </c>
      <c r="W36" s="194"/>
      <c r="X36" s="47"/>
    </row>
    <row r="37" spans="1:24" x14ac:dyDescent="0.2">
      <c r="A37" s="980" t="s">
        <v>507</v>
      </c>
      <c r="B37" s="979"/>
      <c r="C37" s="47"/>
      <c r="D37" s="980" t="s">
        <v>507</v>
      </c>
      <c r="E37" s="979"/>
      <c r="F37" s="47"/>
      <c r="G37" s="980" t="s">
        <v>507</v>
      </c>
      <c r="H37" s="979"/>
      <c r="I37" s="47"/>
      <c r="J37" s="980" t="s">
        <v>507</v>
      </c>
      <c r="K37" s="979"/>
      <c r="L37" s="47"/>
      <c r="M37" s="980" t="s">
        <v>507</v>
      </c>
      <c r="N37" s="979"/>
      <c r="O37" s="47"/>
      <c r="P37" s="980" t="s">
        <v>507</v>
      </c>
      <c r="Q37" s="979"/>
      <c r="R37" s="47"/>
      <c r="S37" s="980" t="s">
        <v>507</v>
      </c>
      <c r="T37" s="979"/>
      <c r="U37" s="47"/>
      <c r="V37" s="980" t="s">
        <v>507</v>
      </c>
      <c r="W37" s="979"/>
      <c r="X37" s="47"/>
    </row>
    <row r="38" spans="1:24" x14ac:dyDescent="0.2">
      <c r="A38" s="454" t="s">
        <v>504</v>
      </c>
      <c r="B38" s="829"/>
      <c r="C38" s="47"/>
      <c r="D38" s="454" t="s">
        <v>504</v>
      </c>
      <c r="E38" s="829"/>
      <c r="F38" s="47"/>
      <c r="G38" s="454" t="s">
        <v>504</v>
      </c>
      <c r="H38" s="829"/>
      <c r="I38" s="47"/>
      <c r="J38" s="454" t="s">
        <v>504</v>
      </c>
      <c r="K38" s="829"/>
      <c r="L38" s="47"/>
      <c r="M38" s="454" t="s">
        <v>504</v>
      </c>
      <c r="N38" s="829"/>
      <c r="O38" s="47"/>
      <c r="P38" s="454" t="s">
        <v>504</v>
      </c>
      <c r="Q38" s="829"/>
      <c r="R38" s="47"/>
      <c r="S38" s="454" t="s">
        <v>504</v>
      </c>
      <c r="T38" s="829"/>
      <c r="U38" s="47"/>
      <c r="V38" s="454" t="s">
        <v>504</v>
      </c>
      <c r="W38" s="829"/>
      <c r="X38" s="47"/>
    </row>
    <row r="39" spans="1:24" x14ac:dyDescent="0.2">
      <c r="A39" s="326" t="s">
        <v>508</v>
      </c>
      <c r="B39" s="979"/>
      <c r="C39" s="47"/>
      <c r="D39" s="326" t="s">
        <v>508</v>
      </c>
      <c r="E39" s="979"/>
      <c r="F39" s="47"/>
      <c r="G39" s="326" t="s">
        <v>508</v>
      </c>
      <c r="H39" s="979"/>
      <c r="I39" s="47"/>
      <c r="J39" s="326" t="s">
        <v>508</v>
      </c>
      <c r="K39" s="979"/>
      <c r="L39" s="47"/>
      <c r="M39" s="326" t="s">
        <v>508</v>
      </c>
      <c r="N39" s="979"/>
      <c r="O39" s="47"/>
      <c r="P39" s="326" t="s">
        <v>508</v>
      </c>
      <c r="Q39" s="979"/>
      <c r="R39" s="47"/>
      <c r="S39" s="326" t="s">
        <v>508</v>
      </c>
      <c r="T39" s="979"/>
      <c r="U39" s="47"/>
      <c r="V39" s="326" t="s">
        <v>508</v>
      </c>
      <c r="W39" s="979"/>
      <c r="X39" s="47"/>
    </row>
    <row r="40" spans="1:24" x14ac:dyDescent="0.2">
      <c r="A40" s="454" t="s">
        <v>504</v>
      </c>
      <c r="B40" s="829"/>
      <c r="C40" s="47"/>
      <c r="D40" s="454" t="s">
        <v>504</v>
      </c>
      <c r="E40" s="829"/>
      <c r="F40" s="47"/>
      <c r="G40" s="454" t="s">
        <v>504</v>
      </c>
      <c r="H40" s="829"/>
      <c r="I40" s="47"/>
      <c r="J40" s="454" t="s">
        <v>504</v>
      </c>
      <c r="K40" s="829"/>
      <c r="L40" s="47"/>
      <c r="M40" s="454" t="s">
        <v>504</v>
      </c>
      <c r="N40" s="829"/>
      <c r="O40" s="47"/>
      <c r="P40" s="454" t="s">
        <v>504</v>
      </c>
      <c r="Q40" s="829"/>
      <c r="R40" s="47"/>
      <c r="S40" s="454" t="s">
        <v>504</v>
      </c>
      <c r="T40" s="829"/>
      <c r="U40" s="47"/>
      <c r="V40" s="454" t="s">
        <v>504</v>
      </c>
      <c r="W40" s="829"/>
      <c r="X40" s="47"/>
    </row>
    <row r="41" spans="1:24" ht="13.5" thickBot="1" x14ac:dyDescent="0.25">
      <c r="A41" s="501" t="s">
        <v>73</v>
      </c>
      <c r="B41" s="503" t="e">
        <f>ROUND(AVERAGE(B29:B40), 5)</f>
        <v>#DIV/0!</v>
      </c>
      <c r="C41" s="47"/>
      <c r="D41" s="501" t="s">
        <v>73</v>
      </c>
      <c r="E41" s="503" t="e">
        <f>ROUND(AVERAGE(E29:E40), 5)</f>
        <v>#DIV/0!</v>
      </c>
      <c r="F41" s="47"/>
      <c r="G41" s="501" t="s">
        <v>73</v>
      </c>
      <c r="H41" s="503" t="e">
        <f>ROUND(AVERAGE(H29:H40), 5)</f>
        <v>#DIV/0!</v>
      </c>
      <c r="I41" s="47"/>
      <c r="J41" s="501" t="s">
        <v>73</v>
      </c>
      <c r="K41" s="503" t="e">
        <f>ROUND(AVERAGE(K29:K40), 5)</f>
        <v>#DIV/0!</v>
      </c>
      <c r="L41" s="47"/>
      <c r="M41" s="501" t="s">
        <v>73</v>
      </c>
      <c r="N41" s="503" t="e">
        <f>ROUND(AVERAGE(N29:N40), 5)</f>
        <v>#DIV/0!</v>
      </c>
      <c r="O41" s="47"/>
      <c r="P41" s="501" t="s">
        <v>73</v>
      </c>
      <c r="Q41" s="503" t="e">
        <f>ROUND(AVERAGE(Q29:Q40), 5)</f>
        <v>#DIV/0!</v>
      </c>
      <c r="R41" s="47"/>
      <c r="S41" s="501" t="s">
        <v>73</v>
      </c>
      <c r="T41" s="513" t="e">
        <f>ROUND(AVERAGE(T29:T40), 5)</f>
        <v>#DIV/0!</v>
      </c>
      <c r="U41" s="47"/>
      <c r="V41" s="501" t="s">
        <v>73</v>
      </c>
      <c r="W41" s="503" t="e">
        <f>ROUND(AVERAGE(W29:W40), 5)</f>
        <v>#DIV/0!</v>
      </c>
      <c r="X41" s="47"/>
    </row>
    <row r="42" spans="1:24" ht="7.5" customHeight="1" thickBot="1" x14ac:dyDescent="0.25">
      <c r="A42" s="47"/>
      <c r="B42" s="47"/>
      <c r="C42" s="47"/>
      <c r="D42" s="47"/>
      <c r="E42" s="47"/>
      <c r="F42" s="47"/>
      <c r="G42" s="47"/>
      <c r="H42" s="47"/>
      <c r="I42" s="47"/>
      <c r="J42" s="47"/>
      <c r="K42" s="47"/>
      <c r="L42" s="47"/>
      <c r="M42" s="47"/>
      <c r="N42" s="47"/>
      <c r="O42" s="47"/>
      <c r="P42" s="47"/>
      <c r="Q42" s="47"/>
      <c r="R42" s="47"/>
      <c r="S42" s="47"/>
      <c r="T42" s="47"/>
      <c r="U42" s="47"/>
      <c r="V42" s="47"/>
      <c r="W42" s="47"/>
      <c r="X42" s="47"/>
    </row>
    <row r="43" spans="1:24" ht="15.75" thickBot="1" x14ac:dyDescent="0.3">
      <c r="A43" s="235" t="s">
        <v>69</v>
      </c>
      <c r="B43" s="236"/>
      <c r="C43" s="47"/>
      <c r="D43" s="235" t="s">
        <v>69</v>
      </c>
      <c r="E43" s="236"/>
      <c r="F43" s="47"/>
      <c r="G43" s="235" t="s">
        <v>69</v>
      </c>
      <c r="H43" s="236"/>
      <c r="I43" s="47"/>
      <c r="J43" s="235" t="s">
        <v>69</v>
      </c>
      <c r="K43" s="236"/>
      <c r="L43" s="47"/>
      <c r="M43" s="235" t="s">
        <v>69</v>
      </c>
      <c r="N43" s="236"/>
      <c r="O43" s="47"/>
      <c r="P43" s="235" t="s">
        <v>69</v>
      </c>
      <c r="Q43" s="236"/>
      <c r="R43" s="47"/>
      <c r="S43" s="235" t="s">
        <v>69</v>
      </c>
      <c r="T43" s="236"/>
      <c r="U43" s="47"/>
      <c r="V43" s="235" t="s">
        <v>69</v>
      </c>
      <c r="W43" s="236"/>
      <c r="X43" s="47"/>
    </row>
    <row r="44" spans="1:24" x14ac:dyDescent="0.2">
      <c r="A44" s="6" t="s">
        <v>557</v>
      </c>
      <c r="B44" s="281">
        <v>1.68</v>
      </c>
      <c r="C44" s="47"/>
      <c r="D44" s="6" t="s">
        <v>557</v>
      </c>
      <c r="E44" s="281" t="s">
        <v>559</v>
      </c>
      <c r="F44" s="47"/>
      <c r="G44" s="6" t="s">
        <v>557</v>
      </c>
      <c r="H44" s="281">
        <v>1.92</v>
      </c>
      <c r="I44" s="47"/>
      <c r="J44" s="6" t="s">
        <v>557</v>
      </c>
      <c r="K44" s="281">
        <v>1.92</v>
      </c>
      <c r="L44" s="47"/>
      <c r="M44" s="6" t="s">
        <v>557</v>
      </c>
      <c r="N44" s="281">
        <v>1.92</v>
      </c>
      <c r="O44" s="47"/>
      <c r="P44" s="6" t="s">
        <v>557</v>
      </c>
      <c r="Q44" s="281">
        <v>1.92</v>
      </c>
      <c r="R44" s="47"/>
      <c r="S44" s="6" t="s">
        <v>557</v>
      </c>
      <c r="T44" s="281">
        <v>1.92</v>
      </c>
      <c r="U44" s="47"/>
      <c r="V44" s="6" t="s">
        <v>557</v>
      </c>
      <c r="W44" s="281">
        <v>1.92</v>
      </c>
      <c r="X44" s="47"/>
    </row>
    <row r="45" spans="1:24" x14ac:dyDescent="0.2">
      <c r="A45" s="518" t="s">
        <v>70</v>
      </c>
      <c r="B45" s="194"/>
      <c r="C45" s="47"/>
      <c r="D45" s="518" t="s">
        <v>70</v>
      </c>
      <c r="E45" s="194"/>
      <c r="F45" s="47"/>
      <c r="G45" s="518" t="s">
        <v>70</v>
      </c>
      <c r="H45" s="194"/>
      <c r="I45" s="47"/>
      <c r="J45" s="518" t="s">
        <v>70</v>
      </c>
      <c r="K45" s="194"/>
      <c r="L45" s="47"/>
      <c r="M45" s="518" t="s">
        <v>70</v>
      </c>
      <c r="N45" s="194"/>
      <c r="O45" s="47"/>
      <c r="P45" s="518" t="s">
        <v>70</v>
      </c>
      <c r="Q45" s="194"/>
      <c r="R45" s="47"/>
      <c r="S45" s="518" t="s">
        <v>70</v>
      </c>
      <c r="T45" s="194"/>
      <c r="U45" s="47"/>
      <c r="V45" s="518" t="s">
        <v>70</v>
      </c>
      <c r="W45" s="194"/>
      <c r="X45" s="47"/>
    </row>
    <row r="46" spans="1:24" x14ac:dyDescent="0.2">
      <c r="A46" s="434" t="s">
        <v>72</v>
      </c>
      <c r="B46" s="5" t="e">
        <f>IF(B44=1.92,VLOOKUP(B45,'Gear Wire Nominal Sizes'!$A$3:$E$33,2,FALSE),IF(B44=1.728,VLOOKUP(B45,'Gear Wire Nominal Sizes'!$A$3:$E$33,3,FALSE),IF(B44=1.68,VLOOKUP(B45,'Gear Wire Nominal Sizes'!$A$3:$E$33,4,FALSE),IF(B44=1.44,VLOOKUP(B45,'Gear Wire Nominal Sizes'!$A$3:$E$33,5,FALSE),0))))</f>
        <v>#N/A</v>
      </c>
      <c r="C46" s="47"/>
      <c r="D46" s="434" t="s">
        <v>72</v>
      </c>
      <c r="E46" s="5">
        <f>IF(E44=1.92,VLOOKUP(E45,'Gear Wire Nominal Sizes'!$A$3:$E$33,2,FALSE),IF(E44=1.728,VLOOKUP(E45,'Gear Wire Nominal Sizes'!$A$3:$E$33,3,FALSE),IF(E44=1.68,VLOOKUP(E45,'Gear Wire Nominal Sizes'!$A$3:$E$33,4,FALSE),IF(E44=1.44,VLOOKUP(E45,'Gear Wire Nominal Sizes'!$A$3:$E$33,5,FALSE),0))))</f>
        <v>0</v>
      </c>
      <c r="F46" s="47"/>
      <c r="G46" s="434" t="s">
        <v>72</v>
      </c>
      <c r="H46" s="5" t="e">
        <f>IF(H44=1.92,VLOOKUP(H45,'Gear Wire Nominal Sizes'!$A$3:$E$33,2,FALSE),IF(H44=1.728,VLOOKUP(H45,'Gear Wire Nominal Sizes'!$A$3:$E$33,3,FALSE),IF(H44=1.68,VLOOKUP(H45,'Gear Wire Nominal Sizes'!$A$3:$E$33,4,FALSE),IF(H44=1.44,VLOOKUP(H45,'Gear Wire Nominal Sizes'!$A$3:$E$33,5,FALSE),0))))</f>
        <v>#N/A</v>
      </c>
      <c r="I46" s="47"/>
      <c r="J46" s="434" t="s">
        <v>72</v>
      </c>
      <c r="K46" s="5" t="e">
        <f>IF(K44=1.92,VLOOKUP(K45,'Gear Wire Nominal Sizes'!$A$3:$E$33,2,FALSE),IF(K44=1.728,VLOOKUP(K45,'Gear Wire Nominal Sizes'!$A$3:$E$33,3,FALSE),IF(K44=1.68,VLOOKUP(K45,'Gear Wire Nominal Sizes'!$A$3:$E$33,4,FALSE),IF(K44=1.44,VLOOKUP(K45,'Gear Wire Nominal Sizes'!$A$3:$E$33,5,FALSE),0))))</f>
        <v>#N/A</v>
      </c>
      <c r="L46" s="47"/>
      <c r="M46" s="434" t="s">
        <v>72</v>
      </c>
      <c r="N46" s="5" t="e">
        <f>IF(N44=1.92,VLOOKUP(N45,'Gear Wire Nominal Sizes'!$A$3:$E$33,2,FALSE),IF(N44=1.728,VLOOKUP(N45,'Gear Wire Nominal Sizes'!$A$3:$E$33,3,FALSE),IF(N44=1.68,VLOOKUP(N45,'Gear Wire Nominal Sizes'!$A$3:$E$33,4,FALSE),IF(N44=1.44,VLOOKUP(N45,'Gear Wire Nominal Sizes'!$A$3:$E$33,5,FALSE),0))))</f>
        <v>#N/A</v>
      </c>
      <c r="O46" s="47"/>
      <c r="P46" s="434" t="s">
        <v>72</v>
      </c>
      <c r="Q46" s="5" t="e">
        <f>IF(Q44=1.92,VLOOKUP(Q45,'Gear Wire Nominal Sizes'!$A$3:$E$33,2,FALSE),IF(Q44=1.728,VLOOKUP(Q45,'Gear Wire Nominal Sizes'!$A$3:$E$33,3,FALSE),IF(Q44=1.68,VLOOKUP(Q45,'Gear Wire Nominal Sizes'!$A$3:$E$33,4,FALSE),IF(Q44=1.44,VLOOKUP(Q45,'Gear Wire Nominal Sizes'!$A$3:$E$33,5,FALSE),0))))</f>
        <v>#N/A</v>
      </c>
      <c r="R46" s="47"/>
      <c r="S46" s="434" t="s">
        <v>72</v>
      </c>
      <c r="T46" s="5" t="e">
        <f>IF(T44=1.92,VLOOKUP(T45,'Gear Wire Nominal Sizes'!$A$3:$E$33,2,FALSE),IF(T44=1.728,VLOOKUP(T45,'Gear Wire Nominal Sizes'!$A$3:$E$33,3,FALSE),IF(T44=1.68,VLOOKUP(T45,'Gear Wire Nominal Sizes'!$A$3:$E$33,4,FALSE),IF(T44=1.44,VLOOKUP(T45,'Gear Wire Nominal Sizes'!$A$3:$E$33,5,FALSE),0))))</f>
        <v>#N/A</v>
      </c>
      <c r="U46" s="47"/>
      <c r="V46" s="434" t="s">
        <v>72</v>
      </c>
      <c r="W46" s="5" t="e">
        <f>IF(W44=1.92,VLOOKUP(W45,'Gear Wire Nominal Sizes'!$A$3:$E$33,2,FALSE),IF(W44=1.728,VLOOKUP(W45,'Gear Wire Nominal Sizes'!$A$3:$E$33,3,FALSE),IF(W44=1.68,VLOOKUP(W45,'Gear Wire Nominal Sizes'!$A$3:$E$33,4,FALSE),IF(W44=1.44,VLOOKUP(W45,'Gear Wire Nominal Sizes'!$A$3:$E$33,5,FALSE),0))))</f>
        <v>#N/A</v>
      </c>
      <c r="X46" s="47"/>
    </row>
    <row r="47" spans="1:24" ht="13.5" thickBot="1" x14ac:dyDescent="0.25">
      <c r="A47" s="983" t="s">
        <v>558</v>
      </c>
      <c r="B47" s="984"/>
      <c r="C47" s="47"/>
      <c r="D47" s="983" t="s">
        <v>558</v>
      </c>
      <c r="E47" s="984">
        <v>0.33333000000000002</v>
      </c>
      <c r="F47" s="47"/>
      <c r="G47" s="983" t="s">
        <v>558</v>
      </c>
      <c r="H47" s="984"/>
      <c r="I47" s="47"/>
      <c r="J47" s="983" t="s">
        <v>558</v>
      </c>
      <c r="K47" s="984"/>
      <c r="L47" s="47"/>
      <c r="M47" s="983" t="s">
        <v>558</v>
      </c>
      <c r="N47" s="984"/>
      <c r="O47" s="47"/>
      <c r="P47" s="983" t="s">
        <v>558</v>
      </c>
      <c r="Q47" s="984"/>
      <c r="R47" s="47"/>
      <c r="S47" s="983" t="s">
        <v>558</v>
      </c>
      <c r="T47" s="984"/>
      <c r="U47" s="47"/>
      <c r="V47" s="983" t="s">
        <v>558</v>
      </c>
      <c r="W47" s="984"/>
      <c r="X47" s="47"/>
    </row>
    <row r="48" spans="1:24" ht="13.5" thickTop="1" x14ac:dyDescent="0.2">
      <c r="A48" s="332" t="s">
        <v>501</v>
      </c>
      <c r="B48" s="333"/>
      <c r="C48" s="47"/>
      <c r="D48" s="332" t="s">
        <v>501</v>
      </c>
      <c r="E48" s="333"/>
      <c r="F48" s="47"/>
      <c r="G48" s="332" t="s">
        <v>501</v>
      </c>
      <c r="H48" s="333"/>
      <c r="I48" s="47"/>
      <c r="J48" s="332" t="s">
        <v>501</v>
      </c>
      <c r="K48" s="333"/>
      <c r="L48" s="47"/>
      <c r="M48" s="332" t="s">
        <v>501</v>
      </c>
      <c r="N48" s="333"/>
      <c r="O48" s="47"/>
      <c r="P48" s="332" t="s">
        <v>501</v>
      </c>
      <c r="Q48" s="333"/>
      <c r="R48" s="47"/>
      <c r="S48" s="332" t="s">
        <v>501</v>
      </c>
      <c r="T48" s="333"/>
      <c r="U48" s="47"/>
      <c r="V48" s="332" t="s">
        <v>501</v>
      </c>
      <c r="W48" s="333"/>
      <c r="X48" s="47"/>
    </row>
    <row r="49" spans="1:24" x14ac:dyDescent="0.2">
      <c r="A49" s="470" t="s">
        <v>502</v>
      </c>
      <c r="B49" s="194"/>
      <c r="C49" s="47"/>
      <c r="D49" s="470" t="s">
        <v>502</v>
      </c>
      <c r="E49" s="194"/>
      <c r="F49" s="47"/>
      <c r="G49" s="470" t="s">
        <v>502</v>
      </c>
      <c r="H49" s="194"/>
      <c r="I49" s="47"/>
      <c r="J49" s="470" t="s">
        <v>502</v>
      </c>
      <c r="K49" s="194"/>
      <c r="L49" s="47"/>
      <c r="M49" s="470" t="s">
        <v>502</v>
      </c>
      <c r="N49" s="194"/>
      <c r="O49" s="47"/>
      <c r="P49" s="470" t="s">
        <v>502</v>
      </c>
      <c r="Q49" s="194"/>
      <c r="R49" s="47"/>
      <c r="S49" s="470" t="s">
        <v>502</v>
      </c>
      <c r="T49" s="194"/>
      <c r="U49" s="47"/>
      <c r="V49" s="470" t="s">
        <v>502</v>
      </c>
      <c r="W49" s="194"/>
      <c r="X49" s="47"/>
    </row>
    <row r="50" spans="1:24" x14ac:dyDescent="0.2">
      <c r="A50" s="326" t="s">
        <v>503</v>
      </c>
      <c r="B50" s="297"/>
      <c r="C50" s="47"/>
      <c r="D50" s="326" t="s">
        <v>503</v>
      </c>
      <c r="E50" s="297"/>
      <c r="F50" s="47"/>
      <c r="G50" s="326" t="s">
        <v>503</v>
      </c>
      <c r="H50" s="297"/>
      <c r="I50" s="47"/>
      <c r="J50" s="326" t="s">
        <v>503</v>
      </c>
      <c r="K50" s="297"/>
      <c r="L50" s="47"/>
      <c r="M50" s="326" t="s">
        <v>503</v>
      </c>
      <c r="N50" s="297"/>
      <c r="O50" s="47"/>
      <c r="P50" s="326" t="s">
        <v>503</v>
      </c>
      <c r="Q50" s="297"/>
      <c r="R50" s="47"/>
      <c r="S50" s="326" t="s">
        <v>503</v>
      </c>
      <c r="T50" s="297"/>
      <c r="U50" s="47"/>
      <c r="V50" s="326" t="s">
        <v>503</v>
      </c>
      <c r="W50" s="297"/>
      <c r="X50" s="47"/>
    </row>
    <row r="51" spans="1:24" x14ac:dyDescent="0.2">
      <c r="A51" s="463" t="s">
        <v>504</v>
      </c>
      <c r="B51" s="194"/>
      <c r="C51" s="47"/>
      <c r="D51" s="463" t="s">
        <v>504</v>
      </c>
      <c r="E51" s="194"/>
      <c r="F51" s="47"/>
      <c r="G51" s="463" t="s">
        <v>504</v>
      </c>
      <c r="H51" s="194"/>
      <c r="I51" s="47"/>
      <c r="J51" s="463" t="s">
        <v>504</v>
      </c>
      <c r="K51" s="194"/>
      <c r="L51" s="47"/>
      <c r="M51" s="463" t="s">
        <v>504</v>
      </c>
      <c r="N51" s="194"/>
      <c r="O51" s="47"/>
      <c r="P51" s="463" t="s">
        <v>504</v>
      </c>
      <c r="Q51" s="194"/>
      <c r="R51" s="47"/>
      <c r="S51" s="463" t="s">
        <v>504</v>
      </c>
      <c r="T51" s="194"/>
      <c r="U51" s="47"/>
      <c r="V51" s="463" t="s">
        <v>504</v>
      </c>
      <c r="W51" s="194"/>
      <c r="X51" s="47"/>
    </row>
    <row r="52" spans="1:24" x14ac:dyDescent="0.2">
      <c r="A52" s="326" t="s">
        <v>505</v>
      </c>
      <c r="B52" s="297"/>
      <c r="C52" s="47"/>
      <c r="D52" s="326" t="s">
        <v>505</v>
      </c>
      <c r="E52" s="297"/>
      <c r="F52" s="47"/>
      <c r="G52" s="326" t="s">
        <v>505</v>
      </c>
      <c r="H52" s="297"/>
      <c r="I52" s="47"/>
      <c r="J52" s="326" t="s">
        <v>505</v>
      </c>
      <c r="K52" s="297"/>
      <c r="L52" s="47"/>
      <c r="M52" s="326" t="s">
        <v>505</v>
      </c>
      <c r="N52" s="297"/>
      <c r="O52" s="47"/>
      <c r="P52" s="326" t="s">
        <v>505</v>
      </c>
      <c r="Q52" s="297"/>
      <c r="R52" s="47"/>
      <c r="S52" s="326" t="s">
        <v>505</v>
      </c>
      <c r="T52" s="297"/>
      <c r="U52" s="47"/>
      <c r="V52" s="326" t="s">
        <v>505</v>
      </c>
      <c r="W52" s="297"/>
      <c r="X52" s="47"/>
    </row>
    <row r="53" spans="1:24" x14ac:dyDescent="0.2">
      <c r="A53" s="470" t="s">
        <v>502</v>
      </c>
      <c r="B53" s="194"/>
      <c r="C53" s="47"/>
      <c r="D53" s="470" t="s">
        <v>502</v>
      </c>
      <c r="E53" s="194"/>
      <c r="F53" s="47"/>
      <c r="G53" s="470" t="s">
        <v>502</v>
      </c>
      <c r="H53" s="194"/>
      <c r="I53" s="47"/>
      <c r="J53" s="470" t="s">
        <v>502</v>
      </c>
      <c r="K53" s="194"/>
      <c r="L53" s="47"/>
      <c r="M53" s="470" t="s">
        <v>502</v>
      </c>
      <c r="N53" s="194"/>
      <c r="O53" s="47"/>
      <c r="P53" s="470" t="s">
        <v>502</v>
      </c>
      <c r="Q53" s="194"/>
      <c r="R53" s="47"/>
      <c r="S53" s="470" t="s">
        <v>502</v>
      </c>
      <c r="T53" s="194"/>
      <c r="U53" s="47"/>
      <c r="V53" s="1047" t="s">
        <v>502</v>
      </c>
      <c r="W53" s="297"/>
      <c r="X53" s="47"/>
    </row>
    <row r="54" spans="1:24" x14ac:dyDescent="0.2">
      <c r="A54" s="326" t="s">
        <v>506</v>
      </c>
      <c r="B54" s="297"/>
      <c r="C54" s="47"/>
      <c r="D54" s="326" t="s">
        <v>506</v>
      </c>
      <c r="E54" s="297"/>
      <c r="F54" s="47"/>
      <c r="G54" s="326" t="s">
        <v>506</v>
      </c>
      <c r="H54" s="297"/>
      <c r="I54" s="47"/>
      <c r="J54" s="326" t="s">
        <v>506</v>
      </c>
      <c r="K54" s="297"/>
      <c r="L54" s="47"/>
      <c r="M54" s="326" t="s">
        <v>506</v>
      </c>
      <c r="N54" s="297"/>
      <c r="O54" s="47"/>
      <c r="P54" s="326" t="s">
        <v>506</v>
      </c>
      <c r="Q54" s="297"/>
      <c r="R54" s="47"/>
      <c r="S54" s="326" t="s">
        <v>506</v>
      </c>
      <c r="T54" s="297"/>
      <c r="U54" s="47"/>
      <c r="V54" s="326" t="s">
        <v>506</v>
      </c>
      <c r="W54" s="297"/>
      <c r="X54" s="47"/>
    </row>
    <row r="55" spans="1:24" x14ac:dyDescent="0.2">
      <c r="A55" s="454" t="s">
        <v>504</v>
      </c>
      <c r="B55" s="194"/>
      <c r="C55" s="47"/>
      <c r="D55" s="454" t="s">
        <v>504</v>
      </c>
      <c r="E55" s="194"/>
      <c r="F55" s="47"/>
      <c r="G55" s="454" t="s">
        <v>504</v>
      </c>
      <c r="H55" s="194"/>
      <c r="I55" s="47"/>
      <c r="J55" s="454" t="s">
        <v>504</v>
      </c>
      <c r="K55" s="194"/>
      <c r="L55" s="47"/>
      <c r="M55" s="454" t="s">
        <v>504</v>
      </c>
      <c r="N55" s="194"/>
      <c r="O55" s="47"/>
      <c r="P55" s="454" t="s">
        <v>504</v>
      </c>
      <c r="Q55" s="194"/>
      <c r="R55" s="47"/>
      <c r="S55" s="454" t="s">
        <v>504</v>
      </c>
      <c r="T55" s="194"/>
      <c r="U55" s="47"/>
      <c r="V55" s="454" t="s">
        <v>504</v>
      </c>
      <c r="W55" s="194"/>
      <c r="X55" s="47"/>
    </row>
    <row r="56" spans="1:24" x14ac:dyDescent="0.2">
      <c r="A56" s="980" t="s">
        <v>507</v>
      </c>
      <c r="B56" s="979"/>
      <c r="C56" s="47"/>
      <c r="D56" s="980" t="s">
        <v>507</v>
      </c>
      <c r="E56" s="979"/>
      <c r="F56" s="47"/>
      <c r="G56" s="980" t="s">
        <v>507</v>
      </c>
      <c r="H56" s="979"/>
      <c r="I56" s="47"/>
      <c r="J56" s="980" t="s">
        <v>507</v>
      </c>
      <c r="K56" s="979"/>
      <c r="L56" s="47"/>
      <c r="M56" s="980" t="s">
        <v>507</v>
      </c>
      <c r="N56" s="979"/>
      <c r="O56" s="47"/>
      <c r="P56" s="980" t="s">
        <v>507</v>
      </c>
      <c r="Q56" s="979"/>
      <c r="R56" s="47"/>
      <c r="S56" s="980" t="s">
        <v>507</v>
      </c>
      <c r="T56" s="979"/>
      <c r="U56" s="47"/>
      <c r="V56" s="980" t="s">
        <v>507</v>
      </c>
      <c r="W56" s="979"/>
      <c r="X56" s="47"/>
    </row>
    <row r="57" spans="1:24" x14ac:dyDescent="0.2">
      <c r="A57" s="454" t="s">
        <v>504</v>
      </c>
      <c r="B57" s="829"/>
      <c r="C57" s="47"/>
      <c r="D57" s="454" t="s">
        <v>504</v>
      </c>
      <c r="E57" s="829"/>
      <c r="F57" s="47"/>
      <c r="G57" s="454" t="s">
        <v>504</v>
      </c>
      <c r="H57" s="829"/>
      <c r="I57" s="47"/>
      <c r="J57" s="454" t="s">
        <v>504</v>
      </c>
      <c r="K57" s="829"/>
      <c r="L57" s="47"/>
      <c r="M57" s="454" t="s">
        <v>504</v>
      </c>
      <c r="N57" s="829"/>
      <c r="O57" s="47"/>
      <c r="P57" s="454" t="s">
        <v>504</v>
      </c>
      <c r="Q57" s="829"/>
      <c r="R57" s="47"/>
      <c r="S57" s="454" t="s">
        <v>504</v>
      </c>
      <c r="T57" s="829"/>
      <c r="U57" s="47"/>
      <c r="V57" s="454" t="s">
        <v>504</v>
      </c>
      <c r="W57" s="829"/>
      <c r="X57" s="47"/>
    </row>
    <row r="58" spans="1:24" x14ac:dyDescent="0.2">
      <c r="A58" s="326" t="s">
        <v>508</v>
      </c>
      <c r="B58" s="979"/>
      <c r="C58" s="47"/>
      <c r="D58" s="326" t="s">
        <v>508</v>
      </c>
      <c r="E58" s="979"/>
      <c r="F58" s="47"/>
      <c r="G58" s="326" t="s">
        <v>508</v>
      </c>
      <c r="H58" s="979"/>
      <c r="I58" s="47"/>
      <c r="J58" s="326" t="s">
        <v>508</v>
      </c>
      <c r="K58" s="979"/>
      <c r="L58" s="47"/>
      <c r="M58" s="326" t="s">
        <v>508</v>
      </c>
      <c r="N58" s="979"/>
      <c r="O58" s="47"/>
      <c r="P58" s="326" t="s">
        <v>508</v>
      </c>
      <c r="Q58" s="979"/>
      <c r="R58" s="47"/>
      <c r="S58" s="326" t="s">
        <v>508</v>
      </c>
      <c r="T58" s="979"/>
      <c r="U58" s="47"/>
      <c r="V58" s="326" t="s">
        <v>508</v>
      </c>
      <c r="W58" s="979"/>
      <c r="X58" s="47"/>
    </row>
    <row r="59" spans="1:24" x14ac:dyDescent="0.2">
      <c r="A59" s="454" t="s">
        <v>504</v>
      </c>
      <c r="B59" s="829"/>
      <c r="C59" s="47"/>
      <c r="D59" s="454" t="s">
        <v>504</v>
      </c>
      <c r="E59" s="829"/>
      <c r="F59" s="47"/>
      <c r="G59" s="454" t="s">
        <v>504</v>
      </c>
      <c r="H59" s="829"/>
      <c r="I59" s="47"/>
      <c r="J59" s="454" t="s">
        <v>504</v>
      </c>
      <c r="K59" s="829"/>
      <c r="L59" s="47"/>
      <c r="M59" s="454" t="s">
        <v>504</v>
      </c>
      <c r="N59" s="829"/>
      <c r="O59" s="47"/>
      <c r="P59" s="454" t="s">
        <v>504</v>
      </c>
      <c r="Q59" s="829"/>
      <c r="R59" s="47"/>
      <c r="S59" s="454" t="s">
        <v>504</v>
      </c>
      <c r="T59" s="829"/>
      <c r="U59" s="47"/>
      <c r="V59" s="454" t="s">
        <v>504</v>
      </c>
      <c r="W59" s="829"/>
      <c r="X59" s="47"/>
    </row>
    <row r="60" spans="1:24" ht="13.5" thickBot="1" x14ac:dyDescent="0.25">
      <c r="A60" s="501" t="s">
        <v>73</v>
      </c>
      <c r="B60" s="503" t="e">
        <f>ROUND(AVERAGE(B48:B59), 5)</f>
        <v>#DIV/0!</v>
      </c>
      <c r="C60" s="47"/>
      <c r="D60" s="501" t="s">
        <v>73</v>
      </c>
      <c r="E60" s="503" t="e">
        <f>ROUND(AVERAGE(E48:E59), 5)</f>
        <v>#DIV/0!</v>
      </c>
      <c r="F60" s="47"/>
      <c r="G60" s="501" t="s">
        <v>73</v>
      </c>
      <c r="H60" s="503" t="e">
        <f>ROUND(AVERAGE(H48:H59), 5)</f>
        <v>#DIV/0!</v>
      </c>
      <c r="I60" s="47"/>
      <c r="J60" s="501" t="s">
        <v>73</v>
      </c>
      <c r="K60" s="503" t="e">
        <f>ROUND(AVERAGE(K48:K59), 5)</f>
        <v>#DIV/0!</v>
      </c>
      <c r="L60" s="47"/>
      <c r="M60" s="501" t="s">
        <v>73</v>
      </c>
      <c r="N60" s="503" t="e">
        <f>ROUND(AVERAGE(N48:N59), 5)</f>
        <v>#DIV/0!</v>
      </c>
      <c r="O60" s="47"/>
      <c r="P60" s="501" t="s">
        <v>73</v>
      </c>
      <c r="Q60" s="503" t="e">
        <f>ROUND(AVERAGE(Q48:Q59), 5)</f>
        <v>#DIV/0!</v>
      </c>
      <c r="R60" s="47"/>
      <c r="S60" s="501" t="s">
        <v>73</v>
      </c>
      <c r="T60" s="503" t="e">
        <f>ROUND(AVERAGE(T48:T59), 5)</f>
        <v>#DIV/0!</v>
      </c>
      <c r="U60" s="47"/>
      <c r="V60" s="501" t="s">
        <v>73</v>
      </c>
      <c r="W60" s="503" t="e">
        <f>ROUND(AVERAGE(W48:W59), 5)</f>
        <v>#DIV/0!</v>
      </c>
      <c r="X60" s="47"/>
    </row>
    <row r="61" spans="1:24" ht="13.5" thickBot="1" x14ac:dyDescent="0.25">
      <c r="A61" s="246"/>
      <c r="B61" s="247"/>
      <c r="C61" s="47"/>
      <c r="D61" s="246"/>
      <c r="E61" s="247"/>
      <c r="F61" s="47"/>
      <c r="G61" s="246"/>
      <c r="H61" s="247"/>
      <c r="I61" s="47"/>
      <c r="J61" s="246"/>
      <c r="K61" s="247"/>
      <c r="L61" s="47"/>
      <c r="M61" s="246"/>
      <c r="N61" s="247"/>
      <c r="O61" s="47"/>
      <c r="P61" s="246"/>
      <c r="Q61" s="247"/>
      <c r="R61" s="47"/>
      <c r="S61" s="246"/>
      <c r="T61" s="247"/>
      <c r="U61" s="47"/>
      <c r="V61" s="246"/>
      <c r="W61" s="247"/>
      <c r="X61" s="47"/>
    </row>
    <row r="62" spans="1:24" ht="15.75" thickBot="1" x14ac:dyDescent="0.3">
      <c r="A62" s="235" t="s">
        <v>69</v>
      </c>
      <c r="B62" s="236"/>
      <c r="C62" s="237"/>
      <c r="D62" s="235" t="s">
        <v>69</v>
      </c>
      <c r="E62" s="236"/>
      <c r="F62" s="47"/>
      <c r="G62" s="235" t="s">
        <v>69</v>
      </c>
      <c r="H62" s="236"/>
      <c r="I62" s="47"/>
      <c r="J62" s="235" t="s">
        <v>69</v>
      </c>
      <c r="K62" s="236"/>
      <c r="L62" s="47"/>
      <c r="M62" s="235" t="s">
        <v>69</v>
      </c>
      <c r="N62" s="236"/>
      <c r="O62" s="237"/>
      <c r="P62" s="235" t="s">
        <v>69</v>
      </c>
      <c r="Q62" s="236"/>
      <c r="R62" s="47"/>
      <c r="S62" s="235" t="s">
        <v>69</v>
      </c>
      <c r="T62" s="236"/>
      <c r="U62" s="47"/>
      <c r="V62" s="235" t="s">
        <v>69</v>
      </c>
      <c r="W62" s="236"/>
      <c r="X62" s="47"/>
    </row>
    <row r="63" spans="1:24" x14ac:dyDescent="0.2">
      <c r="A63" s="6" t="s">
        <v>557</v>
      </c>
      <c r="B63" s="281">
        <v>1.92</v>
      </c>
      <c r="C63" s="47"/>
      <c r="D63" s="6" t="s">
        <v>557</v>
      </c>
      <c r="E63" s="281">
        <v>1.92</v>
      </c>
      <c r="F63" s="47"/>
      <c r="G63" s="6" t="s">
        <v>557</v>
      </c>
      <c r="H63" s="281">
        <v>1.92</v>
      </c>
      <c r="I63" s="47"/>
      <c r="J63" s="6" t="s">
        <v>557</v>
      </c>
      <c r="K63" s="281">
        <v>1.92</v>
      </c>
      <c r="L63" s="47"/>
      <c r="M63" s="6" t="s">
        <v>557</v>
      </c>
      <c r="N63" s="281">
        <v>1.92</v>
      </c>
      <c r="O63" s="47"/>
      <c r="P63" s="6" t="s">
        <v>557</v>
      </c>
      <c r="Q63" s="281">
        <v>1.92</v>
      </c>
      <c r="R63" s="47"/>
      <c r="S63" s="6" t="s">
        <v>557</v>
      </c>
      <c r="T63" s="281">
        <v>1.92</v>
      </c>
      <c r="U63" s="47"/>
      <c r="V63" s="6" t="s">
        <v>557</v>
      </c>
      <c r="W63" s="281">
        <v>1.92</v>
      </c>
      <c r="X63" s="47"/>
    </row>
    <row r="64" spans="1:24" x14ac:dyDescent="0.2">
      <c r="A64" s="518" t="s">
        <v>70</v>
      </c>
      <c r="B64" s="194"/>
      <c r="C64" s="47"/>
      <c r="D64" s="518" t="s">
        <v>70</v>
      </c>
      <c r="E64" s="194"/>
      <c r="F64" s="47"/>
      <c r="G64" s="518" t="s">
        <v>70</v>
      </c>
      <c r="H64" s="194"/>
      <c r="I64" s="47"/>
      <c r="J64" s="518" t="s">
        <v>70</v>
      </c>
      <c r="K64" s="194"/>
      <c r="L64" s="47"/>
      <c r="M64" s="518" t="s">
        <v>70</v>
      </c>
      <c r="N64" s="194"/>
      <c r="O64" s="47"/>
      <c r="P64" s="518" t="s">
        <v>70</v>
      </c>
      <c r="Q64" s="194"/>
      <c r="R64" s="47"/>
      <c r="S64" s="518" t="s">
        <v>70</v>
      </c>
      <c r="T64" s="194"/>
      <c r="U64" s="47"/>
      <c r="V64" s="518" t="s">
        <v>70</v>
      </c>
      <c r="W64" s="194"/>
      <c r="X64" s="47"/>
    </row>
    <row r="65" spans="1:24" x14ac:dyDescent="0.2">
      <c r="A65" s="434" t="s">
        <v>72</v>
      </c>
      <c r="B65" s="5" t="e">
        <f>IF(B63=1.92,VLOOKUP(B64,'Gear Wire Nominal Sizes'!$A$3:$E$33,2,FALSE),IF(B63=1.728,VLOOKUP(B64,'Gear Wire Nominal Sizes'!$A$3:$E$33,3,FALSE),IF(B63=1.68,VLOOKUP(B64,'Gear Wire Nominal Sizes'!$A$3:$E$33,4,FALSE),IF(B63=1.44,VLOOKUP(B64,'Gear Wire Nominal Sizes'!$A$3:$E$33,5,FALSE),0))))</f>
        <v>#N/A</v>
      </c>
      <c r="C65" s="47"/>
      <c r="D65" s="434" t="s">
        <v>72</v>
      </c>
      <c r="E65" s="5" t="e">
        <f>IF(E63=1.92,VLOOKUP(E64,'Gear Wire Nominal Sizes'!$A$3:$E$33,2,FALSE),IF(E63=1.728,VLOOKUP(E64,'Gear Wire Nominal Sizes'!$A$3:$E$33,3,FALSE),IF(E63=1.68,VLOOKUP(E64,'Gear Wire Nominal Sizes'!$A$3:$E$33,4,FALSE),IF(E63=1.44,VLOOKUP(E64,'Gear Wire Nominal Sizes'!$A$3:$E$33,5,FALSE),0))))</f>
        <v>#N/A</v>
      </c>
      <c r="F65" s="47"/>
      <c r="G65" s="434" t="s">
        <v>72</v>
      </c>
      <c r="H65" s="5" t="e">
        <f>IF(H63=1.92,VLOOKUP(H64,'Gear Wire Nominal Sizes'!$A$3:$E$33,2,FALSE),IF(H63=1.728,VLOOKUP(H64,'Gear Wire Nominal Sizes'!$A$3:$E$33,3,FALSE),IF(H63=1.68,VLOOKUP(H64,'Gear Wire Nominal Sizes'!$A$3:$E$33,4,FALSE),IF(H63=1.44,VLOOKUP(H64,'Gear Wire Nominal Sizes'!$A$3:$E$33,5,FALSE),0))))</f>
        <v>#N/A</v>
      </c>
      <c r="I65" s="47"/>
      <c r="J65" s="434" t="s">
        <v>72</v>
      </c>
      <c r="K65" s="5" t="e">
        <f>IF(K63=1.92,VLOOKUP(K64,'Gear Wire Nominal Sizes'!$A$3:$E$33,2,FALSE),IF(K63=1.728,VLOOKUP(K64,'Gear Wire Nominal Sizes'!$A$3:$E$33,3,FALSE),IF(K63=1.68,VLOOKUP(K64,'Gear Wire Nominal Sizes'!$A$3:$E$33,4,FALSE),IF(K63=1.44,VLOOKUP(K64,'Gear Wire Nominal Sizes'!$A$3:$E$33,5,FALSE),0))))</f>
        <v>#N/A</v>
      </c>
      <c r="L65" s="47"/>
      <c r="M65" s="434" t="s">
        <v>72</v>
      </c>
      <c r="N65" s="5" t="e">
        <f>IF(N63=1.92,VLOOKUP(N64,'Gear Wire Nominal Sizes'!$A$3:$E$33,2,FALSE),IF(N63=1.728,VLOOKUP(N64,'Gear Wire Nominal Sizes'!$A$3:$E$33,3,FALSE),IF(N63=1.68,VLOOKUP(N64,'Gear Wire Nominal Sizes'!$A$3:$E$33,4,FALSE),IF(N63=1.44,VLOOKUP(N64,'Gear Wire Nominal Sizes'!$A$3:$E$33,5,FALSE),0))))</f>
        <v>#N/A</v>
      </c>
      <c r="O65" s="47"/>
      <c r="P65" s="434" t="s">
        <v>72</v>
      </c>
      <c r="Q65" s="5" t="e">
        <f>IF(Q63=1.92,VLOOKUP(Q64,'Gear Wire Nominal Sizes'!$A$3:$E$33,2,FALSE),IF(Q63=1.728,VLOOKUP(Q64,'Gear Wire Nominal Sizes'!$A$3:$E$33,3,FALSE),IF(Q63=1.68,VLOOKUP(Q64,'Gear Wire Nominal Sizes'!$A$3:$E$33,4,FALSE),IF(Q63=1.44,VLOOKUP(Q64,'Gear Wire Nominal Sizes'!$A$3:$E$33,5,FALSE),0))))</f>
        <v>#N/A</v>
      </c>
      <c r="R65" s="47"/>
      <c r="S65" s="434" t="s">
        <v>72</v>
      </c>
      <c r="T65" s="5" t="e">
        <f>IF(T63=1.92,VLOOKUP(T64,'Gear Wire Nominal Sizes'!$A$3:$E$33,2,FALSE),IF(T63=1.728,VLOOKUP(T64,'Gear Wire Nominal Sizes'!$A$3:$E$33,3,FALSE),IF(T63=1.68,VLOOKUP(T64,'Gear Wire Nominal Sizes'!$A$3:$E$33,4,FALSE),IF(T63=1.44,VLOOKUP(T64,'Gear Wire Nominal Sizes'!$A$3:$E$33,5,FALSE),0))))</f>
        <v>#N/A</v>
      </c>
      <c r="U65" s="47"/>
      <c r="V65" s="434" t="s">
        <v>72</v>
      </c>
      <c r="W65" s="5" t="e">
        <f>IF(W63=1.92,VLOOKUP(W64,'Gear Wire Nominal Sizes'!$A$3:$E$33,2,FALSE),IF(W63=1.728,VLOOKUP(W64,'Gear Wire Nominal Sizes'!$A$3:$E$33,3,FALSE),IF(W63=1.68,VLOOKUP(W64,'Gear Wire Nominal Sizes'!$A$3:$E$33,4,FALSE),IF(W63=1.44,VLOOKUP(W64,'Gear Wire Nominal Sizes'!$A$3:$E$33,5,FALSE),0))))</f>
        <v>#N/A</v>
      </c>
      <c r="X65" s="47"/>
    </row>
    <row r="66" spans="1:24" ht="13.5" thickBot="1" x14ac:dyDescent="0.25">
      <c r="A66" s="983" t="s">
        <v>558</v>
      </c>
      <c r="B66" s="984"/>
      <c r="C66" s="47"/>
      <c r="D66" s="983" t="s">
        <v>558</v>
      </c>
      <c r="E66" s="984"/>
      <c r="F66" s="47"/>
      <c r="G66" s="983" t="s">
        <v>558</v>
      </c>
      <c r="H66" s="984"/>
      <c r="I66" s="47"/>
      <c r="J66" s="983" t="s">
        <v>558</v>
      </c>
      <c r="K66" s="984"/>
      <c r="L66" s="47"/>
      <c r="M66" s="983" t="s">
        <v>558</v>
      </c>
      <c r="N66" s="984"/>
      <c r="O66" s="47"/>
      <c r="P66" s="983" t="s">
        <v>558</v>
      </c>
      <c r="Q66" s="984"/>
      <c r="R66" s="47"/>
      <c r="S66" s="983" t="s">
        <v>558</v>
      </c>
      <c r="T66" s="984"/>
      <c r="U66" s="47"/>
      <c r="V66" s="983" t="s">
        <v>558</v>
      </c>
      <c r="W66" s="984"/>
      <c r="X66" s="47"/>
    </row>
    <row r="67" spans="1:24" ht="13.5" thickTop="1" x14ac:dyDescent="0.2">
      <c r="A67" s="332" t="s">
        <v>501</v>
      </c>
      <c r="B67" s="333"/>
      <c r="C67" s="47"/>
      <c r="D67" s="332" t="s">
        <v>501</v>
      </c>
      <c r="E67" s="333"/>
      <c r="F67" s="47"/>
      <c r="G67" s="332" t="s">
        <v>501</v>
      </c>
      <c r="H67" s="333"/>
      <c r="I67" s="47"/>
      <c r="J67" s="332" t="s">
        <v>501</v>
      </c>
      <c r="K67" s="333"/>
      <c r="L67" s="47"/>
      <c r="M67" s="332" t="s">
        <v>501</v>
      </c>
      <c r="N67" s="333"/>
      <c r="O67" s="47"/>
      <c r="P67" s="332" t="s">
        <v>501</v>
      </c>
      <c r="Q67" s="333"/>
      <c r="R67" s="47"/>
      <c r="S67" s="332" t="s">
        <v>501</v>
      </c>
      <c r="T67" s="333"/>
      <c r="U67" s="47"/>
      <c r="V67" s="332" t="s">
        <v>501</v>
      </c>
      <c r="W67" s="333"/>
      <c r="X67" s="47"/>
    </row>
    <row r="68" spans="1:24" x14ac:dyDescent="0.2">
      <c r="A68" s="470" t="s">
        <v>502</v>
      </c>
      <c r="B68" s="194"/>
      <c r="C68" s="47"/>
      <c r="D68" s="470" t="s">
        <v>502</v>
      </c>
      <c r="E68" s="194"/>
      <c r="F68" s="47"/>
      <c r="G68" s="470" t="s">
        <v>502</v>
      </c>
      <c r="H68" s="194"/>
      <c r="I68" s="47"/>
      <c r="J68" s="470" t="s">
        <v>502</v>
      </c>
      <c r="K68" s="194"/>
      <c r="L68" s="47"/>
      <c r="M68" s="470" t="s">
        <v>502</v>
      </c>
      <c r="N68" s="194"/>
      <c r="O68" s="47"/>
      <c r="P68" s="470" t="s">
        <v>502</v>
      </c>
      <c r="Q68" s="194"/>
      <c r="R68" s="47"/>
      <c r="S68" s="470" t="s">
        <v>502</v>
      </c>
      <c r="T68" s="194"/>
      <c r="U68" s="47"/>
      <c r="V68" s="470" t="s">
        <v>502</v>
      </c>
      <c r="W68" s="194"/>
      <c r="X68" s="47"/>
    </row>
    <row r="69" spans="1:24" x14ac:dyDescent="0.2">
      <c r="A69" s="326" t="s">
        <v>503</v>
      </c>
      <c r="B69" s="297"/>
      <c r="C69" s="47"/>
      <c r="D69" s="326" t="s">
        <v>503</v>
      </c>
      <c r="E69" s="297"/>
      <c r="F69" s="47"/>
      <c r="G69" s="326" t="s">
        <v>503</v>
      </c>
      <c r="H69" s="297"/>
      <c r="I69" s="47"/>
      <c r="J69" s="326" t="s">
        <v>503</v>
      </c>
      <c r="K69" s="297"/>
      <c r="L69" s="47"/>
      <c r="M69" s="326" t="s">
        <v>503</v>
      </c>
      <c r="N69" s="297"/>
      <c r="O69" s="47"/>
      <c r="P69" s="326" t="s">
        <v>503</v>
      </c>
      <c r="Q69" s="297"/>
      <c r="R69" s="47"/>
      <c r="S69" s="326" t="s">
        <v>503</v>
      </c>
      <c r="T69" s="297"/>
      <c r="U69" s="47"/>
      <c r="V69" s="326" t="s">
        <v>503</v>
      </c>
      <c r="W69" s="297"/>
      <c r="X69" s="47"/>
    </row>
    <row r="70" spans="1:24" x14ac:dyDescent="0.2">
      <c r="A70" s="463" t="s">
        <v>504</v>
      </c>
      <c r="B70" s="194"/>
      <c r="C70" s="47"/>
      <c r="D70" s="463" t="s">
        <v>504</v>
      </c>
      <c r="E70" s="194"/>
      <c r="F70" s="47"/>
      <c r="G70" s="463" t="s">
        <v>504</v>
      </c>
      <c r="H70" s="194"/>
      <c r="I70" s="47"/>
      <c r="J70" s="463" t="s">
        <v>504</v>
      </c>
      <c r="K70" s="194"/>
      <c r="L70" s="47"/>
      <c r="M70" s="463" t="s">
        <v>504</v>
      </c>
      <c r="N70" s="194"/>
      <c r="O70" s="47"/>
      <c r="P70" s="463" t="s">
        <v>504</v>
      </c>
      <c r="Q70" s="194"/>
      <c r="R70" s="47"/>
      <c r="S70" s="463" t="s">
        <v>504</v>
      </c>
      <c r="T70" s="194"/>
      <c r="U70" s="47"/>
      <c r="V70" s="463" t="s">
        <v>504</v>
      </c>
      <c r="W70" s="194"/>
      <c r="X70" s="47"/>
    </row>
    <row r="71" spans="1:24" x14ac:dyDescent="0.2">
      <c r="A71" s="326" t="s">
        <v>505</v>
      </c>
      <c r="B71" s="297"/>
      <c r="C71" s="47"/>
      <c r="D71" s="326" t="s">
        <v>505</v>
      </c>
      <c r="E71" s="297"/>
      <c r="F71" s="47"/>
      <c r="G71" s="326" t="s">
        <v>505</v>
      </c>
      <c r="H71" s="297"/>
      <c r="I71" s="47"/>
      <c r="J71" s="326" t="s">
        <v>505</v>
      </c>
      <c r="K71" s="297"/>
      <c r="L71" s="47"/>
      <c r="M71" s="326" t="s">
        <v>505</v>
      </c>
      <c r="N71" s="297"/>
      <c r="O71" s="47"/>
      <c r="P71" s="326" t="s">
        <v>505</v>
      </c>
      <c r="Q71" s="297"/>
      <c r="R71" s="47"/>
      <c r="S71" s="326" t="s">
        <v>505</v>
      </c>
      <c r="T71" s="297"/>
      <c r="U71" s="47"/>
      <c r="V71" s="326" t="s">
        <v>505</v>
      </c>
      <c r="W71" s="297"/>
      <c r="X71" s="47"/>
    </row>
    <row r="72" spans="1:24" x14ac:dyDescent="0.2">
      <c r="A72" s="470" t="s">
        <v>502</v>
      </c>
      <c r="B72" s="194"/>
      <c r="C72" s="47"/>
      <c r="D72" s="470" t="s">
        <v>502</v>
      </c>
      <c r="E72" s="194"/>
      <c r="F72" s="47"/>
      <c r="G72" s="470" t="s">
        <v>502</v>
      </c>
      <c r="H72" s="194"/>
      <c r="I72" s="47"/>
      <c r="J72" s="470" t="s">
        <v>502</v>
      </c>
      <c r="K72" s="194"/>
      <c r="L72" s="47"/>
      <c r="M72" s="470" t="s">
        <v>502</v>
      </c>
      <c r="N72" s="194"/>
      <c r="O72" s="47"/>
      <c r="P72" s="470" t="s">
        <v>502</v>
      </c>
      <c r="Q72" s="194"/>
      <c r="R72" s="47"/>
      <c r="S72" s="470" t="s">
        <v>502</v>
      </c>
      <c r="T72" s="194"/>
      <c r="U72" s="47"/>
      <c r="V72" s="470" t="s">
        <v>502</v>
      </c>
      <c r="W72" s="194"/>
      <c r="X72" s="47"/>
    </row>
    <row r="73" spans="1:24" x14ac:dyDescent="0.2">
      <c r="A73" s="326" t="s">
        <v>506</v>
      </c>
      <c r="B73" s="297"/>
      <c r="C73" s="47"/>
      <c r="D73" s="326" t="s">
        <v>506</v>
      </c>
      <c r="E73" s="297"/>
      <c r="F73" s="47"/>
      <c r="G73" s="326" t="s">
        <v>506</v>
      </c>
      <c r="H73" s="297"/>
      <c r="I73" s="47"/>
      <c r="J73" s="326" t="s">
        <v>506</v>
      </c>
      <c r="K73" s="297"/>
      <c r="L73" s="47"/>
      <c r="M73" s="326" t="s">
        <v>506</v>
      </c>
      <c r="N73" s="297"/>
      <c r="O73" s="47"/>
      <c r="P73" s="326" t="s">
        <v>506</v>
      </c>
      <c r="Q73" s="297"/>
      <c r="R73" s="47"/>
      <c r="S73" s="326" t="s">
        <v>506</v>
      </c>
      <c r="T73" s="297"/>
      <c r="U73" s="47"/>
      <c r="V73" s="326" t="s">
        <v>506</v>
      </c>
      <c r="W73" s="297"/>
      <c r="X73" s="47"/>
    </row>
    <row r="74" spans="1:24" x14ac:dyDescent="0.2">
      <c r="A74" s="454" t="s">
        <v>504</v>
      </c>
      <c r="B74" s="194"/>
      <c r="C74" s="47"/>
      <c r="D74" s="454" t="s">
        <v>504</v>
      </c>
      <c r="E74" s="194"/>
      <c r="F74" s="47"/>
      <c r="G74" s="454" t="s">
        <v>504</v>
      </c>
      <c r="H74" s="194"/>
      <c r="I74" s="47"/>
      <c r="J74" s="454" t="s">
        <v>504</v>
      </c>
      <c r="K74" s="194"/>
      <c r="L74" s="47"/>
      <c r="M74" s="454" t="s">
        <v>504</v>
      </c>
      <c r="N74" s="194"/>
      <c r="O74" s="47"/>
      <c r="P74" s="454" t="s">
        <v>504</v>
      </c>
      <c r="Q74" s="194"/>
      <c r="R74" s="47"/>
      <c r="S74" s="454" t="s">
        <v>504</v>
      </c>
      <c r="T74" s="194"/>
      <c r="U74" s="47"/>
      <c r="V74" s="454" t="s">
        <v>504</v>
      </c>
      <c r="W74" s="194"/>
      <c r="X74" s="47"/>
    </row>
    <row r="75" spans="1:24" x14ac:dyDescent="0.2">
      <c r="A75" s="980" t="s">
        <v>507</v>
      </c>
      <c r="B75" s="979"/>
      <c r="C75" s="47"/>
      <c r="D75" s="980" t="s">
        <v>507</v>
      </c>
      <c r="E75" s="979"/>
      <c r="F75" s="47"/>
      <c r="G75" s="980" t="s">
        <v>507</v>
      </c>
      <c r="H75" s="979"/>
      <c r="I75" s="47"/>
      <c r="J75" s="980" t="s">
        <v>507</v>
      </c>
      <c r="K75" s="979"/>
      <c r="L75" s="47"/>
      <c r="M75" s="980" t="s">
        <v>507</v>
      </c>
      <c r="N75" s="979"/>
      <c r="O75" s="47"/>
      <c r="P75" s="980" t="s">
        <v>507</v>
      </c>
      <c r="Q75" s="979"/>
      <c r="R75" s="47"/>
      <c r="S75" s="980" t="s">
        <v>507</v>
      </c>
      <c r="T75" s="979"/>
      <c r="U75" s="47"/>
      <c r="V75" s="980" t="s">
        <v>507</v>
      </c>
      <c r="W75" s="979"/>
      <c r="X75" s="47"/>
    </row>
    <row r="76" spans="1:24" x14ac:dyDescent="0.2">
      <c r="A76" s="454" t="s">
        <v>504</v>
      </c>
      <c r="B76" s="829"/>
      <c r="C76" s="47"/>
      <c r="D76" s="454" t="s">
        <v>504</v>
      </c>
      <c r="E76" s="829"/>
      <c r="F76" s="47"/>
      <c r="G76" s="454" t="s">
        <v>504</v>
      </c>
      <c r="H76" s="829"/>
      <c r="I76" s="47"/>
      <c r="J76" s="454" t="s">
        <v>504</v>
      </c>
      <c r="K76" s="829"/>
      <c r="L76" s="47"/>
      <c r="M76" s="454" t="s">
        <v>504</v>
      </c>
      <c r="N76" s="829"/>
      <c r="O76" s="47"/>
      <c r="P76" s="454" t="s">
        <v>504</v>
      </c>
      <c r="Q76" s="829"/>
      <c r="R76" s="47"/>
      <c r="S76" s="454" t="s">
        <v>504</v>
      </c>
      <c r="T76" s="829"/>
      <c r="U76" s="47"/>
      <c r="V76" s="454" t="s">
        <v>504</v>
      </c>
      <c r="W76" s="829"/>
      <c r="X76" s="47"/>
    </row>
    <row r="77" spans="1:24" x14ac:dyDescent="0.2">
      <c r="A77" s="326" t="s">
        <v>508</v>
      </c>
      <c r="B77" s="979"/>
      <c r="C77" s="47"/>
      <c r="D77" s="326" t="s">
        <v>508</v>
      </c>
      <c r="E77" s="979"/>
      <c r="F77" s="47"/>
      <c r="G77" s="326" t="s">
        <v>508</v>
      </c>
      <c r="H77" s="979"/>
      <c r="I77" s="47"/>
      <c r="J77" s="326" t="s">
        <v>508</v>
      </c>
      <c r="K77" s="979"/>
      <c r="L77" s="47"/>
      <c r="M77" s="326" t="s">
        <v>508</v>
      </c>
      <c r="N77" s="979"/>
      <c r="O77" s="47"/>
      <c r="P77" s="326" t="s">
        <v>508</v>
      </c>
      <c r="Q77" s="979"/>
      <c r="R77" s="47"/>
      <c r="S77" s="326" t="s">
        <v>508</v>
      </c>
      <c r="T77" s="979"/>
      <c r="U77" s="47"/>
      <c r="V77" s="326" t="s">
        <v>508</v>
      </c>
      <c r="W77" s="979"/>
      <c r="X77" s="47"/>
    </row>
    <row r="78" spans="1:24" x14ac:dyDescent="0.2">
      <c r="A78" s="454" t="s">
        <v>504</v>
      </c>
      <c r="B78" s="829"/>
      <c r="C78" s="47"/>
      <c r="D78" s="454" t="s">
        <v>504</v>
      </c>
      <c r="E78" s="829"/>
      <c r="F78" s="47"/>
      <c r="G78" s="454" t="s">
        <v>504</v>
      </c>
      <c r="H78" s="829"/>
      <c r="I78" s="47"/>
      <c r="J78" s="454" t="s">
        <v>504</v>
      </c>
      <c r="K78" s="829"/>
      <c r="L78" s="47"/>
      <c r="M78" s="454" t="s">
        <v>504</v>
      </c>
      <c r="N78" s="829"/>
      <c r="O78" s="47"/>
      <c r="P78" s="454" t="s">
        <v>504</v>
      </c>
      <c r="Q78" s="829"/>
      <c r="R78" s="47"/>
      <c r="S78" s="454" t="s">
        <v>504</v>
      </c>
      <c r="T78" s="829"/>
      <c r="U78" s="47"/>
      <c r="V78" s="454" t="s">
        <v>504</v>
      </c>
      <c r="W78" s="829"/>
      <c r="X78" s="47"/>
    </row>
    <row r="79" spans="1:24" ht="13.5" thickBot="1" x14ac:dyDescent="0.25">
      <c r="A79" s="501" t="s">
        <v>73</v>
      </c>
      <c r="B79" s="517" t="e">
        <f>ROUND(AVERAGE(B67:B78), 5)</f>
        <v>#DIV/0!</v>
      </c>
      <c r="C79" s="47"/>
      <c r="D79" s="501" t="s">
        <v>73</v>
      </c>
      <c r="E79" s="503" t="e">
        <f>ROUND(AVERAGE(E67:E78), 5)</f>
        <v>#DIV/0!</v>
      </c>
      <c r="F79" s="47"/>
      <c r="G79" s="501" t="s">
        <v>73</v>
      </c>
      <c r="H79" s="503" t="e">
        <f>ROUND(AVERAGE(H67:H78), 5)</f>
        <v>#DIV/0!</v>
      </c>
      <c r="I79" s="47"/>
      <c r="J79" s="501" t="s">
        <v>73</v>
      </c>
      <c r="K79" s="503" t="e">
        <f>ROUND(AVERAGE(K67:K78), 5)</f>
        <v>#DIV/0!</v>
      </c>
      <c r="L79" s="47"/>
      <c r="M79" s="501" t="s">
        <v>73</v>
      </c>
      <c r="N79" s="517" t="e">
        <f>ROUND(AVERAGE(N67:N78), 5)</f>
        <v>#DIV/0!</v>
      </c>
      <c r="O79" s="47"/>
      <c r="P79" s="501" t="s">
        <v>73</v>
      </c>
      <c r="Q79" s="513" t="e">
        <f>ROUND(AVERAGE(Q67:Q78), 5)</f>
        <v>#DIV/0!</v>
      </c>
      <c r="R79" s="47"/>
      <c r="S79" s="501" t="s">
        <v>73</v>
      </c>
      <c r="T79" s="503" t="e">
        <f>ROUND(AVERAGE(T67:T78), 5)</f>
        <v>#DIV/0!</v>
      </c>
      <c r="U79" s="47"/>
      <c r="V79" s="501" t="s">
        <v>73</v>
      </c>
      <c r="W79" s="503" t="e">
        <f>ROUND(AVERAGE(W67:W78), 5)</f>
        <v>#DIV/0!</v>
      </c>
      <c r="X79" s="47"/>
    </row>
    <row r="80" spans="1:24" ht="13.5" thickBot="1" x14ac:dyDescent="0.25">
      <c r="A80" s="47"/>
      <c r="B80" s="47"/>
      <c r="C80" s="47"/>
      <c r="D80" s="47"/>
      <c r="E80" s="47"/>
      <c r="F80" s="47"/>
      <c r="G80" s="47"/>
      <c r="H80" s="47"/>
      <c r="I80" s="47"/>
      <c r="J80" s="47"/>
      <c r="K80" s="47"/>
      <c r="L80" s="47"/>
      <c r="M80" s="47"/>
      <c r="N80" s="47"/>
      <c r="O80" s="47"/>
      <c r="P80" s="47"/>
      <c r="Q80" s="972" t="s">
        <v>560</v>
      </c>
      <c r="R80" s="47"/>
      <c r="S80" s="47"/>
      <c r="T80" s="47"/>
      <c r="U80" s="47"/>
      <c r="V80" s="47"/>
      <c r="W80" s="47"/>
      <c r="X80" s="47"/>
    </row>
    <row r="81" spans="1:24" ht="15.75" thickBot="1" x14ac:dyDescent="0.3">
      <c r="A81" s="235" t="s">
        <v>69</v>
      </c>
      <c r="B81" s="236"/>
      <c r="C81" s="280"/>
      <c r="D81" s="235" t="s">
        <v>69</v>
      </c>
      <c r="E81" s="236"/>
      <c r="F81" s="280"/>
      <c r="G81" s="235" t="s">
        <v>69</v>
      </c>
      <c r="H81" s="236"/>
      <c r="I81" s="280"/>
      <c r="J81" s="235" t="s">
        <v>69</v>
      </c>
      <c r="K81" s="236"/>
      <c r="L81" s="280"/>
      <c r="M81" s="235" t="s">
        <v>69</v>
      </c>
      <c r="N81" s="236"/>
      <c r="O81" s="280"/>
      <c r="P81" s="235" t="s">
        <v>69</v>
      </c>
      <c r="Q81" s="236"/>
      <c r="R81" s="280"/>
      <c r="S81" s="235" t="s">
        <v>69</v>
      </c>
      <c r="T81" s="236"/>
      <c r="U81" s="280"/>
      <c r="V81" s="235" t="s">
        <v>69</v>
      </c>
      <c r="W81" s="236"/>
      <c r="X81" s="280"/>
    </row>
    <row r="82" spans="1:24" x14ac:dyDescent="0.2">
      <c r="A82" s="6" t="s">
        <v>557</v>
      </c>
      <c r="B82" s="281">
        <v>1.92</v>
      </c>
      <c r="C82" s="47"/>
      <c r="D82" s="6" t="s">
        <v>557</v>
      </c>
      <c r="E82" s="281">
        <v>1.92</v>
      </c>
      <c r="F82" s="47"/>
      <c r="G82" s="6" t="s">
        <v>557</v>
      </c>
      <c r="H82" s="281">
        <v>1.92</v>
      </c>
      <c r="I82" s="47"/>
      <c r="J82" s="6" t="s">
        <v>557</v>
      </c>
      <c r="K82" s="281">
        <v>1.92</v>
      </c>
      <c r="L82" s="47"/>
      <c r="M82" s="6" t="s">
        <v>557</v>
      </c>
      <c r="N82" s="281">
        <v>1.92</v>
      </c>
      <c r="O82" s="47"/>
      <c r="P82" s="6" t="s">
        <v>557</v>
      </c>
      <c r="Q82" s="281">
        <v>1.92</v>
      </c>
      <c r="R82" s="47"/>
      <c r="S82" s="6" t="s">
        <v>557</v>
      </c>
      <c r="T82" s="281">
        <v>1.44</v>
      </c>
      <c r="U82" s="47"/>
      <c r="V82" s="6" t="s">
        <v>557</v>
      </c>
      <c r="W82" s="281">
        <v>1.44</v>
      </c>
      <c r="X82" s="47"/>
    </row>
    <row r="83" spans="1:24" x14ac:dyDescent="0.2">
      <c r="A83" s="518" t="s">
        <v>70</v>
      </c>
      <c r="B83" s="194"/>
      <c r="C83" s="47"/>
      <c r="D83" s="518" t="s">
        <v>70</v>
      </c>
      <c r="E83" s="194"/>
      <c r="F83" s="47"/>
      <c r="G83" s="518" t="s">
        <v>70</v>
      </c>
      <c r="H83" s="194"/>
      <c r="I83" s="47"/>
      <c r="J83" s="520" t="s">
        <v>70</v>
      </c>
      <c r="K83" s="194"/>
      <c r="L83" s="47"/>
      <c r="M83" s="518" t="s">
        <v>70</v>
      </c>
      <c r="N83" s="194"/>
      <c r="O83" s="47"/>
      <c r="P83" s="518" t="s">
        <v>70</v>
      </c>
      <c r="Q83" s="194"/>
      <c r="R83" s="47"/>
      <c r="S83" s="518" t="s">
        <v>70</v>
      </c>
      <c r="T83" s="194"/>
      <c r="U83" s="47"/>
      <c r="V83" s="520" t="s">
        <v>70</v>
      </c>
      <c r="W83" s="194"/>
      <c r="X83" s="47"/>
    </row>
    <row r="84" spans="1:24" x14ac:dyDescent="0.2">
      <c r="A84" s="434" t="s">
        <v>72</v>
      </c>
      <c r="B84" s="5" t="e">
        <f>IF(B82=1.92,VLOOKUP(B83,'Gear Wire Nominal Sizes'!$A$3:$E$33,2,FALSE),IF(B82=1.728,VLOOKUP(B83,'Gear Wire Nominal Sizes'!$A$3:$E$33,3,FALSE),IF(B82=1.68,VLOOKUP(B83,'Gear Wire Nominal Sizes'!$A$3:$E$33,4,FALSE),IF(B82=1.44,VLOOKUP(B83,'Gear Wire Nominal Sizes'!$A$3:$E$33,5,FALSE),0))))</f>
        <v>#N/A</v>
      </c>
      <c r="C84" s="47"/>
      <c r="D84" s="434" t="s">
        <v>72</v>
      </c>
      <c r="E84" s="5" t="e">
        <f>IF(E82=1.92,VLOOKUP(E83,'Gear Wire Nominal Sizes'!$A$3:$E$33,2,FALSE),IF(E82=1.728,VLOOKUP(E83,'Gear Wire Nominal Sizes'!$A$3:$E$33,3,FALSE),IF(E82=1.68,VLOOKUP(E83,'Gear Wire Nominal Sizes'!$A$3:$E$33,4,FALSE),IF(E82=1.44,VLOOKUP(E83,'Gear Wire Nominal Sizes'!$A$3:$E$33,5,FALSE),0))))</f>
        <v>#N/A</v>
      </c>
      <c r="F84" s="47"/>
      <c r="G84" s="434" t="s">
        <v>72</v>
      </c>
      <c r="H84" s="5" t="e">
        <f>IF(H82=1.92,VLOOKUP(H83,'Gear Wire Nominal Sizes'!$A$3:$E$33,2,FALSE),IF(H82=1.728,VLOOKUP(H83,'Gear Wire Nominal Sizes'!$A$3:$E$33,3,FALSE),IF(H82=1.68,VLOOKUP(H83,'Gear Wire Nominal Sizes'!$A$3:$E$33,4,FALSE),IF(H82=1.44,VLOOKUP(H83,'Gear Wire Nominal Sizes'!$A$3:$E$33,5,FALSE),0))))</f>
        <v>#N/A</v>
      </c>
      <c r="I84" s="47"/>
      <c r="J84" s="434" t="s">
        <v>72</v>
      </c>
      <c r="K84" s="5" t="e">
        <f>IF(K82=1.92,VLOOKUP(K83,'Gear Wire Nominal Sizes'!$A$3:$E$33,2,FALSE),IF(K82=1.728,VLOOKUP(K83,'Gear Wire Nominal Sizes'!$A$3:$E$33,3,FALSE),IF(K82=1.68,VLOOKUP(K83,'Gear Wire Nominal Sizes'!$A$3:$E$33,4,FALSE),IF(K82=1.44,VLOOKUP(K83,'Gear Wire Nominal Sizes'!$A$3:$E$33,5,FALSE),0))))</f>
        <v>#N/A</v>
      </c>
      <c r="L84" s="47"/>
      <c r="M84" s="434" t="s">
        <v>72</v>
      </c>
      <c r="N84" s="5" t="e">
        <f>IF(N82=1.92,VLOOKUP(N83,'Gear Wire Nominal Sizes'!$A$3:$E$33,2,FALSE),IF(N82=1.728,VLOOKUP(N83,'Gear Wire Nominal Sizes'!$A$3:$E$33,3,FALSE),IF(N82=1.68,VLOOKUP(N83,'Gear Wire Nominal Sizes'!$A$3:$E$33,4,FALSE),IF(N82=1.44,VLOOKUP(N83,'Gear Wire Nominal Sizes'!$A$3:$E$33,5,FALSE),0))))</f>
        <v>#N/A</v>
      </c>
      <c r="O84" s="47"/>
      <c r="P84" s="434" t="s">
        <v>72</v>
      </c>
      <c r="Q84" s="5" t="e">
        <f>IF(Q82=1.92,VLOOKUP(Q83,'Gear Wire Nominal Sizes'!$A$3:$E$33,2,FALSE),IF(Q82=1.728,VLOOKUP(Q83,'Gear Wire Nominal Sizes'!$A$3:$E$33,3,FALSE),IF(Q82=1.68,VLOOKUP(Q83,'Gear Wire Nominal Sizes'!$A$3:$E$33,4,FALSE),IF(Q82=1.44,VLOOKUP(Q83,'Gear Wire Nominal Sizes'!$A$3:$E$33,5,FALSE),0))))</f>
        <v>#N/A</v>
      </c>
      <c r="R84" s="47"/>
      <c r="S84" s="434" t="s">
        <v>72</v>
      </c>
      <c r="T84" s="5" t="e">
        <f>IF(T82=1.92,VLOOKUP(T83,'Gear Wire Nominal Sizes'!$A$3:$E$33,2,FALSE),IF(T82=1.728,VLOOKUP(T83,'Gear Wire Nominal Sizes'!$A$3:$E$33,3,FALSE),IF(T82=1.68,VLOOKUP(T83,'Gear Wire Nominal Sizes'!$A$3:$E$33,4,FALSE),IF(T82=1.44,VLOOKUP(T83,'Gear Wire Nominal Sizes'!$A$3:$E$33,5,FALSE),0))))</f>
        <v>#N/A</v>
      </c>
      <c r="U84" s="47"/>
      <c r="V84" s="434" t="s">
        <v>72</v>
      </c>
      <c r="W84" s="5" t="e">
        <f>IF(W82=1.92,VLOOKUP(W83,'Gear Wire Nominal Sizes'!$A$3:$E$33,2,FALSE),IF(W82=1.728,VLOOKUP(W83,'Gear Wire Nominal Sizes'!$A$3:$E$33,3,FALSE),IF(W82=1.68,VLOOKUP(W83,'Gear Wire Nominal Sizes'!$A$3:$E$33,4,FALSE),IF(W82=1.44,VLOOKUP(W83,'Gear Wire Nominal Sizes'!$A$3:$E$33,5,FALSE),0))))</f>
        <v>#N/A</v>
      </c>
      <c r="X84" s="47"/>
    </row>
    <row r="85" spans="1:24" ht="13.5" thickBot="1" x14ac:dyDescent="0.25">
      <c r="A85" s="983" t="s">
        <v>558</v>
      </c>
      <c r="B85" s="984"/>
      <c r="C85" s="47"/>
      <c r="D85" s="983" t="s">
        <v>558</v>
      </c>
      <c r="E85" s="984"/>
      <c r="F85" s="47"/>
      <c r="G85" s="983" t="s">
        <v>558</v>
      </c>
      <c r="H85" s="984"/>
      <c r="I85" s="47"/>
      <c r="J85" s="983" t="s">
        <v>558</v>
      </c>
      <c r="K85" s="984"/>
      <c r="L85" s="47"/>
      <c r="M85" s="983" t="s">
        <v>558</v>
      </c>
      <c r="N85" s="984"/>
      <c r="O85" s="47"/>
      <c r="P85" s="983" t="s">
        <v>558</v>
      </c>
      <c r="Q85" s="984"/>
      <c r="R85" s="47"/>
      <c r="S85" s="983" t="s">
        <v>558</v>
      </c>
      <c r="T85" s="984"/>
      <c r="U85" s="47"/>
      <c r="V85" s="983" t="s">
        <v>558</v>
      </c>
      <c r="W85" s="984"/>
      <c r="X85" s="47"/>
    </row>
    <row r="86" spans="1:24" ht="13.5" thickTop="1" x14ac:dyDescent="0.2">
      <c r="A86" s="332" t="s">
        <v>501</v>
      </c>
      <c r="B86" s="333"/>
      <c r="C86" s="47"/>
      <c r="D86" s="332" t="s">
        <v>501</v>
      </c>
      <c r="E86" s="333"/>
      <c r="F86" s="47"/>
      <c r="G86" s="332" t="s">
        <v>501</v>
      </c>
      <c r="H86" s="333"/>
      <c r="I86" s="47"/>
      <c r="J86" s="332" t="s">
        <v>501</v>
      </c>
      <c r="K86" s="333"/>
      <c r="L86" s="47"/>
      <c r="M86" s="332" t="s">
        <v>501</v>
      </c>
      <c r="N86" s="333"/>
      <c r="O86" s="47"/>
      <c r="P86" s="332" t="s">
        <v>501</v>
      </c>
      <c r="Q86" s="333"/>
      <c r="R86" s="47"/>
      <c r="S86" s="332" t="s">
        <v>501</v>
      </c>
      <c r="T86" s="333"/>
      <c r="U86" s="47"/>
      <c r="V86" s="332" t="s">
        <v>501</v>
      </c>
      <c r="W86" s="333"/>
      <c r="X86" s="47"/>
    </row>
    <row r="87" spans="1:24" x14ac:dyDescent="0.2">
      <c r="A87" s="470" t="s">
        <v>502</v>
      </c>
      <c r="B87" s="194"/>
      <c r="C87" s="47"/>
      <c r="D87" s="470" t="s">
        <v>502</v>
      </c>
      <c r="E87" s="194"/>
      <c r="F87" s="47"/>
      <c r="G87" s="470" t="s">
        <v>502</v>
      </c>
      <c r="H87" s="194"/>
      <c r="I87" s="47"/>
      <c r="J87" s="470" t="s">
        <v>502</v>
      </c>
      <c r="K87" s="194"/>
      <c r="L87" s="47"/>
      <c r="M87" s="470" t="s">
        <v>502</v>
      </c>
      <c r="N87" s="194"/>
      <c r="O87" s="47"/>
      <c r="P87" s="470" t="s">
        <v>502</v>
      </c>
      <c r="Q87" s="194"/>
      <c r="R87" s="47"/>
      <c r="S87" s="470" t="s">
        <v>502</v>
      </c>
      <c r="T87" s="194"/>
      <c r="U87" s="47"/>
      <c r="V87" s="470" t="s">
        <v>502</v>
      </c>
      <c r="W87" s="194"/>
      <c r="X87" s="47"/>
    </row>
    <row r="88" spans="1:24" x14ac:dyDescent="0.2">
      <c r="A88" s="326" t="s">
        <v>503</v>
      </c>
      <c r="B88" s="297"/>
      <c r="C88" s="47"/>
      <c r="D88" s="326" t="s">
        <v>503</v>
      </c>
      <c r="E88" s="297"/>
      <c r="F88" s="47"/>
      <c r="G88" s="326" t="s">
        <v>503</v>
      </c>
      <c r="H88" s="297"/>
      <c r="I88" s="47"/>
      <c r="J88" s="326" t="s">
        <v>503</v>
      </c>
      <c r="K88" s="297"/>
      <c r="L88" s="47"/>
      <c r="M88" s="326" t="s">
        <v>503</v>
      </c>
      <c r="N88" s="297"/>
      <c r="O88" s="47"/>
      <c r="P88" s="326" t="s">
        <v>503</v>
      </c>
      <c r="Q88" s="297"/>
      <c r="R88" s="47"/>
      <c r="S88" s="326" t="s">
        <v>503</v>
      </c>
      <c r="T88" s="297"/>
      <c r="U88" s="47"/>
      <c r="V88" s="326" t="s">
        <v>503</v>
      </c>
      <c r="W88" s="297"/>
      <c r="X88" s="47"/>
    </row>
    <row r="89" spans="1:24" x14ac:dyDescent="0.2">
      <c r="A89" s="463" t="s">
        <v>504</v>
      </c>
      <c r="B89" s="194"/>
      <c r="C89" s="47"/>
      <c r="D89" s="463" t="s">
        <v>504</v>
      </c>
      <c r="E89" s="194"/>
      <c r="F89" s="47"/>
      <c r="G89" s="463" t="s">
        <v>504</v>
      </c>
      <c r="H89" s="194"/>
      <c r="I89" s="47"/>
      <c r="J89" s="463" t="s">
        <v>504</v>
      </c>
      <c r="K89" s="194"/>
      <c r="L89" s="47"/>
      <c r="M89" s="463" t="s">
        <v>504</v>
      </c>
      <c r="N89" s="194"/>
      <c r="O89" s="47"/>
      <c r="P89" s="463" t="s">
        <v>504</v>
      </c>
      <c r="Q89" s="194"/>
      <c r="R89" s="47"/>
      <c r="S89" s="463" t="s">
        <v>504</v>
      </c>
      <c r="T89" s="194"/>
      <c r="U89" s="47"/>
      <c r="V89" s="463" t="s">
        <v>504</v>
      </c>
      <c r="W89" s="194"/>
      <c r="X89" s="47"/>
    </row>
    <row r="90" spans="1:24" x14ac:dyDescent="0.2">
      <c r="A90" s="326" t="s">
        <v>505</v>
      </c>
      <c r="B90" s="297"/>
      <c r="C90" s="47"/>
      <c r="D90" s="326" t="s">
        <v>505</v>
      </c>
      <c r="E90" s="297"/>
      <c r="F90" s="47"/>
      <c r="G90" s="326" t="s">
        <v>505</v>
      </c>
      <c r="H90" s="297"/>
      <c r="I90" s="47"/>
      <c r="J90" s="326" t="s">
        <v>505</v>
      </c>
      <c r="K90" s="297"/>
      <c r="L90" s="47"/>
      <c r="M90" s="326" t="s">
        <v>505</v>
      </c>
      <c r="N90" s="297"/>
      <c r="O90" s="47"/>
      <c r="P90" s="326" t="s">
        <v>505</v>
      </c>
      <c r="Q90" s="297"/>
      <c r="R90" s="47"/>
      <c r="S90" s="326" t="s">
        <v>505</v>
      </c>
      <c r="T90" s="297"/>
      <c r="U90" s="47"/>
      <c r="V90" s="326" t="s">
        <v>505</v>
      </c>
      <c r="W90" s="297"/>
      <c r="X90" s="47"/>
    </row>
    <row r="91" spans="1:24" x14ac:dyDescent="0.2">
      <c r="A91" s="470" t="s">
        <v>502</v>
      </c>
      <c r="B91" s="194"/>
      <c r="C91" s="47"/>
      <c r="D91" s="470" t="s">
        <v>502</v>
      </c>
      <c r="E91" s="194"/>
      <c r="F91" s="47"/>
      <c r="G91" s="470" t="s">
        <v>502</v>
      </c>
      <c r="H91" s="194"/>
      <c r="I91" s="47"/>
      <c r="J91" s="470" t="s">
        <v>502</v>
      </c>
      <c r="K91" s="194"/>
      <c r="L91" s="47"/>
      <c r="M91" s="470" t="s">
        <v>502</v>
      </c>
      <c r="N91" s="194"/>
      <c r="O91" s="47"/>
      <c r="P91" s="470" t="s">
        <v>502</v>
      </c>
      <c r="Q91" s="194"/>
      <c r="R91" s="47"/>
      <c r="S91" s="470" t="s">
        <v>502</v>
      </c>
      <c r="T91" s="194"/>
      <c r="U91" s="47"/>
      <c r="V91" s="470" t="s">
        <v>502</v>
      </c>
      <c r="W91" s="194"/>
      <c r="X91" s="47"/>
    </row>
    <row r="92" spans="1:24" x14ac:dyDescent="0.2">
      <c r="A92" s="326" t="s">
        <v>506</v>
      </c>
      <c r="B92" s="297"/>
      <c r="C92" s="47"/>
      <c r="D92" s="326" t="s">
        <v>506</v>
      </c>
      <c r="E92" s="297"/>
      <c r="F92" s="47"/>
      <c r="G92" s="326" t="s">
        <v>506</v>
      </c>
      <c r="H92" s="297"/>
      <c r="I92" s="47"/>
      <c r="J92" s="326" t="s">
        <v>506</v>
      </c>
      <c r="K92" s="297"/>
      <c r="L92" s="47"/>
      <c r="M92" s="326" t="s">
        <v>506</v>
      </c>
      <c r="N92" s="297"/>
      <c r="O92" s="47"/>
      <c r="P92" s="326" t="s">
        <v>506</v>
      </c>
      <c r="Q92" s="297"/>
      <c r="R92" s="47"/>
      <c r="S92" s="326" t="s">
        <v>506</v>
      </c>
      <c r="T92" s="297"/>
      <c r="U92" s="47"/>
      <c r="V92" s="326" t="s">
        <v>506</v>
      </c>
      <c r="W92" s="297"/>
      <c r="X92" s="47"/>
    </row>
    <row r="93" spans="1:24" x14ac:dyDescent="0.2">
      <c r="A93" s="454" t="s">
        <v>504</v>
      </c>
      <c r="B93" s="194"/>
      <c r="C93" s="47"/>
      <c r="D93" s="454" t="s">
        <v>504</v>
      </c>
      <c r="E93" s="194"/>
      <c r="F93" s="47"/>
      <c r="G93" s="454" t="s">
        <v>504</v>
      </c>
      <c r="H93" s="194"/>
      <c r="I93" s="47"/>
      <c r="J93" s="454" t="s">
        <v>504</v>
      </c>
      <c r="K93" s="194"/>
      <c r="L93" s="47"/>
      <c r="M93" s="454" t="s">
        <v>504</v>
      </c>
      <c r="N93" s="194"/>
      <c r="O93" s="47"/>
      <c r="P93" s="454" t="s">
        <v>504</v>
      </c>
      <c r="Q93" s="194"/>
      <c r="R93" s="47"/>
      <c r="S93" s="454" t="s">
        <v>504</v>
      </c>
      <c r="T93" s="194"/>
      <c r="U93" s="47"/>
      <c r="V93" s="454" t="s">
        <v>504</v>
      </c>
      <c r="W93" s="194"/>
      <c r="X93" s="47"/>
    </row>
    <row r="94" spans="1:24" x14ac:dyDescent="0.2">
      <c r="A94" s="980" t="s">
        <v>507</v>
      </c>
      <c r="B94" s="979"/>
      <c r="C94" s="47"/>
      <c r="D94" s="980" t="s">
        <v>507</v>
      </c>
      <c r="E94" s="979"/>
      <c r="F94" s="47"/>
      <c r="G94" s="980" t="s">
        <v>507</v>
      </c>
      <c r="H94" s="979"/>
      <c r="I94" s="47"/>
      <c r="J94" s="980" t="s">
        <v>507</v>
      </c>
      <c r="K94" s="979"/>
      <c r="L94" s="47"/>
      <c r="M94" s="980" t="s">
        <v>507</v>
      </c>
      <c r="N94" s="979"/>
      <c r="O94" s="47"/>
      <c r="P94" s="980" t="s">
        <v>507</v>
      </c>
      <c r="Q94" s="979"/>
      <c r="R94" s="47"/>
      <c r="S94" s="980" t="s">
        <v>507</v>
      </c>
      <c r="T94" s="979"/>
      <c r="U94" s="47"/>
      <c r="V94" s="980" t="s">
        <v>507</v>
      </c>
      <c r="W94" s="979"/>
      <c r="X94" s="47"/>
    </row>
    <row r="95" spans="1:24" x14ac:dyDescent="0.2">
      <c r="A95" s="454" t="s">
        <v>504</v>
      </c>
      <c r="B95" s="829"/>
      <c r="C95" s="47"/>
      <c r="D95" s="454" t="s">
        <v>504</v>
      </c>
      <c r="E95" s="829"/>
      <c r="F95" s="47"/>
      <c r="G95" s="454" t="s">
        <v>504</v>
      </c>
      <c r="H95" s="829"/>
      <c r="I95" s="47"/>
      <c r="J95" s="454" t="s">
        <v>504</v>
      </c>
      <c r="K95" s="829"/>
      <c r="L95" s="47"/>
      <c r="M95" s="454" t="s">
        <v>504</v>
      </c>
      <c r="N95" s="829"/>
      <c r="O95" s="47"/>
      <c r="P95" s="454" t="s">
        <v>504</v>
      </c>
      <c r="Q95" s="829"/>
      <c r="R95" s="47"/>
      <c r="S95" s="454" t="s">
        <v>504</v>
      </c>
      <c r="T95" s="829"/>
      <c r="U95" s="47"/>
      <c r="V95" s="454" t="s">
        <v>504</v>
      </c>
      <c r="W95" s="829"/>
      <c r="X95" s="47"/>
    </row>
    <row r="96" spans="1:24" x14ac:dyDescent="0.2">
      <c r="A96" s="326" t="s">
        <v>508</v>
      </c>
      <c r="B96" s="979"/>
      <c r="C96" s="47"/>
      <c r="D96" s="326" t="s">
        <v>508</v>
      </c>
      <c r="E96" s="979"/>
      <c r="F96" s="47"/>
      <c r="G96" s="326" t="s">
        <v>508</v>
      </c>
      <c r="H96" s="979"/>
      <c r="I96" s="47"/>
      <c r="J96" s="326" t="s">
        <v>508</v>
      </c>
      <c r="K96" s="979"/>
      <c r="L96" s="47"/>
      <c r="M96" s="326" t="s">
        <v>508</v>
      </c>
      <c r="N96" s="979"/>
      <c r="O96" s="47"/>
      <c r="P96" s="326" t="s">
        <v>508</v>
      </c>
      <c r="Q96" s="979"/>
      <c r="R96" s="47"/>
      <c r="S96" s="326" t="s">
        <v>508</v>
      </c>
      <c r="T96" s="979"/>
      <c r="U96" s="47"/>
      <c r="V96" s="326" t="s">
        <v>508</v>
      </c>
      <c r="W96" s="979"/>
      <c r="X96" s="47"/>
    </row>
    <row r="97" spans="1:24" x14ac:dyDescent="0.2">
      <c r="A97" s="454" t="s">
        <v>504</v>
      </c>
      <c r="B97" s="829"/>
      <c r="C97" s="47"/>
      <c r="D97" s="454" t="s">
        <v>504</v>
      </c>
      <c r="E97" s="829"/>
      <c r="F97" s="47"/>
      <c r="G97" s="454" t="s">
        <v>504</v>
      </c>
      <c r="H97" s="829"/>
      <c r="I97" s="47"/>
      <c r="J97" s="454" t="s">
        <v>504</v>
      </c>
      <c r="K97" s="829"/>
      <c r="L97" s="47"/>
      <c r="M97" s="454" t="s">
        <v>504</v>
      </c>
      <c r="N97" s="829"/>
      <c r="O97" s="47"/>
      <c r="P97" s="454" t="s">
        <v>504</v>
      </c>
      <c r="Q97" s="829"/>
      <c r="R97" s="47"/>
      <c r="S97" s="454" t="s">
        <v>504</v>
      </c>
      <c r="T97" s="829"/>
      <c r="U97" s="47"/>
      <c r="V97" s="454" t="s">
        <v>504</v>
      </c>
      <c r="W97" s="829"/>
      <c r="X97" s="47"/>
    </row>
    <row r="98" spans="1:24" ht="13.5" thickBot="1" x14ac:dyDescent="0.25">
      <c r="A98" s="501" t="s">
        <v>73</v>
      </c>
      <c r="B98" s="503" t="e">
        <f>ROUND(AVERAGE(B86:B97), 5)</f>
        <v>#DIV/0!</v>
      </c>
      <c r="C98" s="47"/>
      <c r="D98" s="501" t="s">
        <v>73</v>
      </c>
      <c r="E98" s="503" t="e">
        <f>ROUND(AVERAGE(E86:E97), 5)</f>
        <v>#DIV/0!</v>
      </c>
      <c r="F98" s="47"/>
      <c r="G98" s="501" t="s">
        <v>73</v>
      </c>
      <c r="H98" s="503" t="e">
        <f>ROUND(AVERAGE(H86:H97), 5)</f>
        <v>#DIV/0!</v>
      </c>
      <c r="I98" s="47"/>
      <c r="J98" s="501" t="s">
        <v>73</v>
      </c>
      <c r="K98" s="503" t="e">
        <f>ROUND(AVERAGE(K86:K97), 5)</f>
        <v>#DIV/0!</v>
      </c>
      <c r="L98" s="47"/>
      <c r="M98" s="501" t="s">
        <v>73</v>
      </c>
      <c r="N98" s="503" t="e">
        <f>ROUND(AVERAGE(N86:N97), 5)</f>
        <v>#DIV/0!</v>
      </c>
      <c r="O98" s="47"/>
      <c r="P98" s="501" t="s">
        <v>73</v>
      </c>
      <c r="Q98" s="503" t="e">
        <f>ROUND(AVERAGE(Q86:Q97), 5)</f>
        <v>#DIV/0!</v>
      </c>
      <c r="R98" s="47"/>
      <c r="S98" s="501" t="s">
        <v>73</v>
      </c>
      <c r="T98" s="503" t="e">
        <f>ROUND(AVERAGE(T86:T97), 5)</f>
        <v>#DIV/0!</v>
      </c>
      <c r="U98" s="47"/>
      <c r="V98" s="501" t="s">
        <v>73</v>
      </c>
      <c r="W98" s="503" t="e">
        <f>ROUND(AVERAGE(W86:W97), 5)</f>
        <v>#DIV/0!</v>
      </c>
      <c r="X98" s="47"/>
    </row>
    <row r="99" spans="1:24" ht="13.5" thickBot="1"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row>
    <row r="100" spans="1:24" ht="15.75" thickBot="1" x14ac:dyDescent="0.3">
      <c r="A100" s="235" t="s">
        <v>69</v>
      </c>
      <c r="B100" s="236"/>
      <c r="C100" s="47"/>
      <c r="D100" s="235" t="s">
        <v>69</v>
      </c>
      <c r="E100" s="236"/>
      <c r="F100" s="47"/>
      <c r="G100" s="235" t="s">
        <v>69</v>
      </c>
      <c r="H100" s="236"/>
      <c r="I100" s="47"/>
      <c r="J100" s="235" t="s">
        <v>69</v>
      </c>
      <c r="K100" s="236"/>
      <c r="L100" s="47"/>
      <c r="M100" s="235" t="s">
        <v>69</v>
      </c>
      <c r="N100" s="236"/>
      <c r="O100" s="47"/>
      <c r="P100" s="235" t="s">
        <v>69</v>
      </c>
      <c r="Q100" s="236"/>
      <c r="R100" s="47"/>
      <c r="S100" s="235" t="s">
        <v>69</v>
      </c>
      <c r="T100" s="236"/>
      <c r="U100" s="47"/>
      <c r="V100" s="235" t="s">
        <v>69</v>
      </c>
      <c r="W100" s="278"/>
      <c r="X100" s="47" t="s">
        <v>559</v>
      </c>
    </row>
    <row r="101" spans="1:24" x14ac:dyDescent="0.2">
      <c r="A101" s="6" t="s">
        <v>557</v>
      </c>
      <c r="B101" s="281">
        <v>1.44</v>
      </c>
      <c r="C101" s="47"/>
      <c r="D101" s="6" t="s">
        <v>557</v>
      </c>
      <c r="E101" s="281">
        <v>1.44</v>
      </c>
      <c r="F101" s="47"/>
      <c r="G101" s="6" t="s">
        <v>557</v>
      </c>
      <c r="H101" s="281">
        <v>1.44</v>
      </c>
      <c r="I101" s="47"/>
      <c r="J101" s="6" t="s">
        <v>557</v>
      </c>
      <c r="K101" s="281">
        <v>1.44</v>
      </c>
      <c r="L101" s="47"/>
      <c r="M101" s="6" t="s">
        <v>557</v>
      </c>
      <c r="N101" s="281">
        <v>1.44</v>
      </c>
      <c r="O101" s="47"/>
      <c r="P101" s="6" t="s">
        <v>557</v>
      </c>
      <c r="Q101" s="281">
        <v>1.44</v>
      </c>
      <c r="R101" s="47"/>
      <c r="S101" s="6" t="s">
        <v>557</v>
      </c>
      <c r="T101" s="281">
        <v>1.44</v>
      </c>
      <c r="U101" s="47"/>
      <c r="V101" s="6" t="s">
        <v>557</v>
      </c>
      <c r="W101" s="281">
        <v>1.44</v>
      </c>
      <c r="X101" s="47"/>
    </row>
    <row r="102" spans="1:24" x14ac:dyDescent="0.2">
      <c r="A102" s="518" t="s">
        <v>70</v>
      </c>
      <c r="B102" s="194"/>
      <c r="C102" s="47"/>
      <c r="D102" s="518" t="s">
        <v>70</v>
      </c>
      <c r="E102" s="194"/>
      <c r="F102" s="47"/>
      <c r="G102" s="518" t="s">
        <v>70</v>
      </c>
      <c r="H102" s="194"/>
      <c r="I102" s="47"/>
      <c r="J102" s="518" t="s">
        <v>70</v>
      </c>
      <c r="K102" s="194"/>
      <c r="L102" s="47"/>
      <c r="M102" s="518" t="s">
        <v>70</v>
      </c>
      <c r="N102" s="194"/>
      <c r="O102" s="47"/>
      <c r="P102" s="518" t="s">
        <v>70</v>
      </c>
      <c r="Q102" s="194"/>
      <c r="R102" s="47"/>
      <c r="S102" s="518" t="s">
        <v>70</v>
      </c>
      <c r="T102" s="194"/>
      <c r="U102" s="47"/>
      <c r="V102" s="518" t="s">
        <v>70</v>
      </c>
      <c r="W102" s="194"/>
      <c r="X102" s="47"/>
    </row>
    <row r="103" spans="1:24" x14ac:dyDescent="0.2">
      <c r="A103" s="434" t="s">
        <v>72</v>
      </c>
      <c r="B103" s="5" t="e">
        <f>IF(B101=1.92,VLOOKUP(B102,'Gear Wire Nominal Sizes'!$A$3:$E$33,2,FALSE),IF(B101=1.728,VLOOKUP(B102,'Gear Wire Nominal Sizes'!$A$3:$E$33,3,FALSE),IF(B101=1.68,VLOOKUP(B102,'Gear Wire Nominal Sizes'!$A$3:$E$33,4,FALSE),IF(B101=1.44,VLOOKUP(B102,'Gear Wire Nominal Sizes'!$A$3:$E$33,5,FALSE),0))))</f>
        <v>#N/A</v>
      </c>
      <c r="C103" s="47"/>
      <c r="D103" s="434" t="s">
        <v>72</v>
      </c>
      <c r="E103" s="5" t="e">
        <f>IF(E101=1.92,VLOOKUP(E102,'Gear Wire Nominal Sizes'!$A$3:$E$33,2,FALSE),IF(E101=1.728,VLOOKUP(E102,'Gear Wire Nominal Sizes'!$A$3:$E$33,3,FALSE),IF(E101=1.68,VLOOKUP(E102,'Gear Wire Nominal Sizes'!$A$3:$E$33,4,FALSE),IF(E101=1.44,VLOOKUP(E102,'Gear Wire Nominal Sizes'!$A$3:$E$33,5,FALSE),0))))</f>
        <v>#N/A</v>
      </c>
      <c r="F103" s="47"/>
      <c r="G103" s="434" t="s">
        <v>72</v>
      </c>
      <c r="H103" s="5" t="e">
        <f>IF(H101=1.92,VLOOKUP(H102,'Gear Wire Nominal Sizes'!$A$3:$E$33,2,FALSE),IF(H101=1.728,VLOOKUP(H102,'Gear Wire Nominal Sizes'!$A$3:$E$33,3,FALSE),IF(H101=1.68,VLOOKUP(H102,'Gear Wire Nominal Sizes'!$A$3:$E$33,4,FALSE),IF(H101=1.44,VLOOKUP(H102,'Gear Wire Nominal Sizes'!$A$3:$E$33,5,FALSE),0))))</f>
        <v>#N/A</v>
      </c>
      <c r="I103" s="47"/>
      <c r="J103" s="434" t="s">
        <v>72</v>
      </c>
      <c r="K103" s="5" t="e">
        <f>IF(K101=1.92,VLOOKUP(K102,'Gear Wire Nominal Sizes'!$A$3:$E$33,2,FALSE),IF(K101=1.728,VLOOKUP(K102,'Gear Wire Nominal Sizes'!$A$3:$E$33,3,FALSE),IF(K101=1.68,VLOOKUP(K102,'Gear Wire Nominal Sizes'!$A$3:$E$33,4,FALSE),IF(K101=1.44,VLOOKUP(K102,'Gear Wire Nominal Sizes'!$A$3:$E$33,5,FALSE),0))))</f>
        <v>#N/A</v>
      </c>
      <c r="L103" s="47"/>
      <c r="M103" s="434" t="s">
        <v>72</v>
      </c>
      <c r="N103" s="5" t="e">
        <f>IF(N101=1.92,VLOOKUP(N102,'Gear Wire Nominal Sizes'!$A$3:$E$33,2,FALSE),IF(N101=1.728,VLOOKUP(N102,'Gear Wire Nominal Sizes'!$A$3:$E$33,3,FALSE),IF(N101=1.68,VLOOKUP(N102,'Gear Wire Nominal Sizes'!$A$3:$E$33,4,FALSE),IF(N101=1.44,VLOOKUP(N102,'Gear Wire Nominal Sizes'!$A$3:$E$33,5,FALSE),0))))</f>
        <v>#N/A</v>
      </c>
      <c r="O103" s="47"/>
      <c r="P103" s="434" t="s">
        <v>72</v>
      </c>
      <c r="Q103" s="5" t="e">
        <f>IF(Q101=1.92,VLOOKUP(Q102,'Gear Wire Nominal Sizes'!$A$3:$E$33,2,FALSE),IF(Q101=1.728,VLOOKUP(Q102,'Gear Wire Nominal Sizes'!$A$3:$E$33,3,FALSE),IF(Q101=1.68,VLOOKUP(Q102,'Gear Wire Nominal Sizes'!$A$3:$E$33,4,FALSE),IF(Q101=1.44,VLOOKUP(Q102,'Gear Wire Nominal Sizes'!$A$3:$E$33,5,FALSE),0))))</f>
        <v>#N/A</v>
      </c>
      <c r="R103" s="47"/>
      <c r="S103" s="434" t="s">
        <v>72</v>
      </c>
      <c r="T103" s="5" t="e">
        <f>IF(T101=1.92,VLOOKUP(T102,'Gear Wire Nominal Sizes'!$A$3:$E$33,2,FALSE),IF(T101=1.728,VLOOKUP(T102,'Gear Wire Nominal Sizes'!$A$3:$E$33,3,FALSE),IF(T101=1.68,VLOOKUP(T102,'Gear Wire Nominal Sizes'!$A$3:$E$33,4,FALSE),IF(T101=1.44,VLOOKUP(T102,'Gear Wire Nominal Sizes'!$A$3:$E$33,5,FALSE),0))))</f>
        <v>#N/A</v>
      </c>
      <c r="U103" s="47"/>
      <c r="V103" s="434" t="s">
        <v>72</v>
      </c>
      <c r="W103" s="2">
        <v>8.2000000000000003E-2</v>
      </c>
      <c r="X103" s="47"/>
    </row>
    <row r="104" spans="1:24" ht="13.5" thickBot="1" x14ac:dyDescent="0.25">
      <c r="A104" s="983" t="s">
        <v>558</v>
      </c>
      <c r="B104" s="984"/>
      <c r="C104" s="47"/>
      <c r="D104" s="983" t="s">
        <v>558</v>
      </c>
      <c r="E104" s="984"/>
      <c r="F104" s="47"/>
      <c r="G104" s="983" t="s">
        <v>558</v>
      </c>
      <c r="H104" s="984"/>
      <c r="I104" s="47"/>
      <c r="J104" s="983" t="s">
        <v>558</v>
      </c>
      <c r="K104" s="984"/>
      <c r="L104" s="47"/>
      <c r="M104" s="983" t="s">
        <v>558</v>
      </c>
      <c r="N104" s="984"/>
      <c r="O104" s="47"/>
      <c r="P104" s="983" t="s">
        <v>558</v>
      </c>
      <c r="Q104" s="984"/>
      <c r="R104" s="47"/>
      <c r="S104" s="983" t="s">
        <v>558</v>
      </c>
      <c r="T104" s="984"/>
      <c r="U104" s="47"/>
      <c r="V104" s="983" t="s">
        <v>558</v>
      </c>
      <c r="W104" s="984"/>
      <c r="X104" s="47"/>
    </row>
    <row r="105" spans="1:24" ht="13.5" thickTop="1" x14ac:dyDescent="0.2">
      <c r="A105" s="332" t="s">
        <v>501</v>
      </c>
      <c r="B105" s="333"/>
      <c r="C105" s="47"/>
      <c r="D105" s="332" t="s">
        <v>501</v>
      </c>
      <c r="E105" s="333"/>
      <c r="F105" s="47"/>
      <c r="G105" s="332" t="s">
        <v>501</v>
      </c>
      <c r="H105" s="333"/>
      <c r="I105" s="47"/>
      <c r="J105" s="332" t="s">
        <v>501</v>
      </c>
      <c r="K105" s="333"/>
      <c r="L105" s="47"/>
      <c r="M105" s="332" t="s">
        <v>501</v>
      </c>
      <c r="N105" s="333"/>
      <c r="O105" s="47"/>
      <c r="P105" s="332" t="s">
        <v>501</v>
      </c>
      <c r="Q105" s="333"/>
      <c r="R105" s="47"/>
      <c r="S105" s="332" t="s">
        <v>501</v>
      </c>
      <c r="T105" s="333"/>
      <c r="U105" s="47"/>
      <c r="V105" s="332" t="s">
        <v>501</v>
      </c>
      <c r="W105" s="333"/>
      <c r="X105" s="47"/>
    </row>
    <row r="106" spans="1:24" x14ac:dyDescent="0.2">
      <c r="A106" s="470" t="s">
        <v>502</v>
      </c>
      <c r="B106" s="194"/>
      <c r="C106" s="47"/>
      <c r="D106" s="470" t="s">
        <v>502</v>
      </c>
      <c r="E106" s="194"/>
      <c r="F106" s="47"/>
      <c r="G106" s="470" t="s">
        <v>502</v>
      </c>
      <c r="H106" s="194"/>
      <c r="I106" s="47"/>
      <c r="J106" s="470" t="s">
        <v>502</v>
      </c>
      <c r="K106" s="194"/>
      <c r="L106" s="47"/>
      <c r="M106" s="470" t="s">
        <v>502</v>
      </c>
      <c r="N106" s="194"/>
      <c r="O106" s="47"/>
      <c r="P106" s="470" t="s">
        <v>502</v>
      </c>
      <c r="Q106" s="194"/>
      <c r="R106" s="47"/>
      <c r="S106" s="470" t="s">
        <v>502</v>
      </c>
      <c r="T106" s="194"/>
      <c r="U106" s="47"/>
      <c r="V106" s="470" t="s">
        <v>502</v>
      </c>
      <c r="W106" s="194"/>
      <c r="X106" s="47"/>
    </row>
    <row r="107" spans="1:24" x14ac:dyDescent="0.2">
      <c r="A107" s="326" t="s">
        <v>503</v>
      </c>
      <c r="B107" s="297"/>
      <c r="C107" s="47"/>
      <c r="D107" s="326" t="s">
        <v>503</v>
      </c>
      <c r="E107" s="297"/>
      <c r="F107" s="47"/>
      <c r="G107" s="326" t="s">
        <v>503</v>
      </c>
      <c r="H107" s="297"/>
      <c r="I107" s="47"/>
      <c r="J107" s="326" t="s">
        <v>503</v>
      </c>
      <c r="K107" s="297"/>
      <c r="L107" s="47"/>
      <c r="M107" s="326" t="s">
        <v>503</v>
      </c>
      <c r="N107" s="297"/>
      <c r="O107" s="47"/>
      <c r="P107" s="326" t="s">
        <v>503</v>
      </c>
      <c r="Q107" s="297"/>
      <c r="R107" s="47"/>
      <c r="S107" s="326" t="s">
        <v>503</v>
      </c>
      <c r="T107" s="297"/>
      <c r="U107" s="47"/>
      <c r="V107" s="326" t="s">
        <v>503</v>
      </c>
      <c r="W107" s="297"/>
      <c r="X107" s="47"/>
    </row>
    <row r="108" spans="1:24" x14ac:dyDescent="0.2">
      <c r="A108" s="463" t="s">
        <v>504</v>
      </c>
      <c r="B108" s="194"/>
      <c r="C108" s="47"/>
      <c r="D108" s="463" t="s">
        <v>504</v>
      </c>
      <c r="E108" s="194"/>
      <c r="F108" s="47"/>
      <c r="G108" s="463" t="s">
        <v>504</v>
      </c>
      <c r="H108" s="194"/>
      <c r="I108" s="47"/>
      <c r="J108" s="463" t="s">
        <v>504</v>
      </c>
      <c r="K108" s="194"/>
      <c r="L108" s="47"/>
      <c r="M108" s="463" t="s">
        <v>504</v>
      </c>
      <c r="N108" s="194"/>
      <c r="O108" s="47"/>
      <c r="P108" s="463" t="s">
        <v>504</v>
      </c>
      <c r="Q108" s="194"/>
      <c r="R108" s="47"/>
      <c r="S108" s="463" t="s">
        <v>504</v>
      </c>
      <c r="T108" s="194"/>
      <c r="U108" s="47"/>
      <c r="V108" s="463" t="s">
        <v>504</v>
      </c>
      <c r="W108" s="194"/>
      <c r="X108" s="47"/>
    </row>
    <row r="109" spans="1:24" x14ac:dyDescent="0.2">
      <c r="A109" s="326" t="s">
        <v>505</v>
      </c>
      <c r="B109" s="297"/>
      <c r="C109" s="47"/>
      <c r="D109" s="326" t="s">
        <v>505</v>
      </c>
      <c r="E109" s="297"/>
      <c r="F109" s="47"/>
      <c r="G109" s="326" t="s">
        <v>505</v>
      </c>
      <c r="H109" s="297"/>
      <c r="I109" s="47"/>
      <c r="J109" s="326" t="s">
        <v>505</v>
      </c>
      <c r="K109" s="297"/>
      <c r="L109" s="47"/>
      <c r="M109" s="326" t="s">
        <v>505</v>
      </c>
      <c r="N109" s="297"/>
      <c r="O109" s="47"/>
      <c r="P109" s="326" t="s">
        <v>505</v>
      </c>
      <c r="Q109" s="297"/>
      <c r="R109" s="47"/>
      <c r="S109" s="326" t="s">
        <v>505</v>
      </c>
      <c r="T109" s="297"/>
      <c r="U109" s="47"/>
      <c r="V109" s="326" t="s">
        <v>505</v>
      </c>
      <c r="W109" s="297"/>
      <c r="X109" s="47"/>
    </row>
    <row r="110" spans="1:24" x14ac:dyDescent="0.2">
      <c r="A110" s="470" t="s">
        <v>502</v>
      </c>
      <c r="B110" s="194"/>
      <c r="C110" s="47"/>
      <c r="D110" s="470" t="s">
        <v>502</v>
      </c>
      <c r="E110" s="194"/>
      <c r="F110" s="47"/>
      <c r="G110" s="470" t="s">
        <v>502</v>
      </c>
      <c r="H110" s="194"/>
      <c r="I110" s="47"/>
      <c r="J110" s="470" t="s">
        <v>502</v>
      </c>
      <c r="K110" s="194"/>
      <c r="L110" s="47"/>
      <c r="M110" s="470" t="s">
        <v>502</v>
      </c>
      <c r="N110" s="194"/>
      <c r="O110" s="47"/>
      <c r="P110" s="470" t="s">
        <v>502</v>
      </c>
      <c r="Q110" s="194"/>
      <c r="R110" s="47"/>
      <c r="S110" s="470" t="s">
        <v>502</v>
      </c>
      <c r="T110" s="194"/>
      <c r="U110" s="47"/>
      <c r="V110" s="470" t="s">
        <v>502</v>
      </c>
      <c r="W110" s="194"/>
      <c r="X110" s="47"/>
    </row>
    <row r="111" spans="1:24" x14ac:dyDescent="0.2">
      <c r="A111" s="326" t="s">
        <v>506</v>
      </c>
      <c r="B111" s="297"/>
      <c r="C111" s="47"/>
      <c r="D111" s="326" t="s">
        <v>506</v>
      </c>
      <c r="E111" s="297"/>
      <c r="F111" s="47"/>
      <c r="G111" s="326" t="s">
        <v>506</v>
      </c>
      <c r="H111" s="297"/>
      <c r="I111" s="47"/>
      <c r="J111" s="326" t="s">
        <v>506</v>
      </c>
      <c r="K111" s="297"/>
      <c r="L111" s="47"/>
      <c r="M111" s="326" t="s">
        <v>506</v>
      </c>
      <c r="N111" s="297"/>
      <c r="O111" s="47"/>
      <c r="P111" s="326" t="s">
        <v>506</v>
      </c>
      <c r="Q111" s="297"/>
      <c r="R111" s="47"/>
      <c r="S111" s="326" t="s">
        <v>506</v>
      </c>
      <c r="T111" s="297"/>
      <c r="U111" s="47"/>
      <c r="V111" s="326" t="s">
        <v>506</v>
      </c>
      <c r="W111" s="297"/>
      <c r="X111" s="47"/>
    </row>
    <row r="112" spans="1:24" x14ac:dyDescent="0.2">
      <c r="A112" s="454" t="s">
        <v>504</v>
      </c>
      <c r="B112" s="194"/>
      <c r="C112" s="47"/>
      <c r="D112" s="470" t="s">
        <v>502</v>
      </c>
      <c r="E112" s="194"/>
      <c r="F112" s="47"/>
      <c r="G112" s="470" t="s">
        <v>502</v>
      </c>
      <c r="H112" s="194"/>
      <c r="I112" s="47"/>
      <c r="J112" s="470" t="s">
        <v>502</v>
      </c>
      <c r="K112" s="194"/>
      <c r="L112" s="47"/>
      <c r="M112" s="470" t="s">
        <v>502</v>
      </c>
      <c r="N112" s="194"/>
      <c r="O112" s="47"/>
      <c r="P112" s="470" t="s">
        <v>502</v>
      </c>
      <c r="Q112" s="194"/>
      <c r="R112" s="47"/>
      <c r="S112" s="470" t="s">
        <v>502</v>
      </c>
      <c r="T112" s="194"/>
      <c r="U112" s="47"/>
      <c r="V112" s="470" t="s">
        <v>502</v>
      </c>
      <c r="W112" s="194"/>
      <c r="X112" s="47"/>
    </row>
    <row r="113" spans="1:24" x14ac:dyDescent="0.2">
      <c r="A113" s="313" t="s">
        <v>507</v>
      </c>
      <c r="B113" s="830"/>
      <c r="C113" s="47"/>
      <c r="D113" s="313" t="s">
        <v>507</v>
      </c>
      <c r="E113" s="830"/>
      <c r="F113" s="47"/>
      <c r="G113" s="313" t="s">
        <v>507</v>
      </c>
      <c r="H113" s="830"/>
      <c r="I113" s="47"/>
      <c r="J113" s="313" t="s">
        <v>507</v>
      </c>
      <c r="K113" s="830"/>
      <c r="L113" s="47"/>
      <c r="M113" s="313" t="s">
        <v>507</v>
      </c>
      <c r="N113" s="830"/>
      <c r="O113" s="47"/>
      <c r="P113" s="313" t="s">
        <v>507</v>
      </c>
      <c r="Q113" s="830"/>
      <c r="R113" s="47"/>
      <c r="S113" s="313" t="s">
        <v>507</v>
      </c>
      <c r="T113" s="830"/>
      <c r="U113" s="47"/>
      <c r="V113" s="313" t="s">
        <v>507</v>
      </c>
      <c r="W113" s="830"/>
      <c r="X113" s="47"/>
    </row>
    <row r="114" spans="1:24" x14ac:dyDescent="0.2">
      <c r="A114" s="454" t="s">
        <v>502</v>
      </c>
      <c r="B114" s="829"/>
      <c r="C114" s="47"/>
      <c r="D114" s="454" t="s">
        <v>502</v>
      </c>
      <c r="E114" s="829"/>
      <c r="F114" s="47"/>
      <c r="G114" s="454" t="s">
        <v>502</v>
      </c>
      <c r="H114" s="829"/>
      <c r="I114" s="47"/>
      <c r="J114" s="454" t="s">
        <v>502</v>
      </c>
      <c r="K114" s="829"/>
      <c r="L114" s="47"/>
      <c r="M114" s="454" t="s">
        <v>502</v>
      </c>
      <c r="N114" s="829"/>
      <c r="O114" s="47"/>
      <c r="P114" s="454" t="s">
        <v>502</v>
      </c>
      <c r="Q114" s="829"/>
      <c r="R114" s="47"/>
      <c r="S114" s="454" t="s">
        <v>502</v>
      </c>
      <c r="T114" s="829"/>
      <c r="U114" s="47"/>
      <c r="V114" s="454" t="s">
        <v>502</v>
      </c>
      <c r="W114" s="829"/>
      <c r="X114" s="47"/>
    </row>
    <row r="115" spans="1:24" x14ac:dyDescent="0.2">
      <c r="A115" s="313" t="s">
        <v>508</v>
      </c>
      <c r="B115" s="830"/>
      <c r="C115" s="47"/>
      <c r="D115" s="313" t="s">
        <v>508</v>
      </c>
      <c r="E115" s="830"/>
      <c r="F115" s="47"/>
      <c r="G115" s="313" t="s">
        <v>508</v>
      </c>
      <c r="H115" s="830"/>
      <c r="I115" s="47"/>
      <c r="J115" s="313" t="s">
        <v>508</v>
      </c>
      <c r="K115" s="830"/>
      <c r="L115" s="47"/>
      <c r="M115" s="313" t="s">
        <v>508</v>
      </c>
      <c r="N115" s="830"/>
      <c r="O115" s="47"/>
      <c r="P115" s="313" t="s">
        <v>508</v>
      </c>
      <c r="Q115" s="830"/>
      <c r="R115" s="47"/>
      <c r="S115" s="313" t="s">
        <v>508</v>
      </c>
      <c r="T115" s="830"/>
      <c r="U115" s="47"/>
      <c r="V115" s="313" t="s">
        <v>508</v>
      </c>
      <c r="W115" s="830"/>
      <c r="X115" s="47"/>
    </row>
    <row r="116" spans="1:24" x14ac:dyDescent="0.2">
      <c r="A116" s="454" t="s">
        <v>504</v>
      </c>
      <c r="B116" s="829"/>
      <c r="C116" s="47"/>
      <c r="D116" s="454" t="s">
        <v>504</v>
      </c>
      <c r="E116" s="829"/>
      <c r="F116" s="47"/>
      <c r="G116" s="454" t="s">
        <v>504</v>
      </c>
      <c r="H116" s="829"/>
      <c r="I116" s="47"/>
      <c r="J116" s="454" t="s">
        <v>504</v>
      </c>
      <c r="K116" s="829"/>
      <c r="L116" s="47"/>
      <c r="M116" s="454" t="s">
        <v>504</v>
      </c>
      <c r="N116" s="829"/>
      <c r="O116" s="47"/>
      <c r="P116" s="454" t="s">
        <v>504</v>
      </c>
      <c r="Q116" s="829"/>
      <c r="R116" s="47"/>
      <c r="S116" s="454" t="s">
        <v>504</v>
      </c>
      <c r="T116" s="829"/>
      <c r="U116" s="47"/>
      <c r="V116" s="454" t="s">
        <v>504</v>
      </c>
      <c r="W116" s="829"/>
      <c r="X116" s="47"/>
    </row>
    <row r="117" spans="1:24" ht="13.5" thickBot="1" x14ac:dyDescent="0.25">
      <c r="A117" s="501" t="s">
        <v>73</v>
      </c>
      <c r="B117" s="503" t="e">
        <f>ROUND(AVERAGE(B105:B116), 5)</f>
        <v>#DIV/0!</v>
      </c>
      <c r="C117" s="47"/>
      <c r="D117" s="501" t="s">
        <v>73</v>
      </c>
      <c r="E117" s="503" t="e">
        <f>ROUND(AVERAGE(E105:E116), 5)</f>
        <v>#DIV/0!</v>
      </c>
      <c r="F117" s="47"/>
      <c r="G117" s="501" t="s">
        <v>73</v>
      </c>
      <c r="H117" s="503" t="e">
        <f>ROUND(AVERAGE(H105:H116), 5)</f>
        <v>#DIV/0!</v>
      </c>
      <c r="I117" s="47"/>
      <c r="J117" s="501" t="s">
        <v>73</v>
      </c>
      <c r="K117" s="503" t="e">
        <f>ROUND(AVERAGE(K105:K116), 5)</f>
        <v>#DIV/0!</v>
      </c>
      <c r="L117" s="47"/>
      <c r="M117" s="501" t="s">
        <v>73</v>
      </c>
      <c r="N117" s="503" t="e">
        <f>ROUND(AVERAGE(N105:N116), 5)</f>
        <v>#DIV/0!</v>
      </c>
      <c r="O117" s="47"/>
      <c r="P117" s="501" t="s">
        <v>73</v>
      </c>
      <c r="Q117" s="503" t="e">
        <f>ROUND(AVERAGE(Q105:Q116), 5)</f>
        <v>#DIV/0!</v>
      </c>
      <c r="R117" s="47"/>
      <c r="S117" s="501" t="s">
        <v>73</v>
      </c>
      <c r="T117" s="503" t="e">
        <f>ROUND(AVERAGE(T105:T116), 5)</f>
        <v>#DIV/0!</v>
      </c>
      <c r="U117" s="47"/>
      <c r="V117" s="501" t="s">
        <v>73</v>
      </c>
      <c r="W117" s="503" t="e">
        <f>ROUND(AVERAGE(W105:W116), 5)</f>
        <v>#DIV/0!</v>
      </c>
      <c r="X117" s="47"/>
    </row>
  </sheetData>
  <sheetProtection password="CC48" sheet="1" selectLockedCells="1"/>
  <mergeCells count="2">
    <mergeCell ref="A2:N2"/>
    <mergeCell ref="A3:N3"/>
  </mergeCells>
  <phoneticPr fontId="13" type="noConversion"/>
  <conditionalFormatting sqref="B22 N22">
    <cfRule type="cellIs" dxfId="55" priority="1" stopIfTrue="1" operator="greaterThan">
      <formula>$N$8+0.00002</formula>
    </cfRule>
    <cfRule type="cellIs" dxfId="54" priority="2" stopIfTrue="1" operator="lessThan">
      <formula>$N$8-0.00002</formula>
    </cfRule>
  </conditionalFormatting>
  <conditionalFormatting sqref="E22 Q22">
    <cfRule type="cellIs" dxfId="53" priority="3" stopIfTrue="1" operator="lessThan">
      <formula>$E$8-0.00002</formula>
    </cfRule>
    <cfRule type="cellIs" dxfId="52" priority="4" stopIfTrue="1" operator="greaterThan">
      <formula>$E$8+0.00002</formula>
    </cfRule>
  </conditionalFormatting>
  <conditionalFormatting sqref="H22 T22 T79">
    <cfRule type="cellIs" dxfId="51" priority="5" stopIfTrue="1" operator="greaterThan">
      <formula>$H$8+0.00002</formula>
    </cfRule>
    <cfRule type="cellIs" dxfId="50" priority="6" stopIfTrue="1" operator="lessThan">
      <formula>$H$8-0.00002</formula>
    </cfRule>
  </conditionalFormatting>
  <conditionalFormatting sqref="K22 W22">
    <cfRule type="cellIs" dxfId="49" priority="7" stopIfTrue="1" operator="greaterThan">
      <formula>$K$8+0.00002</formula>
    </cfRule>
    <cfRule type="cellIs" dxfId="48" priority="8" stopIfTrue="1" operator="lessThan">
      <formula>$K$8-0.00002</formula>
    </cfRule>
  </conditionalFormatting>
  <conditionalFormatting sqref="B41 N41 B98">
    <cfRule type="cellIs" dxfId="47" priority="9" stopIfTrue="1" operator="greaterThan">
      <formula>$B$27+0.00002</formula>
    </cfRule>
    <cfRule type="cellIs" dxfId="46" priority="10" stopIfTrue="1" operator="lessThan">
      <formula>$B$27-0.00002</formula>
    </cfRule>
  </conditionalFormatting>
  <conditionalFormatting sqref="E41 Q41 E98">
    <cfRule type="cellIs" dxfId="45" priority="11" stopIfTrue="1" operator="greaterThan">
      <formula>$E$27+0.00002</formula>
    </cfRule>
    <cfRule type="cellIs" dxfId="44" priority="12" stopIfTrue="1" operator="lessThan">
      <formula>$E$27-0.00002</formula>
    </cfRule>
  </conditionalFormatting>
  <conditionalFormatting sqref="H41 T41">
    <cfRule type="cellIs" dxfId="43" priority="13" stopIfTrue="1" operator="greaterThan">
      <formula>$H$27+0.00002</formula>
    </cfRule>
    <cfRule type="cellIs" dxfId="42" priority="14" stopIfTrue="1" operator="lessThan">
      <formula>$H$27-0.00002</formula>
    </cfRule>
  </conditionalFormatting>
  <conditionalFormatting sqref="K41 W41">
    <cfRule type="cellIs" dxfId="41" priority="15" stopIfTrue="1" operator="greaterThan">
      <formula>$K$27+0.00002</formula>
    </cfRule>
    <cfRule type="cellIs" dxfId="40" priority="16" stopIfTrue="1" operator="lessThan">
      <formula>$K$27-0.00002</formula>
    </cfRule>
  </conditionalFormatting>
  <conditionalFormatting sqref="B60:B61 B117 N61">
    <cfRule type="cellIs" dxfId="39" priority="17" stopIfTrue="1" operator="greaterThan">
      <formula>$B$46+0.00002</formula>
    </cfRule>
    <cfRule type="cellIs" dxfId="38" priority="18" stopIfTrue="1" operator="lessThan">
      <formula>$B$46-0.00002</formula>
    </cfRule>
  </conditionalFormatting>
  <conditionalFormatting sqref="E60:E61 E117 Q61">
    <cfRule type="cellIs" dxfId="37" priority="19" stopIfTrue="1" operator="greaterThan">
      <formula>$E$46+0.00002</formula>
    </cfRule>
    <cfRule type="cellIs" dxfId="36" priority="20" stopIfTrue="1" operator="lessThan">
      <formula>$E$46-0.00002</formula>
    </cfRule>
  </conditionalFormatting>
  <conditionalFormatting sqref="H60:H61 T61">
    <cfRule type="cellIs" dxfId="35" priority="21" stopIfTrue="1" operator="greaterThan">
      <formula>$H$46+0.00002</formula>
    </cfRule>
    <cfRule type="cellIs" dxfId="34" priority="22" stopIfTrue="1" operator="lessThan">
      <formula>$H$46-0.00002</formula>
    </cfRule>
  </conditionalFormatting>
  <conditionalFormatting sqref="K60:K61 W61">
    <cfRule type="cellIs" dxfId="33" priority="23" stopIfTrue="1" operator="greaterThan">
      <formula>$K$46+0.00002</formula>
    </cfRule>
    <cfRule type="cellIs" dxfId="32" priority="24" stopIfTrue="1" operator="lessThan">
      <formula>$K$46-0.00002</formula>
    </cfRule>
  </conditionalFormatting>
  <conditionalFormatting sqref="W98 T98 Q98 N98">
    <cfRule type="cellIs" dxfId="31" priority="25" stopIfTrue="1" operator="greaterThan">
      <formula>N84+0.00002</formula>
    </cfRule>
    <cfRule type="cellIs" dxfId="30" priority="26" stopIfTrue="1" operator="lessThan">
      <formula>N84-0.00002</formula>
    </cfRule>
  </conditionalFormatting>
  <conditionalFormatting sqref="H117">
    <cfRule type="cellIs" dxfId="29" priority="27" stopIfTrue="1" operator="greaterThan">
      <formula>$H$103+0.00002</formula>
    </cfRule>
    <cfRule type="cellIs" dxfId="28" priority="28" stopIfTrue="1" operator="lessThan">
      <formula>$H$103-0.00002</formula>
    </cfRule>
  </conditionalFormatting>
  <conditionalFormatting sqref="K98">
    <cfRule type="cellIs" dxfId="27" priority="29" stopIfTrue="1" operator="greaterThan">
      <formula>$K$84+0.00002</formula>
    </cfRule>
    <cfRule type="cellIs" dxfId="26" priority="30" stopIfTrue="1" operator="lessThan">
      <formula>$K$84-0.00002</formula>
    </cfRule>
  </conditionalFormatting>
  <conditionalFormatting sqref="H98">
    <cfRule type="cellIs" dxfId="25" priority="31" stopIfTrue="1" operator="greaterThan">
      <formula>H84+0.00002</formula>
    </cfRule>
    <cfRule type="cellIs" dxfId="24" priority="32" stopIfTrue="1" operator="lessThan">
      <formula>$H$84-0.00002</formula>
    </cfRule>
  </conditionalFormatting>
  <conditionalFormatting sqref="W60">
    <cfRule type="cellIs" dxfId="23" priority="33" stopIfTrue="1" operator="greaterThan">
      <formula>W46+0.00002</formula>
    </cfRule>
    <cfRule type="cellIs" dxfId="22" priority="34" stopIfTrue="1" operator="lessThan">
      <formula>$W$46-0.00002</formula>
    </cfRule>
  </conditionalFormatting>
  <conditionalFormatting sqref="T60">
    <cfRule type="cellIs" dxfId="21" priority="35" stopIfTrue="1" operator="greaterThan">
      <formula>$T$46+0.00002</formula>
    </cfRule>
    <cfRule type="cellIs" dxfId="20" priority="36" stopIfTrue="1" operator="lessThan">
      <formula>$T$46-0.00002</formula>
    </cfRule>
  </conditionalFormatting>
  <conditionalFormatting sqref="Q60">
    <cfRule type="cellIs" dxfId="19" priority="37" stopIfTrue="1" operator="greaterThan">
      <formula>$Q$46+0.00002</formula>
    </cfRule>
    <cfRule type="cellIs" dxfId="18" priority="38" stopIfTrue="1" operator="lessThan">
      <formula>$Q$46-0.00002</formula>
    </cfRule>
  </conditionalFormatting>
  <conditionalFormatting sqref="N60">
    <cfRule type="cellIs" dxfId="17" priority="39" stopIfTrue="1" operator="greaterThan">
      <formula>$N$46+0.00002</formula>
    </cfRule>
    <cfRule type="cellIs" dxfId="16" priority="40" stopIfTrue="1" operator="lessThan">
      <formula>$N$46-0.00002</formula>
    </cfRule>
  </conditionalFormatting>
  <conditionalFormatting sqref="B79">
    <cfRule type="cellIs" dxfId="15" priority="41" stopIfTrue="1" operator="greaterThan">
      <formula>$B$65+0.00002</formula>
    </cfRule>
    <cfRule type="cellIs" dxfId="14" priority="42" stopIfTrue="1" operator="lessThan">
      <formula>$B$65-0.00002</formula>
    </cfRule>
  </conditionalFormatting>
  <conditionalFormatting sqref="E79">
    <cfRule type="cellIs" dxfId="13" priority="43" stopIfTrue="1" operator="lessThan">
      <formula>$E$65-0.00002</formula>
    </cfRule>
    <cfRule type="cellIs" dxfId="12" priority="44" stopIfTrue="1" operator="greaterThan">
      <formula>$E$65+0.00002</formula>
    </cfRule>
  </conditionalFormatting>
  <conditionalFormatting sqref="H79">
    <cfRule type="cellIs" dxfId="11" priority="45" stopIfTrue="1" operator="greaterThan">
      <formula>$H$65+0.00002</formula>
    </cfRule>
    <cfRule type="cellIs" dxfId="10" priority="46" stopIfTrue="1" operator="lessThan">
      <formula>$H$65-0.00002</formula>
    </cfRule>
  </conditionalFormatting>
  <conditionalFormatting sqref="K79">
    <cfRule type="cellIs" dxfId="9" priority="47" stopIfTrue="1" operator="greaterThan">
      <formula>$K$65+0.00002</formula>
    </cfRule>
    <cfRule type="cellIs" dxfId="8" priority="48" stopIfTrue="1" operator="lessThan">
      <formula>$K$65-0.00002</formula>
    </cfRule>
  </conditionalFormatting>
  <conditionalFormatting sqref="Q79">
    <cfRule type="cellIs" dxfId="7" priority="49" stopIfTrue="1" operator="lessThan">
      <formula>Q65-0.00002</formula>
    </cfRule>
    <cfRule type="cellIs" dxfId="6" priority="50" stopIfTrue="1" operator="greaterThan">
      <formula>Q65+0.00002</formula>
    </cfRule>
  </conditionalFormatting>
  <conditionalFormatting sqref="T117 Q117 N117 K117 W117 W79">
    <cfRule type="cellIs" dxfId="5" priority="51" stopIfTrue="1" operator="greaterThan">
      <formula>K65+0.00002</formula>
    </cfRule>
    <cfRule type="cellIs" dxfId="4" priority="52" stopIfTrue="1" operator="lessThan">
      <formula>K65-0.00002</formula>
    </cfRule>
  </conditionalFormatting>
  <conditionalFormatting sqref="N79">
    <cfRule type="cellIs" dxfId="3" priority="65" stopIfTrue="1" operator="greaterThan">
      <formula>N65+0.00002</formula>
    </cfRule>
    <cfRule type="cellIs" dxfId="2" priority="66" stopIfTrue="1" operator="lessThan">
      <formula>N65-0.00002</formula>
    </cfRule>
  </conditionalFormatting>
  <dataValidations count="1">
    <dataValidation type="list" allowBlank="1" showInputMessage="1" showErrorMessage="1" sqref="B6 E6 H6 K6 N6 Q6 T6 W6 W25 T25 Q25 N25 K25 H25 E25 B25 B44 E44 H44 K44 N44 Q44 T44 W44 W63 T63 Q63 N63 K63 H63 E63 B63 B82 E82 H82 K82 N82 Q82 T82 W82 W101 T101 Q101 N101 K101 H101 E101 B101" xr:uid="{00000000-0002-0000-1C00-000000000000}">
      <formula1>Series</formula1>
    </dataValidation>
  </dataValidations>
  <pageMargins left="0.75" right="0.75" top="1" bottom="1" header="0.5" footer="0.5"/>
  <pageSetup scale="31" fitToWidth="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646" r:id="rId4" name="Button 22">
              <controlPr defaultSize="0" print="0" autoFill="0" autoPict="0" macro="[0]!ReturnToMain">
                <anchor moveWithCells="1" sizeWithCells="1">
                  <from>
                    <xdr:col>0</xdr:col>
                    <xdr:colOff>19050</xdr:colOff>
                    <xdr:row>0</xdr:row>
                    <xdr:rowOff>19050</xdr:rowOff>
                  </from>
                  <to>
                    <xdr:col>1</xdr:col>
                    <xdr:colOff>219075</xdr:colOff>
                    <xdr:row>0</xdr:row>
                    <xdr:rowOff>152400</xdr:rowOff>
                  </to>
                </anchor>
              </controlPr>
            </control>
          </mc:Choice>
        </mc:AlternateContent>
        <mc:AlternateContent xmlns:mc="http://schemas.openxmlformats.org/markup-compatibility/2006">
          <mc:Choice Requires="x14">
            <control shapeId="26647" r:id="rId5" name="Button 23">
              <controlPr defaultSize="0" print="0" autoFill="0" autoPict="0" macro="[0]!GearWireNominals">
                <anchor moveWithCells="1" sizeWithCells="1">
                  <from>
                    <xdr:col>1</xdr:col>
                    <xdr:colOff>266700</xdr:colOff>
                    <xdr:row>0</xdr:row>
                    <xdr:rowOff>19050</xdr:rowOff>
                  </from>
                  <to>
                    <xdr:col>3</xdr:col>
                    <xdr:colOff>495300</xdr:colOff>
                    <xdr:row>0</xdr:row>
                    <xdr:rowOff>152400</xdr:rowOff>
                  </to>
                </anchor>
              </controlPr>
            </control>
          </mc:Choice>
        </mc:AlternateContent>
        <mc:AlternateContent xmlns:mc="http://schemas.openxmlformats.org/markup-compatibility/2006">
          <mc:Choice Requires="x14">
            <control shapeId="26681" r:id="rId6" name="Button 57">
              <controlPr defaultSize="0" print="0" autoFill="0" autoPict="0" macro="[0]!GearWireClearContents2">
                <anchor moveWithCells="1" sizeWithCells="1">
                  <from>
                    <xdr:col>3</xdr:col>
                    <xdr:colOff>533400</xdr:colOff>
                    <xdr:row>0</xdr:row>
                    <xdr:rowOff>9525</xdr:rowOff>
                  </from>
                  <to>
                    <xdr:col>6</xdr:col>
                    <xdr:colOff>123825</xdr:colOff>
                    <xdr:row>0</xdr:row>
                    <xdr:rowOff>142875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52">
    <tabColor rgb="FF009999"/>
  </sheetPr>
  <dimension ref="B1:G45"/>
  <sheetViews>
    <sheetView zoomScaleNormal="100" workbookViewId="0">
      <selection activeCell="F3" sqref="F3"/>
    </sheetView>
  </sheetViews>
  <sheetFormatPr defaultRowHeight="12.75" x14ac:dyDescent="0.2"/>
  <cols>
    <col min="1" max="1" width="3.140625" customWidth="1"/>
    <col min="2" max="2" width="13.5703125" customWidth="1"/>
    <col min="3" max="3" width="11.5703125" customWidth="1"/>
    <col min="4" max="4" width="17.28515625" bestFit="1" customWidth="1"/>
    <col min="5" max="5" width="19.42578125" bestFit="1" customWidth="1"/>
    <col min="6" max="6" width="23.28515625" bestFit="1" customWidth="1"/>
    <col min="7" max="7" width="16.7109375" customWidth="1"/>
  </cols>
  <sheetData>
    <row r="1" spans="2:7" ht="15.75" x14ac:dyDescent="0.25">
      <c r="B1" s="922"/>
      <c r="C1" s="1126" t="s">
        <v>530</v>
      </c>
      <c r="D1" s="1126"/>
      <c r="E1" s="1126"/>
      <c r="F1" s="945" t="s">
        <v>548</v>
      </c>
    </row>
    <row r="2" spans="2:7" ht="22.5" customHeight="1" thickBot="1" x14ac:dyDescent="0.3">
      <c r="B2" s="922"/>
      <c r="C2" s="1194" t="s">
        <v>531</v>
      </c>
      <c r="D2" s="1194"/>
      <c r="E2" s="1194"/>
      <c r="F2" s="939" t="s">
        <v>561</v>
      </c>
      <c r="G2" s="943"/>
    </row>
    <row r="3" spans="2:7" ht="24.75" customHeight="1" thickBot="1" x14ac:dyDescent="0.3">
      <c r="B3" s="932" t="s">
        <v>532</v>
      </c>
      <c r="C3" s="933"/>
      <c r="D3" s="942" t="s">
        <v>562</v>
      </c>
      <c r="E3" s="929" t="s">
        <v>533</v>
      </c>
      <c r="F3" s="934">
        <v>44475</v>
      </c>
      <c r="G3" s="944"/>
    </row>
    <row r="4" spans="2:7" ht="15" x14ac:dyDescent="0.25">
      <c r="B4" s="922"/>
      <c r="C4" s="922"/>
      <c r="D4" s="931"/>
      <c r="E4" s="923"/>
      <c r="F4" s="923"/>
      <c r="G4" s="923"/>
    </row>
    <row r="5" spans="2:7" ht="16.5" thickBot="1" x14ac:dyDescent="0.3">
      <c r="B5" s="929" t="s">
        <v>534</v>
      </c>
      <c r="C5" s="941">
        <v>68.400000000000006</v>
      </c>
      <c r="D5" s="931"/>
      <c r="E5" s="929" t="s">
        <v>535</v>
      </c>
      <c r="F5" s="940">
        <v>0.43</v>
      </c>
      <c r="G5" s="923"/>
    </row>
    <row r="6" spans="2:7" ht="15" x14ac:dyDescent="0.25">
      <c r="D6" s="931"/>
      <c r="E6" s="923"/>
      <c r="F6" s="923"/>
      <c r="G6" s="923"/>
    </row>
    <row r="7" spans="2:7" ht="15.75" thickBot="1" x14ac:dyDescent="0.3">
      <c r="B7" s="925" t="s">
        <v>536</v>
      </c>
      <c r="C7" s="926" t="s">
        <v>557</v>
      </c>
      <c r="D7" s="926" t="s">
        <v>70</v>
      </c>
      <c r="E7" s="926" t="s">
        <v>72</v>
      </c>
      <c r="F7" s="936" t="s">
        <v>437</v>
      </c>
      <c r="G7" s="926" t="s">
        <v>538</v>
      </c>
    </row>
    <row r="8" spans="2:7" ht="15" x14ac:dyDescent="0.25">
      <c r="B8" s="924" t="str">
        <f>IF('Gear Wires'!B5="","",'Gear Wires'!B5)</f>
        <v/>
      </c>
      <c r="C8" s="924" t="str">
        <f>IF('Gear Wires'!B7="","",'Gear Wires'!B6)</f>
        <v/>
      </c>
      <c r="D8" s="924" t="str">
        <f>IF('Gear Wires'!B7="","",'Gear Wires'!B7)</f>
        <v/>
      </c>
      <c r="E8" s="930" t="str">
        <f>IF('Gear Wires'!B7="","",IF('Gear Wires'!B6="Special",'Gear Wires'!B9, 'Gear Wires'!B8))</f>
        <v/>
      </c>
      <c r="F8" s="930" t="str">
        <f>IF('Gear Wires'!B10="","",'Gear Wires'!B22)</f>
        <v/>
      </c>
      <c r="G8" s="32"/>
    </row>
    <row r="9" spans="2:7" ht="15" x14ac:dyDescent="0.25">
      <c r="B9" s="924" t="str">
        <f>IF('Gear Wires'!E5="","",'Gear Wires'!E5)</f>
        <v/>
      </c>
      <c r="C9" s="924" t="str">
        <f>IF('Gear Wires'!E7="","",'Gear Wires'!E6)</f>
        <v/>
      </c>
      <c r="D9" s="924" t="str">
        <f>IF('Gear Wires'!E7="","",'Gear Wires'!E7)</f>
        <v/>
      </c>
      <c r="E9" s="930" t="str">
        <f>IF('Gear Wires'!E7="","",IF('Gear Wires'!E6="Special",'Gear Wires'!E9,'Gear Wires'!E8))</f>
        <v/>
      </c>
      <c r="F9" s="930" t="str">
        <f>IF('Gear Wires'!E10="","",'Gear Wires'!E22)</f>
        <v/>
      </c>
      <c r="G9" s="2"/>
    </row>
    <row r="10" spans="2:7" ht="15" x14ac:dyDescent="0.25">
      <c r="B10" s="924" t="str">
        <f>IF('Gear Wires'!H5="","",'Gear Wires'!H5)</f>
        <v/>
      </c>
      <c r="C10" s="924" t="str">
        <f>IF('Gear Wires'!H7="","",'Gear Wires'!H6)</f>
        <v/>
      </c>
      <c r="D10" s="924" t="str">
        <f>IF('Gear Wires'!H7="","",'Gear Wires'!H7)</f>
        <v/>
      </c>
      <c r="E10" s="930" t="str">
        <f>IF('Gear Wires'!H7="","",IF('Gear Wires'!H6="Special",'Gear Wires'!H9,'Gear Wires'!H8))</f>
        <v/>
      </c>
      <c r="F10" s="930" t="str">
        <f>IF('Gear Wires'!H10="","",'Gear Wires'!H22)</f>
        <v/>
      </c>
      <c r="G10" s="2"/>
    </row>
    <row r="11" spans="2:7" ht="15" x14ac:dyDescent="0.25">
      <c r="B11" s="924" t="str">
        <f>IF('Gear Wires'!K5="","",'Gear Wires'!K5)</f>
        <v/>
      </c>
      <c r="C11" s="924" t="str">
        <f>IF('Gear Wires'!K7="","",'Gear Wires'!K6)</f>
        <v/>
      </c>
      <c r="D11" s="924" t="str">
        <f>IF('Gear Wires'!K7="","",'Gear Wires'!K7)</f>
        <v/>
      </c>
      <c r="E11" s="930" t="str">
        <f>IF('Gear Wires'!K7="","",IF('Gear Wires'!K6="Special",'Gear Wires'!K9,'Gear Wires'!K8))</f>
        <v/>
      </c>
      <c r="F11" s="930" t="str">
        <f>IF('Gear Wires'!K10="","",'Gear Wires'!K22)</f>
        <v/>
      </c>
      <c r="G11" s="2"/>
    </row>
    <row r="12" spans="2:7" ht="15" x14ac:dyDescent="0.25">
      <c r="B12" s="924" t="str">
        <f>IF('Gear Wires'!N5="","",'Gear Wires'!N5)</f>
        <v/>
      </c>
      <c r="C12" s="924" t="str">
        <f>IF('Gear Wires'!N7="","",'Gear Wires'!N6)</f>
        <v/>
      </c>
      <c r="D12" s="924" t="str">
        <f>IF('Gear Wires'!N7="","",'Gear Wires'!N7)</f>
        <v/>
      </c>
      <c r="E12" s="930" t="str">
        <f>IF('Gear Wires'!N7="","",IF('Gear Wires'!N6="Special",'Gear Wires'!N9,'Gear Wires'!N8))</f>
        <v/>
      </c>
      <c r="F12" s="930" t="str">
        <f>IF('Gear Wires'!N10="","",'Gear Wires'!N22)</f>
        <v/>
      </c>
      <c r="G12" s="2"/>
    </row>
    <row r="13" spans="2:7" ht="15" x14ac:dyDescent="0.25">
      <c r="B13" s="924" t="str">
        <f>IF('Gear Wires'!Q5="","",'Gear Wires'!Q5)</f>
        <v/>
      </c>
      <c r="C13" s="924" t="str">
        <f>IF('Gear Wires'!Q7="","",'Gear Wires'!Q6)</f>
        <v/>
      </c>
      <c r="D13" s="924" t="str">
        <f>IF('Gear Wires'!Q7="","",'Gear Wires'!Q7)</f>
        <v/>
      </c>
      <c r="E13" s="930" t="str">
        <f>IF('Gear Wires'!Q7="","",IF('Gear Wires'!Q6="Special",'Gear Wires'!Q9,'Gear Wires'!Q8))</f>
        <v/>
      </c>
      <c r="F13" s="930" t="str">
        <f>IF('Gear Wires'!Q10="","",'Gear Wires'!Q22)</f>
        <v/>
      </c>
      <c r="G13" s="2"/>
    </row>
    <row r="14" spans="2:7" ht="15" x14ac:dyDescent="0.25">
      <c r="B14" s="924" t="str">
        <f>IF('Gear Wires'!T5="","",'Gear Wires'!T5)</f>
        <v/>
      </c>
      <c r="C14" s="924" t="str">
        <f>IF('Gear Wires'!T7="","",'Gear Wires'!T6)</f>
        <v/>
      </c>
      <c r="D14" s="924" t="str">
        <f>IF('Gear Wires'!T7="","",'Gear Wires'!T7)</f>
        <v/>
      </c>
      <c r="E14" s="930" t="str">
        <f>IF('Gear Wires'!T7="","",IF('Gear Wires'!T6="Special",'Gear Wires'!T9,'Gear Wires'!T8))</f>
        <v/>
      </c>
      <c r="F14" s="930" t="str">
        <f>IF('Gear Wires'!T10="","",'Gear Wires'!T22)</f>
        <v/>
      </c>
      <c r="G14" s="2"/>
    </row>
    <row r="15" spans="2:7" ht="15" x14ac:dyDescent="0.25">
      <c r="B15" s="924" t="str">
        <f>IF('Gear Wires'!W5="","",'Gear Wires'!W5)</f>
        <v/>
      </c>
      <c r="C15" s="924" t="str">
        <f>IF('Gear Wires'!W7="","",'Gear Wires'!W6)</f>
        <v/>
      </c>
      <c r="D15" s="924" t="str">
        <f>IF('Gear Wires'!W7="","",'Gear Wires'!W7)</f>
        <v/>
      </c>
      <c r="E15" s="930" t="str">
        <f>IF('Gear Wires'!W7="","",IF('Gear Wires'!W6="Special",'Gear Wires'!W9,'Gear Wires'!W8))</f>
        <v/>
      </c>
      <c r="F15" s="930" t="str">
        <f>IF('Gear Wires'!W10="","",'Gear Wires'!W22)</f>
        <v/>
      </c>
      <c r="G15" s="2"/>
    </row>
    <row r="16" spans="2:7" ht="15" x14ac:dyDescent="0.25">
      <c r="B16" s="924" t="str">
        <f>IF('Gear Wires'!B24="","",'Gear Wires'!B24)</f>
        <v/>
      </c>
      <c r="C16" s="924" t="str">
        <f>IF('Gear Wires'!B26="","",'Gear Wires'!B25)</f>
        <v/>
      </c>
      <c r="D16" s="924" t="str">
        <f>IF('Gear Wires'!B26="","",'Gear Wires'!B26)</f>
        <v/>
      </c>
      <c r="E16" s="930" t="str">
        <f>IF('Gear Wires'!B26="","",IF('Gear Wires'!B25="Special",'Gear Wires'!B28,'Gear Wires'!B27))</f>
        <v/>
      </c>
      <c r="F16" s="930" t="str">
        <f>IF('Gear Wires'!B29="","",'Gear Wires'!B41)</f>
        <v/>
      </c>
      <c r="G16" s="2"/>
    </row>
    <row r="17" spans="2:7" ht="15" x14ac:dyDescent="0.25">
      <c r="B17" s="924" t="str">
        <f>IF('Gear Wires'!E24="","",'Gear Wires'!E24)</f>
        <v/>
      </c>
      <c r="C17" s="924" t="str">
        <f>IF('Gear Wires'!E26="","",'Gear Wires'!E25)</f>
        <v/>
      </c>
      <c r="D17" s="924" t="str">
        <f>IF('Gear Wires'!E26="","",'Gear Wires'!E26)</f>
        <v/>
      </c>
      <c r="E17" s="930" t="str">
        <f>IF('Gear Wires'!E26="","",IF('Gear Wires'!E25="Special",'Gear Wires'!E28,'Gear Wires'!E27))</f>
        <v/>
      </c>
      <c r="F17" s="930" t="str">
        <f>IF('Gear Wires'!E29="","",'Gear Wires'!E41)</f>
        <v/>
      </c>
      <c r="G17" s="2"/>
    </row>
    <row r="18" spans="2:7" ht="15" x14ac:dyDescent="0.25">
      <c r="B18" s="924" t="str">
        <f>IF('Gear Wires'!H24="","",'Gear Wires'!H24)</f>
        <v/>
      </c>
      <c r="C18" s="924" t="str">
        <f>IF('Gear Wires'!H26="","",'Gear Wires'!H25)</f>
        <v/>
      </c>
      <c r="D18" s="924" t="str">
        <f>IF('Gear Wires'!H26="","",'Gear Wires'!H26)</f>
        <v/>
      </c>
      <c r="E18" s="930" t="str">
        <f>IF('Gear Wires'!H26="","",IF('Gear Wires'!H25="Special",'Gear Wires'!H28,'Gear Wires'!H27))</f>
        <v/>
      </c>
      <c r="F18" s="930" t="str">
        <f>IF('Gear Wires'!H29="","",'Gear Wires'!H41)</f>
        <v/>
      </c>
      <c r="G18" s="2"/>
    </row>
    <row r="19" spans="2:7" ht="15" x14ac:dyDescent="0.25">
      <c r="B19" s="924" t="str">
        <f>IF('Gear Wires'!K24="","",'Gear Wires'!K24)</f>
        <v/>
      </c>
      <c r="C19" s="924" t="str">
        <f>IF('Gear Wires'!K26="","",'Gear Wires'!K25)</f>
        <v/>
      </c>
      <c r="D19" s="924" t="str">
        <f>IF('Gear Wires'!K26="","",'Gear Wires'!K26)</f>
        <v/>
      </c>
      <c r="E19" s="930" t="str">
        <f>IF('Gear Wires'!K26="","",IF('Gear Wires'!K25="Special",'Gear Wires'!K28,'Gear Wires'!K27))</f>
        <v/>
      </c>
      <c r="F19" s="930" t="str">
        <f>IF('Gear Wires'!K29="","",'Gear Wires'!K41)</f>
        <v/>
      </c>
      <c r="G19" s="2"/>
    </row>
    <row r="20" spans="2:7" ht="15" x14ac:dyDescent="0.25">
      <c r="B20" s="924" t="str">
        <f>IF('Gear Wires'!N24="","",'Gear Wires'!N24)</f>
        <v/>
      </c>
      <c r="C20" s="924" t="str">
        <f>IF('Gear Wires'!N26="","",'Gear Wires'!N25)</f>
        <v/>
      </c>
      <c r="D20" s="924" t="str">
        <f>IF('Gear Wires'!N26="","",'Gear Wires'!N26)</f>
        <v/>
      </c>
      <c r="E20" s="930" t="str">
        <f>IF('Gear Wires'!N26="","",IF('Gear Wires'!N25="Special",'Gear Wires'!N28,'Gear Wires'!N27))</f>
        <v/>
      </c>
      <c r="F20" s="930" t="str">
        <f>IF('Gear Wires'!N29="","",'Gear Wires'!N41)</f>
        <v/>
      </c>
      <c r="G20" s="2"/>
    </row>
    <row r="21" spans="2:7" ht="15" x14ac:dyDescent="0.25">
      <c r="B21" s="924" t="str">
        <f>IF('Gear Wires'!Q24="","",'Gear Wires'!Q24)</f>
        <v/>
      </c>
      <c r="C21" s="924" t="str">
        <f>IF('Gear Wires'!Q26="","",'Gear Wires'!Q25)</f>
        <v/>
      </c>
      <c r="D21" s="924" t="str">
        <f>IF('Gear Wires'!Q26="","",'Gear Wires'!Q26)</f>
        <v/>
      </c>
      <c r="E21" s="930" t="str">
        <f>IF('Gear Wires'!Q26="","",IF('Gear Wires'!Q25="Special",'Gear Wires'!Q28,'Gear Wires'!Q27))</f>
        <v/>
      </c>
      <c r="F21" s="930" t="str">
        <f>IF('Gear Wires'!Q29="","",'Gear Wires'!Q41)</f>
        <v/>
      </c>
      <c r="G21" s="2"/>
    </row>
    <row r="22" spans="2:7" ht="15" x14ac:dyDescent="0.25">
      <c r="B22" s="924" t="str">
        <f>IF('Gear Wires'!T24="","",'Gear Wires'!T24)</f>
        <v/>
      </c>
      <c r="C22" s="924" t="str">
        <f>IF('Gear Wires'!T26="","",'Gear Wires'!T25)</f>
        <v/>
      </c>
      <c r="D22" s="924" t="str">
        <f>IF('Gear Wires'!T26="","",'Gear Wires'!T26)</f>
        <v/>
      </c>
      <c r="E22" s="930" t="str">
        <f>IF('Gear Wires'!T26="","",IF('Gear Wires'!T25="Special",'Gear Wires'!T28,'Gear Wires'!T27))</f>
        <v/>
      </c>
      <c r="F22" s="930" t="str">
        <f>IF('Gear Wires'!T29="","",'Gear Wires'!T41)</f>
        <v/>
      </c>
      <c r="G22" s="2"/>
    </row>
    <row r="23" spans="2:7" ht="15" x14ac:dyDescent="0.25">
      <c r="B23" s="924" t="str">
        <f>IF('Gear Wires'!W24="","",'Gear Wires'!W24)</f>
        <v/>
      </c>
      <c r="C23" s="924" t="str">
        <f>IF('Gear Wires'!W26="","",'Gear Wires'!W25)</f>
        <v/>
      </c>
      <c r="D23" s="924" t="str">
        <f>IF('Gear Wires'!W26="","",'Gear Wires'!W26)</f>
        <v/>
      </c>
      <c r="E23" s="930" t="str">
        <f>IF('Gear Wires'!W26="","",IF('Gear Wires'!W25="Special",'Gear Wires'!W28,'Gear Wires'!W27))</f>
        <v/>
      </c>
      <c r="F23" s="930" t="str">
        <f>IF('Gear Wires'!W29="","",'Gear Wires'!W41)</f>
        <v/>
      </c>
      <c r="G23" s="2"/>
    </row>
    <row r="24" spans="2:7" ht="15" x14ac:dyDescent="0.25">
      <c r="B24" s="924" t="str">
        <f>IF('Gear Wires'!B43="","",'Gear Wires'!B43)</f>
        <v/>
      </c>
      <c r="C24" s="924" t="str">
        <f>IF('Gear Wires'!B45="","",'Gear Wires'!B44)</f>
        <v/>
      </c>
      <c r="D24" s="924" t="str">
        <f>IF('Gear Wires'!B45="","",'Gear Wires'!B45)</f>
        <v/>
      </c>
      <c r="E24" s="930" t="str">
        <f>IF('Gear Wires'!B45="","",IF('Gear Wires'!B44="Special",'Gear Wires'!B47,'Gear Wires'!B46))</f>
        <v/>
      </c>
      <c r="F24" s="930" t="str">
        <f>IF('Gear Wires'!B48="","",'Gear Wires'!B60)</f>
        <v/>
      </c>
      <c r="G24" s="2"/>
    </row>
    <row r="25" spans="2:7" ht="15" x14ac:dyDescent="0.25">
      <c r="B25" s="924" t="str">
        <f>IF('Gear Wires'!E43="","",'Gear Wires'!E43)</f>
        <v/>
      </c>
      <c r="C25" s="924" t="str">
        <f>IF('Gear Wires'!E45="","",'Gear Wires'!E44)</f>
        <v/>
      </c>
      <c r="D25" s="924" t="str">
        <f>IF('Gear Wires'!E45="","",'Gear Wires'!E45)</f>
        <v/>
      </c>
      <c r="E25" s="930" t="str">
        <f>IF('Gear Wires'!E45="","",IF('Gear Wires'!E44="Special",'Gear Wires'!E47,'Gear Wires'!E46))</f>
        <v/>
      </c>
      <c r="F25" s="930" t="str">
        <f>IF('Gear Wires'!E48="","",'Gear Wires'!E60)</f>
        <v/>
      </c>
      <c r="G25" s="2"/>
    </row>
    <row r="26" spans="2:7" ht="15" x14ac:dyDescent="0.25">
      <c r="B26" s="924" t="str">
        <f>IF('Gear Wires'!H43="","",'Gear Wires'!H43)</f>
        <v/>
      </c>
      <c r="C26" s="924" t="str">
        <f>IF('Gear Wires'!H45="","",'Gear Wires'!H44)</f>
        <v/>
      </c>
      <c r="D26" s="924" t="str">
        <f>IF('Gear Wires'!H45="","",'Gear Wires'!H45)</f>
        <v/>
      </c>
      <c r="E26" s="930" t="str">
        <f>IF('Gear Wires'!H45="","",IF('Gear Wires'!H44="Special",'Gear Wires'!H47,'Gear Wires'!H46))</f>
        <v/>
      </c>
      <c r="F26" s="930" t="str">
        <f>IF('Gear Wires'!H48="","",'Gear Wires'!H60)</f>
        <v/>
      </c>
      <c r="G26" s="2"/>
    </row>
    <row r="27" spans="2:7" ht="15" x14ac:dyDescent="0.25">
      <c r="B27" s="924" t="str">
        <f>IF('Gear Wires'!K43="","",'Gear Wires'!K43)</f>
        <v/>
      </c>
      <c r="C27" s="924" t="str">
        <f>IF('Gear Wires'!K45="","",'Gear Wires'!K44)</f>
        <v/>
      </c>
      <c r="D27" s="924" t="str">
        <f>IF('Gear Wires'!K45="","",'Gear Wires'!K45)</f>
        <v/>
      </c>
      <c r="E27" s="930" t="str">
        <f>IF('Gear Wires'!K45="","",IF('Gear Wires'!K44="Special",'Gear Wires'!K47,'Gear Wires'!K46))</f>
        <v/>
      </c>
      <c r="F27" s="930" t="str">
        <f>IF('Gear Wires'!K48="","",'Gear Wires'!K60)</f>
        <v/>
      </c>
      <c r="G27" s="2"/>
    </row>
    <row r="28" spans="2:7" ht="15" x14ac:dyDescent="0.25">
      <c r="B28" s="924" t="str">
        <f>IF('Gear Wires'!N43="","",'Gear Wires'!N43)</f>
        <v/>
      </c>
      <c r="C28" s="924" t="str">
        <f>IF('Gear Wires'!N45="","",'Gear Wires'!N44)</f>
        <v/>
      </c>
      <c r="D28" s="924" t="str">
        <f>IF('Gear Wires'!N45="","",'Gear Wires'!N45)</f>
        <v/>
      </c>
      <c r="E28" s="930" t="str">
        <f>IF('Gear Wires'!N45="","",IF('Gear Wires'!N44="Special",'Gear Wires'!N47,'Gear Wires'!N46))</f>
        <v/>
      </c>
      <c r="F28" s="930" t="str">
        <f>IF('Gear Wires'!N48="","",'Gear Wires'!N60)</f>
        <v/>
      </c>
      <c r="G28" s="2"/>
    </row>
    <row r="29" spans="2:7" ht="15" x14ac:dyDescent="0.25">
      <c r="B29" s="924" t="str">
        <f>IF('Gear Wires'!Q43="","",'Gear Wires'!Q43)</f>
        <v/>
      </c>
      <c r="C29" s="924" t="str">
        <f>IF('Gear Wires'!Q45="","",'Gear Wires'!Q44)</f>
        <v/>
      </c>
      <c r="D29" s="924" t="str">
        <f>IF('Gear Wires'!Q45="","",'Gear Wires'!Q45)</f>
        <v/>
      </c>
      <c r="E29" s="930" t="str">
        <f>IF('Gear Wires'!Q45="","",IF('Gear Wires'!Q44="Special",'Gear Wires'!Q47,'Gear Wires'!Q46))</f>
        <v/>
      </c>
      <c r="F29" s="930" t="str">
        <f>IF('Gear Wires'!Q48="","",'Gear Wires'!Q60)</f>
        <v/>
      </c>
      <c r="G29" s="2"/>
    </row>
    <row r="30" spans="2:7" ht="15" x14ac:dyDescent="0.25">
      <c r="B30" s="924" t="str">
        <f>IF('Gear Wires'!T43="","",'Gear Wires'!T43)</f>
        <v/>
      </c>
      <c r="C30" s="924" t="str">
        <f>IF('Gear Wires'!T45="","",'Gear Wires'!T44)</f>
        <v/>
      </c>
      <c r="D30" s="924" t="str">
        <f>IF('Gear Wires'!T45="","",'Gear Wires'!T45)</f>
        <v/>
      </c>
      <c r="E30" s="930" t="str">
        <f>IF('Gear Wires'!T45="","",IF('Gear Wires'!T44="Special",'Gear Wires'!T47,'Gear Wires'!T46))</f>
        <v/>
      </c>
      <c r="F30" s="930" t="str">
        <f>IF('Gear Wires'!T48="","",'Gear Wires'!T60)</f>
        <v/>
      </c>
      <c r="G30" s="2"/>
    </row>
    <row r="31" spans="2:7" ht="15" x14ac:dyDescent="0.25">
      <c r="B31" s="924" t="str">
        <f>IF('Gear Wires'!W43="","",'Gear Wires'!W43)</f>
        <v/>
      </c>
      <c r="C31" s="924" t="str">
        <f>IF('Gear Wires'!W45="","",'Gear Wires'!W44)</f>
        <v/>
      </c>
      <c r="D31" s="924" t="str">
        <f>IF('Gear Wires'!W45="","",'Gear Wires'!W45)</f>
        <v/>
      </c>
      <c r="E31" s="930" t="str">
        <f>IF('Gear Wires'!W45="","",IF('Gear Wires'!W44="Special",'Gear Wires'!W47,'Gear Wires'!W46))</f>
        <v/>
      </c>
      <c r="F31" s="930" t="str">
        <f>IF('Gear Wires'!W48="","",'Gear Wires'!W60)</f>
        <v/>
      </c>
      <c r="G31" s="2"/>
    </row>
    <row r="32" spans="2:7" ht="15" x14ac:dyDescent="0.25">
      <c r="B32" s="924" t="str">
        <f>IF('Gear Wires'!B62="","",'Gear Wires'!B62)</f>
        <v/>
      </c>
      <c r="C32" s="924" t="str">
        <f>IF('Gear Wires'!B64="","",'Gear Wires'!B63)</f>
        <v/>
      </c>
      <c r="D32" s="924" t="str">
        <f>IF('Gear Wires'!B64="","",'Gear Wires'!B64)</f>
        <v/>
      </c>
      <c r="E32" s="930" t="str">
        <f>IF('Gear Wires'!B64="","",IF('Gear Wires'!B63="Special",'Gear Wires'!B66,'Gear Wires'!B65))</f>
        <v/>
      </c>
      <c r="F32" s="930" t="str">
        <f>IF('Gear Wires'!B67="","",'Gear Wires'!B79)</f>
        <v/>
      </c>
      <c r="G32" s="938"/>
    </row>
    <row r="33" spans="2:7" ht="15" x14ac:dyDescent="0.25">
      <c r="B33" s="924" t="str">
        <f>IF('Gear Wires'!E62="","",'Gear Wires'!E62)</f>
        <v/>
      </c>
      <c r="C33" s="924" t="str">
        <f>IF('Gear Wires'!E64="","",'Gear Wires'!E63)</f>
        <v/>
      </c>
      <c r="D33" s="924" t="str">
        <f>IF('Gear Wires'!E64="","",'Gear Wires'!E64)</f>
        <v/>
      </c>
      <c r="E33" s="930" t="str">
        <f>IF('Gear Wires'!E64="","",IF('Gear Wires'!E63="Special",'Gear Wires'!E66,'Gear Wires'!E65))</f>
        <v/>
      </c>
      <c r="F33" s="930" t="str">
        <f>IF('Gear Wires'!E67="","",'Gear Wires'!E79)</f>
        <v/>
      </c>
      <c r="G33" s="938"/>
    </row>
    <row r="34" spans="2:7" ht="15" x14ac:dyDescent="0.25">
      <c r="B34" s="924" t="str">
        <f>IF('Gear Wires'!H62="","",'Gear Wires'!H62)</f>
        <v/>
      </c>
      <c r="C34" s="924" t="str">
        <f>IF('Gear Wires'!H64="","",'Gear Wires'!H63)</f>
        <v/>
      </c>
      <c r="D34" s="924" t="str">
        <f>IF('Gear Wires'!H64="","",'Gear Wires'!H64)</f>
        <v/>
      </c>
      <c r="E34" s="930" t="str">
        <f>IF('Gear Wires'!H64="","",IF('Gear Wires'!H63="Special",'Gear Wires'!H66,'Gear Wires'!H65))</f>
        <v/>
      </c>
      <c r="F34" s="930" t="str">
        <f>IF('Gear Wires'!H67="","",'Gear Wires'!H79)</f>
        <v/>
      </c>
      <c r="G34" s="938"/>
    </row>
    <row r="35" spans="2:7" ht="15" x14ac:dyDescent="0.25">
      <c r="B35" s="924" t="str">
        <f>IF('Gear Wires'!K62="","",'Gear Wires'!K62)</f>
        <v/>
      </c>
      <c r="C35" s="924" t="str">
        <f>IF('Gear Wires'!K64="","",'Gear Wires'!K63)</f>
        <v/>
      </c>
      <c r="D35" s="924" t="str">
        <f>IF('Gear Wires'!K64="","",'Gear Wires'!K64)</f>
        <v/>
      </c>
      <c r="E35" s="930" t="str">
        <f>IF('Gear Wires'!K64="","",IF('Gear Wires'!K63="Special",'Gear Wires'!K66,'Gear Wires'!K65))</f>
        <v/>
      </c>
      <c r="F35" s="930" t="str">
        <f>IF('Gear Wires'!K67="","",'Gear Wires'!K79)</f>
        <v/>
      </c>
      <c r="G35" s="938"/>
    </row>
    <row r="36" spans="2:7" ht="15" x14ac:dyDescent="0.25">
      <c r="B36" s="924" t="str">
        <f>IF('Gear Wires'!N62="","",'Gear Wires'!N62)</f>
        <v/>
      </c>
      <c r="C36" s="924" t="str">
        <f>IF('Gear Wires'!N64="","",'Gear Wires'!N63)</f>
        <v/>
      </c>
      <c r="D36" s="924" t="str">
        <f>IF('Gear Wires'!N64="","",'Gear Wires'!N64)</f>
        <v/>
      </c>
      <c r="E36" s="930" t="str">
        <f>IF('Gear Wires'!N64="","",IF('Gear Wires'!N63="Special",'Gear Wires'!N66,'Gear Wires'!N65))</f>
        <v/>
      </c>
      <c r="F36" s="930" t="str">
        <f>IF('Gear Wires'!N67="","",'Gear Wires'!N79)</f>
        <v/>
      </c>
      <c r="G36" s="2"/>
    </row>
    <row r="37" spans="2:7" ht="15" x14ac:dyDescent="0.25">
      <c r="B37" s="924" t="str">
        <f>IF('Gear Wires'!Q62="","",'Gear Wires'!Q62)</f>
        <v/>
      </c>
      <c r="C37" s="924" t="str">
        <f>IF('Gear Wires'!Q64="","",'Gear Wires'!Q63)</f>
        <v/>
      </c>
      <c r="D37" s="924" t="str">
        <f>IF('Gear Wires'!Q64="","",'Gear Wires'!Q64)</f>
        <v/>
      </c>
      <c r="E37" s="930" t="str">
        <f>IF('Gear Wires'!Q64="","",IF('Gear Wires'!Q63="Special",'Gear Wires'!Q66,'Gear Wires'!Q65))</f>
        <v/>
      </c>
      <c r="F37" s="930" t="str">
        <f>IF('Gear Wires'!Q67="","",'Gear Wires'!Q79)</f>
        <v/>
      </c>
      <c r="G37" s="2"/>
    </row>
    <row r="38" spans="2:7" ht="15" x14ac:dyDescent="0.25">
      <c r="B38" s="924" t="str">
        <f>IF('Gear Wires'!T62="","",'Gear Wires'!T62)</f>
        <v/>
      </c>
      <c r="C38" s="924" t="str">
        <f>IF('Gear Wires'!T64="","",'Gear Wires'!T63)</f>
        <v/>
      </c>
      <c r="D38" s="924" t="str">
        <f>IF('Gear Wires'!T64="","",'Gear Wires'!T64)</f>
        <v/>
      </c>
      <c r="E38" s="930" t="str">
        <f>IF('Gear Wires'!T64="","",IF('Gear Wires'!T63="Special",'Gear Wires'!T66,'Gear Wires'!T65))</f>
        <v/>
      </c>
      <c r="F38" s="930" t="str">
        <f>IF('Gear Wires'!T67="","",'Gear Wires'!T79)</f>
        <v/>
      </c>
      <c r="G38" s="2"/>
    </row>
    <row r="39" spans="2:7" ht="15" x14ac:dyDescent="0.25">
      <c r="B39" s="924" t="str">
        <f>IF('Gear Wires'!W62="","",'Gear Wires'!W62)</f>
        <v/>
      </c>
      <c r="C39" s="924" t="str">
        <f>IF('Gear Wires'!W64="","",'Gear Wires'!W63)</f>
        <v/>
      </c>
      <c r="D39" s="924" t="str">
        <f>IF('Gear Wires'!W64="","",'Gear Wires'!W64)</f>
        <v/>
      </c>
      <c r="E39" s="930" t="str">
        <f>IF('Gear Wires'!W64="","",IF('Gear Wires'!W63="Special",'Gear Wires'!W66,'Gear Wires'!W65))</f>
        <v/>
      </c>
      <c r="F39" s="930" t="str">
        <f>IF('Gear Wires'!W67="","",'Gear Wires'!W79)</f>
        <v/>
      </c>
      <c r="G39" s="2"/>
    </row>
    <row r="40" spans="2:7" ht="15" x14ac:dyDescent="0.25">
      <c r="B40" s="924" t="str">
        <f>IF('Gear Wires'!B81="","",'Gear Wires'!B81)</f>
        <v/>
      </c>
      <c r="C40" s="924" t="str">
        <f>IF('Gear Wires'!B83="","",'Gear Wires'!B82)</f>
        <v/>
      </c>
      <c r="D40" s="924" t="str">
        <f>IF('Gear Wires'!B83="","",'Gear Wires'!B83)</f>
        <v/>
      </c>
      <c r="E40" s="930" t="str">
        <f>IF('Gear Wires'!B83="","",IF('Gear Wires'!B82="Special",'Gear Wires'!B85,'Gear Wires'!B84))</f>
        <v/>
      </c>
      <c r="F40" s="930" t="str">
        <f>IF('Gear Wires'!B86="","",'Gear Wires'!B98)</f>
        <v/>
      </c>
      <c r="G40" s="2"/>
    </row>
    <row r="41" spans="2:7" ht="15" x14ac:dyDescent="0.25">
      <c r="B41" s="924" t="str">
        <f>IF('Gear Wires'!E81="","",'Gear Wires'!E81)</f>
        <v/>
      </c>
      <c r="C41" s="924" t="str">
        <f>IF('Gear Wires'!E83="","",'Gear Wires'!E82)</f>
        <v/>
      </c>
      <c r="D41" s="924" t="str">
        <f>IF('Gear Wires'!E83="","",'Gear Wires'!E83)</f>
        <v/>
      </c>
      <c r="E41" s="930" t="str">
        <f>IF('Gear Wires'!E83="","",IF('Gear Wires'!E82="Special",'Gear Wires'!E85,'Gear Wires'!E84))</f>
        <v/>
      </c>
      <c r="F41" s="930" t="str">
        <f>IF('Gear Wires'!E86="","",'Gear Wires'!E98)</f>
        <v/>
      </c>
      <c r="G41" s="2"/>
    </row>
    <row r="42" spans="2:7" ht="15" x14ac:dyDescent="0.25">
      <c r="B42" s="924" t="str">
        <f>IF('Gear Wires'!H81="","",'Gear Wires'!H81)</f>
        <v/>
      </c>
      <c r="C42" s="924" t="str">
        <f>IF('Gear Wires'!H83="","",'Gear Wires'!H82)</f>
        <v/>
      </c>
      <c r="D42" s="924" t="str">
        <f>IF('Gear Wires'!H83="","",'Gear Wires'!H83)</f>
        <v/>
      </c>
      <c r="E42" s="930" t="str">
        <f>IF('Gear Wires'!H83="","",IF('Gear Wires'!H82="Special",'Gear Wires'!H85,'Gear Wires'!H84))</f>
        <v/>
      </c>
      <c r="F42" s="930" t="str">
        <f>IF('Gear Wires'!H86="","",'Gear Wires'!H98)</f>
        <v/>
      </c>
      <c r="G42" s="2"/>
    </row>
    <row r="43" spans="2:7" ht="15" x14ac:dyDescent="0.25">
      <c r="B43" s="924" t="str">
        <f>IF('Gear Wires'!K81="","",'Gear Wires'!K81)</f>
        <v/>
      </c>
      <c r="C43" s="924" t="str">
        <f>IF('Gear Wires'!K83="","",'Gear Wires'!K82)</f>
        <v/>
      </c>
      <c r="D43" s="924" t="str">
        <f>IF('Gear Wires'!K83="","",'Gear Wires'!K83)</f>
        <v/>
      </c>
      <c r="E43" s="930" t="str">
        <f>IF('Gear Wires'!K83="","",IF('Gear Wires'!K82="Special",'Gear Wires'!K85,'Gear Wires'!K84))</f>
        <v/>
      </c>
      <c r="F43" s="930" t="str">
        <f>IF('Gear Wires'!K86="","",'Gear Wires'!K98)</f>
        <v/>
      </c>
      <c r="G43" s="2"/>
    </row>
    <row r="44" spans="2:7" ht="15" x14ac:dyDescent="0.25">
      <c r="B44" s="924" t="str">
        <f>IF('Gear Wires'!N81="","",'Gear Wires'!N81)</f>
        <v/>
      </c>
      <c r="C44" s="924" t="str">
        <f>IF('Gear Wires'!N83="","",'Gear Wires'!N82)</f>
        <v/>
      </c>
      <c r="D44" s="924" t="str">
        <f>IF('Gear Wires'!N83="","",'Gear Wires'!N83)</f>
        <v/>
      </c>
      <c r="E44" s="930" t="str">
        <f>IF('Gear Wires'!N83="","",IF('Gear Wires'!N82="Special",'Gear Wires'!N85,'Gear Wires'!N84))</f>
        <v/>
      </c>
      <c r="F44" s="930" t="str">
        <f>IF('Gear Wires'!N86="","",'Gear Wires'!N98)</f>
        <v/>
      </c>
      <c r="G44" s="2"/>
    </row>
    <row r="45" spans="2:7" ht="15" x14ac:dyDescent="0.25">
      <c r="B45" s="924" t="str">
        <f>IF('Gear Wires'!Q81="","",'Gear Wires'!Q81)</f>
        <v/>
      </c>
      <c r="C45" s="924" t="str">
        <f>IF('Gear Wires'!Q83="","",'Gear Wires'!Q82)</f>
        <v/>
      </c>
      <c r="D45" s="924" t="str">
        <f>IF('Gear Wires'!Q83="","",'Gear Wires'!Q83)</f>
        <v/>
      </c>
      <c r="E45" s="930" t="str">
        <f>IF('Gear Wires'!Q83="","",IF('Gear Wires'!Q82="Special",'Gear Wires'!Q85,'Gear Wires'!Q84))</f>
        <v/>
      </c>
      <c r="F45" s="930" t="str">
        <f>IF('Gear Wires'!Q86="","",'Gear Wires'!Q98)</f>
        <v/>
      </c>
      <c r="G45" s="2"/>
    </row>
  </sheetData>
  <sheetProtection selectLockedCells="1"/>
  <mergeCells count="2">
    <mergeCell ref="C1:E1"/>
    <mergeCell ref="C2:E2"/>
  </mergeCells>
  <pageMargins left="0.7" right="0.7" top="0.75" bottom="0.75" header="0.3" footer="0.3"/>
  <pageSetup scale="88"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tabColor indexed="52"/>
  </sheetPr>
  <dimension ref="A1:L39"/>
  <sheetViews>
    <sheetView workbookViewId="0"/>
  </sheetViews>
  <sheetFormatPr defaultRowHeight="12.75" x14ac:dyDescent="0.2"/>
  <cols>
    <col min="2" max="2" width="13.28515625" bestFit="1" customWidth="1"/>
    <col min="5" max="5" width="17.140625" customWidth="1"/>
    <col min="7" max="7" width="14" customWidth="1"/>
    <col min="8" max="9" width="13.7109375" customWidth="1"/>
  </cols>
  <sheetData>
    <row r="1" spans="1:12" ht="25.5" customHeight="1" thickBot="1" x14ac:dyDescent="0.25"/>
    <row r="2" spans="1:12" ht="13.5" thickBot="1" x14ac:dyDescent="0.25">
      <c r="A2" s="1225" t="s">
        <v>563</v>
      </c>
      <c r="B2" s="1226"/>
      <c r="D2" s="1225" t="s">
        <v>564</v>
      </c>
      <c r="E2" s="1226"/>
      <c r="G2" s="1182" t="s">
        <v>565</v>
      </c>
      <c r="H2" s="1183"/>
      <c r="I2" s="1227"/>
      <c r="K2" s="271" t="s">
        <v>566</v>
      </c>
      <c r="L2" s="272" t="s">
        <v>71</v>
      </c>
    </row>
    <row r="3" spans="1:12" x14ac:dyDescent="0.2">
      <c r="A3" s="273" t="s">
        <v>71</v>
      </c>
      <c r="B3" s="273" t="s">
        <v>72</v>
      </c>
      <c r="D3" s="273" t="s">
        <v>71</v>
      </c>
      <c r="E3" s="273" t="s">
        <v>72</v>
      </c>
      <c r="G3" s="273" t="s">
        <v>566</v>
      </c>
      <c r="H3" s="273" t="s">
        <v>72</v>
      </c>
      <c r="I3" s="274" t="s">
        <v>567</v>
      </c>
      <c r="K3" s="78">
        <v>0.4</v>
      </c>
      <c r="L3" s="79">
        <v>64</v>
      </c>
    </row>
    <row r="4" spans="1:12" x14ac:dyDescent="0.2">
      <c r="A4" s="1027">
        <v>4</v>
      </c>
      <c r="B4" s="1048">
        <v>0.14434</v>
      </c>
      <c r="D4" s="454">
        <v>1</v>
      </c>
      <c r="E4" s="1049">
        <v>0.51644999999999996</v>
      </c>
      <c r="G4" s="5">
        <v>0.35</v>
      </c>
      <c r="H4" s="124">
        <f>G4*0.57735</f>
        <v>0.20207249999999999</v>
      </c>
      <c r="I4" s="128">
        <f>H4/25.4</f>
        <v>7.9556102362204721E-3</v>
      </c>
      <c r="K4" s="189">
        <v>0.45</v>
      </c>
      <c r="L4" s="190">
        <v>56</v>
      </c>
    </row>
    <row r="5" spans="1:12" x14ac:dyDescent="0.2">
      <c r="A5" s="5">
        <v>4.5</v>
      </c>
      <c r="B5" s="128">
        <f>(0.57735/A5)</f>
        <v>0.1283</v>
      </c>
      <c r="D5" s="1050">
        <v>1.33</v>
      </c>
      <c r="E5" s="1051">
        <v>0.38734000000000002</v>
      </c>
      <c r="G5" s="37">
        <v>0.4</v>
      </c>
      <c r="H5" s="275">
        <f t="shared" ref="H5:H23" si="0">G5*0.57735</f>
        <v>0.23094000000000003</v>
      </c>
      <c r="I5" s="276">
        <f t="shared" ref="I5:I23" si="1">H5/25.4</f>
        <v>9.0921259842519711E-3</v>
      </c>
      <c r="K5" s="78">
        <v>0.5</v>
      </c>
      <c r="L5" s="79">
        <v>50</v>
      </c>
    </row>
    <row r="6" spans="1:12" x14ac:dyDescent="0.2">
      <c r="A6" s="37">
        <v>5</v>
      </c>
      <c r="B6" s="276">
        <f t="shared" ref="B6:B39" si="2">(0.57735/A6)</f>
        <v>0.11547</v>
      </c>
      <c r="D6" s="454">
        <v>1.25</v>
      </c>
      <c r="E6" s="1049">
        <v>0.34429999999999999</v>
      </c>
      <c r="G6" s="5">
        <v>0.45</v>
      </c>
      <c r="H6" s="124">
        <f t="shared" si="0"/>
        <v>0.25980750000000002</v>
      </c>
      <c r="I6" s="128">
        <f t="shared" si="1"/>
        <v>1.0228641732283467E-2</v>
      </c>
      <c r="K6" s="189">
        <v>0.7</v>
      </c>
      <c r="L6" s="190">
        <v>36</v>
      </c>
    </row>
    <row r="7" spans="1:12" x14ac:dyDescent="0.2">
      <c r="A7" s="5">
        <v>5.5</v>
      </c>
      <c r="B7" s="128">
        <f t="shared" si="2"/>
        <v>0.10497272727272727</v>
      </c>
      <c r="D7" s="1050">
        <v>1.75</v>
      </c>
      <c r="E7" s="1051">
        <v>0.29510999999999998</v>
      </c>
      <c r="G7" s="37">
        <v>0.5</v>
      </c>
      <c r="H7" s="275">
        <f t="shared" si="0"/>
        <v>0.28867500000000001</v>
      </c>
      <c r="I7" s="276">
        <f t="shared" si="1"/>
        <v>1.1365157480314962E-2</v>
      </c>
      <c r="K7" s="78">
        <v>0.75</v>
      </c>
      <c r="L7" s="79">
        <v>32</v>
      </c>
    </row>
    <row r="8" spans="1:12" x14ac:dyDescent="0.2">
      <c r="A8" s="37">
        <v>6</v>
      </c>
      <c r="B8" s="276">
        <f t="shared" si="2"/>
        <v>9.6225000000000005E-2</v>
      </c>
      <c r="D8" s="454">
        <v>2</v>
      </c>
      <c r="E8" s="1049">
        <v>0.25823000000000002</v>
      </c>
      <c r="G8" s="5">
        <v>0.55000000000000004</v>
      </c>
      <c r="H8" s="124">
        <f t="shared" si="0"/>
        <v>0.31754250000000006</v>
      </c>
      <c r="I8" s="128">
        <f t="shared" si="1"/>
        <v>1.2501673228346459E-2</v>
      </c>
      <c r="K8" s="189">
        <v>0.8</v>
      </c>
      <c r="L8" s="190">
        <v>32</v>
      </c>
    </row>
    <row r="9" spans="1:12" x14ac:dyDescent="0.2">
      <c r="A9" s="5">
        <v>7</v>
      </c>
      <c r="B9" s="128">
        <f>0.57735/(A9)</f>
        <v>8.2478571428571429E-2</v>
      </c>
      <c r="D9" s="1050">
        <v>2.5</v>
      </c>
      <c r="E9" s="1051">
        <v>0.20658000000000001</v>
      </c>
      <c r="G9" s="37">
        <v>0.6</v>
      </c>
      <c r="H9" s="275">
        <f t="shared" si="0"/>
        <v>0.34641</v>
      </c>
      <c r="I9" s="276">
        <f t="shared" si="1"/>
        <v>1.3638188976377953E-2</v>
      </c>
      <c r="K9" s="78">
        <v>1</v>
      </c>
      <c r="L9" s="79">
        <v>24</v>
      </c>
    </row>
    <row r="10" spans="1:12" x14ac:dyDescent="0.2">
      <c r="A10" s="37">
        <v>7.5</v>
      </c>
      <c r="B10" s="276">
        <f>0.57735/(A10)</f>
        <v>7.6980000000000007E-2</v>
      </c>
      <c r="D10" s="454">
        <v>3</v>
      </c>
      <c r="E10" s="1049">
        <v>0.17215</v>
      </c>
      <c r="G10" s="5">
        <v>0.7</v>
      </c>
      <c r="H10" s="124">
        <f t="shared" si="0"/>
        <v>0.40414499999999998</v>
      </c>
      <c r="I10" s="128">
        <f t="shared" si="1"/>
        <v>1.5911220472440944E-2</v>
      </c>
      <c r="K10" s="189">
        <v>1.25</v>
      </c>
      <c r="L10" s="190">
        <v>20</v>
      </c>
    </row>
    <row r="11" spans="1:12" x14ac:dyDescent="0.2">
      <c r="A11" s="5">
        <v>8</v>
      </c>
      <c r="B11" s="128">
        <f t="shared" si="2"/>
        <v>7.2168750000000004E-2</v>
      </c>
      <c r="D11" s="1050">
        <v>3.5</v>
      </c>
      <c r="E11" s="1051">
        <v>0.14756</v>
      </c>
      <c r="G11" s="37">
        <v>0.75</v>
      </c>
      <c r="H11" s="275">
        <f t="shared" si="0"/>
        <v>0.43301250000000002</v>
      </c>
      <c r="I11" s="276">
        <f t="shared" si="1"/>
        <v>1.7047736220472443E-2</v>
      </c>
      <c r="K11" s="78">
        <v>1.5</v>
      </c>
      <c r="L11" s="79">
        <v>16</v>
      </c>
    </row>
    <row r="12" spans="1:12" x14ac:dyDescent="0.2">
      <c r="A12" s="37">
        <v>9</v>
      </c>
      <c r="B12" s="276">
        <f t="shared" si="2"/>
        <v>6.4149999999999999E-2</v>
      </c>
      <c r="D12" s="454">
        <v>4</v>
      </c>
      <c r="E12" s="1049">
        <f t="shared" ref="E12:E23" si="3">0.51645/D12</f>
        <v>0.12911249999999999</v>
      </c>
      <c r="G12" s="5">
        <v>0.8</v>
      </c>
      <c r="H12" s="124">
        <f t="shared" si="0"/>
        <v>0.46188000000000007</v>
      </c>
      <c r="I12" s="128">
        <f t="shared" si="1"/>
        <v>1.8184251968503942E-2</v>
      </c>
      <c r="K12" s="189">
        <v>1.75</v>
      </c>
      <c r="L12" s="190">
        <v>14</v>
      </c>
    </row>
    <row r="13" spans="1:12" x14ac:dyDescent="0.2">
      <c r="A13" s="5">
        <v>10</v>
      </c>
      <c r="B13" s="128">
        <f t="shared" si="2"/>
        <v>5.7735000000000002E-2</v>
      </c>
      <c r="D13" s="1050">
        <v>4.5</v>
      </c>
      <c r="E13" s="1051">
        <v>0.11477</v>
      </c>
      <c r="G13" s="37">
        <v>0.85</v>
      </c>
      <c r="H13" s="275">
        <f t="shared" si="0"/>
        <v>0.4907475</v>
      </c>
      <c r="I13" s="276">
        <f t="shared" si="1"/>
        <v>1.9320767716535434E-2</v>
      </c>
      <c r="K13" s="78">
        <v>2</v>
      </c>
      <c r="L13" s="79">
        <v>12</v>
      </c>
    </row>
    <row r="14" spans="1:12" x14ac:dyDescent="0.2">
      <c r="A14" s="37">
        <v>11</v>
      </c>
      <c r="B14" s="276">
        <f t="shared" si="2"/>
        <v>5.2486363636363637E-2</v>
      </c>
      <c r="D14" s="454">
        <v>5</v>
      </c>
      <c r="E14" s="1049">
        <v>0.10329000000000001</v>
      </c>
      <c r="G14" s="5">
        <v>0.9</v>
      </c>
      <c r="H14" s="124">
        <f t="shared" si="0"/>
        <v>0.51961500000000005</v>
      </c>
      <c r="I14" s="128">
        <f t="shared" si="1"/>
        <v>2.0457283464566933E-2</v>
      </c>
      <c r="K14" s="189">
        <v>2.5</v>
      </c>
      <c r="L14" s="190">
        <v>10</v>
      </c>
    </row>
    <row r="15" spans="1:12" ht="13.5" thickBot="1" x14ac:dyDescent="0.25">
      <c r="A15" s="5">
        <v>11.5</v>
      </c>
      <c r="B15" s="128">
        <f t="shared" si="2"/>
        <v>5.0204347826086959E-2</v>
      </c>
      <c r="D15" s="1050">
        <v>5.5</v>
      </c>
      <c r="E15" s="1051">
        <v>9.3899999999999997E-2</v>
      </c>
      <c r="G15" s="37">
        <v>1</v>
      </c>
      <c r="H15" s="275">
        <f t="shared" si="0"/>
        <v>0.57735000000000003</v>
      </c>
      <c r="I15" s="276">
        <f t="shared" si="1"/>
        <v>2.2730314960629924E-2</v>
      </c>
      <c r="K15" s="80">
        <v>3</v>
      </c>
      <c r="L15" s="81">
        <v>8</v>
      </c>
    </row>
    <row r="16" spans="1:12" x14ac:dyDescent="0.2">
      <c r="A16" s="37">
        <v>12</v>
      </c>
      <c r="B16" s="276">
        <f t="shared" si="2"/>
        <v>4.8112500000000002E-2</v>
      </c>
      <c r="D16" s="454">
        <v>6</v>
      </c>
      <c r="E16" s="1049">
        <f t="shared" si="3"/>
        <v>8.6074999999999999E-2</v>
      </c>
      <c r="G16" s="5">
        <v>1.25</v>
      </c>
      <c r="H16" s="124">
        <f t="shared" si="0"/>
        <v>0.72168750000000004</v>
      </c>
      <c r="I16" s="128">
        <f t="shared" si="1"/>
        <v>2.8412893700787405E-2</v>
      </c>
    </row>
    <row r="17" spans="1:9" x14ac:dyDescent="0.2">
      <c r="A17" s="5">
        <v>13</v>
      </c>
      <c r="B17" s="128">
        <f t="shared" si="2"/>
        <v>4.4411538461538461E-2</v>
      </c>
      <c r="D17" s="1050">
        <v>7</v>
      </c>
      <c r="E17" s="1051">
        <v>7.3779999999999998E-2</v>
      </c>
      <c r="G17" s="37">
        <v>1.5</v>
      </c>
      <c r="H17" s="275">
        <f t="shared" si="0"/>
        <v>0.86602500000000004</v>
      </c>
      <c r="I17" s="276">
        <f t="shared" si="1"/>
        <v>3.4095472440944886E-2</v>
      </c>
    </row>
    <row r="18" spans="1:9" x14ac:dyDescent="0.2">
      <c r="A18" s="37">
        <v>14</v>
      </c>
      <c r="B18" s="276">
        <f t="shared" si="2"/>
        <v>4.1239285714285714E-2</v>
      </c>
      <c r="D18" s="454">
        <v>8</v>
      </c>
      <c r="E18" s="1049">
        <f t="shared" si="3"/>
        <v>6.4556249999999996E-2</v>
      </c>
      <c r="G18" s="5">
        <v>1.75</v>
      </c>
      <c r="H18" s="124">
        <f t="shared" si="0"/>
        <v>1.0103625000000001</v>
      </c>
      <c r="I18" s="128">
        <f t="shared" si="1"/>
        <v>3.9778051181102364E-2</v>
      </c>
    </row>
    <row r="19" spans="1:9" x14ac:dyDescent="0.2">
      <c r="A19" s="5">
        <v>16</v>
      </c>
      <c r="B19" s="128">
        <f t="shared" si="2"/>
        <v>3.6084375000000002E-2</v>
      </c>
      <c r="D19" s="1050">
        <v>9</v>
      </c>
      <c r="E19" s="1051">
        <v>5.738E-2</v>
      </c>
      <c r="G19" s="37">
        <v>2</v>
      </c>
      <c r="H19" s="275">
        <f t="shared" si="0"/>
        <v>1.1547000000000001</v>
      </c>
      <c r="I19" s="276">
        <f t="shared" si="1"/>
        <v>4.5460629921259849E-2</v>
      </c>
    </row>
    <row r="20" spans="1:9" x14ac:dyDescent="0.2">
      <c r="A20" s="37">
        <v>18</v>
      </c>
      <c r="B20" s="276">
        <f t="shared" si="2"/>
        <v>3.2074999999999999E-2</v>
      </c>
      <c r="D20" s="454">
        <v>10</v>
      </c>
      <c r="E20" s="1049">
        <v>5.1639999999999998E-2</v>
      </c>
      <c r="G20" s="5">
        <v>2.5</v>
      </c>
      <c r="H20" s="124">
        <f t="shared" si="0"/>
        <v>1.4433750000000001</v>
      </c>
      <c r="I20" s="128">
        <f t="shared" si="1"/>
        <v>5.6825787401574811E-2</v>
      </c>
    </row>
    <row r="21" spans="1:9" x14ac:dyDescent="0.2">
      <c r="A21" s="5">
        <v>20</v>
      </c>
      <c r="B21" s="128">
        <f t="shared" si="2"/>
        <v>2.8867500000000001E-2</v>
      </c>
      <c r="D21" s="1050">
        <v>12</v>
      </c>
      <c r="E21" s="1051">
        <f t="shared" si="3"/>
        <v>4.3037499999999999E-2</v>
      </c>
      <c r="G21" s="37">
        <v>3</v>
      </c>
      <c r="H21" s="275">
        <f t="shared" si="0"/>
        <v>1.7320500000000001</v>
      </c>
      <c r="I21" s="276">
        <f t="shared" si="1"/>
        <v>6.8190944881889773E-2</v>
      </c>
    </row>
    <row r="22" spans="1:9" x14ac:dyDescent="0.2">
      <c r="A22" s="37">
        <v>22</v>
      </c>
      <c r="B22" s="276">
        <v>2.6239999999999999E-2</v>
      </c>
      <c r="D22" s="454">
        <v>14</v>
      </c>
      <c r="E22" s="1049">
        <f t="shared" si="3"/>
        <v>3.6889285714285715E-2</v>
      </c>
      <c r="G22" s="5">
        <v>3.5</v>
      </c>
      <c r="H22" s="124">
        <f t="shared" si="0"/>
        <v>2.0207250000000001</v>
      </c>
      <c r="I22" s="128">
        <f t="shared" si="1"/>
        <v>7.9556102362204728E-2</v>
      </c>
    </row>
    <row r="23" spans="1:9" x14ac:dyDescent="0.2">
      <c r="A23" s="5">
        <v>24</v>
      </c>
      <c r="B23" s="128">
        <f t="shared" si="2"/>
        <v>2.4056250000000001E-2</v>
      </c>
      <c r="D23" s="1050">
        <v>16</v>
      </c>
      <c r="E23" s="1051">
        <f t="shared" si="3"/>
        <v>3.2278124999999998E-2</v>
      </c>
      <c r="G23" s="37">
        <v>4</v>
      </c>
      <c r="H23" s="275">
        <f t="shared" si="0"/>
        <v>2.3094000000000001</v>
      </c>
      <c r="I23" s="276">
        <f t="shared" si="1"/>
        <v>9.0921259842519697E-2</v>
      </c>
    </row>
    <row r="24" spans="1:9" x14ac:dyDescent="0.2">
      <c r="A24" s="37">
        <v>26</v>
      </c>
      <c r="B24" s="276">
        <f t="shared" si="2"/>
        <v>2.220576923076923E-2</v>
      </c>
      <c r="D24" s="454">
        <v>18</v>
      </c>
      <c r="E24" s="1049">
        <v>2.869E-2</v>
      </c>
    </row>
    <row r="25" spans="1:9" x14ac:dyDescent="0.2">
      <c r="A25" s="5">
        <v>27</v>
      </c>
      <c r="B25" s="128">
        <f t="shared" si="2"/>
        <v>2.1383333333333334E-2</v>
      </c>
      <c r="D25" s="1050">
        <v>20</v>
      </c>
      <c r="E25" s="1051">
        <v>2.5819999999999999E-2</v>
      </c>
      <c r="G25" t="s">
        <v>568</v>
      </c>
      <c r="H25" t="s">
        <v>499</v>
      </c>
    </row>
    <row r="26" spans="1:9" x14ac:dyDescent="0.2">
      <c r="A26" s="37">
        <v>28</v>
      </c>
      <c r="B26" s="276">
        <f t="shared" si="2"/>
        <v>2.0619642857142857E-2</v>
      </c>
      <c r="H26" t="s">
        <v>500</v>
      </c>
    </row>
    <row r="27" spans="1:9" x14ac:dyDescent="0.2">
      <c r="A27" s="5">
        <v>30</v>
      </c>
      <c r="B27" s="128">
        <f t="shared" si="2"/>
        <v>1.9245000000000002E-2</v>
      </c>
      <c r="D27" t="s">
        <v>569</v>
      </c>
    </row>
    <row r="28" spans="1:9" x14ac:dyDescent="0.2">
      <c r="A28" s="37">
        <v>32</v>
      </c>
      <c r="B28" s="276">
        <f t="shared" si="2"/>
        <v>1.8042187500000001E-2</v>
      </c>
      <c r="D28" t="s">
        <v>570</v>
      </c>
    </row>
    <row r="29" spans="1:9" x14ac:dyDescent="0.2">
      <c r="A29" s="5">
        <v>36</v>
      </c>
      <c r="B29" s="128">
        <f t="shared" si="2"/>
        <v>1.60375E-2</v>
      </c>
    </row>
    <row r="30" spans="1:9" x14ac:dyDescent="0.2">
      <c r="A30" s="37">
        <v>40</v>
      </c>
      <c r="B30" s="276">
        <f t="shared" si="2"/>
        <v>1.443375E-2</v>
      </c>
    </row>
    <row r="31" spans="1:9" x14ac:dyDescent="0.2">
      <c r="A31" s="5">
        <v>44</v>
      </c>
      <c r="B31" s="128">
        <f t="shared" si="2"/>
        <v>1.3121590909090909E-2</v>
      </c>
    </row>
    <row r="32" spans="1:9" x14ac:dyDescent="0.2">
      <c r="A32" s="37">
        <v>48</v>
      </c>
      <c r="B32" s="276">
        <f t="shared" si="2"/>
        <v>1.2028125000000001E-2</v>
      </c>
    </row>
    <row r="33" spans="1:2" x14ac:dyDescent="0.2">
      <c r="A33" s="5">
        <v>50</v>
      </c>
      <c r="B33" s="128">
        <f t="shared" si="2"/>
        <v>1.1547E-2</v>
      </c>
    </row>
    <row r="34" spans="1:2" x14ac:dyDescent="0.2">
      <c r="A34" s="37">
        <v>56</v>
      </c>
      <c r="B34" s="276">
        <f t="shared" si="2"/>
        <v>1.0309821428571429E-2</v>
      </c>
    </row>
    <row r="35" spans="1:2" x14ac:dyDescent="0.2">
      <c r="A35" s="5">
        <v>64</v>
      </c>
      <c r="B35" s="128">
        <f t="shared" si="2"/>
        <v>9.0210937500000005E-3</v>
      </c>
    </row>
    <row r="36" spans="1:2" x14ac:dyDescent="0.2">
      <c r="A36" s="37">
        <v>72</v>
      </c>
      <c r="B36" s="276">
        <f t="shared" si="2"/>
        <v>8.0187499999999998E-3</v>
      </c>
    </row>
    <row r="37" spans="1:2" x14ac:dyDescent="0.2">
      <c r="A37" s="5">
        <v>80</v>
      </c>
      <c r="B37" s="128">
        <f t="shared" si="2"/>
        <v>7.2168750000000002E-3</v>
      </c>
    </row>
    <row r="38" spans="1:2" x14ac:dyDescent="0.2">
      <c r="A38" s="870">
        <v>96</v>
      </c>
      <c r="B38" s="871">
        <f t="shared" si="2"/>
        <v>6.0140625000000003E-3</v>
      </c>
    </row>
    <row r="39" spans="1:2" x14ac:dyDescent="0.2">
      <c r="A39" s="24">
        <v>108</v>
      </c>
      <c r="B39" s="876">
        <f t="shared" si="2"/>
        <v>5.3458333333333335E-3</v>
      </c>
    </row>
  </sheetData>
  <sheetProtection password="CC48" sheet="1" selectLockedCells="1"/>
  <mergeCells count="3">
    <mergeCell ref="A2:B2"/>
    <mergeCell ref="D2:E2"/>
    <mergeCell ref="G2:I2"/>
  </mergeCells>
  <phoneticPr fontId="13"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1749" r:id="rId3" name="Button 5">
              <controlPr defaultSize="0" print="0" autoFill="0" autoPict="0" macro="[0]!ReturnToMain">
                <anchor moveWithCells="1" sizeWithCells="1">
                  <from>
                    <xdr:col>0</xdr:col>
                    <xdr:colOff>28575</xdr:colOff>
                    <xdr:row>0</xdr:row>
                    <xdr:rowOff>19050</xdr:rowOff>
                  </from>
                  <to>
                    <xdr:col>2</xdr:col>
                    <xdr:colOff>38100</xdr:colOff>
                    <xdr:row>0</xdr:row>
                    <xdr:rowOff>152400</xdr:rowOff>
                  </to>
                </anchor>
              </controlPr>
            </control>
          </mc:Choice>
        </mc:AlternateContent>
        <mc:AlternateContent xmlns:mc="http://schemas.openxmlformats.org/markup-compatibility/2006">
          <mc:Choice Requires="x14">
            <control shapeId="31750" r:id="rId4" name="Button 6">
              <controlPr defaultSize="0" print="0" autoFill="0" autoPict="0" macro="[0]!EnglishThreadWiresCalc">
                <anchor moveWithCells="1" sizeWithCells="1">
                  <from>
                    <xdr:col>2</xdr:col>
                    <xdr:colOff>95250</xdr:colOff>
                    <xdr:row>0</xdr:row>
                    <xdr:rowOff>19050</xdr:rowOff>
                  </from>
                  <to>
                    <xdr:col>4</xdr:col>
                    <xdr:colOff>247650</xdr:colOff>
                    <xdr:row>0</xdr:row>
                    <xdr:rowOff>152400</xdr:rowOff>
                  </to>
                </anchor>
              </controlPr>
            </control>
          </mc:Choice>
        </mc:AlternateContent>
        <mc:AlternateContent xmlns:mc="http://schemas.openxmlformats.org/markup-compatibility/2006">
          <mc:Choice Requires="x14">
            <control shapeId="31751" r:id="rId5" name="Button 7">
              <controlPr defaultSize="0" print="0" autoFill="0" autoPict="0" macro="[0]!MetricThreadWiresCalc">
                <anchor moveWithCells="1" sizeWithCells="1">
                  <from>
                    <xdr:col>4</xdr:col>
                    <xdr:colOff>314325</xdr:colOff>
                    <xdr:row>0</xdr:row>
                    <xdr:rowOff>19050</xdr:rowOff>
                  </from>
                  <to>
                    <xdr:col>6</xdr:col>
                    <xdr:colOff>180975</xdr:colOff>
                    <xdr:row>0</xdr:row>
                    <xdr:rowOff>152400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tabColor indexed="52"/>
  </sheetPr>
  <dimension ref="A1:G33"/>
  <sheetViews>
    <sheetView workbookViewId="0"/>
  </sheetViews>
  <sheetFormatPr defaultRowHeight="12.75" x14ac:dyDescent="0.2"/>
  <cols>
    <col min="1" max="1" width="5.5703125" customWidth="1"/>
    <col min="2" max="2" width="39.140625" style="287" customWidth="1"/>
    <col min="3" max="3" width="38.140625" style="287" bestFit="1" customWidth="1"/>
    <col min="4" max="4" width="20.85546875" style="287" bestFit="1" customWidth="1"/>
    <col min="5" max="5" width="36.42578125" style="287" bestFit="1" customWidth="1"/>
  </cols>
  <sheetData>
    <row r="1" spans="1:7" ht="25.5" customHeight="1" thickBot="1" x14ac:dyDescent="0.25"/>
    <row r="2" spans="1:7" ht="13.5" thickBot="1" x14ac:dyDescent="0.25">
      <c r="A2" s="543" t="s">
        <v>70</v>
      </c>
      <c r="B2" s="544" t="s">
        <v>571</v>
      </c>
      <c r="C2" s="545" t="s">
        <v>572</v>
      </c>
      <c r="D2" s="546" t="s">
        <v>573</v>
      </c>
      <c r="E2" s="547" t="s">
        <v>574</v>
      </c>
      <c r="G2" s="103">
        <v>1.92</v>
      </c>
    </row>
    <row r="3" spans="1:7" x14ac:dyDescent="0.2">
      <c r="A3" s="31">
        <v>2</v>
      </c>
      <c r="B3" s="283">
        <v>0.96</v>
      </c>
      <c r="C3" s="284">
        <v>0.86399999999999999</v>
      </c>
      <c r="D3" s="283">
        <v>0.84</v>
      </c>
      <c r="E3" s="283">
        <v>0.72</v>
      </c>
      <c r="G3" s="408">
        <v>1.728</v>
      </c>
    </row>
    <row r="4" spans="1:7" x14ac:dyDescent="0.2">
      <c r="A4" s="37">
        <v>2.5</v>
      </c>
      <c r="B4" s="276">
        <v>0.76800000000000002</v>
      </c>
      <c r="C4" s="285">
        <v>0.69120000000000004</v>
      </c>
      <c r="D4" s="276">
        <v>0.67200000000000004</v>
      </c>
      <c r="E4" s="276">
        <v>0.57599999999999996</v>
      </c>
      <c r="G4" s="409">
        <v>1.68</v>
      </c>
    </row>
    <row r="5" spans="1:7" x14ac:dyDescent="0.2">
      <c r="A5" s="5">
        <v>3</v>
      </c>
      <c r="B5" s="128">
        <v>0.64</v>
      </c>
      <c r="C5" s="286">
        <v>0.57599999999999996</v>
      </c>
      <c r="D5" s="128">
        <v>0.56000000000000005</v>
      </c>
      <c r="E5" s="128">
        <v>0.48</v>
      </c>
      <c r="G5" s="410">
        <v>1.44</v>
      </c>
    </row>
    <row r="6" spans="1:7" x14ac:dyDescent="0.2">
      <c r="A6" s="37">
        <v>4</v>
      </c>
      <c r="B6" s="276">
        <v>0.48</v>
      </c>
      <c r="C6" s="285">
        <v>0.432</v>
      </c>
      <c r="D6" s="276">
        <v>0.42</v>
      </c>
      <c r="E6" s="276">
        <v>0.36</v>
      </c>
      <c r="G6" t="s">
        <v>559</v>
      </c>
    </row>
    <row r="7" spans="1:7" x14ac:dyDescent="0.2">
      <c r="A7" s="5">
        <v>5</v>
      </c>
      <c r="B7" s="128">
        <v>0.38400000000000001</v>
      </c>
      <c r="C7" s="286">
        <v>0.34560000000000002</v>
      </c>
      <c r="D7" s="128">
        <v>0.33600000000000002</v>
      </c>
      <c r="E7" s="128">
        <v>0.28799999999999998</v>
      </c>
    </row>
    <row r="8" spans="1:7" x14ac:dyDescent="0.2">
      <c r="A8" s="37">
        <v>6</v>
      </c>
      <c r="B8" s="276">
        <v>0.32</v>
      </c>
      <c r="C8" s="285">
        <v>0.28799999999999998</v>
      </c>
      <c r="D8" s="276">
        <v>0.28000000000000003</v>
      </c>
      <c r="E8" s="276">
        <v>0.24</v>
      </c>
    </row>
    <row r="9" spans="1:7" x14ac:dyDescent="0.2">
      <c r="A9" s="5">
        <v>7</v>
      </c>
      <c r="B9" s="128">
        <v>0.27428000000000002</v>
      </c>
      <c r="C9" s="286">
        <v>0.24686</v>
      </c>
      <c r="D9" s="128">
        <v>0.24</v>
      </c>
      <c r="E9" s="128">
        <v>0.20571</v>
      </c>
    </row>
    <row r="10" spans="1:7" x14ac:dyDescent="0.2">
      <c r="A10" s="37">
        <v>8</v>
      </c>
      <c r="B10" s="276">
        <v>0.24</v>
      </c>
      <c r="C10" s="285">
        <v>0.216</v>
      </c>
      <c r="D10" s="276">
        <v>0.21</v>
      </c>
      <c r="E10" s="276">
        <v>0.18</v>
      </c>
    </row>
    <row r="11" spans="1:7" x14ac:dyDescent="0.2">
      <c r="A11" s="5">
        <v>9</v>
      </c>
      <c r="B11" s="128">
        <v>0.21332999999999999</v>
      </c>
      <c r="C11" s="286">
        <v>0.192</v>
      </c>
      <c r="D11" s="128">
        <v>0.18665999999999999</v>
      </c>
      <c r="E11" s="128">
        <v>0.16</v>
      </c>
    </row>
    <row r="12" spans="1:7" x14ac:dyDescent="0.2">
      <c r="A12" s="37">
        <v>10</v>
      </c>
      <c r="B12" s="276">
        <v>0.19209999999999999</v>
      </c>
      <c r="C12" s="285">
        <v>0.17280000000000001</v>
      </c>
      <c r="D12" s="276">
        <v>0.16800000000000001</v>
      </c>
      <c r="E12" s="276">
        <v>0.14399999999999999</v>
      </c>
    </row>
    <row r="13" spans="1:7" x14ac:dyDescent="0.2">
      <c r="A13" s="5">
        <v>11</v>
      </c>
      <c r="B13" s="128">
        <v>0.17454</v>
      </c>
      <c r="C13" s="286">
        <v>0.15709000000000001</v>
      </c>
      <c r="D13" s="128">
        <v>0.15273</v>
      </c>
      <c r="E13" s="128">
        <v>0.13091</v>
      </c>
    </row>
    <row r="14" spans="1:7" x14ac:dyDescent="0.2">
      <c r="A14" s="37">
        <v>12</v>
      </c>
      <c r="B14" s="276">
        <v>0.16</v>
      </c>
      <c r="C14" s="285">
        <v>0.14399999999999999</v>
      </c>
      <c r="D14" s="276">
        <v>0.14000000000000001</v>
      </c>
      <c r="E14" s="276">
        <v>0.12</v>
      </c>
    </row>
    <row r="15" spans="1:7" x14ac:dyDescent="0.2">
      <c r="A15" s="5">
        <v>14</v>
      </c>
      <c r="B15" s="128">
        <v>0.13714000000000001</v>
      </c>
      <c r="C15" s="286">
        <v>0.12343</v>
      </c>
      <c r="D15" s="128">
        <v>0.12</v>
      </c>
      <c r="E15" s="128">
        <v>0.10285999999999999</v>
      </c>
    </row>
    <row r="16" spans="1:7" x14ac:dyDescent="0.2">
      <c r="A16" s="37">
        <v>16</v>
      </c>
      <c r="B16" s="276">
        <v>0.12</v>
      </c>
      <c r="C16" s="285">
        <v>0.108</v>
      </c>
      <c r="D16" s="276">
        <v>0.105</v>
      </c>
      <c r="E16" s="276">
        <v>0.09</v>
      </c>
    </row>
    <row r="17" spans="1:5" x14ac:dyDescent="0.2">
      <c r="A17" s="5">
        <v>18</v>
      </c>
      <c r="B17" s="128">
        <v>0.10667</v>
      </c>
      <c r="C17" s="286">
        <v>9.6000000000000002E-2</v>
      </c>
      <c r="D17" s="128">
        <v>9.3329999999999996E-2</v>
      </c>
      <c r="E17" s="128">
        <v>0.08</v>
      </c>
    </row>
    <row r="18" spans="1:5" x14ac:dyDescent="0.2">
      <c r="A18" s="37">
        <v>20</v>
      </c>
      <c r="B18" s="276">
        <v>9.6000000000000002E-2</v>
      </c>
      <c r="C18" s="285">
        <v>8.6400000000000005E-2</v>
      </c>
      <c r="D18" s="276">
        <v>8.4000000000000005E-2</v>
      </c>
      <c r="E18" s="276">
        <v>7.1999999999999995E-2</v>
      </c>
    </row>
    <row r="19" spans="1:5" x14ac:dyDescent="0.2">
      <c r="A19" s="5">
        <v>22</v>
      </c>
      <c r="B19" s="128">
        <v>8.727E-2</v>
      </c>
      <c r="C19" s="286">
        <v>7.8549999999999995E-2</v>
      </c>
      <c r="D19" s="128">
        <v>7.6359999999999997E-2</v>
      </c>
      <c r="E19" s="128">
        <v>6.5449999999999994E-2</v>
      </c>
    </row>
    <row r="20" spans="1:5" x14ac:dyDescent="0.2">
      <c r="A20" s="37">
        <v>24</v>
      </c>
      <c r="B20" s="276">
        <v>0.08</v>
      </c>
      <c r="C20" s="285">
        <v>7.1999999999999995E-2</v>
      </c>
      <c r="D20" s="276">
        <v>7.0000000000000007E-2</v>
      </c>
      <c r="E20" s="276">
        <v>0.06</v>
      </c>
    </row>
    <row r="21" spans="1:5" x14ac:dyDescent="0.2">
      <c r="A21" s="5">
        <v>28</v>
      </c>
      <c r="B21" s="128">
        <v>6.8570000000000006E-2</v>
      </c>
      <c r="C21" s="286">
        <v>6.1710000000000001E-2</v>
      </c>
      <c r="D21" s="128">
        <v>0.06</v>
      </c>
      <c r="E21" s="128">
        <v>5.1429999999999997E-2</v>
      </c>
    </row>
    <row r="22" spans="1:5" x14ac:dyDescent="0.2">
      <c r="A22" s="37">
        <v>32</v>
      </c>
      <c r="B22" s="276">
        <v>0.06</v>
      </c>
      <c r="C22" s="285">
        <v>5.3999999999999999E-2</v>
      </c>
      <c r="D22" s="276">
        <v>5.2499999999999998E-2</v>
      </c>
      <c r="E22" s="276">
        <v>4.4999999999999998E-2</v>
      </c>
    </row>
    <row r="23" spans="1:5" x14ac:dyDescent="0.2">
      <c r="A23" s="5">
        <v>36</v>
      </c>
      <c r="B23" s="128">
        <v>5.3330000000000002E-2</v>
      </c>
      <c r="C23" s="286">
        <v>4.8000000000000001E-2</v>
      </c>
      <c r="D23" s="128">
        <v>4.6670000000000003E-2</v>
      </c>
      <c r="E23" s="128">
        <v>0.04</v>
      </c>
    </row>
    <row r="24" spans="1:5" x14ac:dyDescent="0.2">
      <c r="A24" s="37">
        <v>40</v>
      </c>
      <c r="B24" s="276">
        <v>4.8000000000000001E-2</v>
      </c>
      <c r="C24" s="285">
        <v>4.3200000000000002E-2</v>
      </c>
      <c r="D24" s="276">
        <v>4.2000000000000003E-2</v>
      </c>
      <c r="E24" s="276">
        <v>3.5999999999999997E-2</v>
      </c>
    </row>
    <row r="25" spans="1:5" x14ac:dyDescent="0.2">
      <c r="A25" s="5">
        <v>48</v>
      </c>
      <c r="B25" s="128">
        <v>0.04</v>
      </c>
      <c r="C25" s="286">
        <v>3.5999999999999997E-2</v>
      </c>
      <c r="D25" s="128">
        <v>3.5000000000000003E-2</v>
      </c>
      <c r="E25" s="128">
        <v>0.03</v>
      </c>
    </row>
    <row r="26" spans="1:5" x14ac:dyDescent="0.2">
      <c r="A26" s="37">
        <v>64</v>
      </c>
      <c r="B26" s="276">
        <v>0.03</v>
      </c>
      <c r="C26" s="285">
        <v>2.7E-2</v>
      </c>
      <c r="D26" s="276">
        <v>2.6249999999999999E-2</v>
      </c>
      <c r="E26" s="276">
        <v>2.2499999999999999E-2</v>
      </c>
    </row>
    <row r="27" spans="1:5" x14ac:dyDescent="0.2">
      <c r="A27" s="5">
        <v>72</v>
      </c>
      <c r="B27" s="128">
        <v>2.6669999999999999E-2</v>
      </c>
      <c r="C27" s="286">
        <v>2.4E-2</v>
      </c>
      <c r="D27" s="128">
        <v>2.333E-2</v>
      </c>
      <c r="E27" s="128">
        <v>0.02</v>
      </c>
    </row>
    <row r="28" spans="1:5" x14ac:dyDescent="0.2">
      <c r="A28" s="37">
        <v>80</v>
      </c>
      <c r="B28" s="276">
        <v>2.4E-2</v>
      </c>
      <c r="C28" s="285">
        <v>2.1600000000000001E-2</v>
      </c>
      <c r="D28" s="276">
        <v>2.1000000000000001E-2</v>
      </c>
      <c r="E28" s="276">
        <v>1.7999999999999999E-2</v>
      </c>
    </row>
    <row r="29" spans="1:5" x14ac:dyDescent="0.2">
      <c r="A29" s="5">
        <v>96</v>
      </c>
      <c r="B29" s="128">
        <v>0.02</v>
      </c>
      <c r="C29" s="286">
        <v>1.7999999999999999E-2</v>
      </c>
      <c r="D29" s="128">
        <v>1.7500000000000002E-2</v>
      </c>
      <c r="E29" s="128">
        <v>1.4999999999999999E-2</v>
      </c>
    </row>
    <row r="30" spans="1:5" x14ac:dyDescent="0.2">
      <c r="A30" s="37">
        <v>100</v>
      </c>
      <c r="B30" s="276">
        <v>1.9199999999999998E-2</v>
      </c>
      <c r="C30" s="285">
        <v>1.728E-2</v>
      </c>
      <c r="D30" s="276">
        <v>1.6799999999999999E-2</v>
      </c>
      <c r="E30" s="276">
        <v>1.44E-2</v>
      </c>
    </row>
    <row r="31" spans="1:5" x14ac:dyDescent="0.2">
      <c r="A31" s="5">
        <v>120</v>
      </c>
      <c r="B31" s="128">
        <v>1.6E-2</v>
      </c>
      <c r="C31" s="286">
        <v>1.44E-2</v>
      </c>
      <c r="D31" s="128">
        <v>1.4E-2</v>
      </c>
      <c r="E31" s="128">
        <v>1.2E-2</v>
      </c>
    </row>
    <row r="32" spans="1:5" x14ac:dyDescent="0.2">
      <c r="A32" s="37">
        <v>128</v>
      </c>
      <c r="B32" s="276">
        <v>1.4999999999999999E-2</v>
      </c>
      <c r="C32" s="285">
        <v>1.35E-2</v>
      </c>
      <c r="D32" s="276">
        <v>1.312E-2</v>
      </c>
      <c r="E32" s="276">
        <v>1.125E-2</v>
      </c>
    </row>
    <row r="33" spans="1:5" x14ac:dyDescent="0.2">
      <c r="A33" s="5">
        <v>200</v>
      </c>
      <c r="B33" s="128">
        <v>9.5999999999999992E-3</v>
      </c>
      <c r="C33" s="286">
        <v>8.6400000000000001E-3</v>
      </c>
      <c r="D33" s="128">
        <v>8.3999999999999995E-3</v>
      </c>
      <c r="E33" s="128">
        <v>7.1999999999999998E-3</v>
      </c>
    </row>
  </sheetData>
  <sheetProtection sheet="1" objects="1" scenarios="1" selectLockedCells="1"/>
  <phoneticPr fontId="13"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2772" r:id="rId3" name="Button 4">
              <controlPr defaultSize="0" print="0" autoFill="0" autoPict="0" macro="[0]!ReturnToMain">
                <anchor moveWithCells="1" sizeWithCells="1">
                  <from>
                    <xdr:col>0</xdr:col>
                    <xdr:colOff>19050</xdr:colOff>
                    <xdr:row>0</xdr:row>
                    <xdr:rowOff>19050</xdr:rowOff>
                  </from>
                  <to>
                    <xdr:col>1</xdr:col>
                    <xdr:colOff>600075</xdr:colOff>
                    <xdr:row>0</xdr:row>
                    <xdr:rowOff>142875</xdr:rowOff>
                  </to>
                </anchor>
              </controlPr>
            </control>
          </mc:Choice>
        </mc:AlternateContent>
        <mc:AlternateContent xmlns:mc="http://schemas.openxmlformats.org/markup-compatibility/2006">
          <mc:Choice Requires="x14">
            <control shapeId="32774" r:id="rId4" name="Button 6">
              <controlPr defaultSize="0" print="0" autoFill="0" autoPict="0" macro="[0]!GearWiresCalc">
                <anchor moveWithCells="1" sizeWithCells="1">
                  <from>
                    <xdr:col>1</xdr:col>
                    <xdr:colOff>628650</xdr:colOff>
                    <xdr:row>0</xdr:row>
                    <xdr:rowOff>19050</xdr:rowOff>
                  </from>
                  <to>
                    <xdr:col>2</xdr:col>
                    <xdr:colOff>57150</xdr:colOff>
                    <xdr:row>0</xdr:row>
                    <xdr:rowOff>142875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tabColor indexed="8"/>
  </sheetPr>
  <dimension ref="A1:IV32"/>
  <sheetViews>
    <sheetView topLeftCell="AM2" workbookViewId="0">
      <selection activeCell="AX5" sqref="AX5"/>
    </sheetView>
  </sheetViews>
  <sheetFormatPr defaultRowHeight="12.75" x14ac:dyDescent="0.2"/>
  <cols>
    <col min="1" max="1" width="14.28515625" bestFit="1" customWidth="1"/>
    <col min="2" max="2" width="11.5703125" bestFit="1" customWidth="1"/>
    <col min="3" max="3" width="10.28515625" customWidth="1"/>
    <col min="4" max="4" width="10.140625" customWidth="1"/>
    <col min="5" max="5" width="11.140625" customWidth="1"/>
    <col min="6" max="6" width="11.42578125" customWidth="1"/>
    <col min="7" max="7" width="11.140625" customWidth="1"/>
    <col min="8" max="8" width="10.140625" customWidth="1"/>
    <col min="9" max="9" width="10.7109375" customWidth="1"/>
    <col min="10" max="10" width="11.28515625" customWidth="1"/>
    <col min="11" max="16" width="11" bestFit="1" customWidth="1"/>
    <col min="17" max="18" width="11.28515625" bestFit="1" customWidth="1"/>
    <col min="19" max="27" width="8.7109375" bestFit="1" customWidth="1"/>
    <col min="28" max="38" width="9.7109375" bestFit="1" customWidth="1"/>
    <col min="41" max="41" width="12.85546875" customWidth="1"/>
  </cols>
  <sheetData>
    <row r="1" spans="1:61" s="10" customFormat="1" ht="25.5" customHeight="1" x14ac:dyDescent="0.2"/>
    <row r="2" spans="1:61" ht="22.5" customHeight="1" thickBot="1" x14ac:dyDescent="0.35">
      <c r="A2" s="1229" t="s">
        <v>575</v>
      </c>
      <c r="B2" s="1229"/>
      <c r="C2" s="1229"/>
      <c r="D2" s="1229"/>
      <c r="E2" s="1229"/>
      <c r="F2" s="1229"/>
      <c r="G2" s="1229"/>
      <c r="H2" s="1229"/>
      <c r="I2" s="1229"/>
      <c r="J2" s="1229"/>
      <c r="K2" s="1229"/>
      <c r="L2" s="1229"/>
      <c r="M2" s="1229"/>
      <c r="N2" s="1229"/>
      <c r="O2" s="1229"/>
      <c r="P2" s="1229"/>
      <c r="R2" s="1229" t="s">
        <v>576</v>
      </c>
      <c r="S2" s="1229"/>
      <c r="T2" s="1229"/>
      <c r="U2" s="1229"/>
      <c r="V2" s="1229"/>
      <c r="W2" s="1229"/>
      <c r="X2" s="1229"/>
      <c r="Y2" s="1229"/>
      <c r="Z2" s="1229"/>
      <c r="AA2" s="1229"/>
      <c r="AB2" s="1229"/>
      <c r="AC2" s="1229"/>
      <c r="AD2" s="1229"/>
      <c r="AE2" s="1229"/>
      <c r="AF2" s="1229"/>
      <c r="AG2" s="1229"/>
      <c r="AH2" s="1229"/>
      <c r="AI2" s="1229"/>
      <c r="AJ2" s="1229"/>
      <c r="AK2" s="1229"/>
      <c r="AL2" s="1229"/>
      <c r="AO2" s="1229" t="s">
        <v>577</v>
      </c>
      <c r="AP2" s="1229"/>
      <c r="AQ2" s="1229"/>
      <c r="AR2" s="1229"/>
      <c r="AS2" s="1229"/>
      <c r="AT2" s="1229"/>
      <c r="AU2" s="1229"/>
      <c r="AV2" s="1229"/>
      <c r="AW2" s="1229"/>
      <c r="AX2" s="1229"/>
      <c r="AY2" s="1229"/>
      <c r="AZ2" s="1229"/>
      <c r="BA2" s="1229"/>
      <c r="BB2" s="1229"/>
      <c r="BC2" s="1229"/>
      <c r="BD2" s="1229"/>
      <c r="BE2" s="340"/>
      <c r="BF2" s="340"/>
      <c r="BG2" s="340"/>
      <c r="BH2" s="340"/>
      <c r="BI2" s="340"/>
    </row>
    <row r="3" spans="1:61" ht="21.75" customHeight="1" thickBot="1" x14ac:dyDescent="0.3">
      <c r="A3" s="382" t="s">
        <v>578</v>
      </c>
      <c r="B3" s="383"/>
      <c r="C3" s="383"/>
      <c r="D3" s="383"/>
      <c r="E3" s="383"/>
      <c r="F3" s="383"/>
      <c r="G3" s="383"/>
      <c r="H3" s="383"/>
      <c r="I3" s="383"/>
      <c r="J3" s="384"/>
      <c r="K3" s="384"/>
      <c r="L3" s="384"/>
      <c r="M3" s="384"/>
      <c r="N3" s="384"/>
      <c r="O3" s="384"/>
      <c r="P3" s="385"/>
      <c r="R3" s="1230" t="s">
        <v>579</v>
      </c>
      <c r="S3" s="1231"/>
      <c r="T3" s="1231"/>
      <c r="U3" s="1231"/>
      <c r="V3" s="1231"/>
      <c r="W3" s="1231"/>
      <c r="X3" s="1231"/>
      <c r="Y3" s="1231"/>
      <c r="Z3" s="1231"/>
      <c r="AA3" s="1231"/>
      <c r="AB3" s="1231"/>
      <c r="AC3" s="1231"/>
      <c r="AD3" s="1231"/>
      <c r="AE3" s="1231"/>
      <c r="AF3" s="1231"/>
      <c r="AG3" s="1231"/>
      <c r="AH3" s="1231"/>
      <c r="AI3" s="1231"/>
      <c r="AJ3" s="1231"/>
      <c r="AK3" s="1231"/>
      <c r="AL3" s="1232"/>
      <c r="AO3" s="327" t="s">
        <v>580</v>
      </c>
      <c r="AP3" s="328"/>
      <c r="AQ3" s="328"/>
      <c r="AR3" s="328"/>
      <c r="AS3" s="328"/>
      <c r="AT3" s="328"/>
      <c r="AU3" s="328"/>
      <c r="AV3" s="328"/>
      <c r="AW3" s="328"/>
      <c r="AX3" s="329"/>
      <c r="AY3" s="329"/>
      <c r="AZ3" s="329"/>
      <c r="BA3" s="329"/>
      <c r="BB3" s="329"/>
      <c r="BC3" s="329"/>
      <c r="BD3" s="329"/>
    </row>
    <row r="4" spans="1:61" ht="15.75" thickBot="1" x14ac:dyDescent="0.3">
      <c r="A4" s="108"/>
      <c r="B4" s="197" t="s">
        <v>581</v>
      </c>
      <c r="C4" s="197" t="s">
        <v>582</v>
      </c>
      <c r="D4" s="197" t="s">
        <v>583</v>
      </c>
      <c r="E4" s="197" t="s">
        <v>584</v>
      </c>
      <c r="F4" s="198" t="s">
        <v>585</v>
      </c>
      <c r="G4" s="197" t="s">
        <v>586</v>
      </c>
      <c r="H4" s="197" t="s">
        <v>587</v>
      </c>
      <c r="I4" s="197" t="s">
        <v>588</v>
      </c>
      <c r="J4" s="197" t="s">
        <v>589</v>
      </c>
      <c r="K4" s="197" t="s">
        <v>590</v>
      </c>
      <c r="L4" s="197" t="s">
        <v>591</v>
      </c>
      <c r="M4" s="197" t="s">
        <v>592</v>
      </c>
      <c r="N4" s="197" t="s">
        <v>593</v>
      </c>
      <c r="O4" s="197" t="s">
        <v>594</v>
      </c>
      <c r="P4" s="199" t="s">
        <v>595</v>
      </c>
      <c r="R4" s="1233"/>
      <c r="S4" s="1234"/>
      <c r="T4" s="1234"/>
      <c r="U4" s="1234"/>
      <c r="V4" s="1234"/>
      <c r="W4" s="1234"/>
      <c r="X4" s="1234"/>
      <c r="Y4" s="1234"/>
      <c r="Z4" s="1234"/>
      <c r="AA4" s="1234"/>
      <c r="AB4" s="1234"/>
      <c r="AC4" s="1234"/>
      <c r="AD4" s="1234"/>
      <c r="AE4" s="1234"/>
      <c r="AF4" s="1234"/>
      <c r="AG4" s="1234"/>
      <c r="AH4" s="1234"/>
      <c r="AI4" s="1234"/>
      <c r="AJ4" s="1234"/>
      <c r="AK4" s="1234"/>
      <c r="AL4" s="1235"/>
      <c r="AM4" s="288"/>
      <c r="AN4" s="288"/>
      <c r="AP4" s="197" t="s">
        <v>581</v>
      </c>
      <c r="AQ4" s="197" t="s">
        <v>582</v>
      </c>
      <c r="AR4" s="197" t="s">
        <v>583</v>
      </c>
      <c r="AS4" s="197" t="s">
        <v>584</v>
      </c>
      <c r="AT4" s="198" t="s">
        <v>585</v>
      </c>
      <c r="AU4" s="197" t="s">
        <v>586</v>
      </c>
      <c r="AV4" s="197" t="s">
        <v>587</v>
      </c>
      <c r="AW4" s="197" t="s">
        <v>588</v>
      </c>
      <c r="AX4" s="197" t="s">
        <v>589</v>
      </c>
      <c r="AY4" s="197" t="s">
        <v>590</v>
      </c>
      <c r="AZ4" s="197" t="s">
        <v>591</v>
      </c>
      <c r="BA4" s="197" t="s">
        <v>592</v>
      </c>
      <c r="BB4" s="197" t="s">
        <v>593</v>
      </c>
      <c r="BC4" s="197" t="s">
        <v>594</v>
      </c>
      <c r="BD4" s="199" t="s">
        <v>595</v>
      </c>
    </row>
    <row r="5" spans="1:61" ht="15" x14ac:dyDescent="0.25">
      <c r="A5" s="386" t="s">
        <v>72</v>
      </c>
      <c r="B5" s="201">
        <v>1</v>
      </c>
      <c r="C5" s="202">
        <v>0.215</v>
      </c>
      <c r="D5" s="202">
        <v>0.34499999999999997</v>
      </c>
      <c r="E5" s="202">
        <v>0.25</v>
      </c>
      <c r="F5" s="203">
        <v>0.31</v>
      </c>
      <c r="G5" s="202">
        <v>0.215</v>
      </c>
      <c r="H5" s="202">
        <v>0.34499999999999997</v>
      </c>
      <c r="I5" s="202">
        <v>0.65629999999999999</v>
      </c>
      <c r="J5" s="202">
        <v>0.65629999999999999</v>
      </c>
      <c r="K5" s="202">
        <v>0.875</v>
      </c>
      <c r="L5" s="202">
        <v>0.9375</v>
      </c>
      <c r="M5" s="202">
        <v>0.9375</v>
      </c>
      <c r="N5" s="202">
        <v>1</v>
      </c>
      <c r="O5" s="202">
        <v>1</v>
      </c>
      <c r="P5" s="201">
        <v>0.65625</v>
      </c>
      <c r="R5" s="108"/>
      <c r="S5" s="197" t="s">
        <v>581</v>
      </c>
      <c r="T5" s="197" t="s">
        <v>582</v>
      </c>
      <c r="U5" s="197" t="s">
        <v>583</v>
      </c>
      <c r="V5" s="197" t="s">
        <v>584</v>
      </c>
      <c r="W5" s="197" t="s">
        <v>585</v>
      </c>
      <c r="X5" s="197" t="s">
        <v>586</v>
      </c>
      <c r="Y5" s="197" t="s">
        <v>587</v>
      </c>
      <c r="Z5" s="197" t="s">
        <v>588</v>
      </c>
      <c r="AA5" s="197" t="s">
        <v>589</v>
      </c>
      <c r="AB5" s="197" t="s">
        <v>590</v>
      </c>
      <c r="AC5" s="197" t="s">
        <v>591</v>
      </c>
      <c r="AD5" s="197" t="s">
        <v>592</v>
      </c>
      <c r="AE5" s="197" t="s">
        <v>593</v>
      </c>
      <c r="AF5" s="197" t="s">
        <v>594</v>
      </c>
      <c r="AG5" s="197" t="s">
        <v>595</v>
      </c>
      <c r="AH5" s="197" t="s">
        <v>596</v>
      </c>
      <c r="AI5" s="197" t="s">
        <v>597</v>
      </c>
      <c r="AJ5" s="197" t="s">
        <v>598</v>
      </c>
      <c r="AK5" s="197" t="s">
        <v>599</v>
      </c>
      <c r="AL5" s="197" t="s">
        <v>600</v>
      </c>
      <c r="AO5" s="200" t="s">
        <v>72</v>
      </c>
      <c r="AP5" s="201">
        <v>5.95</v>
      </c>
      <c r="AQ5" s="202">
        <v>6.75</v>
      </c>
      <c r="AR5" s="202">
        <v>6.3959999999999999</v>
      </c>
      <c r="AS5" s="202">
        <v>6.8540000000000001</v>
      </c>
      <c r="AT5" s="203">
        <v>10.5</v>
      </c>
      <c r="AU5" s="202">
        <v>10.515000000000001</v>
      </c>
      <c r="AV5" s="202">
        <v>15</v>
      </c>
      <c r="AW5" s="202"/>
      <c r="AX5" s="202"/>
      <c r="AY5" s="202"/>
      <c r="AZ5" s="202"/>
      <c r="BA5" s="202"/>
      <c r="BB5" s="202"/>
      <c r="BC5" s="202"/>
      <c r="BD5" s="201"/>
    </row>
    <row r="6" spans="1:61" ht="15" x14ac:dyDescent="0.25">
      <c r="A6" s="386" t="s">
        <v>117</v>
      </c>
      <c r="B6" s="204">
        <v>0.99987000000000004</v>
      </c>
      <c r="C6" s="205">
        <v>0.21495</v>
      </c>
      <c r="D6" s="205">
        <v>0.34483000000000003</v>
      </c>
      <c r="E6" s="205">
        <v>0.24995999999999999</v>
      </c>
      <c r="F6" s="206">
        <v>0.30991999999999997</v>
      </c>
      <c r="G6" s="205">
        <v>0.21482999999999999</v>
      </c>
      <c r="H6" s="205">
        <v>0.34490999999999999</v>
      </c>
      <c r="I6" s="205">
        <v>0.65620000000000001</v>
      </c>
      <c r="J6" s="205">
        <v>0.65619000000000005</v>
      </c>
      <c r="K6" s="205">
        <v>0.87497199999999997</v>
      </c>
      <c r="L6" s="205">
        <v>0.93751899999999999</v>
      </c>
      <c r="M6" s="205">
        <v>0.93751399999999996</v>
      </c>
      <c r="N6" s="205">
        <v>1.0000169999999999</v>
      </c>
      <c r="O6" s="205">
        <v>1.000005</v>
      </c>
      <c r="P6" s="207">
        <v>0.65619400000000006</v>
      </c>
      <c r="R6" s="386" t="s">
        <v>547</v>
      </c>
      <c r="S6" s="201">
        <v>5.95</v>
      </c>
      <c r="T6" s="202">
        <v>6.75</v>
      </c>
      <c r="U6" s="202">
        <v>6.3959999999999999</v>
      </c>
      <c r="V6" s="202">
        <v>6.8540000000000001</v>
      </c>
      <c r="W6" s="202">
        <v>20.988800000000001</v>
      </c>
      <c r="X6" s="202">
        <v>22.981000000000002</v>
      </c>
      <c r="Y6" s="202">
        <v>25.476099999999999</v>
      </c>
      <c r="Z6" s="202">
        <v>22.192499999999999</v>
      </c>
      <c r="AA6" s="202">
        <v>25.362300000000001</v>
      </c>
      <c r="AB6" s="202">
        <v>25.398700000000002</v>
      </c>
      <c r="AC6" s="202">
        <v>22.889099999999999</v>
      </c>
      <c r="AD6" s="202">
        <v>25.398199999999999</v>
      </c>
      <c r="AE6" s="202">
        <v>25.398199999999999</v>
      </c>
      <c r="AF6" s="202">
        <v>25.427900000000001</v>
      </c>
      <c r="AG6" s="202">
        <v>14.997999999999999</v>
      </c>
      <c r="AH6" s="202">
        <v>14.9979</v>
      </c>
      <c r="AI6" s="202">
        <v>13.1912</v>
      </c>
      <c r="AJ6" s="202">
        <v>12.287800000000001</v>
      </c>
      <c r="AK6" s="202">
        <v>11.384399999999999</v>
      </c>
      <c r="AL6" s="202">
        <v>10.481</v>
      </c>
      <c r="AO6" s="200" t="s">
        <v>117</v>
      </c>
      <c r="AP6" s="341">
        <v>5.9492000000000003</v>
      </c>
      <c r="AQ6" s="342">
        <v>6.7477999999999998</v>
      </c>
      <c r="AR6" s="342">
        <v>6.3975</v>
      </c>
      <c r="AS6" s="342">
        <v>6.8513999999999999</v>
      </c>
      <c r="AT6" s="343">
        <v>10.498100000000001</v>
      </c>
      <c r="AU6" s="342">
        <v>10.5143</v>
      </c>
      <c r="AV6" s="342">
        <v>14.999499999999999</v>
      </c>
      <c r="AW6" s="342"/>
      <c r="AX6" s="342"/>
      <c r="AY6" s="342"/>
      <c r="AZ6" s="342"/>
      <c r="BA6" s="342"/>
      <c r="BB6" s="342"/>
      <c r="BC6" s="342"/>
      <c r="BD6" s="341"/>
    </row>
    <row r="7" spans="1:61" ht="15" x14ac:dyDescent="0.25">
      <c r="A7" s="386" t="s">
        <v>232</v>
      </c>
      <c r="B7" s="208">
        <v>0.99987000000000004</v>
      </c>
      <c r="C7" s="209">
        <v>0.21492</v>
      </c>
      <c r="D7" s="209">
        <v>0.344856</v>
      </c>
      <c r="E7" s="209">
        <v>0.24984000000000001</v>
      </c>
      <c r="F7" s="210">
        <v>0.30996000000000001</v>
      </c>
      <c r="G7" s="209">
        <v>0.21495</v>
      </c>
      <c r="H7" s="209">
        <v>0.34490999999999999</v>
      </c>
      <c r="I7" s="209">
        <v>0.65619000000000005</v>
      </c>
      <c r="J7" s="209">
        <v>0.65619000000000005</v>
      </c>
      <c r="K7" s="209">
        <v>0.87497199999999997</v>
      </c>
      <c r="L7" s="209">
        <v>0.93751300000000004</v>
      </c>
      <c r="M7" s="209">
        <v>0.9375</v>
      </c>
      <c r="N7" s="209">
        <v>1</v>
      </c>
      <c r="O7" s="209">
        <v>1.0000100000000001</v>
      </c>
      <c r="P7" s="211">
        <v>0.65620500000000004</v>
      </c>
      <c r="R7" s="394" t="s">
        <v>575</v>
      </c>
      <c r="S7" s="330">
        <f t="shared" ref="S7:AG7" si="0">S6/25.4</f>
        <v>0.23425196850393704</v>
      </c>
      <c r="T7" s="331">
        <f t="shared" si="0"/>
        <v>0.26574803149606302</v>
      </c>
      <c r="U7" s="331">
        <f t="shared" si="0"/>
        <v>0.25181102362204727</v>
      </c>
      <c r="V7" s="331">
        <f t="shared" si="0"/>
        <v>0.26984251968503936</v>
      </c>
      <c r="W7" s="331">
        <f t="shared" si="0"/>
        <v>0.82633070866141745</v>
      </c>
      <c r="X7" s="331">
        <f t="shared" si="0"/>
        <v>0.90476377952755915</v>
      </c>
      <c r="Y7" s="331">
        <f t="shared" si="0"/>
        <v>1.002996062992126</v>
      </c>
      <c r="Z7" s="331">
        <f t="shared" si="0"/>
        <v>0.87372047244094486</v>
      </c>
      <c r="AA7" s="331">
        <f t="shared" si="0"/>
        <v>0.99851574803149612</v>
      </c>
      <c r="AB7" s="331">
        <f t="shared" si="0"/>
        <v>0.99994881889763787</v>
      </c>
      <c r="AC7" s="331">
        <f t="shared" si="0"/>
        <v>0.90114566929133855</v>
      </c>
      <c r="AD7" s="331">
        <f t="shared" si="0"/>
        <v>0.99992913385826776</v>
      </c>
      <c r="AE7" s="331">
        <f t="shared" si="0"/>
        <v>0.99992913385826776</v>
      </c>
      <c r="AF7" s="331">
        <f t="shared" si="0"/>
        <v>1.0010984251968504</v>
      </c>
      <c r="AG7" s="331">
        <f t="shared" si="0"/>
        <v>0.59047244094488194</v>
      </c>
      <c r="AH7" s="331">
        <f>AH6/25.4</f>
        <v>0.59046850393700789</v>
      </c>
      <c r="AI7" s="331">
        <f>AI6/25.4</f>
        <v>0.51933858267716537</v>
      </c>
      <c r="AJ7" s="331">
        <f>AJ6/25.4</f>
        <v>0.48377165354330715</v>
      </c>
      <c r="AK7" s="331">
        <f>AK6/25.4</f>
        <v>0.44820472440944881</v>
      </c>
      <c r="AL7" s="331">
        <f>AL6/25.4</f>
        <v>0.41263779527559058</v>
      </c>
      <c r="AO7" s="200" t="s">
        <v>232</v>
      </c>
      <c r="AP7" s="344">
        <v>5.9486999999999997</v>
      </c>
      <c r="AQ7" s="345">
        <v>6.7477999999999998</v>
      </c>
      <c r="AR7" s="345">
        <v>6.3975</v>
      </c>
      <c r="AS7" s="345">
        <v>6.8509000000000002</v>
      </c>
      <c r="AT7" s="346">
        <v>10.498799999999999</v>
      </c>
      <c r="AU7" s="345">
        <v>10.5146</v>
      </c>
      <c r="AV7" s="345">
        <v>14.999499999999999</v>
      </c>
      <c r="AW7" s="345"/>
      <c r="AX7" s="345"/>
      <c r="AY7" s="345"/>
      <c r="AZ7" s="345"/>
      <c r="BA7" s="345"/>
      <c r="BB7" s="345"/>
      <c r="BC7" s="345"/>
      <c r="BD7" s="344"/>
    </row>
    <row r="8" spans="1:61" ht="15" x14ac:dyDescent="0.25">
      <c r="A8" s="386" t="s">
        <v>233</v>
      </c>
      <c r="B8" s="204">
        <v>0.99987000000000004</v>
      </c>
      <c r="C8" s="205">
        <v>0.21493999999999999</v>
      </c>
      <c r="D8" s="205">
        <v>0.34488999999999997</v>
      </c>
      <c r="E8" s="205">
        <v>0.24995000000000001</v>
      </c>
      <c r="F8" s="206">
        <v>0.30997000000000002</v>
      </c>
      <c r="G8" s="205">
        <v>0.21498999999999999</v>
      </c>
      <c r="H8" s="205">
        <v>0.34499999999999997</v>
      </c>
      <c r="I8" s="205">
        <v>0.65619000000000005</v>
      </c>
      <c r="J8" s="205">
        <v>0.65619000000000005</v>
      </c>
      <c r="K8" s="205">
        <v>0.87496099999999999</v>
      </c>
      <c r="L8" s="205">
        <v>0.93750999999999995</v>
      </c>
      <c r="M8" s="205">
        <v>0.9375</v>
      </c>
      <c r="N8" s="205">
        <v>1.0000169999999999</v>
      </c>
      <c r="O8" s="205">
        <v>1.0000070000000001</v>
      </c>
      <c r="P8" s="207">
        <v>0.65620500000000004</v>
      </c>
      <c r="R8" s="386" t="s">
        <v>117</v>
      </c>
      <c r="S8" s="204">
        <v>0.51175199999999998</v>
      </c>
      <c r="T8" s="205">
        <v>0.41314499999999998</v>
      </c>
      <c r="U8" s="205">
        <v>0.78740699999999997</v>
      </c>
      <c r="V8" s="205">
        <v>0.76674799999999999</v>
      </c>
      <c r="W8" s="205">
        <v>0.82633199999999996</v>
      </c>
      <c r="X8" s="205">
        <v>0.90476999999999996</v>
      </c>
      <c r="Y8" s="205">
        <v>1.002988</v>
      </c>
      <c r="Z8" s="205">
        <v>0.87377000000000005</v>
      </c>
      <c r="AA8" s="205">
        <v>0.99851000000000001</v>
      </c>
      <c r="AB8" s="205">
        <v>0.99997999999999998</v>
      </c>
      <c r="AC8" s="205">
        <v>0.90122999999999998</v>
      </c>
      <c r="AD8" s="205">
        <v>1</v>
      </c>
      <c r="AE8" s="205">
        <v>1</v>
      </c>
      <c r="AF8" s="205">
        <v>1.0011779999999999</v>
      </c>
      <c r="AG8" s="380">
        <v>0.590534</v>
      </c>
      <c r="AH8" s="205">
        <v>0.59052899999999997</v>
      </c>
      <c r="AI8" s="380">
        <v>0.51945799999999998</v>
      </c>
      <c r="AJ8" s="205">
        <v>0.48392000000000002</v>
      </c>
      <c r="AK8" s="380">
        <v>0.448382</v>
      </c>
      <c r="AL8" s="205">
        <v>0.41284399999999999</v>
      </c>
      <c r="AO8" s="200" t="s">
        <v>233</v>
      </c>
      <c r="AP8" s="341">
        <v>5.9486999999999997</v>
      </c>
      <c r="AQ8" s="342">
        <v>6.7477999999999998</v>
      </c>
      <c r="AR8" s="342">
        <v>6.3970000000000002</v>
      </c>
      <c r="AS8" s="342">
        <v>6.8513999999999999</v>
      </c>
      <c r="AT8" s="343">
        <v>10.4983</v>
      </c>
      <c r="AU8" s="342">
        <v>10.5146</v>
      </c>
      <c r="AV8" s="342">
        <v>14.999499999999999</v>
      </c>
      <c r="AW8" s="342"/>
      <c r="AX8" s="342"/>
      <c r="AY8" s="342"/>
      <c r="AZ8" s="342"/>
      <c r="BA8" s="342"/>
      <c r="BB8" s="342"/>
      <c r="BC8" s="342"/>
      <c r="BD8" s="341"/>
    </row>
    <row r="9" spans="1:61" ht="15" x14ac:dyDescent="0.25">
      <c r="A9" s="386">
        <v>1</v>
      </c>
      <c r="B9" s="208">
        <v>0.99987999999999999</v>
      </c>
      <c r="C9" s="209">
        <v>0.21492</v>
      </c>
      <c r="D9" s="209">
        <v>0.34483999999999998</v>
      </c>
      <c r="E9" s="209">
        <v>0.24994</v>
      </c>
      <c r="F9" s="210">
        <v>0.30993999999999999</v>
      </c>
      <c r="G9" s="209">
        <v>0.21496999999999999</v>
      </c>
      <c r="H9" s="209">
        <v>0.344918</v>
      </c>
      <c r="I9" s="209">
        <v>0.65620000000000001</v>
      </c>
      <c r="J9" s="209">
        <v>0.65620000000000001</v>
      </c>
      <c r="K9" s="209">
        <v>0.874969</v>
      </c>
      <c r="L9" s="209">
        <v>0.93751499999999999</v>
      </c>
      <c r="M9" s="209">
        <v>0.93752000000000002</v>
      </c>
      <c r="N9" s="209">
        <v>1</v>
      </c>
      <c r="O9" s="209">
        <v>1.0000100000000001</v>
      </c>
      <c r="P9" s="211">
        <v>0.65619899999999998</v>
      </c>
      <c r="R9" s="386" t="s">
        <v>232</v>
      </c>
      <c r="S9" s="393">
        <v>0.51174799999999998</v>
      </c>
      <c r="T9" s="379">
        <v>0.41314400000000001</v>
      </c>
      <c r="U9" s="379">
        <v>0.78739999999999999</v>
      </c>
      <c r="V9" s="379">
        <v>0.76676100000000003</v>
      </c>
      <c r="W9" s="379">
        <v>0.826349</v>
      </c>
      <c r="X9" s="379">
        <v>0.90478199999999998</v>
      </c>
      <c r="Y9" s="379">
        <v>1.0029600000000001</v>
      </c>
      <c r="Z9" s="379">
        <v>0.87377000000000005</v>
      </c>
      <c r="AA9" s="379">
        <v>0.99851000000000001</v>
      </c>
      <c r="AB9" s="379">
        <v>0.99997999999999998</v>
      </c>
      <c r="AC9" s="379">
        <v>0.90124000000000004</v>
      </c>
      <c r="AD9" s="379">
        <v>1.0000100000000001</v>
      </c>
      <c r="AE9" s="379">
        <v>1</v>
      </c>
      <c r="AF9" s="379">
        <v>1.00118</v>
      </c>
      <c r="AG9" s="381">
        <v>0.59052800000000005</v>
      </c>
      <c r="AH9" s="379">
        <v>0.59053199999999995</v>
      </c>
      <c r="AI9" s="381">
        <v>0.51946599999999998</v>
      </c>
      <c r="AJ9" s="379">
        <v>0.483935</v>
      </c>
      <c r="AK9" s="381">
        <v>0.44840400000000002</v>
      </c>
      <c r="AL9" s="379">
        <v>0.41287299999999999</v>
      </c>
      <c r="AO9" s="200">
        <v>1</v>
      </c>
      <c r="AP9" s="344">
        <v>5.9489000000000001</v>
      </c>
      <c r="AQ9" s="345">
        <v>6.7477999999999998</v>
      </c>
      <c r="AR9" s="345">
        <v>6.3978000000000002</v>
      </c>
      <c r="AS9" s="345">
        <v>6.8513999999999999</v>
      </c>
      <c r="AT9" s="346">
        <v>10.4983</v>
      </c>
      <c r="AU9" s="345">
        <v>10.514799999999999</v>
      </c>
      <c r="AV9" s="345">
        <v>14.999499999999999</v>
      </c>
      <c r="AW9" s="345"/>
      <c r="AX9" s="345"/>
      <c r="AY9" s="345"/>
      <c r="AZ9" s="345"/>
      <c r="BA9" s="345"/>
      <c r="BB9" s="345"/>
      <c r="BC9" s="345"/>
      <c r="BD9" s="344"/>
    </row>
    <row r="10" spans="1:61" ht="15" x14ac:dyDescent="0.25">
      <c r="A10" s="386">
        <v>2</v>
      </c>
      <c r="B10" s="204">
        <v>0.99987999999999999</v>
      </c>
      <c r="C10" s="205">
        <v>0.21493000000000001</v>
      </c>
      <c r="D10" s="205">
        <v>0.34488999999999997</v>
      </c>
      <c r="E10" s="205">
        <v>0.24994</v>
      </c>
      <c r="F10" s="206">
        <v>0.30993999999999999</v>
      </c>
      <c r="G10" s="205">
        <v>0.21498999999999999</v>
      </c>
      <c r="H10" s="205">
        <v>0.34494000000000002</v>
      </c>
      <c r="I10" s="205">
        <v>0.65619000000000005</v>
      </c>
      <c r="J10" s="205">
        <v>0.65620000000000001</v>
      </c>
      <c r="K10" s="205">
        <v>0.87497899999999995</v>
      </c>
      <c r="L10" s="205">
        <v>0.9375</v>
      </c>
      <c r="M10" s="205">
        <v>0.93751799999999996</v>
      </c>
      <c r="N10" s="205">
        <v>1.0000199999999999</v>
      </c>
      <c r="O10" s="205">
        <v>1.0000199999999999</v>
      </c>
      <c r="P10" s="207">
        <v>0.65619400000000006</v>
      </c>
      <c r="R10" s="386" t="s">
        <v>233</v>
      </c>
      <c r="S10" s="204">
        <v>0.51175499999999996</v>
      </c>
      <c r="T10" s="205">
        <v>0.41314600000000001</v>
      </c>
      <c r="U10" s="205">
        <v>0.78739999999999999</v>
      </c>
      <c r="V10" s="205">
        <v>0.76676</v>
      </c>
      <c r="W10" s="205">
        <v>0.82635999999999998</v>
      </c>
      <c r="X10" s="205">
        <v>0.90478000000000003</v>
      </c>
      <c r="Y10" s="205">
        <v>1.0029749999999999</v>
      </c>
      <c r="Z10" s="205">
        <v>0.87375999999999998</v>
      </c>
      <c r="AA10" s="205">
        <v>0.99851000000000001</v>
      </c>
      <c r="AB10" s="205">
        <v>0.99997999999999998</v>
      </c>
      <c r="AC10" s="205">
        <v>0.90122999999999998</v>
      </c>
      <c r="AD10" s="205">
        <v>1</v>
      </c>
      <c r="AE10" s="205">
        <v>1</v>
      </c>
      <c r="AF10" s="205">
        <v>1.0011699999999999</v>
      </c>
      <c r="AG10" s="380">
        <v>0.59052400000000005</v>
      </c>
      <c r="AH10" s="205">
        <v>0.59053</v>
      </c>
      <c r="AI10" s="380">
        <v>0.51943799999999996</v>
      </c>
      <c r="AJ10" s="205">
        <v>0.48389500000000002</v>
      </c>
      <c r="AK10" s="380">
        <v>0.44835199999999997</v>
      </c>
      <c r="AL10" s="205">
        <v>0.41280899999999998</v>
      </c>
      <c r="AO10" s="200">
        <v>2</v>
      </c>
      <c r="AP10" s="341">
        <v>5.9492000000000003</v>
      </c>
      <c r="AQ10" s="342">
        <v>6.7477999999999998</v>
      </c>
      <c r="AR10" s="342">
        <v>6.3970000000000002</v>
      </c>
      <c r="AS10" s="342">
        <v>6.8513999999999999</v>
      </c>
      <c r="AT10" s="343">
        <v>10.498100000000001</v>
      </c>
      <c r="AU10" s="342">
        <v>10.5146</v>
      </c>
      <c r="AV10" s="342">
        <v>14.999499999999999</v>
      </c>
      <c r="AW10" s="342"/>
      <c r="AX10" s="342"/>
      <c r="AY10" s="342"/>
      <c r="AZ10" s="342"/>
      <c r="BA10" s="342"/>
      <c r="BB10" s="342"/>
      <c r="BC10" s="342"/>
      <c r="BD10" s="341"/>
    </row>
    <row r="11" spans="1:61" ht="15" x14ac:dyDescent="0.25">
      <c r="A11" s="521" t="s">
        <v>601</v>
      </c>
      <c r="B11" s="522">
        <f>AVERAGE(B6:B10)</f>
        <v>0.99987399999999993</v>
      </c>
      <c r="C11" s="523">
        <f t="shared" ref="C11:P11" si="1">AVERAGE(C6:C10)</f>
        <v>0.21493199999999998</v>
      </c>
      <c r="D11" s="523">
        <f t="shared" si="1"/>
        <v>0.34486119999999998</v>
      </c>
      <c r="E11" s="523">
        <f t="shared" si="1"/>
        <v>0.24992600000000001</v>
      </c>
      <c r="F11" s="524">
        <f t="shared" si="1"/>
        <v>0.30994600000000005</v>
      </c>
      <c r="G11" s="523">
        <f t="shared" si="1"/>
        <v>0.214946</v>
      </c>
      <c r="H11" s="523">
        <f t="shared" si="1"/>
        <v>0.34493560000000001</v>
      </c>
      <c r="I11" s="523">
        <f t="shared" si="1"/>
        <v>0.65619400000000006</v>
      </c>
      <c r="J11" s="523">
        <f t="shared" si="1"/>
        <v>0.65619400000000006</v>
      </c>
      <c r="K11" s="523">
        <f t="shared" si="1"/>
        <v>0.87497059999999993</v>
      </c>
      <c r="L11" s="523">
        <f t="shared" si="1"/>
        <v>0.93751139999999999</v>
      </c>
      <c r="M11" s="523">
        <f t="shared" si="1"/>
        <v>0.93751040000000008</v>
      </c>
      <c r="N11" s="523">
        <f t="shared" si="1"/>
        <v>1.0000107999999999</v>
      </c>
      <c r="O11" s="523">
        <f t="shared" si="1"/>
        <v>1.0000104000000003</v>
      </c>
      <c r="P11" s="522">
        <f t="shared" si="1"/>
        <v>0.65619939999999999</v>
      </c>
      <c r="R11" s="386">
        <v>1</v>
      </c>
      <c r="S11" s="393">
        <v>0.51175599999999999</v>
      </c>
      <c r="T11" s="379">
        <v>0.41314400000000001</v>
      </c>
      <c r="U11" s="379">
        <v>0.78739999999999999</v>
      </c>
      <c r="V11" s="379">
        <v>0.76673999999999998</v>
      </c>
      <c r="W11" s="379">
        <v>0.82634200000000002</v>
      </c>
      <c r="X11" s="379">
        <v>0.90478000000000003</v>
      </c>
      <c r="Y11" s="379">
        <v>1.0029699999999999</v>
      </c>
      <c r="Z11" s="379">
        <v>0.87378</v>
      </c>
      <c r="AA11" s="379">
        <v>0.99851000000000001</v>
      </c>
      <c r="AB11" s="379">
        <v>0.99999000000000005</v>
      </c>
      <c r="AC11" s="379">
        <v>0.90124000000000004</v>
      </c>
      <c r="AD11" s="379">
        <v>1</v>
      </c>
      <c r="AE11" s="379">
        <v>1</v>
      </c>
      <c r="AF11" s="379">
        <v>1.00118</v>
      </c>
      <c r="AG11" s="381">
        <v>0.59052300000000002</v>
      </c>
      <c r="AH11" s="379">
        <v>0.59053299999999997</v>
      </c>
      <c r="AI11" s="381">
        <v>0.51943300000000003</v>
      </c>
      <c r="AJ11" s="379">
        <v>0.48388799999999998</v>
      </c>
      <c r="AK11" s="381">
        <v>0.44834299999999999</v>
      </c>
      <c r="AL11" s="379">
        <v>0.412798</v>
      </c>
      <c r="AO11" s="530" t="s">
        <v>601</v>
      </c>
      <c r="AP11" s="1052">
        <f t="shared" ref="AP11:BD11" si="2">AVERAGE(AP6:AP10)</f>
        <v>5.9489399999999995</v>
      </c>
      <c r="AQ11" s="869">
        <f t="shared" si="2"/>
        <v>6.7477999999999998</v>
      </c>
      <c r="AR11" s="869">
        <f t="shared" si="2"/>
        <v>6.3973600000000008</v>
      </c>
      <c r="AS11" s="869">
        <f t="shared" si="2"/>
        <v>6.8512999999999993</v>
      </c>
      <c r="AT11" s="1053">
        <f t="shared" si="2"/>
        <v>10.49832</v>
      </c>
      <c r="AU11" s="869">
        <f t="shared" si="2"/>
        <v>10.51458</v>
      </c>
      <c r="AV11" s="869">
        <f t="shared" si="2"/>
        <v>14.999500000000001</v>
      </c>
      <c r="AW11" s="869" t="e">
        <f t="shared" si="2"/>
        <v>#DIV/0!</v>
      </c>
      <c r="AX11" s="869" t="e">
        <f t="shared" si="2"/>
        <v>#DIV/0!</v>
      </c>
      <c r="AY11" s="869" t="e">
        <f t="shared" si="2"/>
        <v>#DIV/0!</v>
      </c>
      <c r="AZ11" s="869" t="e">
        <f t="shared" si="2"/>
        <v>#DIV/0!</v>
      </c>
      <c r="BA11" s="869" t="e">
        <f t="shared" si="2"/>
        <v>#DIV/0!</v>
      </c>
      <c r="BB11" s="869" t="e">
        <f t="shared" si="2"/>
        <v>#DIV/0!</v>
      </c>
      <c r="BC11" s="869" t="e">
        <f t="shared" si="2"/>
        <v>#DIV/0!</v>
      </c>
      <c r="BD11" s="1052" t="e">
        <f t="shared" si="2"/>
        <v>#DIV/0!</v>
      </c>
    </row>
    <row r="12" spans="1:61" ht="15" x14ac:dyDescent="0.25">
      <c r="A12" s="521" t="s">
        <v>602</v>
      </c>
      <c r="B12" s="525">
        <f t="shared" ref="B12:P12" si="3">MAX(B6:B10)-MIN(B6:B10)</f>
        <v>9.9999999999544897E-6</v>
      </c>
      <c r="C12" s="526">
        <f t="shared" si="3"/>
        <v>3.0000000000002247E-5</v>
      </c>
      <c r="D12" s="526">
        <f t="shared" si="3"/>
        <v>5.9999999999948983E-5</v>
      </c>
      <c r="E12" s="526">
        <f t="shared" si="3"/>
        <v>1.1999999999998123E-4</v>
      </c>
      <c r="F12" s="527">
        <f t="shared" si="3"/>
        <v>5.0000000000050004E-5</v>
      </c>
      <c r="G12" s="526">
        <f t="shared" si="3"/>
        <v>1.5999999999999348E-4</v>
      </c>
      <c r="H12" s="526">
        <f t="shared" si="3"/>
        <v>8.9999999999978986E-5</v>
      </c>
      <c r="I12" s="526">
        <f t="shared" si="3"/>
        <v>9.9999999999544897E-6</v>
      </c>
      <c r="J12" s="526">
        <f t="shared" si="3"/>
        <v>9.9999999999544897E-6</v>
      </c>
      <c r="K12" s="526">
        <f t="shared" si="3"/>
        <v>1.799999999996249E-5</v>
      </c>
      <c r="L12" s="526">
        <f t="shared" si="3"/>
        <v>1.8999999999991246E-5</v>
      </c>
      <c r="M12" s="526">
        <f t="shared" si="3"/>
        <v>2.0000000000020002E-5</v>
      </c>
      <c r="N12" s="526">
        <f t="shared" si="3"/>
        <v>1.9999999999908979E-5</v>
      </c>
      <c r="O12" s="526">
        <f t="shared" si="3"/>
        <v>1.4999999999876223E-5</v>
      </c>
      <c r="P12" s="525">
        <f t="shared" si="3"/>
        <v>1.0999999999983245E-5</v>
      </c>
      <c r="R12" s="386">
        <v>2</v>
      </c>
      <c r="S12" s="204">
        <v>0.51175400000000004</v>
      </c>
      <c r="T12" s="205">
        <v>0.41315400000000002</v>
      </c>
      <c r="U12" s="205">
        <v>0.70837000000000006</v>
      </c>
      <c r="V12" s="205">
        <v>0.766764</v>
      </c>
      <c r="W12" s="205">
        <v>0.82635999999999998</v>
      </c>
      <c r="X12" s="205">
        <v>0.90478999999999998</v>
      </c>
      <c r="Y12" s="205">
        <v>1.0029699999999999</v>
      </c>
      <c r="Z12" s="205">
        <v>0.87377000000000005</v>
      </c>
      <c r="AA12" s="205">
        <v>0.99851999999999996</v>
      </c>
      <c r="AB12" s="205">
        <v>0.99997999999999998</v>
      </c>
      <c r="AC12" s="205">
        <v>0.90122999999999998</v>
      </c>
      <c r="AD12" s="205">
        <v>1.0000100000000001</v>
      </c>
      <c r="AE12" s="205">
        <v>1</v>
      </c>
      <c r="AF12" s="205">
        <v>1.00118</v>
      </c>
      <c r="AG12" s="380">
        <v>0.59052800000000005</v>
      </c>
      <c r="AH12" s="205">
        <v>0.59052899999999997</v>
      </c>
      <c r="AI12" s="380">
        <v>0.519428</v>
      </c>
      <c r="AJ12" s="205">
        <v>0.48387799999999997</v>
      </c>
      <c r="AK12" s="380">
        <v>0.448328</v>
      </c>
      <c r="AL12" s="205">
        <v>0.41277799999999998</v>
      </c>
      <c r="AO12" s="530" t="s">
        <v>602</v>
      </c>
      <c r="AP12" s="1054">
        <f t="shared" ref="AP12:BD12" si="4">MAX(AP6:AP10)-MIN(AP6:AP10)</f>
        <v>5.0000000000061107E-4</v>
      </c>
      <c r="AQ12" s="1055">
        <f t="shared" si="4"/>
        <v>0</v>
      </c>
      <c r="AR12" s="1055">
        <f t="shared" si="4"/>
        <v>7.9999999999991189E-4</v>
      </c>
      <c r="AS12" s="1055">
        <f t="shared" si="4"/>
        <v>4.9999999999972289E-4</v>
      </c>
      <c r="AT12" s="1056">
        <f t="shared" si="4"/>
        <v>6.9999999999836859E-4</v>
      </c>
      <c r="AU12" s="1055">
        <f t="shared" si="4"/>
        <v>4.9999999999883471E-4</v>
      </c>
      <c r="AV12" s="1055">
        <f t="shared" si="4"/>
        <v>0</v>
      </c>
      <c r="AW12" s="1055">
        <f t="shared" si="4"/>
        <v>0</v>
      </c>
      <c r="AX12" s="1055">
        <f t="shared" si="4"/>
        <v>0</v>
      </c>
      <c r="AY12" s="1055">
        <f t="shared" si="4"/>
        <v>0</v>
      </c>
      <c r="AZ12" s="1055">
        <f t="shared" si="4"/>
        <v>0</v>
      </c>
      <c r="BA12" s="1055">
        <f t="shared" si="4"/>
        <v>0</v>
      </c>
      <c r="BB12" s="1055">
        <f t="shared" si="4"/>
        <v>0</v>
      </c>
      <c r="BC12" s="1055">
        <f t="shared" si="4"/>
        <v>0</v>
      </c>
      <c r="BD12" s="1054">
        <f t="shared" si="4"/>
        <v>0</v>
      </c>
    </row>
    <row r="13" spans="1:61" ht="15" x14ac:dyDescent="0.25">
      <c r="A13" s="521" t="s">
        <v>603</v>
      </c>
      <c r="B13" s="522">
        <f t="shared" ref="B13:P13" si="5">ABS(0.5*MAX(B14:B18))</f>
        <v>3.0000000000307558E-6</v>
      </c>
      <c r="C13" s="523">
        <f t="shared" si="5"/>
        <v>9.0000000000090008E-6</v>
      </c>
      <c r="D13" s="523">
        <f t="shared" si="5"/>
        <v>1.5599999999976744E-5</v>
      </c>
      <c r="E13" s="523">
        <f t="shared" si="5"/>
        <v>4.300000000000137E-5</v>
      </c>
      <c r="F13" s="524">
        <f t="shared" si="5"/>
        <v>1.3000000000040757E-5</v>
      </c>
      <c r="G13" s="523">
        <f t="shared" si="5"/>
        <v>5.8000000000002494E-5</v>
      </c>
      <c r="H13" s="523">
        <f t="shared" si="5"/>
        <v>3.2199999999982243E-5</v>
      </c>
      <c r="I13" s="523">
        <f t="shared" si="5"/>
        <v>2.9999999999752447E-6</v>
      </c>
      <c r="J13" s="523">
        <f t="shared" si="5"/>
        <v>2.9999999999752447E-6</v>
      </c>
      <c r="K13" s="523">
        <f t="shared" si="5"/>
        <v>4.7999999999714937E-6</v>
      </c>
      <c r="L13" s="523">
        <f t="shared" si="5"/>
        <v>5.6999999999973738E-6</v>
      </c>
      <c r="M13" s="523">
        <f t="shared" si="5"/>
        <v>5.2000000000385072E-6</v>
      </c>
      <c r="N13" s="523">
        <f t="shared" si="5"/>
        <v>5.399999999933236E-6</v>
      </c>
      <c r="O13" s="523">
        <f t="shared" si="5"/>
        <v>4.7999999998049603E-6</v>
      </c>
      <c r="P13" s="522">
        <f t="shared" si="5"/>
        <v>2.8000000000250047E-6</v>
      </c>
      <c r="R13" s="521" t="s">
        <v>601</v>
      </c>
      <c r="S13" s="1057">
        <f t="shared" ref="S13:AG13" si="6">AVERAGE(S8:S12)</f>
        <v>0.51175300000000001</v>
      </c>
      <c r="T13" s="1058">
        <f t="shared" si="6"/>
        <v>0.41314659999999997</v>
      </c>
      <c r="U13" s="1058">
        <f t="shared" si="6"/>
        <v>0.77159539999999993</v>
      </c>
      <c r="V13" s="1058">
        <f t="shared" si="6"/>
        <v>0.76675459999999995</v>
      </c>
      <c r="W13" s="1058">
        <f t="shared" si="6"/>
        <v>0.82634859999999988</v>
      </c>
      <c r="X13" s="1058">
        <f t="shared" si="6"/>
        <v>0.90478040000000015</v>
      </c>
      <c r="Y13" s="1058">
        <f t="shared" si="6"/>
        <v>1.0029726000000001</v>
      </c>
      <c r="Z13" s="1058">
        <f t="shared" si="6"/>
        <v>0.87377000000000005</v>
      </c>
      <c r="AA13" s="1058">
        <f t="shared" si="6"/>
        <v>0.99851200000000007</v>
      </c>
      <c r="AB13" s="1058">
        <f t="shared" si="6"/>
        <v>0.99998199999999993</v>
      </c>
      <c r="AC13" s="1058">
        <f t="shared" si="6"/>
        <v>0.90123399999999998</v>
      </c>
      <c r="AD13" s="1058">
        <f t="shared" si="6"/>
        <v>1.0000039999999999</v>
      </c>
      <c r="AE13" s="1058">
        <f t="shared" si="6"/>
        <v>1</v>
      </c>
      <c r="AF13" s="1058">
        <f t="shared" si="6"/>
        <v>1.0011775999999999</v>
      </c>
      <c r="AG13" s="1058">
        <f t="shared" si="6"/>
        <v>0.59052740000000004</v>
      </c>
      <c r="AH13" s="1058">
        <f>AVERAGE(AH8:AH12)</f>
        <v>0.59053059999999991</v>
      </c>
      <c r="AI13" s="1058">
        <f>AVERAGE(AI8:AI12)</f>
        <v>0.51944460000000003</v>
      </c>
      <c r="AJ13" s="1058">
        <f>AVERAGE(AJ8:AJ12)</f>
        <v>0.48390319999999998</v>
      </c>
      <c r="AK13" s="1058">
        <f>AVERAGE(AK8:AK12)</f>
        <v>0.44836179999999998</v>
      </c>
      <c r="AL13" s="1058">
        <f>AVERAGE(AL8:AL12)</f>
        <v>0.41282040000000003</v>
      </c>
      <c r="AO13" s="530" t="s">
        <v>603</v>
      </c>
      <c r="AP13" s="1052">
        <f t="shared" ref="AP13:BD13" si="7">ABS(0.5*MAX(AP14:AP18))</f>
        <v>1.3000000000040757E-4</v>
      </c>
      <c r="AQ13" s="869">
        <f t="shared" si="7"/>
        <v>0</v>
      </c>
      <c r="AR13" s="869">
        <f t="shared" si="7"/>
        <v>2.1999999999966491E-4</v>
      </c>
      <c r="AS13" s="869">
        <f t="shared" si="7"/>
        <v>1.9999999999953388E-4</v>
      </c>
      <c r="AT13" s="1053">
        <f t="shared" si="7"/>
        <v>2.3999999999979593E-4</v>
      </c>
      <c r="AU13" s="869">
        <f t="shared" si="7"/>
        <v>1.4000000000002899E-4</v>
      </c>
      <c r="AV13" s="869">
        <f t="shared" si="7"/>
        <v>8.8817841970012523E-16</v>
      </c>
      <c r="AW13" s="869" t="e">
        <f t="shared" si="7"/>
        <v>#DIV/0!</v>
      </c>
      <c r="AX13" s="869" t="e">
        <f t="shared" si="7"/>
        <v>#DIV/0!</v>
      </c>
      <c r="AY13" s="869" t="e">
        <f t="shared" si="7"/>
        <v>#DIV/0!</v>
      </c>
      <c r="AZ13" s="869" t="e">
        <f t="shared" si="7"/>
        <v>#DIV/0!</v>
      </c>
      <c r="BA13" s="869" t="e">
        <f t="shared" si="7"/>
        <v>#DIV/0!</v>
      </c>
      <c r="BB13" s="869" t="e">
        <f t="shared" si="7"/>
        <v>#DIV/0!</v>
      </c>
      <c r="BC13" s="869" t="e">
        <f t="shared" si="7"/>
        <v>#DIV/0!</v>
      </c>
      <c r="BD13" s="1052" t="e">
        <f t="shared" si="7"/>
        <v>#DIV/0!</v>
      </c>
    </row>
    <row r="14" spans="1:61" ht="15" x14ac:dyDescent="0.25">
      <c r="A14" s="108"/>
      <c r="B14" s="369">
        <f>ABS(B6-$B$11)</f>
        <v>3.9999999998929781E-6</v>
      </c>
      <c r="C14" s="369">
        <f>ABS(C6-$C$11)</f>
        <v>1.8000000000018002E-5</v>
      </c>
      <c r="D14" s="369">
        <f>ABS(D6-$D$11)</f>
        <v>3.1199999999953487E-5</v>
      </c>
      <c r="E14" s="369">
        <f>ABS(E6-$E$11)</f>
        <v>3.3999999999978492E-5</v>
      </c>
      <c r="F14" s="370">
        <f>ABS(F6-$F$11)</f>
        <v>2.6000000000081513E-5</v>
      </c>
      <c r="G14" s="369">
        <f>ABS(G6-$G$11)</f>
        <v>1.1600000000000499E-4</v>
      </c>
      <c r="H14" s="369">
        <f>ABS(H6-$H$11)</f>
        <v>2.56000000000145E-5</v>
      </c>
      <c r="I14" s="369">
        <f>ABS(I6-$I$11)</f>
        <v>5.9999999999504894E-6</v>
      </c>
      <c r="J14" s="369">
        <f>ABS(J6-$J$11)</f>
        <v>4.0000000000040004E-6</v>
      </c>
      <c r="K14" s="369">
        <f>ABS(K6-$K$11)</f>
        <v>1.4000000000402579E-6</v>
      </c>
      <c r="L14" s="369">
        <f>ABS(L6-$L$11)</f>
        <v>7.5999999999964984E-6</v>
      </c>
      <c r="M14" s="369">
        <f>ABS(M6-$M$11)</f>
        <v>3.5999999998814758E-6</v>
      </c>
      <c r="N14" s="369">
        <f>ABS(N6-$N$11)</f>
        <v>6.2000000000672628E-6</v>
      </c>
      <c r="O14" s="369">
        <f>ABS(O6-$O$11)</f>
        <v>5.4000000002663029E-6</v>
      </c>
      <c r="P14" s="371">
        <f>ABS(P6-$P$11)</f>
        <v>5.399999999933236E-6</v>
      </c>
      <c r="R14" s="521" t="s">
        <v>602</v>
      </c>
      <c r="S14" s="1059">
        <f t="shared" ref="S14:AG14" si="8">MAX(S8:S12)-MIN(S8:S12)</f>
        <v>8.0000000000080007E-6</v>
      </c>
      <c r="T14" s="1060">
        <f t="shared" si="8"/>
        <v>1.0000000000010001E-5</v>
      </c>
      <c r="U14" s="1060">
        <f t="shared" si="8"/>
        <v>7.9036999999999913E-2</v>
      </c>
      <c r="V14" s="1060">
        <f t="shared" si="8"/>
        <v>2.4000000000024002E-5</v>
      </c>
      <c r="W14" s="1060">
        <f t="shared" si="8"/>
        <v>2.8000000000028002E-5</v>
      </c>
      <c r="X14" s="1060">
        <f t="shared" si="8"/>
        <v>2.0000000000020002E-5</v>
      </c>
      <c r="Y14" s="1060">
        <f t="shared" si="8"/>
        <v>2.799999999991698E-5</v>
      </c>
      <c r="Z14" s="1060">
        <f t="shared" si="8"/>
        <v>2.0000000000020002E-5</v>
      </c>
      <c r="AA14" s="1060">
        <f t="shared" si="8"/>
        <v>9.9999999999544897E-6</v>
      </c>
      <c r="AB14" s="1060">
        <f t="shared" si="8"/>
        <v>1.0000000000065512E-5</v>
      </c>
      <c r="AC14" s="1060">
        <f t="shared" si="8"/>
        <v>1.0000000000065512E-5</v>
      </c>
      <c r="AD14" s="1060">
        <f t="shared" si="8"/>
        <v>1.0000000000065512E-5</v>
      </c>
      <c r="AE14" s="1060">
        <f t="shared" si="8"/>
        <v>0</v>
      </c>
      <c r="AF14" s="1060">
        <f t="shared" si="8"/>
        <v>1.0000000000065512E-5</v>
      </c>
      <c r="AG14" s="1060">
        <f t="shared" si="8"/>
        <v>1.0999999999983245E-5</v>
      </c>
      <c r="AH14" s="1060">
        <f>MAX(AH8:AH12)-MIN(AH8:AH12)</f>
        <v>4.0000000000040004E-6</v>
      </c>
      <c r="AI14" s="1060">
        <f>MAX(AI8:AI12)-MIN(AI8:AI12)</f>
        <v>3.7999999999982492E-5</v>
      </c>
      <c r="AJ14" s="1060">
        <f>MAX(AJ8:AJ12)-MIN(AJ8:AJ12)</f>
        <v>5.7000000000029249E-5</v>
      </c>
      <c r="AK14" s="1060">
        <f>MAX(AK8:AK12)-MIN(AK8:AK12)</f>
        <v>7.6000000000020496E-5</v>
      </c>
      <c r="AL14" s="1060">
        <f>MAX(AL8:AL12)-MIN(AL8:AL12)</f>
        <v>9.5000000000011742E-5</v>
      </c>
      <c r="AP14" s="375">
        <f>ABS(AP6-$AP$11)</f>
        <v>2.6000000000081513E-4</v>
      </c>
      <c r="AQ14" s="375">
        <f>ABS(AQ6-$AQ$11)</f>
        <v>0</v>
      </c>
      <c r="AR14" s="375">
        <f>ABS(AR6-$AR$11)</f>
        <v>1.3999999999914081E-4</v>
      </c>
      <c r="AS14" s="375">
        <f>ABS(AS6-$AS$11)</f>
        <v>1.0000000000065512E-4</v>
      </c>
      <c r="AT14" s="376">
        <f>ABS(AT6-$AT$11)</f>
        <v>2.1999999999877673E-4</v>
      </c>
      <c r="AU14" s="375">
        <f>ABS(AU6-$AU$11)</f>
        <v>2.8000000000005798E-4</v>
      </c>
      <c r="AV14" s="375">
        <f>ABS(AV6-$AV$11)</f>
        <v>1.7763568394002505E-15</v>
      </c>
      <c r="AW14" s="375" t="e">
        <f>ABS(AW6-$AW$11)</f>
        <v>#DIV/0!</v>
      </c>
      <c r="AX14" s="375" t="e">
        <f>ABS(AX6-$AX$11)</f>
        <v>#DIV/0!</v>
      </c>
      <c r="AY14" s="375" t="e">
        <f>ABS(AY6-$AY$11)</f>
        <v>#DIV/0!</v>
      </c>
      <c r="AZ14" s="375" t="e">
        <f>ABS(AZ6-$AZ$11)</f>
        <v>#DIV/0!</v>
      </c>
      <c r="BA14" s="375" t="e">
        <f>ABS(BA6-$BA$11)</f>
        <v>#DIV/0!</v>
      </c>
      <c r="BB14" s="375" t="e">
        <f>ABS(BB6-$BB$11)</f>
        <v>#DIV/0!</v>
      </c>
      <c r="BC14" s="375" t="e">
        <f>ABS(BC6-$BC$11)</f>
        <v>#DIV/0!</v>
      </c>
      <c r="BD14" s="377" t="e">
        <f>ABS(BD6-$BD$11)</f>
        <v>#DIV/0!</v>
      </c>
    </row>
    <row r="15" spans="1:61" ht="15.75" thickBot="1" x14ac:dyDescent="0.3">
      <c r="A15" s="108"/>
      <c r="B15" s="369">
        <f>ABS(B7-$B$11)</f>
        <v>3.9999999998929781E-6</v>
      </c>
      <c r="C15" s="369">
        <f>ABS(C7-$C$11)</f>
        <v>1.1999999999984245E-5</v>
      </c>
      <c r="D15" s="369">
        <f>ABS(D7-$D$11)</f>
        <v>5.199999999982996E-6</v>
      </c>
      <c r="E15" s="369">
        <f>ABS(E7-$E$11)</f>
        <v>8.6000000000002741E-5</v>
      </c>
      <c r="F15" s="370">
        <f>ABS(F7-$F$11)</f>
        <v>1.399999999995849E-5</v>
      </c>
      <c r="G15" s="369">
        <f>ABS(G7-$G$11)</f>
        <v>4.0000000000040004E-6</v>
      </c>
      <c r="H15" s="369">
        <f>ABS(H7-$H$11)</f>
        <v>2.56000000000145E-5</v>
      </c>
      <c r="I15" s="369">
        <f>ABS(I7-$I$11)</f>
        <v>4.0000000000040004E-6</v>
      </c>
      <c r="J15" s="369">
        <f>ABS(J7-$J$11)</f>
        <v>4.0000000000040004E-6</v>
      </c>
      <c r="K15" s="369">
        <f>ABS(K7-$K$11)</f>
        <v>1.4000000000402579E-6</v>
      </c>
      <c r="L15" s="369">
        <f>ABS(L7-$L$11)</f>
        <v>1.6000000000460091E-6</v>
      </c>
      <c r="M15" s="369">
        <f>ABS(M7-$M$11)</f>
        <v>1.0400000000077014E-5</v>
      </c>
      <c r="N15" s="369">
        <f>ABS(N7-$N$11)</f>
        <v>1.0799999999866472E-5</v>
      </c>
      <c r="O15" s="369">
        <f>ABS(O7-$O$11)</f>
        <v>4.0000000023354687E-7</v>
      </c>
      <c r="P15" s="371">
        <f>ABS(P7-$P$11)</f>
        <v>5.6000000000500094E-6</v>
      </c>
      <c r="R15" s="521" t="s">
        <v>603</v>
      </c>
      <c r="S15" s="1061">
        <f t="shared" ref="S15:AG15" si="9">ABS(0.5*MAX(S16:S20))</f>
        <v>2.500000000016378E-6</v>
      </c>
      <c r="T15" s="1062">
        <f t="shared" si="9"/>
        <v>3.7000000000231292E-6</v>
      </c>
      <c r="U15" s="1062">
        <f t="shared" si="9"/>
        <v>3.1612699999999938E-2</v>
      </c>
      <c r="V15" s="1062">
        <f t="shared" si="9"/>
        <v>7.2999999999878717E-6</v>
      </c>
      <c r="W15" s="1062">
        <f t="shared" si="9"/>
        <v>8.2999999999611163E-6</v>
      </c>
      <c r="X15" s="1062">
        <f t="shared" si="9"/>
        <v>5.2000000000940183E-6</v>
      </c>
      <c r="Y15" s="1062">
        <f t="shared" si="9"/>
        <v>7.6999999999438629E-6</v>
      </c>
      <c r="Z15" s="1062">
        <f t="shared" si="9"/>
        <v>5.000000000032756E-6</v>
      </c>
      <c r="AA15" s="1062">
        <f t="shared" si="9"/>
        <v>3.9999999999484892E-6</v>
      </c>
      <c r="AB15" s="1062">
        <f t="shared" si="9"/>
        <v>4.0000000000595115E-6</v>
      </c>
      <c r="AC15" s="1062">
        <f t="shared" si="9"/>
        <v>3.0000000000307558E-6</v>
      </c>
      <c r="AD15" s="1062">
        <f t="shared" si="9"/>
        <v>3.000000000086267E-6</v>
      </c>
      <c r="AE15" s="1062">
        <f t="shared" si="9"/>
        <v>0</v>
      </c>
      <c r="AF15" s="1062">
        <f t="shared" si="9"/>
        <v>3.7999999999982492E-6</v>
      </c>
      <c r="AG15" s="1062">
        <f t="shared" si="9"/>
        <v>3.2999999999838714E-6</v>
      </c>
      <c r="AH15" s="1062">
        <f>ABS(0.5*MAX(AH16:AH20))</f>
        <v>1.2000000000345068E-6</v>
      </c>
      <c r="AI15" s="1062">
        <f>ABS(0.5*MAX(AI16:AI20))</f>
        <v>1.0699999999974619E-5</v>
      </c>
      <c r="AJ15" s="1062">
        <f>ABS(0.5*MAX(AJ16:AJ20))</f>
        <v>1.5900000000013126E-5</v>
      </c>
      <c r="AK15" s="1062">
        <f>ABS(0.5*MAX(AK16:AK20))</f>
        <v>2.1100000000023877E-5</v>
      </c>
      <c r="AL15" s="1062">
        <f>ABS(0.5*MAX(AL16:AL20))</f>
        <v>2.6299999999979118E-5</v>
      </c>
      <c r="AP15" s="375">
        <f>ABS(AP7-$AP$11)</f>
        <v>2.3999999999979593E-4</v>
      </c>
      <c r="AQ15" s="375">
        <f>ABS(AQ7-$AQ$11)</f>
        <v>0</v>
      </c>
      <c r="AR15" s="375">
        <f>ABS(AR7-$AR$11)</f>
        <v>1.3999999999914081E-4</v>
      </c>
      <c r="AS15" s="375">
        <f>ABS(AS7-$AS$11)</f>
        <v>3.9999999999906777E-4</v>
      </c>
      <c r="AT15" s="376">
        <f>ABS(AT7-$AT$11)</f>
        <v>4.7999999999959186E-4</v>
      </c>
      <c r="AU15" s="375">
        <f>ABS(AU7-$AU$11)</f>
        <v>1.9999999999242846E-5</v>
      </c>
      <c r="AV15" s="375">
        <f>ABS(AV7-$AV$11)</f>
        <v>1.7763568394002505E-15</v>
      </c>
      <c r="AW15" s="375" t="e">
        <f>ABS(AW7-$AW$11)</f>
        <v>#DIV/0!</v>
      </c>
      <c r="AX15" s="375" t="e">
        <f>ABS(AX7-$AX$11)</f>
        <v>#DIV/0!</v>
      </c>
      <c r="AY15" s="375" t="e">
        <f>ABS(AY7-$AY$11)</f>
        <v>#DIV/0!</v>
      </c>
      <c r="AZ15" s="375" t="e">
        <f>ABS(AZ7-$AZ$11)</f>
        <v>#DIV/0!</v>
      </c>
      <c r="BA15" s="375" t="e">
        <f>ABS(BA7-$BA$11)</f>
        <v>#DIV/0!</v>
      </c>
      <c r="BB15" s="375" t="e">
        <f>ABS(BB7-$BB$11)</f>
        <v>#DIV/0!</v>
      </c>
      <c r="BC15" s="375" t="e">
        <f>ABS(BC7-$BC$11)</f>
        <v>#DIV/0!</v>
      </c>
      <c r="BD15" s="377" t="e">
        <f>ABS(BD7-$BD$11)</f>
        <v>#DIV/0!</v>
      </c>
    </row>
    <row r="16" spans="1:61" x14ac:dyDescent="0.2">
      <c r="A16" s="108"/>
      <c r="B16" s="369">
        <f>ABS(B8-$B$11)</f>
        <v>3.9999999998929781E-6</v>
      </c>
      <c r="C16" s="369">
        <f>ABS(C8-$C$11)</f>
        <v>8.0000000000080007E-6</v>
      </c>
      <c r="D16" s="369">
        <f>ABS(D8-$D$11)</f>
        <v>2.8799999999995496E-5</v>
      </c>
      <c r="E16" s="369">
        <f>ABS(E8-$E$11)</f>
        <v>2.3999999999996247E-5</v>
      </c>
      <c r="F16" s="370">
        <f>ABS(F8-$F$11)</f>
        <v>2.3999999999968491E-5</v>
      </c>
      <c r="G16" s="369">
        <f>ABS(G8-$G$11)</f>
        <v>4.3999999999988493E-5</v>
      </c>
      <c r="H16" s="369">
        <f>ABS(H8-$H$11)</f>
        <v>6.4399999999964486E-5</v>
      </c>
      <c r="I16" s="369">
        <f>ABS(I8-$I$11)</f>
        <v>4.0000000000040004E-6</v>
      </c>
      <c r="J16" s="369">
        <f>ABS(J8-$J$11)</f>
        <v>4.0000000000040004E-6</v>
      </c>
      <c r="K16" s="369">
        <f>ABS(K8-$K$11)</f>
        <v>9.5999999999429875E-6</v>
      </c>
      <c r="L16" s="369">
        <f>ABS(L8-$L$11)</f>
        <v>1.4000000000402579E-6</v>
      </c>
      <c r="M16" s="369">
        <f>ABS(M8-$M$11)</f>
        <v>1.0400000000077014E-5</v>
      </c>
      <c r="N16" s="369">
        <f>ABS(N8-$N$11)</f>
        <v>6.2000000000672628E-6</v>
      </c>
      <c r="O16" s="369">
        <f>ABS(O8-$O$11)</f>
        <v>3.4000000002087916E-6</v>
      </c>
      <c r="P16" s="371">
        <f>ABS(P8-$P$11)</f>
        <v>5.6000000000500094E-6</v>
      </c>
      <c r="R16" s="108"/>
      <c r="S16" s="390">
        <f>ABS(S8-$S$13)</f>
        <v>1.0000000000287557E-6</v>
      </c>
      <c r="T16" s="390">
        <f>ABS(T8-$T$13)</f>
        <v>1.5999999999904979E-6</v>
      </c>
      <c r="U16" s="390">
        <f>ABS(U8-$U$13)</f>
        <v>1.5811600000000037E-2</v>
      </c>
      <c r="V16" s="390">
        <f>ABS(V8-$V$13)</f>
        <v>6.5999999999677428E-6</v>
      </c>
      <c r="W16" s="390">
        <f>ABS(W8-$W$13)</f>
        <v>1.6599999999922233E-5</v>
      </c>
      <c r="X16" s="390">
        <f>ABS(X8-$X$13)</f>
        <v>1.0400000000188037E-5</v>
      </c>
      <c r="Y16" s="390">
        <f>ABS(Y8-$Y$13)</f>
        <v>1.5399999999887726E-5</v>
      </c>
      <c r="Z16" s="390">
        <f>ABS(Z8-$Z$13)</f>
        <v>0</v>
      </c>
      <c r="AA16" s="390">
        <f>ABS(AA8-$AA$13)</f>
        <v>2.0000000000575113E-6</v>
      </c>
      <c r="AB16" s="390">
        <f>ABS(AB8-$AB$13)</f>
        <v>1.999999999946489E-6</v>
      </c>
      <c r="AC16" s="390">
        <f>ABS(AC8-$AC$13)</f>
        <v>4.0000000000040004E-6</v>
      </c>
      <c r="AD16" s="390">
        <f>ABS(AD8-$AD$13)</f>
        <v>3.9999999998929781E-6</v>
      </c>
      <c r="AE16" s="390">
        <f>ABS(AE8-$AE$13)</f>
        <v>0</v>
      </c>
      <c r="AF16" s="390">
        <f>ABS(AF8-$AF$13)</f>
        <v>4.0000000001150227E-7</v>
      </c>
      <c r="AG16" s="390">
        <f>ABS(AG8-$AG$13)</f>
        <v>6.5999999999677428E-6</v>
      </c>
      <c r="AH16" s="390">
        <f>ABS(AH8-$AH$13)</f>
        <v>1.5999999999349868E-6</v>
      </c>
      <c r="AI16" s="390">
        <f>ABS(AI8-$AI$13)</f>
        <v>1.3399999999941237E-5</v>
      </c>
      <c r="AJ16" s="390">
        <f>ABS(AJ8-$AJ$13)</f>
        <v>1.6800000000039006E-5</v>
      </c>
      <c r="AK16" s="390">
        <f>ABS(AK8-$AK$13)</f>
        <v>2.0200000000025753E-5</v>
      </c>
      <c r="AL16" s="391">
        <f>ABS(AL8-$AL$13)</f>
        <v>2.3599999999956989E-5</v>
      </c>
      <c r="AP16" s="375">
        <f>ABS(AP8-$AP$11)</f>
        <v>2.3999999999979593E-4</v>
      </c>
      <c r="AQ16" s="375">
        <f>ABS(AQ8-$AQ$11)</f>
        <v>0</v>
      </c>
      <c r="AR16" s="375">
        <f>ABS(AR8-$AR$11)</f>
        <v>3.6000000000058208E-4</v>
      </c>
      <c r="AS16" s="375">
        <f>ABS(AS8-$AS$11)</f>
        <v>1.0000000000065512E-4</v>
      </c>
      <c r="AT16" s="376">
        <f>ABS(AT8-$AT$11)</f>
        <v>1.9999999999242846E-5</v>
      </c>
      <c r="AU16" s="375">
        <f>ABS(AU8-$AU$11)</f>
        <v>1.9999999999242846E-5</v>
      </c>
      <c r="AV16" s="375">
        <f>ABS(AV8-$AV$11)</f>
        <v>1.7763568394002505E-15</v>
      </c>
      <c r="AW16" s="375" t="e">
        <f>ABS(AW8-$AW$11)</f>
        <v>#DIV/0!</v>
      </c>
      <c r="AX16" s="375" t="e">
        <f>ABS(AX8-$AX$11)</f>
        <v>#DIV/0!</v>
      </c>
      <c r="AY16" s="375" t="e">
        <f>ABS(AY8-$AY$11)</f>
        <v>#DIV/0!</v>
      </c>
      <c r="AZ16" s="375" t="e">
        <f>ABS(AZ8-$AZ$11)</f>
        <v>#DIV/0!</v>
      </c>
      <c r="BA16" s="375" t="e">
        <f>ABS(BA8-$BA$11)</f>
        <v>#DIV/0!</v>
      </c>
      <c r="BB16" s="375" t="e">
        <f>ABS(BB8-$BB$11)</f>
        <v>#DIV/0!</v>
      </c>
      <c r="BC16" s="375" t="e">
        <f>ABS(BC8-$BC$11)</f>
        <v>#DIV/0!</v>
      </c>
      <c r="BD16" s="377" t="e">
        <f>ABS(BD8-$BD$11)</f>
        <v>#DIV/0!</v>
      </c>
    </row>
    <row r="17" spans="1:256" x14ac:dyDescent="0.2">
      <c r="A17" s="108"/>
      <c r="B17" s="369">
        <f>ABS(B9-$B$11)</f>
        <v>6.0000000000615117E-6</v>
      </c>
      <c r="C17" s="369">
        <f>ABS(C9-$C$11)</f>
        <v>1.1999999999984245E-5</v>
      </c>
      <c r="D17" s="369">
        <f>ABS(D9-$D$11)</f>
        <v>2.1199999999998997E-5</v>
      </c>
      <c r="E17" s="369">
        <f>ABS(E9-$E$11)</f>
        <v>1.3999999999986246E-5</v>
      </c>
      <c r="F17" s="370">
        <f>ABS(F9-$F$11)</f>
        <v>6.0000000000615117E-6</v>
      </c>
      <c r="G17" s="369">
        <f>ABS(G9-$G$11)</f>
        <v>2.3999999999996247E-5</v>
      </c>
      <c r="H17" s="369">
        <f>ABS(H9-$H$11)</f>
        <v>1.7600000000006499E-5</v>
      </c>
      <c r="I17" s="369">
        <f>ABS(I9-$I$11)</f>
        <v>5.9999999999504894E-6</v>
      </c>
      <c r="J17" s="369">
        <f>ABS(J9-$J$11)</f>
        <v>5.9999999999504894E-6</v>
      </c>
      <c r="K17" s="369">
        <f>ABS(K9-$K$11)</f>
        <v>1.5999999999349868E-6</v>
      </c>
      <c r="L17" s="369">
        <f>ABS(L9-$L$11)</f>
        <v>3.5999999999924981E-6</v>
      </c>
      <c r="M17" s="369">
        <f>ABS(M9-$M$11)</f>
        <v>9.5999999999429875E-6</v>
      </c>
      <c r="N17" s="369">
        <f>ABS(N9-$N$11)</f>
        <v>1.0799999999866472E-5</v>
      </c>
      <c r="O17" s="369">
        <f>ABS(O9-$O$11)</f>
        <v>4.0000000023354687E-7</v>
      </c>
      <c r="P17" s="371">
        <f>ABS(P9-$P$11)</f>
        <v>4.0000000001150227E-7</v>
      </c>
      <c r="R17" s="108"/>
      <c r="S17" s="390">
        <f>ABS(S9-$S$13)</f>
        <v>5.000000000032756E-6</v>
      </c>
      <c r="T17" s="390">
        <f>ABS(T9-$T$13)</f>
        <v>2.5999999999637424E-6</v>
      </c>
      <c r="U17" s="390">
        <f>ABS(U9-$U$13)</f>
        <v>1.5804600000000057E-2</v>
      </c>
      <c r="V17" s="390">
        <f>ABS(V9-$V$13)</f>
        <v>6.400000000073014E-6</v>
      </c>
      <c r="W17" s="390">
        <f>ABS(W9-$W$13)</f>
        <v>4.0000000012252457E-7</v>
      </c>
      <c r="X17" s="390">
        <f>ABS(X9-$X$13)</f>
        <v>1.5999999998239645E-6</v>
      </c>
      <c r="Y17" s="390">
        <f>ABS(Y9-$Y$13)</f>
        <v>1.2600000000029254E-5</v>
      </c>
      <c r="Z17" s="390">
        <f>ABS(Z9-$Z$13)</f>
        <v>0</v>
      </c>
      <c r="AA17" s="390">
        <f>ABS(AA9-AA$13)</f>
        <v>2.0000000000575113E-6</v>
      </c>
      <c r="AB17" s="390">
        <f t="shared" ref="AB17:AL17" si="10">ABS(AB9-AB$13)</f>
        <v>1.999999999946489E-6</v>
      </c>
      <c r="AC17" s="390">
        <f t="shared" si="10"/>
        <v>6.0000000000615117E-6</v>
      </c>
      <c r="AD17" s="390">
        <f t="shared" si="10"/>
        <v>6.000000000172534E-6</v>
      </c>
      <c r="AE17" s="390">
        <f t="shared" si="10"/>
        <v>0</v>
      </c>
      <c r="AF17" s="390">
        <f t="shared" si="10"/>
        <v>2.4000000000690136E-6</v>
      </c>
      <c r="AG17" s="390">
        <f t="shared" si="10"/>
        <v>6.000000000172534E-7</v>
      </c>
      <c r="AH17" s="390">
        <f t="shared" si="10"/>
        <v>1.4000000000402579E-6</v>
      </c>
      <c r="AI17" s="390">
        <f t="shared" si="10"/>
        <v>2.1399999999949237E-5</v>
      </c>
      <c r="AJ17" s="390">
        <f t="shared" si="10"/>
        <v>3.1800000000026252E-5</v>
      </c>
      <c r="AK17" s="390">
        <f t="shared" si="10"/>
        <v>4.2200000000047755E-5</v>
      </c>
      <c r="AL17" s="391">
        <f t="shared" si="10"/>
        <v>5.2599999999958236E-5</v>
      </c>
      <c r="AP17" s="375">
        <f>ABS(AP9-$AP$11)</f>
        <v>3.999999999937387E-5</v>
      </c>
      <c r="AQ17" s="375">
        <f>ABS(AQ9-$AQ$11)</f>
        <v>0</v>
      </c>
      <c r="AR17" s="375">
        <f>ABS(AR9-$AR$11)</f>
        <v>4.3999999999932982E-4</v>
      </c>
      <c r="AS17" s="375">
        <f>ABS(AS9-$AS$11)</f>
        <v>1.0000000000065512E-4</v>
      </c>
      <c r="AT17" s="376">
        <f>ABS(AT9-$AT$11)</f>
        <v>1.9999999999242846E-5</v>
      </c>
      <c r="AU17" s="375">
        <f>ABS(AU9-$AU$11)</f>
        <v>2.1999999999877673E-4</v>
      </c>
      <c r="AV17" s="375">
        <f>ABS(AV9-$AV$11)</f>
        <v>1.7763568394002505E-15</v>
      </c>
      <c r="AW17" s="375" t="e">
        <f>ABS(AW9-$AW$11)</f>
        <v>#DIV/0!</v>
      </c>
      <c r="AX17" s="375" t="e">
        <f>ABS(AX9-$AX$11)</f>
        <v>#DIV/0!</v>
      </c>
      <c r="AY17" s="375" t="e">
        <f>ABS(AY9-$AY$11)</f>
        <v>#DIV/0!</v>
      </c>
      <c r="AZ17" s="375" t="e">
        <f>ABS(AZ9-$AZ$11)</f>
        <v>#DIV/0!</v>
      </c>
      <c r="BA17" s="375" t="e">
        <f>ABS(BA9-$BA$11)</f>
        <v>#DIV/0!</v>
      </c>
      <c r="BB17" s="375" t="e">
        <f>ABS(BB9-$BB$11)</f>
        <v>#DIV/0!</v>
      </c>
      <c r="BC17" s="375" t="e">
        <f>ABS(BC9-$BC$11)</f>
        <v>#DIV/0!</v>
      </c>
      <c r="BD17" s="377" t="e">
        <f>ABS(BD9-$BD$11)</f>
        <v>#DIV/0!</v>
      </c>
    </row>
    <row r="18" spans="1:256" x14ac:dyDescent="0.2">
      <c r="A18" s="108"/>
      <c r="B18" s="372">
        <f>ABS(B10-$B$11)</f>
        <v>6.0000000000615117E-6</v>
      </c>
      <c r="C18" s="372">
        <f>ABS(C10-$C$11)</f>
        <v>1.9999999999742446E-6</v>
      </c>
      <c r="D18" s="372">
        <f>ABS(D10-$D$11)</f>
        <v>2.8799999999995496E-5</v>
      </c>
      <c r="E18" s="372">
        <f>ABS(E10-$E$11)</f>
        <v>1.3999999999986246E-5</v>
      </c>
      <c r="F18" s="373">
        <f>ABS(F10-$F$11)</f>
        <v>6.0000000000615117E-6</v>
      </c>
      <c r="G18" s="372">
        <f>ABS(G10-$G$11)</f>
        <v>4.3999999999988493E-5</v>
      </c>
      <c r="H18" s="372">
        <f>ABS(H10-$H$11)</f>
        <v>4.4000000000155026E-6</v>
      </c>
      <c r="I18" s="372">
        <f>ABS(I10-$I$11)</f>
        <v>4.0000000000040004E-6</v>
      </c>
      <c r="J18" s="372">
        <f>ABS(J10-$J$11)</f>
        <v>5.9999999999504894E-6</v>
      </c>
      <c r="K18" s="372">
        <f>ABS(K10-$K$11)</f>
        <v>8.400000000019503E-6</v>
      </c>
      <c r="L18" s="372">
        <f>ABS(L10-$L$11)</f>
        <v>1.1399999999994748E-5</v>
      </c>
      <c r="M18" s="372">
        <f>ABS(M10-$M$11)</f>
        <v>7.5999999998854761E-6</v>
      </c>
      <c r="N18" s="372">
        <f>ABS(N10-$N$11)</f>
        <v>9.2000000000425075E-6</v>
      </c>
      <c r="O18" s="372">
        <f>ABS(O10-$O$11)</f>
        <v>9.5999999996099206E-6</v>
      </c>
      <c r="P18" s="374">
        <f>ABS(P10-$P$11)</f>
        <v>5.399999999933236E-6</v>
      </c>
      <c r="R18" s="108"/>
      <c r="S18" s="390">
        <f>ABS(S10-$S$13)</f>
        <v>1.999999999946489E-6</v>
      </c>
      <c r="T18" s="390">
        <f>ABS(T10-$T$13)</f>
        <v>5.9999999996174225E-7</v>
      </c>
      <c r="U18" s="390">
        <f>ABS(U10-$U$13)</f>
        <v>1.5804600000000057E-2</v>
      </c>
      <c r="V18" s="390">
        <f>ABS(V10-$V$13)</f>
        <v>5.4000000000442583E-6</v>
      </c>
      <c r="W18" s="390">
        <f>ABS(W10-$W$13)</f>
        <v>1.140000000010577E-5</v>
      </c>
      <c r="X18" s="390">
        <f>ABS(X10-$X$13)</f>
        <v>4.0000000012252457E-7</v>
      </c>
      <c r="Y18" s="390">
        <f>ABS(Y10-$Y$13)</f>
        <v>2.399999999846969E-6</v>
      </c>
      <c r="Z18" s="390">
        <f>ABS(Z10-$Z$13)</f>
        <v>1.0000000000065512E-5</v>
      </c>
      <c r="AA18" s="390">
        <f t="shared" ref="AA18:AL20" si="11">ABS(AA10-AA$13)</f>
        <v>2.0000000000575113E-6</v>
      </c>
      <c r="AB18" s="390">
        <f t="shared" si="11"/>
        <v>1.999999999946489E-6</v>
      </c>
      <c r="AC18" s="390">
        <f t="shared" si="11"/>
        <v>4.0000000000040004E-6</v>
      </c>
      <c r="AD18" s="390">
        <f t="shared" si="11"/>
        <v>3.9999999998929781E-6</v>
      </c>
      <c r="AE18" s="390">
        <f t="shared" si="11"/>
        <v>0</v>
      </c>
      <c r="AF18" s="390">
        <f t="shared" si="11"/>
        <v>7.5999999999964984E-6</v>
      </c>
      <c r="AG18" s="390">
        <f t="shared" si="11"/>
        <v>3.399999999986747E-6</v>
      </c>
      <c r="AH18" s="390">
        <f t="shared" si="11"/>
        <v>5.999999999062311E-7</v>
      </c>
      <c r="AI18" s="390">
        <f t="shared" si="11"/>
        <v>6.6000000000787651E-6</v>
      </c>
      <c r="AJ18" s="390">
        <f t="shared" si="11"/>
        <v>8.1999999999582407E-6</v>
      </c>
      <c r="AK18" s="390">
        <f t="shared" si="11"/>
        <v>9.8000000000042498E-6</v>
      </c>
      <c r="AL18" s="391">
        <f t="shared" si="11"/>
        <v>1.1400000000050259E-5</v>
      </c>
      <c r="AP18" s="375">
        <f>ABS(AP10-$AP$11)</f>
        <v>2.6000000000081513E-4</v>
      </c>
      <c r="AQ18" s="375">
        <f>ABS(AQ10-$AQ$11)</f>
        <v>0</v>
      </c>
      <c r="AR18" s="375">
        <f>ABS(AR10-$AR$11)</f>
        <v>3.6000000000058208E-4</v>
      </c>
      <c r="AS18" s="375">
        <f>ABS(AS10-$AS$11)</f>
        <v>1.0000000000065512E-4</v>
      </c>
      <c r="AT18" s="376">
        <f>ABS(AT10-$AT$11)</f>
        <v>2.1999999999877673E-4</v>
      </c>
      <c r="AU18" s="375">
        <f>ABS(AU10-$AU$11)</f>
        <v>1.9999999999242846E-5</v>
      </c>
      <c r="AV18" s="375">
        <f>ABS(AV10-$AV$11)</f>
        <v>1.7763568394002505E-15</v>
      </c>
      <c r="AW18" s="375" t="e">
        <f>ABS(AW10-$AW$11)</f>
        <v>#DIV/0!</v>
      </c>
      <c r="AX18" s="375" t="e">
        <f>ABS(AX10-$AX$11)</f>
        <v>#DIV/0!</v>
      </c>
      <c r="AY18" s="375" t="e">
        <f>ABS(AY10-$AY$11)</f>
        <v>#DIV/0!</v>
      </c>
      <c r="AZ18" s="375" t="e">
        <f>ABS(AZ10-$AZ$11)</f>
        <v>#DIV/0!</v>
      </c>
      <c r="BA18" s="375" t="e">
        <f>ABS(BA10-$BA$11)</f>
        <v>#DIV/0!</v>
      </c>
      <c r="BB18" s="375" t="e">
        <f>ABS(BB10-$BB$11)</f>
        <v>#DIV/0!</v>
      </c>
      <c r="BC18" s="375" t="e">
        <f>ABS(BC10-$BC$11)</f>
        <v>#DIV/0!</v>
      </c>
      <c r="BD18" s="377" t="e">
        <f>ABS(BD10-$BD$11)</f>
        <v>#DIV/0!</v>
      </c>
    </row>
    <row r="19" spans="1:256" s="47" customFormat="1" ht="13.5" thickBot="1" x14ac:dyDescent="0.25">
      <c r="A19" s="387"/>
      <c r="B19" s="388"/>
      <c r="C19" s="388"/>
      <c r="D19" s="388"/>
      <c r="E19" s="388"/>
      <c r="F19" s="388"/>
      <c r="G19" s="388"/>
      <c r="H19" s="388"/>
      <c r="I19" s="388"/>
      <c r="J19" s="388"/>
      <c r="K19" s="388"/>
      <c r="L19" s="388"/>
      <c r="M19" s="388"/>
      <c r="N19" s="388"/>
      <c r="O19" s="388"/>
      <c r="P19" s="389"/>
      <c r="R19" s="108"/>
      <c r="S19" s="390">
        <f>ABS(S11-$S$13)</f>
        <v>2.9999999999752447E-6</v>
      </c>
      <c r="T19" s="390">
        <f>ABS(T11-$T$13)</f>
        <v>2.5999999999637424E-6</v>
      </c>
      <c r="U19" s="390">
        <f>ABS(U11-$U$13)</f>
        <v>1.5804600000000057E-2</v>
      </c>
      <c r="V19" s="390">
        <f>ABS(V11-$V$13)</f>
        <v>1.4599999999975743E-5</v>
      </c>
      <c r="W19" s="390">
        <f>ABS(W11-$W$13)</f>
        <v>6.5999999998567205E-6</v>
      </c>
      <c r="X19" s="390">
        <f>ABS(X11-$X$13)</f>
        <v>4.0000000012252457E-7</v>
      </c>
      <c r="Y19" s="390">
        <f>ABS(Y11-$Y$13)</f>
        <v>2.600000000185787E-6</v>
      </c>
      <c r="Z19" s="390">
        <f>ABS(Z11-$Z$13)</f>
        <v>9.9999999999544897E-6</v>
      </c>
      <c r="AA19" s="390">
        <f t="shared" si="11"/>
        <v>2.0000000000575113E-6</v>
      </c>
      <c r="AB19" s="390">
        <f t="shared" si="11"/>
        <v>8.000000000119023E-6</v>
      </c>
      <c r="AC19" s="390">
        <f t="shared" si="11"/>
        <v>6.0000000000615117E-6</v>
      </c>
      <c r="AD19" s="390">
        <f t="shared" si="11"/>
        <v>3.9999999998929781E-6</v>
      </c>
      <c r="AE19" s="390">
        <f t="shared" si="11"/>
        <v>0</v>
      </c>
      <c r="AF19" s="390">
        <f t="shared" si="11"/>
        <v>2.4000000000690136E-6</v>
      </c>
      <c r="AG19" s="390">
        <f t="shared" si="11"/>
        <v>4.4000000000155026E-6</v>
      </c>
      <c r="AH19" s="390">
        <f t="shared" si="11"/>
        <v>2.4000000000690136E-6</v>
      </c>
      <c r="AI19" s="390">
        <f t="shared" si="11"/>
        <v>1.1600000000000499E-5</v>
      </c>
      <c r="AJ19" s="390">
        <f t="shared" si="11"/>
        <v>1.5199999999992997E-5</v>
      </c>
      <c r="AK19" s="390">
        <f t="shared" si="11"/>
        <v>1.8799999999985495E-5</v>
      </c>
      <c r="AL19" s="391">
        <f t="shared" si="11"/>
        <v>2.2400000000033504E-5</v>
      </c>
      <c r="AP19" s="212"/>
      <c r="AQ19" s="212"/>
      <c r="AR19" s="212"/>
      <c r="AS19" s="212"/>
      <c r="AT19" s="212"/>
      <c r="AU19" s="212"/>
      <c r="AV19" s="212"/>
      <c r="AW19" s="212"/>
      <c r="AX19" s="212"/>
      <c r="AY19" s="212"/>
      <c r="AZ19" s="212"/>
      <c r="BA19" s="212"/>
      <c r="BB19" s="212"/>
      <c r="BC19" s="212"/>
      <c r="BD19" s="212"/>
    </row>
    <row r="20" spans="1:256" ht="12.75" customHeight="1" x14ac:dyDescent="0.2">
      <c r="R20" s="108"/>
      <c r="S20" s="390">
        <f>ABS(S12-$S$13)</f>
        <v>1.0000000000287557E-6</v>
      </c>
      <c r="T20" s="390">
        <f>ABS(T12-$T$13)</f>
        <v>7.4000000000462585E-6</v>
      </c>
      <c r="U20" s="390">
        <f>ABS(U12-$U$13)</f>
        <v>6.3225399999999876E-2</v>
      </c>
      <c r="V20" s="390">
        <f>ABS(V12-$V$13)</f>
        <v>9.4000000000482586E-6</v>
      </c>
      <c r="W20" s="390">
        <f>ABS(W12-$W$13)</f>
        <v>1.140000000010577E-5</v>
      </c>
      <c r="X20" s="390">
        <f>ABS(X12-$X$13)</f>
        <v>9.5999999998319652E-6</v>
      </c>
      <c r="Y20" s="390">
        <f>ABS(Y12-$Y$13)</f>
        <v>2.600000000185787E-6</v>
      </c>
      <c r="Z20" s="390">
        <f>ABS(Z12-$Z$13)</f>
        <v>0</v>
      </c>
      <c r="AA20" s="390">
        <f t="shared" si="11"/>
        <v>7.9999999998969784E-6</v>
      </c>
      <c r="AB20" s="390">
        <f t="shared" si="11"/>
        <v>1.999999999946489E-6</v>
      </c>
      <c r="AC20" s="390">
        <f t="shared" si="11"/>
        <v>4.0000000000040004E-6</v>
      </c>
      <c r="AD20" s="390">
        <f t="shared" si="11"/>
        <v>6.000000000172534E-6</v>
      </c>
      <c r="AE20" s="390">
        <f t="shared" si="11"/>
        <v>0</v>
      </c>
      <c r="AF20" s="390">
        <f t="shared" si="11"/>
        <v>2.4000000000690136E-6</v>
      </c>
      <c r="AG20" s="390">
        <f t="shared" si="11"/>
        <v>6.000000000172534E-7</v>
      </c>
      <c r="AH20" s="390">
        <f t="shared" si="11"/>
        <v>1.5999999999349868E-6</v>
      </c>
      <c r="AI20" s="390">
        <f t="shared" si="11"/>
        <v>1.6600000000033255E-5</v>
      </c>
      <c r="AJ20" s="390">
        <f t="shared" si="11"/>
        <v>2.5200000000002998E-5</v>
      </c>
      <c r="AK20" s="390">
        <f t="shared" si="11"/>
        <v>3.3799999999972741E-5</v>
      </c>
      <c r="AL20" s="391">
        <f t="shared" si="11"/>
        <v>4.2400000000053506E-5</v>
      </c>
      <c r="AX20" s="288"/>
      <c r="AY20" s="288"/>
      <c r="AZ20" s="288"/>
      <c r="BA20" s="288"/>
      <c r="BB20" s="288"/>
      <c r="BC20" s="288"/>
      <c r="BD20" s="288"/>
    </row>
    <row r="21" spans="1:256" ht="12.75" customHeight="1" thickBot="1" x14ac:dyDescent="0.25">
      <c r="R21" s="108"/>
      <c r="S21" s="287"/>
      <c r="T21" s="287"/>
      <c r="U21" s="287"/>
      <c r="V21" s="287"/>
      <c r="W21" s="287"/>
      <c r="X21" s="287"/>
      <c r="Y21" s="287"/>
      <c r="Z21" s="287"/>
      <c r="AA21" s="287"/>
      <c r="AB21" s="287"/>
      <c r="AC21" s="287"/>
      <c r="AD21" s="287"/>
      <c r="AE21" s="287"/>
      <c r="AF21" s="287"/>
      <c r="AG21" s="287"/>
      <c r="AH21" s="287"/>
      <c r="AI21" s="287"/>
      <c r="AJ21" s="287"/>
      <c r="AK21" s="287"/>
      <c r="AL21" s="392"/>
      <c r="AX21" s="288"/>
      <c r="AY21" s="288"/>
      <c r="AZ21" s="288"/>
      <c r="BA21" s="288"/>
      <c r="BB21" s="288"/>
      <c r="BC21" s="288"/>
      <c r="BD21" s="288"/>
      <c r="BE21" s="288"/>
      <c r="BF21" s="288"/>
      <c r="BG21" s="288"/>
      <c r="BH21" s="288"/>
      <c r="BI21" s="288"/>
      <c r="BJ21" s="288"/>
      <c r="BK21" s="288"/>
      <c r="BL21" s="288"/>
      <c r="BM21" s="1228"/>
      <c r="BN21" s="1228"/>
      <c r="BO21" s="1228"/>
      <c r="BP21" s="1228"/>
      <c r="BQ21" s="1228"/>
      <c r="BR21" s="1228"/>
      <c r="BS21" s="1228"/>
      <c r="BT21" s="1228"/>
      <c r="BU21" s="1228"/>
      <c r="BV21" s="1228"/>
      <c r="BW21" s="1228"/>
      <c r="BX21" s="1228"/>
      <c r="BY21" s="1228"/>
      <c r="BZ21" s="1228"/>
      <c r="CA21" s="1228"/>
      <c r="CB21" s="1228"/>
      <c r="CC21" s="1228"/>
      <c r="CD21" s="1228"/>
      <c r="CE21" s="1228"/>
      <c r="CF21" s="1228"/>
      <c r="CG21" s="1228"/>
      <c r="CH21" s="1228"/>
      <c r="CI21" s="1228"/>
      <c r="CJ21" s="1228"/>
      <c r="CK21" s="1228"/>
      <c r="CL21" s="1228"/>
      <c r="CM21" s="1228"/>
      <c r="CN21" s="1228"/>
      <c r="CO21" s="1228"/>
      <c r="CP21" s="1228"/>
      <c r="CQ21" s="1228"/>
      <c r="CR21" s="1228"/>
      <c r="CS21" s="1228"/>
      <c r="CT21" s="1228"/>
      <c r="CU21" s="1228"/>
      <c r="CV21" s="1228"/>
      <c r="CW21" s="1228"/>
      <c r="CX21" s="1228"/>
      <c r="CY21" s="1228"/>
      <c r="CZ21" s="1228"/>
      <c r="DA21" s="1228"/>
      <c r="DB21" s="1228"/>
      <c r="DC21" s="1228"/>
      <c r="DD21" s="1228"/>
      <c r="DE21" s="1228"/>
      <c r="DF21" s="1228"/>
      <c r="DG21" s="1228"/>
      <c r="DH21" s="1228"/>
      <c r="DI21" s="1228"/>
      <c r="DJ21" s="1228"/>
      <c r="DK21" s="1228"/>
      <c r="DL21" s="1228"/>
      <c r="DM21" s="1228"/>
      <c r="DN21" s="1228"/>
      <c r="DO21" s="1228"/>
      <c r="DP21" s="1228"/>
      <c r="DQ21" s="1228"/>
      <c r="DR21" s="1228"/>
      <c r="DS21" s="1228"/>
      <c r="DT21" s="1228"/>
      <c r="DU21" s="1228"/>
      <c r="DV21" s="1228"/>
      <c r="DW21" s="1228"/>
      <c r="DX21" s="1228"/>
      <c r="DY21" s="1228"/>
      <c r="DZ21" s="1228"/>
      <c r="EA21" s="1228"/>
      <c r="EB21" s="1228"/>
      <c r="EC21" s="1228"/>
      <c r="ED21" s="1228"/>
      <c r="EE21" s="1228"/>
      <c r="EF21" s="1228"/>
      <c r="EG21" s="1228"/>
      <c r="EH21" s="1228"/>
      <c r="EI21" s="1228"/>
      <c r="EJ21" s="1228"/>
      <c r="EK21" s="1228"/>
      <c r="EL21" s="1228"/>
      <c r="EM21" s="1228"/>
      <c r="EN21" s="1228"/>
      <c r="EO21" s="1228"/>
      <c r="EP21" s="1228"/>
      <c r="EQ21" s="1228"/>
      <c r="ER21" s="1228"/>
      <c r="ES21" s="1228"/>
      <c r="ET21" s="1228"/>
      <c r="EU21" s="1228"/>
      <c r="EV21" s="1228"/>
      <c r="EW21" s="1228"/>
      <c r="EX21" s="1228"/>
      <c r="EY21" s="1228"/>
      <c r="EZ21" s="1228"/>
      <c r="FA21" s="1228"/>
      <c r="FB21" s="1228"/>
      <c r="FC21" s="1228"/>
      <c r="FD21" s="1228"/>
      <c r="FE21" s="1228"/>
      <c r="FF21" s="1228"/>
      <c r="FG21" s="1228"/>
      <c r="FH21" s="1228"/>
      <c r="FI21" s="1228"/>
      <c r="FJ21" s="1228"/>
      <c r="FK21" s="1228"/>
      <c r="FL21" s="1228"/>
      <c r="FM21" s="1228"/>
      <c r="FN21" s="1228"/>
      <c r="FO21" s="1228"/>
      <c r="FP21" s="1228"/>
      <c r="FQ21" s="1228"/>
      <c r="FR21" s="1228"/>
      <c r="FS21" s="1228"/>
      <c r="FT21" s="1228"/>
      <c r="FU21" s="1228"/>
      <c r="FV21" s="1228"/>
      <c r="FW21" s="1228"/>
      <c r="FX21" s="1228"/>
      <c r="FY21" s="1228"/>
      <c r="FZ21" s="1228"/>
      <c r="GA21" s="1228"/>
      <c r="GB21" s="1228"/>
      <c r="GC21" s="1228"/>
      <c r="GD21" s="1228"/>
      <c r="GE21" s="1228"/>
      <c r="GF21" s="1228"/>
      <c r="GG21" s="1228"/>
      <c r="GH21" s="1228"/>
      <c r="GI21" s="1228"/>
      <c r="GJ21" s="1228"/>
      <c r="GK21" s="1228"/>
      <c r="GL21" s="1228"/>
      <c r="GM21" s="1228"/>
      <c r="GN21" s="1228"/>
      <c r="GO21" s="1228"/>
      <c r="GP21" s="1228"/>
      <c r="GQ21" s="1228"/>
      <c r="GR21" s="1228"/>
      <c r="GS21" s="1228"/>
      <c r="GT21" s="1228"/>
      <c r="GU21" s="1228"/>
      <c r="GV21" s="1228"/>
      <c r="GW21" s="1228"/>
      <c r="GX21" s="1228"/>
      <c r="GY21" s="1228"/>
      <c r="GZ21" s="1228"/>
      <c r="HA21" s="1228"/>
      <c r="HB21" s="1228"/>
      <c r="HC21" s="1228"/>
      <c r="HD21" s="1228"/>
      <c r="HE21" s="1228"/>
      <c r="HF21" s="1228"/>
      <c r="HG21" s="1228"/>
      <c r="HH21" s="1228"/>
      <c r="HI21" s="1228"/>
      <c r="HJ21" s="1228"/>
      <c r="HK21" s="1228"/>
      <c r="HL21" s="1228"/>
      <c r="HM21" s="1228"/>
      <c r="HN21" s="1228"/>
      <c r="HO21" s="1228"/>
      <c r="HP21" s="1228"/>
      <c r="HQ21" s="1228"/>
      <c r="HR21" s="1228"/>
      <c r="HS21" s="1228"/>
      <c r="HT21" s="1228"/>
      <c r="HU21" s="1228"/>
      <c r="HV21" s="1228"/>
      <c r="HW21" s="1228"/>
      <c r="HX21" s="1228"/>
      <c r="HY21" s="1228"/>
      <c r="HZ21" s="1228"/>
      <c r="IA21" s="1228"/>
      <c r="IB21" s="1228"/>
      <c r="IC21" s="1228"/>
      <c r="ID21" s="1228"/>
      <c r="IE21" s="1228"/>
      <c r="IF21" s="1228"/>
      <c r="IG21" s="1228"/>
      <c r="IH21" s="1228"/>
      <c r="II21" s="1228"/>
      <c r="IJ21" s="1228"/>
      <c r="IK21" s="1228"/>
      <c r="IL21" s="1228"/>
      <c r="IM21" s="1228"/>
      <c r="IN21" s="1228"/>
      <c r="IO21" s="1228"/>
      <c r="IP21" s="1228"/>
      <c r="IQ21" s="1228"/>
      <c r="IR21" s="1228"/>
      <c r="IS21" s="1228"/>
      <c r="IT21" s="1228"/>
      <c r="IU21" s="1228"/>
      <c r="IV21" s="1228"/>
    </row>
    <row r="22" spans="1:256" ht="20.25" customHeight="1" x14ac:dyDescent="0.25">
      <c r="R22" s="108"/>
      <c r="S22" s="197" t="s">
        <v>581</v>
      </c>
      <c r="T22" s="197" t="s">
        <v>582</v>
      </c>
      <c r="U22" s="197" t="s">
        <v>583</v>
      </c>
      <c r="V22" s="197" t="s">
        <v>584</v>
      </c>
      <c r="W22" s="197" t="s">
        <v>585</v>
      </c>
      <c r="X22" s="197" t="s">
        <v>586</v>
      </c>
      <c r="Y22" s="197" t="s">
        <v>587</v>
      </c>
      <c r="Z22" s="197" t="s">
        <v>588</v>
      </c>
      <c r="AA22" s="197" t="s">
        <v>589</v>
      </c>
      <c r="AB22" s="197" t="s">
        <v>590</v>
      </c>
      <c r="AC22" s="378" t="s">
        <v>591</v>
      </c>
      <c r="AD22" s="197" t="s">
        <v>592</v>
      </c>
      <c r="AE22" s="197" t="s">
        <v>593</v>
      </c>
      <c r="AF22" s="197" t="s">
        <v>594</v>
      </c>
      <c r="AG22" s="197" t="s">
        <v>595</v>
      </c>
      <c r="AH22" s="197" t="s">
        <v>596</v>
      </c>
      <c r="AI22" s="197" t="s">
        <v>597</v>
      </c>
      <c r="AJ22" s="197" t="s">
        <v>598</v>
      </c>
      <c r="AK22" s="197" t="s">
        <v>599</v>
      </c>
      <c r="AL22" s="199" t="s">
        <v>600</v>
      </c>
      <c r="AX22" s="288"/>
      <c r="AY22" s="288"/>
      <c r="AZ22" s="288"/>
      <c r="BA22" s="288"/>
      <c r="BB22" s="288"/>
      <c r="BE22" s="288"/>
      <c r="BF22" s="288"/>
      <c r="BG22" s="288"/>
      <c r="BH22" s="288"/>
      <c r="BI22" s="288"/>
      <c r="BJ22" s="288"/>
      <c r="BK22" s="288"/>
      <c r="BL22" s="288"/>
      <c r="BM22" s="1228"/>
      <c r="BN22" s="1228"/>
      <c r="BO22" s="1228"/>
      <c r="BP22" s="1228"/>
      <c r="BQ22" s="1228"/>
      <c r="BR22" s="1228"/>
      <c r="BS22" s="1228"/>
      <c r="BT22" s="1228"/>
      <c r="BU22" s="1228"/>
      <c r="BV22" s="1228"/>
      <c r="BW22" s="1228"/>
      <c r="BX22" s="1228"/>
      <c r="BY22" s="1228"/>
      <c r="BZ22" s="1228"/>
      <c r="CA22" s="1228"/>
      <c r="CB22" s="1228"/>
      <c r="CC22" s="1228"/>
      <c r="CD22" s="1228"/>
      <c r="CE22" s="1228"/>
      <c r="CF22" s="1228"/>
      <c r="CG22" s="1228"/>
      <c r="CH22" s="1228"/>
      <c r="CI22" s="1228"/>
      <c r="CJ22" s="1228"/>
      <c r="CK22" s="1228"/>
      <c r="CL22" s="1228"/>
      <c r="CM22" s="1228"/>
      <c r="CN22" s="1228"/>
      <c r="CO22" s="1228"/>
      <c r="CP22" s="1228"/>
      <c r="CQ22" s="1228"/>
      <c r="CR22" s="1228"/>
      <c r="CS22" s="1228"/>
      <c r="CT22" s="1228"/>
      <c r="CU22" s="1228"/>
      <c r="CV22" s="1228"/>
      <c r="CW22" s="1228"/>
      <c r="CX22" s="1228"/>
      <c r="CY22" s="1228"/>
      <c r="CZ22" s="1228"/>
      <c r="DA22" s="1228"/>
      <c r="DB22" s="1228"/>
      <c r="DC22" s="1228"/>
      <c r="DD22" s="1228"/>
      <c r="DE22" s="1228"/>
      <c r="DF22" s="1228"/>
      <c r="DG22" s="1228"/>
      <c r="DH22" s="1228"/>
      <c r="DI22" s="1228"/>
      <c r="DJ22" s="1228"/>
      <c r="DK22" s="1228"/>
      <c r="DL22" s="1228"/>
      <c r="DM22" s="1228"/>
      <c r="DN22" s="1228"/>
      <c r="DO22" s="1228"/>
      <c r="DP22" s="1228"/>
      <c r="DQ22" s="1228"/>
      <c r="DR22" s="1228"/>
      <c r="DS22" s="1228"/>
      <c r="DT22" s="1228"/>
      <c r="DU22" s="1228"/>
      <c r="DV22" s="1228"/>
      <c r="DW22" s="1228"/>
      <c r="DX22" s="1228"/>
      <c r="DY22" s="1228"/>
      <c r="DZ22" s="1228"/>
      <c r="EA22" s="1228"/>
      <c r="EB22" s="1228"/>
      <c r="EC22" s="1228"/>
      <c r="ED22" s="1228"/>
      <c r="EE22" s="1228"/>
      <c r="EF22" s="1228"/>
      <c r="EG22" s="1228"/>
      <c r="EH22" s="1228"/>
      <c r="EI22" s="1228"/>
      <c r="EJ22" s="1228"/>
      <c r="EK22" s="1228"/>
      <c r="EL22" s="1228"/>
      <c r="EM22" s="1228"/>
      <c r="EN22" s="1228"/>
      <c r="EO22" s="1228"/>
      <c r="EP22" s="1228"/>
      <c r="EQ22" s="1228"/>
      <c r="ER22" s="1228"/>
      <c r="ES22" s="1228"/>
      <c r="ET22" s="1228"/>
      <c r="EU22" s="1228"/>
      <c r="EV22" s="1228"/>
      <c r="EW22" s="1228"/>
      <c r="EX22" s="1228"/>
      <c r="EY22" s="1228"/>
      <c r="EZ22" s="1228"/>
      <c r="FA22" s="1228"/>
      <c r="FB22" s="1228"/>
      <c r="FC22" s="1228"/>
      <c r="FD22" s="1228"/>
      <c r="FE22" s="1228"/>
      <c r="FF22" s="1228"/>
      <c r="FG22" s="1228"/>
      <c r="FH22" s="1228"/>
      <c r="FI22" s="1228"/>
      <c r="FJ22" s="1228"/>
      <c r="FK22" s="1228"/>
      <c r="FL22" s="1228"/>
      <c r="FM22" s="1228"/>
      <c r="FN22" s="1228"/>
      <c r="FO22" s="1228"/>
      <c r="FP22" s="1228"/>
      <c r="FQ22" s="1228"/>
      <c r="FR22" s="1228"/>
      <c r="FS22" s="1228"/>
      <c r="FT22" s="1228"/>
      <c r="FU22" s="1228"/>
      <c r="FV22" s="1228"/>
      <c r="FW22" s="1228"/>
      <c r="FX22" s="1228"/>
      <c r="FY22" s="1228"/>
      <c r="FZ22" s="1228"/>
      <c r="GA22" s="1228"/>
      <c r="GB22" s="1228"/>
      <c r="GC22" s="1228"/>
      <c r="GD22" s="1228"/>
      <c r="GE22" s="1228"/>
      <c r="GF22" s="1228"/>
      <c r="GG22" s="1228"/>
      <c r="GH22" s="1228"/>
      <c r="GI22" s="1228"/>
      <c r="GJ22" s="1228"/>
      <c r="GK22" s="1228"/>
      <c r="GL22" s="1228"/>
      <c r="GM22" s="1228"/>
      <c r="GN22" s="1228"/>
      <c r="GO22" s="1228"/>
      <c r="GP22" s="1228"/>
      <c r="GQ22" s="1228"/>
      <c r="GR22" s="1228"/>
      <c r="GS22" s="1228"/>
      <c r="GT22" s="1228"/>
      <c r="GU22" s="1228"/>
      <c r="GV22" s="1228"/>
      <c r="GW22" s="1228"/>
      <c r="GX22" s="1228"/>
      <c r="GY22" s="1228"/>
      <c r="GZ22" s="1228"/>
      <c r="HA22" s="1228"/>
      <c r="HB22" s="1228"/>
      <c r="HC22" s="1228"/>
      <c r="HD22" s="1228"/>
      <c r="HE22" s="1228"/>
      <c r="HF22" s="1228"/>
      <c r="HG22" s="1228"/>
      <c r="HH22" s="1228"/>
      <c r="HI22" s="1228"/>
      <c r="HJ22" s="1228"/>
      <c r="HK22" s="1228"/>
      <c r="HL22" s="1228"/>
      <c r="HM22" s="1228"/>
      <c r="HN22" s="1228"/>
      <c r="HO22" s="1228"/>
      <c r="HP22" s="1228"/>
      <c r="HQ22" s="1228"/>
      <c r="HR22" s="1228"/>
      <c r="HS22" s="1228"/>
      <c r="HT22" s="1228"/>
      <c r="HU22" s="1228"/>
      <c r="HV22" s="1228"/>
      <c r="HW22" s="1228"/>
      <c r="HX22" s="1228"/>
      <c r="HY22" s="1228"/>
      <c r="HZ22" s="1228"/>
      <c r="IA22" s="1228"/>
      <c r="IB22" s="1228"/>
      <c r="IC22" s="1228"/>
      <c r="ID22" s="1228"/>
      <c r="IE22" s="1228"/>
      <c r="IF22" s="1228"/>
      <c r="IG22" s="1228"/>
      <c r="IH22" s="1228"/>
      <c r="II22" s="1228"/>
      <c r="IJ22" s="1228"/>
      <c r="IK22" s="1228"/>
      <c r="IL22" s="1228"/>
      <c r="IM22" s="1228"/>
      <c r="IN22" s="1228"/>
      <c r="IO22" s="1228"/>
      <c r="IP22" s="1228"/>
      <c r="IQ22" s="1228"/>
      <c r="IR22" s="1228"/>
      <c r="IS22" s="1228"/>
      <c r="IT22" s="1228"/>
      <c r="IU22" s="1228"/>
      <c r="IV22" s="1228"/>
    </row>
    <row r="23" spans="1:256" ht="20.25" customHeight="1" x14ac:dyDescent="0.25">
      <c r="R23" s="395" t="s">
        <v>604</v>
      </c>
      <c r="S23" s="331">
        <f t="shared" ref="S23:AG23" si="12">S7</f>
        <v>0.23425196850393704</v>
      </c>
      <c r="T23" s="331">
        <f t="shared" si="12"/>
        <v>0.26574803149606302</v>
      </c>
      <c r="U23" s="331">
        <f t="shared" si="12"/>
        <v>0.25181102362204727</v>
      </c>
      <c r="V23" s="331">
        <f t="shared" si="12"/>
        <v>0.26984251968503936</v>
      </c>
      <c r="W23" s="331">
        <f t="shared" si="12"/>
        <v>0.82633070866141745</v>
      </c>
      <c r="X23" s="331">
        <f t="shared" si="12"/>
        <v>0.90476377952755915</v>
      </c>
      <c r="Y23" s="331">
        <f t="shared" si="12"/>
        <v>1.002996062992126</v>
      </c>
      <c r="Z23" s="331">
        <f t="shared" si="12"/>
        <v>0.87372047244094486</v>
      </c>
      <c r="AA23" s="331">
        <f t="shared" si="12"/>
        <v>0.99851574803149612</v>
      </c>
      <c r="AB23" s="331">
        <f t="shared" si="12"/>
        <v>0.99994881889763787</v>
      </c>
      <c r="AC23" s="397">
        <f t="shared" si="12"/>
        <v>0.90114566929133855</v>
      </c>
      <c r="AD23" s="331">
        <f t="shared" si="12"/>
        <v>0.99992913385826776</v>
      </c>
      <c r="AE23" s="331">
        <f t="shared" si="12"/>
        <v>0.99992913385826776</v>
      </c>
      <c r="AF23" s="331">
        <f t="shared" si="12"/>
        <v>1.0010984251968504</v>
      </c>
      <c r="AG23" s="331">
        <f t="shared" si="12"/>
        <v>0.59047244094488194</v>
      </c>
      <c r="AH23" s="331">
        <f>AH7</f>
        <v>0.59046850393700789</v>
      </c>
      <c r="AI23" s="331">
        <f>AI7</f>
        <v>0.51933858267716537</v>
      </c>
      <c r="AJ23" s="331">
        <f>AJ7</f>
        <v>0.48377165354330715</v>
      </c>
      <c r="AK23" s="331">
        <f>AK7</f>
        <v>0.44820472440944881</v>
      </c>
      <c r="AL23" s="330">
        <f>AL7</f>
        <v>0.41263779527559058</v>
      </c>
      <c r="BE23" s="288"/>
      <c r="BF23" s="288"/>
      <c r="BG23" s="288"/>
      <c r="BH23" s="288"/>
      <c r="BI23" s="288"/>
      <c r="BJ23" s="288"/>
      <c r="BK23" s="288"/>
      <c r="BL23" s="288"/>
      <c r="BM23" s="288"/>
      <c r="BN23" s="288"/>
      <c r="BO23" s="288"/>
      <c r="BP23" s="288"/>
      <c r="BQ23" s="288"/>
      <c r="BR23" s="288"/>
      <c r="BS23" s="288"/>
      <c r="BT23" s="288"/>
      <c r="BU23" s="288"/>
      <c r="BV23" s="288"/>
      <c r="BW23" s="288"/>
      <c r="BX23" s="288"/>
      <c r="BY23" s="288"/>
      <c r="BZ23" s="288"/>
      <c r="CA23" s="288"/>
      <c r="CB23" s="288"/>
      <c r="CC23" s="288"/>
      <c r="CD23" s="288"/>
      <c r="CE23" s="288"/>
      <c r="CF23" s="288"/>
      <c r="CG23" s="288"/>
      <c r="CH23" s="288"/>
      <c r="CI23" s="288"/>
      <c r="CJ23" s="288"/>
      <c r="CK23" s="288"/>
      <c r="CL23" s="288"/>
      <c r="CM23" s="288"/>
      <c r="CN23" s="288"/>
      <c r="CO23" s="288"/>
      <c r="CP23" s="288"/>
      <c r="CQ23" s="288"/>
      <c r="CR23" s="288"/>
      <c r="CS23" s="288"/>
      <c r="CT23" s="288"/>
      <c r="CU23" s="288"/>
      <c r="CV23" s="288"/>
      <c r="CW23" s="288"/>
      <c r="CX23" s="288"/>
      <c r="CY23" s="288"/>
      <c r="CZ23" s="288"/>
      <c r="DA23" s="288"/>
      <c r="DB23" s="288"/>
      <c r="DC23" s="288"/>
      <c r="DD23" s="288"/>
      <c r="DE23" s="288"/>
      <c r="DF23" s="288"/>
      <c r="DG23" s="288"/>
      <c r="DH23" s="288"/>
      <c r="DI23" s="288"/>
      <c r="DJ23" s="288"/>
      <c r="DK23" s="288"/>
      <c r="DL23" s="288"/>
      <c r="DM23" s="288"/>
      <c r="DN23" s="288"/>
      <c r="DO23" s="288"/>
      <c r="DP23" s="288"/>
      <c r="DQ23" s="288"/>
      <c r="DR23" s="288"/>
      <c r="DS23" s="288"/>
      <c r="DT23" s="288"/>
      <c r="DU23" s="288"/>
      <c r="DV23" s="288"/>
      <c r="DW23" s="288"/>
      <c r="DX23" s="288"/>
      <c r="DY23" s="288"/>
      <c r="DZ23" s="288"/>
      <c r="EA23" s="288"/>
      <c r="EB23" s="288"/>
      <c r="EC23" s="288"/>
      <c r="ED23" s="288"/>
      <c r="EE23" s="288"/>
      <c r="EF23" s="288"/>
      <c r="EG23" s="288"/>
      <c r="EH23" s="288"/>
      <c r="EI23" s="288"/>
      <c r="EJ23" s="288"/>
      <c r="EK23" s="288"/>
      <c r="EL23" s="288"/>
      <c r="EM23" s="288"/>
      <c r="EN23" s="288"/>
      <c r="EO23" s="288"/>
      <c r="EP23" s="288"/>
      <c r="EQ23" s="288"/>
      <c r="ER23" s="288"/>
      <c r="ES23" s="288"/>
      <c r="ET23" s="288"/>
      <c r="EU23" s="288"/>
      <c r="EV23" s="288"/>
      <c r="EW23" s="288"/>
      <c r="EX23" s="288"/>
      <c r="EY23" s="288"/>
      <c r="EZ23" s="288"/>
      <c r="FA23" s="288"/>
      <c r="FB23" s="288"/>
      <c r="FC23" s="288"/>
      <c r="FD23" s="288"/>
      <c r="FE23" s="288"/>
      <c r="FF23" s="288"/>
      <c r="FG23" s="288"/>
      <c r="FH23" s="288"/>
      <c r="FI23" s="288"/>
      <c r="FJ23" s="288"/>
      <c r="FK23" s="288"/>
      <c r="FL23" s="288"/>
      <c r="FM23" s="288"/>
      <c r="FN23" s="288"/>
      <c r="FO23" s="288"/>
      <c r="FP23" s="288"/>
      <c r="FQ23" s="288"/>
      <c r="FR23" s="288"/>
      <c r="FS23" s="288"/>
      <c r="FT23" s="288"/>
      <c r="FU23" s="288"/>
      <c r="FV23" s="288"/>
      <c r="FW23" s="288"/>
      <c r="FX23" s="288"/>
      <c r="FY23" s="288"/>
      <c r="FZ23" s="288"/>
      <c r="GA23" s="288"/>
      <c r="GB23" s="288"/>
      <c r="GC23" s="288"/>
      <c r="GD23" s="288"/>
      <c r="GE23" s="288"/>
      <c r="GF23" s="288"/>
      <c r="GG23" s="288"/>
      <c r="GH23" s="288"/>
      <c r="GI23" s="288"/>
      <c r="GJ23" s="288"/>
      <c r="GK23" s="288"/>
      <c r="GL23" s="288"/>
      <c r="GM23" s="288"/>
      <c r="GN23" s="288"/>
      <c r="GO23" s="288"/>
      <c r="GP23" s="288"/>
      <c r="GQ23" s="288"/>
      <c r="GR23" s="288"/>
      <c r="GS23" s="288"/>
      <c r="GT23" s="288"/>
      <c r="GU23" s="288"/>
      <c r="GV23" s="288"/>
      <c r="GW23" s="288"/>
      <c r="GX23" s="288"/>
      <c r="GY23" s="288"/>
      <c r="GZ23" s="288"/>
      <c r="HA23" s="288"/>
      <c r="HB23" s="288"/>
      <c r="HC23" s="288"/>
      <c r="HD23" s="288"/>
      <c r="HE23" s="288"/>
      <c r="HF23" s="288"/>
      <c r="HG23" s="288"/>
      <c r="HH23" s="288"/>
      <c r="HI23" s="288"/>
      <c r="HJ23" s="288"/>
      <c r="HK23" s="288"/>
      <c r="HL23" s="288"/>
      <c r="HM23" s="288"/>
      <c r="HN23" s="288"/>
      <c r="HO23" s="288"/>
      <c r="HP23" s="288"/>
      <c r="HQ23" s="288"/>
      <c r="HR23" s="288"/>
      <c r="HS23" s="288"/>
      <c r="HT23" s="288"/>
      <c r="HU23" s="288"/>
      <c r="HV23" s="288"/>
      <c r="HW23" s="288"/>
      <c r="HX23" s="288"/>
      <c r="HY23" s="288"/>
      <c r="HZ23" s="288"/>
      <c r="IA23" s="288"/>
      <c r="IB23" s="288"/>
      <c r="IC23" s="288"/>
      <c r="ID23" s="288"/>
      <c r="IE23" s="288"/>
      <c r="IF23" s="288"/>
      <c r="IG23" s="288"/>
      <c r="IH23" s="288"/>
      <c r="II23" s="288"/>
      <c r="IJ23" s="288"/>
      <c r="IK23" s="288"/>
      <c r="IL23" s="288"/>
      <c r="IM23" s="288"/>
      <c r="IN23" s="288"/>
      <c r="IO23" s="288"/>
      <c r="IP23" s="288"/>
      <c r="IQ23" s="288"/>
      <c r="IR23" s="288"/>
      <c r="IS23" s="288"/>
      <c r="IT23" s="288"/>
      <c r="IU23" s="288"/>
      <c r="IV23" s="288"/>
    </row>
    <row r="24" spans="1:256" ht="15" x14ac:dyDescent="0.25">
      <c r="R24" s="395" t="s">
        <v>547</v>
      </c>
      <c r="S24" s="331">
        <f t="shared" ref="S24:AG24" si="13">S23*25.4</f>
        <v>5.95</v>
      </c>
      <c r="T24" s="348">
        <f t="shared" si="13"/>
        <v>6.75</v>
      </c>
      <c r="U24" s="348">
        <f t="shared" si="13"/>
        <v>6.3959999999999999</v>
      </c>
      <c r="V24" s="348">
        <f t="shared" si="13"/>
        <v>6.8539999999999992</v>
      </c>
      <c r="W24" s="348">
        <f t="shared" si="13"/>
        <v>20.988800000000001</v>
      </c>
      <c r="X24" s="348">
        <f t="shared" si="13"/>
        <v>22.981000000000002</v>
      </c>
      <c r="Y24" s="348">
        <f t="shared" si="13"/>
        <v>25.476099999999999</v>
      </c>
      <c r="Z24" s="348">
        <f t="shared" si="13"/>
        <v>22.192499999999999</v>
      </c>
      <c r="AA24" s="348">
        <f t="shared" si="13"/>
        <v>25.362300000000001</v>
      </c>
      <c r="AB24" s="348">
        <f t="shared" si="13"/>
        <v>25.398700000000002</v>
      </c>
      <c r="AC24" s="398">
        <f t="shared" si="13"/>
        <v>22.889099999999999</v>
      </c>
      <c r="AD24" s="348">
        <f t="shared" si="13"/>
        <v>25.398199999999999</v>
      </c>
      <c r="AE24" s="348">
        <f t="shared" si="13"/>
        <v>25.398199999999999</v>
      </c>
      <c r="AF24" s="348">
        <f t="shared" si="13"/>
        <v>25.427900000000001</v>
      </c>
      <c r="AG24" s="348">
        <f t="shared" si="13"/>
        <v>14.998000000000001</v>
      </c>
      <c r="AH24" s="348">
        <f>AH23*25.4</f>
        <v>14.9979</v>
      </c>
      <c r="AI24" s="348">
        <f>AI23*25.4</f>
        <v>13.1912</v>
      </c>
      <c r="AJ24" s="348">
        <f>AJ23*25.4</f>
        <v>12.287800000000001</v>
      </c>
      <c r="AK24" s="348">
        <f>AK23*25.4</f>
        <v>11.384399999999999</v>
      </c>
      <c r="AL24" s="347">
        <f>AL23*25.4</f>
        <v>10.481</v>
      </c>
    </row>
    <row r="25" spans="1:256" ht="15" x14ac:dyDescent="0.25">
      <c r="R25" s="395" t="s">
        <v>117</v>
      </c>
      <c r="S25" s="396">
        <f t="shared" ref="S25:AL32" si="14">S8*25.4</f>
        <v>12.998500799999999</v>
      </c>
      <c r="T25" s="396">
        <f t="shared" si="14"/>
        <v>10.493882999999999</v>
      </c>
      <c r="U25" s="396">
        <f t="shared" si="14"/>
        <v>20.000137799999997</v>
      </c>
      <c r="V25" s="396">
        <f t="shared" si="14"/>
        <v>19.475399199999998</v>
      </c>
      <c r="W25" s="396">
        <f t="shared" si="14"/>
        <v>20.988832799999997</v>
      </c>
      <c r="X25" s="396">
        <f t="shared" si="14"/>
        <v>22.981157999999997</v>
      </c>
      <c r="Y25" s="396">
        <f t="shared" si="14"/>
        <v>25.4758952</v>
      </c>
      <c r="Z25" s="396">
        <f t="shared" si="14"/>
        <v>22.193757999999999</v>
      </c>
      <c r="AA25" s="396">
        <f t="shared" si="14"/>
        <v>25.362154</v>
      </c>
      <c r="AB25" s="396">
        <f t="shared" si="14"/>
        <v>25.399491999999999</v>
      </c>
      <c r="AC25" s="399">
        <f t="shared" si="14"/>
        <v>22.891241999999998</v>
      </c>
      <c r="AD25" s="396">
        <f t="shared" si="14"/>
        <v>25.4</v>
      </c>
      <c r="AE25" s="396">
        <f t="shared" si="14"/>
        <v>25.4</v>
      </c>
      <c r="AF25" s="400">
        <f t="shared" si="14"/>
        <v>25.429921199999995</v>
      </c>
      <c r="AG25" s="400">
        <f t="shared" si="14"/>
        <v>14.9995636</v>
      </c>
      <c r="AH25" s="400">
        <f t="shared" si="14"/>
        <v>14.999436599999999</v>
      </c>
      <c r="AI25" s="400">
        <f t="shared" si="14"/>
        <v>13.194233199999999</v>
      </c>
      <c r="AJ25" s="400">
        <f t="shared" si="14"/>
        <v>12.291568</v>
      </c>
      <c r="AK25" s="400">
        <f t="shared" si="14"/>
        <v>11.388902799999999</v>
      </c>
      <c r="AL25" s="401">
        <f t="shared" si="14"/>
        <v>10.486237599999999</v>
      </c>
    </row>
    <row r="26" spans="1:256" ht="15" x14ac:dyDescent="0.25">
      <c r="R26" s="395" t="s">
        <v>232</v>
      </c>
      <c r="S26" s="396">
        <f t="shared" si="14"/>
        <v>12.998399199999998</v>
      </c>
      <c r="T26" s="396">
        <f t="shared" si="14"/>
        <v>10.4938576</v>
      </c>
      <c r="U26" s="396">
        <f t="shared" si="14"/>
        <v>19.999959999999998</v>
      </c>
      <c r="V26" s="396">
        <f t="shared" si="14"/>
        <v>19.475729399999999</v>
      </c>
      <c r="W26" s="396">
        <f t="shared" si="14"/>
        <v>20.989264599999998</v>
      </c>
      <c r="X26" s="396">
        <f t="shared" si="14"/>
        <v>22.981462799999999</v>
      </c>
      <c r="Y26" s="396">
        <f t="shared" si="14"/>
        <v>25.475183999999999</v>
      </c>
      <c r="Z26" s="396">
        <f t="shared" si="14"/>
        <v>22.193757999999999</v>
      </c>
      <c r="AA26" s="396">
        <f t="shared" si="14"/>
        <v>25.362154</v>
      </c>
      <c r="AB26" s="396">
        <f t="shared" si="14"/>
        <v>25.399491999999999</v>
      </c>
      <c r="AC26" s="399">
        <f t="shared" si="14"/>
        <v>22.891496</v>
      </c>
      <c r="AD26" s="396">
        <f t="shared" si="14"/>
        <v>25.400254</v>
      </c>
      <c r="AE26" s="396">
        <f t="shared" si="14"/>
        <v>25.4</v>
      </c>
      <c r="AF26" s="400">
        <f t="shared" si="14"/>
        <v>25.429971999999996</v>
      </c>
      <c r="AG26" s="400">
        <f t="shared" si="14"/>
        <v>14.999411200000001</v>
      </c>
      <c r="AH26" s="400">
        <f t="shared" si="14"/>
        <v>14.999512799999998</v>
      </c>
      <c r="AI26" s="400">
        <f t="shared" si="14"/>
        <v>13.194436399999999</v>
      </c>
      <c r="AJ26" s="400">
        <f t="shared" si="14"/>
        <v>12.291948999999999</v>
      </c>
      <c r="AK26" s="400">
        <f t="shared" si="14"/>
        <v>11.389461600000001</v>
      </c>
      <c r="AL26" s="401">
        <f t="shared" si="14"/>
        <v>10.486974199999999</v>
      </c>
    </row>
    <row r="27" spans="1:256" ht="15" x14ac:dyDescent="0.25">
      <c r="R27" s="395" t="s">
        <v>233</v>
      </c>
      <c r="S27" s="396">
        <f t="shared" si="14"/>
        <v>12.998576999999997</v>
      </c>
      <c r="T27" s="396">
        <f t="shared" si="14"/>
        <v>10.4939084</v>
      </c>
      <c r="U27" s="396">
        <f t="shared" si="14"/>
        <v>19.999959999999998</v>
      </c>
      <c r="V27" s="396">
        <f t="shared" si="14"/>
        <v>19.475704</v>
      </c>
      <c r="W27" s="396">
        <f t="shared" si="14"/>
        <v>20.989543999999999</v>
      </c>
      <c r="X27" s="396">
        <f t="shared" si="14"/>
        <v>22.981411999999999</v>
      </c>
      <c r="Y27" s="396">
        <f t="shared" si="14"/>
        <v>25.475564999999996</v>
      </c>
      <c r="Z27" s="396">
        <f t="shared" si="14"/>
        <v>22.193503999999997</v>
      </c>
      <c r="AA27" s="396">
        <f t="shared" si="14"/>
        <v>25.362154</v>
      </c>
      <c r="AB27" s="396">
        <f t="shared" si="14"/>
        <v>25.399491999999999</v>
      </c>
      <c r="AC27" s="399">
        <f t="shared" si="14"/>
        <v>22.891241999999998</v>
      </c>
      <c r="AD27" s="396">
        <f t="shared" si="14"/>
        <v>25.4</v>
      </c>
      <c r="AE27" s="396">
        <f t="shared" si="14"/>
        <v>25.4</v>
      </c>
      <c r="AF27" s="400">
        <f t="shared" si="14"/>
        <v>25.429717999999998</v>
      </c>
      <c r="AG27" s="400">
        <f t="shared" si="14"/>
        <v>14.9993096</v>
      </c>
      <c r="AH27" s="400">
        <f t="shared" si="14"/>
        <v>14.999461999999999</v>
      </c>
      <c r="AI27" s="400">
        <f t="shared" si="14"/>
        <v>13.193725199999998</v>
      </c>
      <c r="AJ27" s="400">
        <f t="shared" si="14"/>
        <v>12.290932999999999</v>
      </c>
      <c r="AK27" s="400">
        <f t="shared" si="14"/>
        <v>11.388140799999999</v>
      </c>
      <c r="AL27" s="401">
        <f t="shared" si="14"/>
        <v>10.485348599999998</v>
      </c>
    </row>
    <row r="28" spans="1:256" ht="15" x14ac:dyDescent="0.25">
      <c r="R28" s="395">
        <v>1</v>
      </c>
      <c r="S28" s="396">
        <f t="shared" si="14"/>
        <v>12.998602399999999</v>
      </c>
      <c r="T28" s="396">
        <f t="shared" si="14"/>
        <v>10.4938576</v>
      </c>
      <c r="U28" s="396">
        <f t="shared" si="14"/>
        <v>19.999959999999998</v>
      </c>
      <c r="V28" s="396">
        <f t="shared" si="14"/>
        <v>19.475195999999997</v>
      </c>
      <c r="W28" s="396">
        <f t="shared" si="14"/>
        <v>20.989086799999999</v>
      </c>
      <c r="X28" s="396">
        <f t="shared" si="14"/>
        <v>22.981411999999999</v>
      </c>
      <c r="Y28" s="396">
        <f t="shared" si="14"/>
        <v>25.475437999999997</v>
      </c>
      <c r="Z28" s="396">
        <f t="shared" si="14"/>
        <v>22.194011999999997</v>
      </c>
      <c r="AA28" s="396">
        <f t="shared" si="14"/>
        <v>25.362154</v>
      </c>
      <c r="AB28" s="396">
        <f t="shared" si="14"/>
        <v>25.399746</v>
      </c>
      <c r="AC28" s="399">
        <f t="shared" si="14"/>
        <v>22.891496</v>
      </c>
      <c r="AD28" s="396">
        <f t="shared" si="14"/>
        <v>25.4</v>
      </c>
      <c r="AE28" s="396">
        <f t="shared" si="14"/>
        <v>25.4</v>
      </c>
      <c r="AF28" s="400">
        <f t="shared" si="14"/>
        <v>25.429971999999996</v>
      </c>
      <c r="AG28" s="400">
        <f t="shared" si="14"/>
        <v>14.9992842</v>
      </c>
      <c r="AH28" s="400">
        <f t="shared" si="14"/>
        <v>14.999538199999998</v>
      </c>
      <c r="AI28" s="400">
        <f t="shared" si="14"/>
        <v>13.1935982</v>
      </c>
      <c r="AJ28" s="400">
        <f t="shared" si="14"/>
        <v>12.2907552</v>
      </c>
      <c r="AK28" s="400">
        <f t="shared" si="14"/>
        <v>11.387912199999999</v>
      </c>
      <c r="AL28" s="401">
        <f t="shared" si="14"/>
        <v>10.4850692</v>
      </c>
    </row>
    <row r="29" spans="1:256" ht="15" x14ac:dyDescent="0.25">
      <c r="R29" s="395">
        <v>2</v>
      </c>
      <c r="S29" s="396">
        <f t="shared" si="14"/>
        <v>12.998551600000001</v>
      </c>
      <c r="T29" s="396">
        <f t="shared" si="14"/>
        <v>10.4941116</v>
      </c>
      <c r="U29" s="396">
        <f t="shared" si="14"/>
        <v>17.992598000000001</v>
      </c>
      <c r="V29" s="396">
        <f t="shared" si="14"/>
        <v>19.475805599999997</v>
      </c>
      <c r="W29" s="396">
        <f t="shared" si="14"/>
        <v>20.989543999999999</v>
      </c>
      <c r="X29" s="396">
        <f t="shared" si="14"/>
        <v>22.981665999999997</v>
      </c>
      <c r="Y29" s="396">
        <f t="shared" si="14"/>
        <v>25.475437999999997</v>
      </c>
      <c r="Z29" s="396">
        <f t="shared" si="14"/>
        <v>22.193757999999999</v>
      </c>
      <c r="AA29" s="396">
        <f t="shared" si="14"/>
        <v>25.362407999999999</v>
      </c>
      <c r="AB29" s="396">
        <f t="shared" si="14"/>
        <v>25.399491999999999</v>
      </c>
      <c r="AC29" s="399">
        <f t="shared" si="14"/>
        <v>22.891241999999998</v>
      </c>
      <c r="AD29" s="396">
        <f t="shared" si="14"/>
        <v>25.400254</v>
      </c>
      <c r="AE29" s="396">
        <f t="shared" si="14"/>
        <v>25.4</v>
      </c>
      <c r="AF29" s="400">
        <f t="shared" si="14"/>
        <v>25.429971999999996</v>
      </c>
      <c r="AG29" s="400">
        <f t="shared" si="14"/>
        <v>14.999411200000001</v>
      </c>
      <c r="AH29" s="400">
        <f t="shared" si="14"/>
        <v>14.999436599999999</v>
      </c>
      <c r="AI29" s="400">
        <f t="shared" si="14"/>
        <v>13.193471199999999</v>
      </c>
      <c r="AJ29" s="400">
        <f t="shared" si="14"/>
        <v>12.290501199999998</v>
      </c>
      <c r="AK29" s="400">
        <f t="shared" si="14"/>
        <v>11.3875312</v>
      </c>
      <c r="AL29" s="401">
        <f t="shared" si="14"/>
        <v>10.484561199999998</v>
      </c>
    </row>
    <row r="30" spans="1:256" ht="15" x14ac:dyDescent="0.25">
      <c r="R30" s="528" t="s">
        <v>601</v>
      </c>
      <c r="S30" s="869">
        <f t="shared" si="14"/>
        <v>12.998526199999999</v>
      </c>
      <c r="T30" s="869">
        <f t="shared" si="14"/>
        <v>10.493923639999998</v>
      </c>
      <c r="U30" s="869">
        <f t="shared" si="14"/>
        <v>19.598523159999996</v>
      </c>
      <c r="V30" s="869">
        <f t="shared" si="14"/>
        <v>19.475566839999999</v>
      </c>
      <c r="W30" s="869">
        <f t="shared" si="14"/>
        <v>20.989254439999996</v>
      </c>
      <c r="X30" s="869">
        <f t="shared" si="14"/>
        <v>22.981422160000001</v>
      </c>
      <c r="Y30" s="869">
        <f t="shared" si="14"/>
        <v>25.475504040000001</v>
      </c>
      <c r="Z30" s="869">
        <f t="shared" si="14"/>
        <v>22.193757999999999</v>
      </c>
      <c r="AA30" s="869">
        <f t="shared" si="14"/>
        <v>25.362204800000001</v>
      </c>
      <c r="AB30" s="869">
        <f t="shared" si="14"/>
        <v>25.399542799999995</v>
      </c>
      <c r="AC30" s="1063">
        <f t="shared" si="14"/>
        <v>22.891343599999999</v>
      </c>
      <c r="AD30" s="869">
        <f t="shared" si="14"/>
        <v>25.400101599999996</v>
      </c>
      <c r="AE30" s="869">
        <f t="shared" si="14"/>
        <v>25.4</v>
      </c>
      <c r="AF30" s="869">
        <f t="shared" si="14"/>
        <v>25.429911039999997</v>
      </c>
      <c r="AG30" s="869">
        <f t="shared" si="14"/>
        <v>14.999395959999999</v>
      </c>
      <c r="AH30" s="869">
        <f t="shared" si="14"/>
        <v>14.999477239999997</v>
      </c>
      <c r="AI30" s="869">
        <f t="shared" si="14"/>
        <v>13.19389284</v>
      </c>
      <c r="AJ30" s="869">
        <f t="shared" si="14"/>
        <v>12.291141279999998</v>
      </c>
      <c r="AK30" s="869">
        <f t="shared" si="14"/>
        <v>11.388389719999999</v>
      </c>
      <c r="AL30" s="1052">
        <f t="shared" si="14"/>
        <v>10.485638160000001</v>
      </c>
    </row>
    <row r="31" spans="1:256" ht="15" x14ac:dyDescent="0.25">
      <c r="R31" s="528" t="s">
        <v>602</v>
      </c>
      <c r="S31" s="1055">
        <f t="shared" si="14"/>
        <v>2.0320000000020321E-4</v>
      </c>
      <c r="T31" s="1055">
        <f t="shared" si="14"/>
        <v>2.5400000000025402E-4</v>
      </c>
      <c r="U31" s="1055">
        <f t="shared" si="14"/>
        <v>2.0075397999999978</v>
      </c>
      <c r="V31" s="1055">
        <f t="shared" si="14"/>
        <v>6.0960000000060961E-4</v>
      </c>
      <c r="W31" s="1055">
        <f t="shared" si="14"/>
        <v>7.1120000000071118E-4</v>
      </c>
      <c r="X31" s="1055">
        <f t="shared" si="14"/>
        <v>5.0800000000050805E-4</v>
      </c>
      <c r="Y31" s="1055">
        <f t="shared" si="14"/>
        <v>7.1119999999789128E-4</v>
      </c>
      <c r="Z31" s="1055">
        <f t="shared" si="14"/>
        <v>5.0800000000050805E-4</v>
      </c>
      <c r="AA31" s="1055">
        <f t="shared" si="14"/>
        <v>2.5399999999884402E-4</v>
      </c>
      <c r="AB31" s="1055">
        <f t="shared" si="14"/>
        <v>2.5400000000166397E-4</v>
      </c>
      <c r="AC31" s="1064">
        <f t="shared" si="14"/>
        <v>2.5400000000166397E-4</v>
      </c>
      <c r="AD31" s="1055">
        <f t="shared" si="14"/>
        <v>2.5400000000166397E-4</v>
      </c>
      <c r="AE31" s="1055">
        <f t="shared" si="14"/>
        <v>0</v>
      </c>
      <c r="AF31" s="1055">
        <f t="shared" si="14"/>
        <v>2.5400000000166397E-4</v>
      </c>
      <c r="AG31" s="1055">
        <f t="shared" si="14"/>
        <v>2.7939999999957441E-4</v>
      </c>
      <c r="AH31" s="1055">
        <f t="shared" si="14"/>
        <v>1.0160000000010161E-4</v>
      </c>
      <c r="AI31" s="1055">
        <f t="shared" si="14"/>
        <v>9.651999999995553E-4</v>
      </c>
      <c r="AJ31" s="1055">
        <f t="shared" si="14"/>
        <v>1.4478000000007429E-3</v>
      </c>
      <c r="AK31" s="1055">
        <f t="shared" si="14"/>
        <v>1.9304000000005205E-3</v>
      </c>
      <c r="AL31" s="1054">
        <f t="shared" si="14"/>
        <v>2.4130000000002982E-3</v>
      </c>
    </row>
    <row r="32" spans="1:256" ht="15.75" thickBot="1" x14ac:dyDescent="0.3">
      <c r="R32" s="529" t="s">
        <v>603</v>
      </c>
      <c r="S32" s="868">
        <f t="shared" si="14"/>
        <v>6.3500000000415993E-5</v>
      </c>
      <c r="T32" s="868">
        <f t="shared" si="14"/>
        <v>9.398000000058748E-5</v>
      </c>
      <c r="U32" s="868">
        <f t="shared" si="14"/>
        <v>0.80296257999999843</v>
      </c>
      <c r="V32" s="868">
        <f t="shared" si="14"/>
        <v>1.8541999999969192E-4</v>
      </c>
      <c r="W32" s="868">
        <f t="shared" si="14"/>
        <v>2.1081999999901234E-4</v>
      </c>
      <c r="X32" s="868">
        <f t="shared" si="14"/>
        <v>1.3208000000238806E-4</v>
      </c>
      <c r="Y32" s="868">
        <f t="shared" si="14"/>
        <v>1.9557999999857411E-4</v>
      </c>
      <c r="Z32" s="868">
        <f t="shared" si="14"/>
        <v>1.2700000000083199E-4</v>
      </c>
      <c r="AA32" s="868">
        <f t="shared" si="14"/>
        <v>1.0159999999869161E-4</v>
      </c>
      <c r="AB32" s="868">
        <f t="shared" si="14"/>
        <v>1.0160000000151158E-4</v>
      </c>
      <c r="AC32" s="1065">
        <f t="shared" si="14"/>
        <v>7.620000000078119E-5</v>
      </c>
      <c r="AD32" s="868">
        <f t="shared" si="14"/>
        <v>7.6200000002191182E-5</v>
      </c>
      <c r="AE32" s="868">
        <f t="shared" si="14"/>
        <v>0</v>
      </c>
      <c r="AF32" s="868">
        <f t="shared" si="14"/>
        <v>9.6519999999955525E-5</v>
      </c>
      <c r="AG32" s="868">
        <f t="shared" si="14"/>
        <v>8.3819999999590328E-5</v>
      </c>
      <c r="AH32" s="868">
        <f t="shared" si="14"/>
        <v>3.0480000000876472E-5</v>
      </c>
      <c r="AI32" s="868">
        <f t="shared" si="14"/>
        <v>2.7177999999935528E-4</v>
      </c>
      <c r="AJ32" s="868">
        <f t="shared" si="14"/>
        <v>4.0386000000033336E-4</v>
      </c>
      <c r="AK32" s="868">
        <f t="shared" si="14"/>
        <v>5.3594000000060644E-4</v>
      </c>
      <c r="AL32" s="1066">
        <f t="shared" si="14"/>
        <v>6.6801999999946957E-4</v>
      </c>
    </row>
  </sheetData>
  <sheetProtection selectLockedCells="1"/>
  <mergeCells count="16">
    <mergeCell ref="IG21:IV22"/>
    <mergeCell ref="FE21:FT22"/>
    <mergeCell ref="FU21:GJ22"/>
    <mergeCell ref="GK21:GZ22"/>
    <mergeCell ref="HA21:HP22"/>
    <mergeCell ref="HQ21:IF22"/>
    <mergeCell ref="DY21:EN22"/>
    <mergeCell ref="EO21:FD22"/>
    <mergeCell ref="AO2:BD2"/>
    <mergeCell ref="A2:P2"/>
    <mergeCell ref="R3:AL4"/>
    <mergeCell ref="R2:AL2"/>
    <mergeCell ref="BM21:CB22"/>
    <mergeCell ref="CC21:CR22"/>
    <mergeCell ref="CS21:DH22"/>
    <mergeCell ref="DI21:DX22"/>
  </mergeCells>
  <phoneticPr fontId="13" type="noConversion"/>
  <pageMargins left="0.43" right="0.52" top="1" bottom="1" header="0.5" footer="0.5"/>
  <pageSetup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9" r:id="rId4" name="Button 7">
              <controlPr defaultSize="0" print="0" autoFill="0" autoPict="0" macro="[0]!ReturnToMain">
                <anchor moveWithCells="1" sizeWithCells="1">
                  <from>
                    <xdr:col>0</xdr:col>
                    <xdr:colOff>19050</xdr:colOff>
                    <xdr:row>0</xdr:row>
                    <xdr:rowOff>19050</xdr:rowOff>
                  </from>
                  <to>
                    <xdr:col>1</xdr:col>
                    <xdr:colOff>314325</xdr:colOff>
                    <xdr:row>0</xdr:row>
                    <xdr:rowOff>152400</xdr:rowOff>
                  </to>
                </anchor>
              </controlPr>
            </control>
          </mc:Choice>
        </mc:AlternateContent>
        <mc:AlternateContent xmlns:mc="http://schemas.openxmlformats.org/markup-compatibility/2006">
          <mc:Choice Requires="x14">
            <control shapeId="18440" r:id="rId5" name="Button 8">
              <controlPr defaultSize="0" print="0" autoFill="0" autoPict="0" macro="[0]!ReturnToMain">
                <anchor moveWithCells="1" sizeWithCells="1">
                  <from>
                    <xdr:col>17</xdr:col>
                    <xdr:colOff>19050</xdr:colOff>
                    <xdr:row>0</xdr:row>
                    <xdr:rowOff>19050</xdr:rowOff>
                  </from>
                  <to>
                    <xdr:col>19</xdr:col>
                    <xdr:colOff>95250</xdr:colOff>
                    <xdr:row>0</xdr:row>
                    <xdr:rowOff>152400</xdr:rowOff>
                  </to>
                </anchor>
              </controlPr>
            </control>
          </mc:Choice>
        </mc:AlternateContent>
        <mc:AlternateContent xmlns:mc="http://schemas.openxmlformats.org/markup-compatibility/2006">
          <mc:Choice Requires="x14">
            <control shapeId="18441" r:id="rId6" name="Button 9">
              <controlPr defaultSize="0" print="0" autoFill="0" autoPict="0" macro="[0]!ReturnToMain">
                <anchor moveWithCells="1" sizeWithCells="1">
                  <from>
                    <xdr:col>40</xdr:col>
                    <xdr:colOff>19050</xdr:colOff>
                    <xdr:row>0</xdr:row>
                    <xdr:rowOff>19050</xdr:rowOff>
                  </from>
                  <to>
                    <xdr:col>42</xdr:col>
                    <xdr:colOff>28575</xdr:colOff>
                    <xdr:row>0</xdr:row>
                    <xdr:rowOff>152400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6">
    <tabColor indexed="51"/>
  </sheetPr>
  <dimension ref="A1:H62"/>
  <sheetViews>
    <sheetView topLeftCell="A11" workbookViewId="0"/>
  </sheetViews>
  <sheetFormatPr defaultRowHeight="12.75" x14ac:dyDescent="0.2"/>
  <cols>
    <col min="1" max="1" width="27.42578125" bestFit="1" customWidth="1"/>
    <col min="2" max="2" width="38" bestFit="1" customWidth="1"/>
    <col min="3" max="3" width="28.28515625" hidden="1" customWidth="1"/>
    <col min="4" max="4" width="13.28515625" hidden="1" customWidth="1"/>
    <col min="5" max="5" width="71.85546875" customWidth="1"/>
    <col min="7" max="7" width="18.5703125" customWidth="1"/>
  </cols>
  <sheetData>
    <row r="1" spans="1:7" ht="25.5" customHeight="1" x14ac:dyDescent="0.2"/>
    <row r="2" spans="1:7" ht="13.5" thickBot="1" x14ac:dyDescent="0.25">
      <c r="A2" s="531" t="s">
        <v>605</v>
      </c>
      <c r="B2" s="531" t="s">
        <v>606</v>
      </c>
      <c r="C2" s="531" t="s">
        <v>607</v>
      </c>
      <c r="D2" s="531" t="s">
        <v>608</v>
      </c>
      <c r="E2" s="532" t="s">
        <v>289</v>
      </c>
      <c r="G2" s="470"/>
    </row>
    <row r="3" spans="1:7" ht="13.5" thickBot="1" x14ac:dyDescent="0.25">
      <c r="A3" s="1067" t="s">
        <v>609</v>
      </c>
      <c r="B3" s="1068" t="s">
        <v>610</v>
      </c>
      <c r="C3" s="1068" t="s">
        <v>611</v>
      </c>
      <c r="D3" s="1068">
        <v>0.1</v>
      </c>
      <c r="E3" s="1069" t="s">
        <v>612</v>
      </c>
      <c r="G3" s="470"/>
    </row>
    <row r="4" spans="1:7" ht="13.5" thickBot="1" x14ac:dyDescent="0.25">
      <c r="A4" s="1070" t="s">
        <v>609</v>
      </c>
      <c r="B4" s="1071" t="s">
        <v>613</v>
      </c>
      <c r="C4" s="1072" t="s">
        <v>614</v>
      </c>
      <c r="D4" s="1072" t="s">
        <v>615</v>
      </c>
      <c r="E4" s="132" t="s">
        <v>616</v>
      </c>
      <c r="G4" s="470"/>
    </row>
    <row r="5" spans="1:7" ht="13.5" thickBot="1" x14ac:dyDescent="0.25">
      <c r="A5" s="1073" t="s">
        <v>617</v>
      </c>
      <c r="B5" s="1074">
        <v>8500</v>
      </c>
      <c r="C5" s="1075"/>
      <c r="D5" s="1075"/>
      <c r="E5" s="69" t="s">
        <v>618</v>
      </c>
      <c r="G5" s="470"/>
    </row>
    <row r="6" spans="1:7" ht="13.5" thickBot="1" x14ac:dyDescent="0.25">
      <c r="A6" s="1070" t="s">
        <v>619</v>
      </c>
      <c r="B6" s="1076" t="s">
        <v>620</v>
      </c>
      <c r="C6" s="1077" t="s">
        <v>621</v>
      </c>
      <c r="D6" s="1077" t="s">
        <v>622</v>
      </c>
      <c r="E6" s="1078" t="s">
        <v>623</v>
      </c>
      <c r="G6" s="470"/>
    </row>
    <row r="7" spans="1:7" ht="13.5" thickBot="1" x14ac:dyDescent="0.25">
      <c r="A7" s="1073"/>
      <c r="B7" s="1076" t="s">
        <v>624</v>
      </c>
      <c r="C7" s="1077" t="s">
        <v>625</v>
      </c>
      <c r="D7" s="1077" t="s">
        <v>626</v>
      </c>
      <c r="E7" s="1078" t="s">
        <v>627</v>
      </c>
    </row>
    <row r="8" spans="1:7" ht="13.5" thickBot="1" x14ac:dyDescent="0.25">
      <c r="A8" s="71" t="s">
        <v>628</v>
      </c>
      <c r="B8" s="156" t="s">
        <v>629</v>
      </c>
      <c r="C8" s="148" t="s">
        <v>630</v>
      </c>
      <c r="D8" s="148"/>
      <c r="E8" s="149" t="s">
        <v>631</v>
      </c>
    </row>
    <row r="9" spans="1:7" x14ac:dyDescent="0.2">
      <c r="B9" s="78" t="s">
        <v>632</v>
      </c>
      <c r="C9" s="5" t="s">
        <v>633</v>
      </c>
      <c r="D9" s="5"/>
      <c r="E9" s="79" t="s">
        <v>634</v>
      </c>
    </row>
    <row r="10" spans="1:7" x14ac:dyDescent="0.2">
      <c r="B10" s="78" t="s">
        <v>635</v>
      </c>
      <c r="C10" s="5" t="s">
        <v>636</v>
      </c>
      <c r="D10" s="5"/>
      <c r="E10" s="79" t="s">
        <v>637</v>
      </c>
    </row>
    <row r="11" spans="1:7" x14ac:dyDescent="0.2">
      <c r="B11" s="78" t="s">
        <v>638</v>
      </c>
      <c r="C11" s="5" t="s">
        <v>639</v>
      </c>
      <c r="D11" s="5"/>
      <c r="E11" s="79" t="s">
        <v>640</v>
      </c>
    </row>
    <row r="12" spans="1:7" x14ac:dyDescent="0.2">
      <c r="B12" s="78" t="s">
        <v>641</v>
      </c>
      <c r="C12" s="5" t="s">
        <v>642</v>
      </c>
      <c r="D12" s="5" t="s">
        <v>643</v>
      </c>
      <c r="E12" s="79" t="s">
        <v>644</v>
      </c>
    </row>
    <row r="13" spans="1:7" ht="13.5" customHeight="1" x14ac:dyDescent="0.2">
      <c r="B13" s="78" t="s">
        <v>645</v>
      </c>
      <c r="C13" s="5"/>
      <c r="D13" s="5"/>
      <c r="E13" s="79" t="s">
        <v>646</v>
      </c>
    </row>
    <row r="14" spans="1:7" ht="13.5" customHeight="1" thickBot="1" x14ac:dyDescent="0.25">
      <c r="B14" s="80" t="s">
        <v>647</v>
      </c>
      <c r="C14" s="9"/>
      <c r="D14" s="9"/>
      <c r="E14" s="81" t="s">
        <v>648</v>
      </c>
    </row>
    <row r="15" spans="1:7" ht="13.5" thickBot="1" x14ac:dyDescent="0.25">
      <c r="A15" s="747" t="s">
        <v>649</v>
      </c>
      <c r="B15" s="350" t="s">
        <v>650</v>
      </c>
      <c r="C15" s="350" t="s">
        <v>651</v>
      </c>
      <c r="D15" s="350" t="s">
        <v>652</v>
      </c>
      <c r="E15" s="748" t="s">
        <v>653</v>
      </c>
    </row>
    <row r="16" spans="1:7" ht="13.5" thickBot="1" x14ac:dyDescent="0.25">
      <c r="A16" s="71" t="s">
        <v>649</v>
      </c>
      <c r="B16" s="156" t="s">
        <v>654</v>
      </c>
      <c r="C16" s="148" t="s">
        <v>655</v>
      </c>
      <c r="D16" s="148" t="s">
        <v>656</v>
      </c>
      <c r="E16" s="149" t="s">
        <v>657</v>
      </c>
    </row>
    <row r="17" spans="1:5" x14ac:dyDescent="0.2">
      <c r="A17" s="69"/>
      <c r="B17" s="78" t="s">
        <v>658</v>
      </c>
      <c r="C17" s="5" t="s">
        <v>655</v>
      </c>
      <c r="D17" s="5" t="s">
        <v>656</v>
      </c>
      <c r="E17" s="79" t="s">
        <v>659</v>
      </c>
    </row>
    <row r="18" spans="1:5" x14ac:dyDescent="0.2">
      <c r="B18" s="78" t="s">
        <v>660</v>
      </c>
      <c r="C18" s="5" t="s">
        <v>655</v>
      </c>
      <c r="D18" s="5" t="s">
        <v>656</v>
      </c>
      <c r="E18" s="79" t="s">
        <v>661</v>
      </c>
    </row>
    <row r="19" spans="1:5" ht="13.5" thickBot="1" x14ac:dyDescent="0.25">
      <c r="A19" s="69"/>
      <c r="B19" s="80" t="s">
        <v>662</v>
      </c>
      <c r="C19" s="9" t="s">
        <v>655</v>
      </c>
      <c r="D19" s="9" t="s">
        <v>656</v>
      </c>
      <c r="E19" s="81" t="s">
        <v>659</v>
      </c>
    </row>
    <row r="20" spans="1:5" ht="13.5" thickBot="1" x14ac:dyDescent="0.25">
      <c r="A20" s="749" t="s">
        <v>663</v>
      </c>
      <c r="B20" s="750" t="s">
        <v>664</v>
      </c>
      <c r="C20" s="450" t="s">
        <v>665</v>
      </c>
      <c r="D20" s="450" t="s">
        <v>666</v>
      </c>
      <c r="E20" s="751" t="s">
        <v>667</v>
      </c>
    </row>
    <row r="21" spans="1:5" ht="13.5" thickBot="1" x14ac:dyDescent="0.25">
      <c r="A21" s="71"/>
      <c r="B21" s="752" t="s">
        <v>668</v>
      </c>
      <c r="C21" s="350" t="s">
        <v>669</v>
      </c>
      <c r="D21" s="350" t="s">
        <v>626</v>
      </c>
      <c r="E21" s="751" t="s">
        <v>667</v>
      </c>
    </row>
    <row r="22" spans="1:5" ht="13.5" thickBot="1" x14ac:dyDescent="0.25">
      <c r="A22" s="73" t="s">
        <v>670</v>
      </c>
      <c r="B22" s="82" t="s">
        <v>671</v>
      </c>
      <c r="C22" s="82"/>
      <c r="D22" s="82" t="s">
        <v>672</v>
      </c>
      <c r="E22" s="83" t="s">
        <v>673</v>
      </c>
    </row>
    <row r="23" spans="1:5" ht="13.5" thickBot="1" x14ac:dyDescent="0.25">
      <c r="A23" s="177" t="s">
        <v>674</v>
      </c>
      <c r="B23" s="178" t="s">
        <v>675</v>
      </c>
      <c r="C23" s="753"/>
      <c r="D23" s="753"/>
      <c r="E23" s="754" t="s">
        <v>676</v>
      </c>
    </row>
    <row r="24" spans="1:5" ht="13.5" thickBot="1" x14ac:dyDescent="0.25">
      <c r="A24" s="71" t="s">
        <v>677</v>
      </c>
      <c r="B24" s="73" t="s">
        <v>678</v>
      </c>
      <c r="C24" s="74" t="s">
        <v>679</v>
      </c>
      <c r="D24" s="74" t="s">
        <v>680</v>
      </c>
      <c r="E24" s="75" t="s">
        <v>681</v>
      </c>
    </row>
    <row r="25" spans="1:5" x14ac:dyDescent="0.2">
      <c r="B25" s="76" t="s">
        <v>682</v>
      </c>
      <c r="C25" s="31" t="s">
        <v>683</v>
      </c>
      <c r="D25" s="31" t="s">
        <v>684</v>
      </c>
      <c r="E25" s="77" t="s">
        <v>653</v>
      </c>
    </row>
    <row r="26" spans="1:5" x14ac:dyDescent="0.2">
      <c r="B26" s="78" t="s">
        <v>685</v>
      </c>
      <c r="C26" s="5" t="s">
        <v>686</v>
      </c>
      <c r="D26" s="5"/>
      <c r="E26" s="79"/>
    </row>
    <row r="27" spans="1:5" x14ac:dyDescent="0.2">
      <c r="B27" s="78" t="s">
        <v>687</v>
      </c>
      <c r="C27" s="5" t="s">
        <v>688</v>
      </c>
      <c r="D27" s="5"/>
      <c r="E27" s="79"/>
    </row>
    <row r="28" spans="1:5" x14ac:dyDescent="0.2">
      <c r="B28" s="78" t="s">
        <v>689</v>
      </c>
      <c r="C28" s="5" t="s">
        <v>688</v>
      </c>
      <c r="D28" s="5"/>
      <c r="E28" s="79"/>
    </row>
    <row r="29" spans="1:5" x14ac:dyDescent="0.2">
      <c r="B29" s="78" t="s">
        <v>690</v>
      </c>
      <c r="C29" s="5" t="s">
        <v>691</v>
      </c>
      <c r="D29" s="5"/>
      <c r="E29" s="79"/>
    </row>
    <row r="30" spans="1:5" ht="13.5" thickBot="1" x14ac:dyDescent="0.25">
      <c r="B30" s="174" t="s">
        <v>692</v>
      </c>
      <c r="C30" s="139" t="s">
        <v>639</v>
      </c>
      <c r="D30" s="139"/>
      <c r="E30" s="175"/>
    </row>
    <row r="31" spans="1:5" ht="13.5" thickBot="1" x14ac:dyDescent="0.25">
      <c r="A31" s="177" t="s">
        <v>693</v>
      </c>
      <c r="B31" s="755" t="s">
        <v>694</v>
      </c>
      <c r="C31" s="143"/>
      <c r="D31" s="143"/>
      <c r="E31" s="144" t="s">
        <v>657</v>
      </c>
    </row>
    <row r="32" spans="1:5" ht="13.5" thickBot="1" x14ac:dyDescent="0.25">
      <c r="A32" s="73" t="s">
        <v>695</v>
      </c>
      <c r="B32" s="74" t="s">
        <v>696</v>
      </c>
      <c r="C32" s="74"/>
      <c r="D32" s="74"/>
      <c r="E32" s="75" t="s">
        <v>657</v>
      </c>
    </row>
    <row r="33" spans="1:8" ht="13.5" thickBot="1" x14ac:dyDescent="0.25">
      <c r="A33" s="756" t="s">
        <v>697</v>
      </c>
      <c r="B33" s="752" t="s">
        <v>698</v>
      </c>
      <c r="C33" s="350" t="s">
        <v>699</v>
      </c>
      <c r="D33" s="350"/>
      <c r="E33" s="350" t="s">
        <v>700</v>
      </c>
    </row>
    <row r="34" spans="1:8" ht="13.5" customHeight="1" thickBot="1" x14ac:dyDescent="0.25">
      <c r="A34" s="70" t="s">
        <v>701</v>
      </c>
      <c r="B34" s="726" t="s">
        <v>702</v>
      </c>
      <c r="C34" s="82" t="s">
        <v>703</v>
      </c>
      <c r="D34" s="82" t="s">
        <v>704</v>
      </c>
      <c r="E34" s="83" t="s">
        <v>653</v>
      </c>
    </row>
    <row r="35" spans="1:8" ht="13.5" customHeight="1" thickBot="1" x14ac:dyDescent="0.25">
      <c r="A35" s="749" t="s">
        <v>705</v>
      </c>
      <c r="B35" s="757" t="s">
        <v>706</v>
      </c>
      <c r="C35" s="353" t="s">
        <v>707</v>
      </c>
      <c r="D35" s="353"/>
      <c r="E35" s="451" t="s">
        <v>708</v>
      </c>
    </row>
    <row r="36" spans="1:8" ht="13.5" customHeight="1" thickBot="1" x14ac:dyDescent="0.25">
      <c r="B36" s="150" t="s">
        <v>709</v>
      </c>
      <c r="C36" s="137" t="s">
        <v>707</v>
      </c>
      <c r="D36" s="137"/>
      <c r="E36" s="451" t="s">
        <v>708</v>
      </c>
    </row>
    <row r="37" spans="1:8" ht="13.5" customHeight="1" thickBot="1" x14ac:dyDescent="0.25">
      <c r="B37" s="150" t="s">
        <v>710</v>
      </c>
      <c r="C37" s="137" t="s">
        <v>711</v>
      </c>
      <c r="D37" s="137"/>
      <c r="E37" s="451" t="s">
        <v>708</v>
      </c>
    </row>
    <row r="38" spans="1:8" ht="13.5" customHeight="1" thickBot="1" x14ac:dyDescent="0.25">
      <c r="B38" s="150" t="s">
        <v>712</v>
      </c>
      <c r="C38" s="137" t="s">
        <v>711</v>
      </c>
      <c r="D38" s="137"/>
      <c r="E38" s="451" t="s">
        <v>708</v>
      </c>
    </row>
    <row r="39" spans="1:8" ht="13.5" customHeight="1" thickBot="1" x14ac:dyDescent="0.25">
      <c r="B39" s="150" t="s">
        <v>713</v>
      </c>
      <c r="C39" s="137" t="s">
        <v>714</v>
      </c>
      <c r="D39" s="137"/>
      <c r="E39" s="451" t="s">
        <v>708</v>
      </c>
    </row>
    <row r="40" spans="1:8" ht="13.5" customHeight="1" thickBot="1" x14ac:dyDescent="0.25">
      <c r="B40" s="150" t="s">
        <v>715</v>
      </c>
      <c r="C40" s="137" t="s">
        <v>714</v>
      </c>
      <c r="D40" s="137"/>
      <c r="E40" s="451" t="s">
        <v>708</v>
      </c>
    </row>
    <row r="41" spans="1:8" ht="13.5" customHeight="1" thickBot="1" x14ac:dyDescent="0.25">
      <c r="B41" s="150" t="s">
        <v>716</v>
      </c>
      <c r="C41" s="137" t="s">
        <v>714</v>
      </c>
      <c r="D41" s="137"/>
      <c r="E41" s="451" t="s">
        <v>708</v>
      </c>
    </row>
    <row r="42" spans="1:8" ht="13.5" customHeight="1" thickBot="1" x14ac:dyDescent="0.25">
      <c r="B42" s="150" t="s">
        <v>717</v>
      </c>
      <c r="C42" s="137" t="s">
        <v>714</v>
      </c>
      <c r="D42" s="137"/>
      <c r="E42" s="451" t="s">
        <v>708</v>
      </c>
    </row>
    <row r="43" spans="1:8" ht="13.5" customHeight="1" thickBot="1" x14ac:dyDescent="0.25">
      <c r="B43" s="150" t="s">
        <v>718</v>
      </c>
      <c r="C43" s="137" t="s">
        <v>703</v>
      </c>
      <c r="D43" s="137"/>
      <c r="E43" s="451" t="s">
        <v>708</v>
      </c>
    </row>
    <row r="44" spans="1:8" ht="13.5" thickBot="1" x14ac:dyDescent="0.25">
      <c r="B44" s="152" t="s">
        <v>719</v>
      </c>
      <c r="C44" s="141" t="s">
        <v>711</v>
      </c>
      <c r="D44" s="141"/>
      <c r="E44" s="451" t="s">
        <v>708</v>
      </c>
    </row>
    <row r="45" spans="1:8" ht="13.5" thickBot="1" x14ac:dyDescent="0.25">
      <c r="A45" s="68" t="s">
        <v>720</v>
      </c>
      <c r="B45" s="82" t="s">
        <v>694</v>
      </c>
      <c r="C45" s="82" t="s">
        <v>721</v>
      </c>
      <c r="D45" s="82" t="s">
        <v>722</v>
      </c>
      <c r="E45" s="83" t="s">
        <v>723</v>
      </c>
    </row>
    <row r="46" spans="1:8" ht="13.5" thickBot="1" x14ac:dyDescent="0.25">
      <c r="A46" s="142" t="s">
        <v>724</v>
      </c>
      <c r="B46" s="143">
        <v>1500</v>
      </c>
      <c r="C46" s="143"/>
      <c r="D46" s="143"/>
      <c r="E46" s="144" t="s">
        <v>725</v>
      </c>
      <c r="F46" s="446" t="s">
        <v>726</v>
      </c>
      <c r="G46" s="446" t="s">
        <v>290</v>
      </c>
      <c r="H46" s="446" t="s">
        <v>291</v>
      </c>
    </row>
    <row r="47" spans="1:8" x14ac:dyDescent="0.2">
      <c r="F47" s="84">
        <v>0.87</v>
      </c>
      <c r="G47">
        <f>F47-(0.04+0.02*F47)</f>
        <v>0.81259999999999999</v>
      </c>
      <c r="H47">
        <f>F47+(0.04+0.02*F47)</f>
        <v>0.9274</v>
      </c>
    </row>
    <row r="48" spans="1:8" x14ac:dyDescent="0.2">
      <c r="F48">
        <v>3.95</v>
      </c>
      <c r="G48">
        <f>F48-(0.04+0.02*F48)</f>
        <v>3.8310000000000004</v>
      </c>
      <c r="H48">
        <f>F48+(0.04+0.02*F48)</f>
        <v>4.069</v>
      </c>
    </row>
    <row r="49" spans="1:8" x14ac:dyDescent="0.2">
      <c r="F49" s="85">
        <v>9.61</v>
      </c>
      <c r="G49">
        <f>F49-(0.04+0.035*F49)</f>
        <v>9.233649999999999</v>
      </c>
      <c r="H49">
        <f>F49+(0.04+0.035*F49)</f>
        <v>9.9863499999999998</v>
      </c>
    </row>
    <row r="50" spans="1:8" x14ac:dyDescent="0.2">
      <c r="F50" s="84">
        <v>19.91</v>
      </c>
      <c r="G50">
        <f>F50-(0.04+0.035*F50)</f>
        <v>19.17315</v>
      </c>
      <c r="H50">
        <f>F50+(0.04+0.035*F50)</f>
        <v>20.646850000000001</v>
      </c>
    </row>
    <row r="51" spans="1:8" x14ac:dyDescent="0.2">
      <c r="F51">
        <v>29.5</v>
      </c>
      <c r="G51">
        <f>F51-(0.04+0.035*F51)</f>
        <v>28.427499999999998</v>
      </c>
      <c r="H51">
        <f>F51+(0.04+0.035*F51)</f>
        <v>30.572500000000002</v>
      </c>
    </row>
    <row r="52" spans="1:8" x14ac:dyDescent="0.2">
      <c r="F52">
        <v>47.88</v>
      </c>
      <c r="G52">
        <f>F52-(0.04+0.035*F52)</f>
        <v>46.164200000000001</v>
      </c>
      <c r="H52">
        <f>F52+(0.04+0.035*F52)</f>
        <v>49.595800000000004</v>
      </c>
    </row>
    <row r="53" spans="1:8" x14ac:dyDescent="0.2">
      <c r="F53">
        <v>79.34</v>
      </c>
      <c r="G53">
        <f>F53-(0.04+0.035*F53)</f>
        <v>76.523099999999999</v>
      </c>
      <c r="H53">
        <f>F53+(0.04+0.035*F53)</f>
        <v>82.156900000000007</v>
      </c>
    </row>
    <row r="57" spans="1:8" x14ac:dyDescent="0.2">
      <c r="A57" s="84">
        <v>0.87</v>
      </c>
      <c r="B57">
        <f>A57-(0.1+A57*0.03)</f>
        <v>0.74390000000000001</v>
      </c>
      <c r="C57">
        <f>B57-(0.1+B57*0.03)</f>
        <v>0.621583</v>
      </c>
      <c r="D57">
        <f>C57-(0.1+C57*0.03)</f>
        <v>0.50293551000000003</v>
      </c>
      <c r="E57">
        <f t="shared" ref="E57:E62" si="0">A57+(0.1+A57*0.03)</f>
        <v>0.99609999999999999</v>
      </c>
    </row>
    <row r="58" spans="1:8" x14ac:dyDescent="0.2">
      <c r="A58">
        <v>3.95</v>
      </c>
      <c r="B58">
        <f t="shared" ref="B58:D62" si="1">A58-(0.1+A58*0.03)</f>
        <v>3.7315</v>
      </c>
      <c r="C58">
        <f t="shared" si="1"/>
        <v>3.519555</v>
      </c>
      <c r="D58">
        <f t="shared" si="1"/>
        <v>3.3139683500000001</v>
      </c>
      <c r="E58">
        <f t="shared" si="0"/>
        <v>4.1684999999999999</v>
      </c>
    </row>
    <row r="59" spans="1:8" x14ac:dyDescent="0.2">
      <c r="A59" s="85">
        <v>9.61</v>
      </c>
      <c r="B59">
        <f t="shared" si="1"/>
        <v>9.2217000000000002</v>
      </c>
      <c r="C59">
        <f t="shared" si="1"/>
        <v>8.8450489999999995</v>
      </c>
      <c r="D59">
        <f t="shared" si="1"/>
        <v>8.4796975299999993</v>
      </c>
      <c r="E59">
        <f t="shared" si="0"/>
        <v>9.9982999999999986</v>
      </c>
    </row>
    <row r="60" spans="1:8" x14ac:dyDescent="0.2">
      <c r="A60" s="84">
        <v>19.91</v>
      </c>
      <c r="B60">
        <f t="shared" si="1"/>
        <v>19.212700000000002</v>
      </c>
      <c r="C60">
        <f t="shared" si="1"/>
        <v>18.536319000000002</v>
      </c>
      <c r="D60">
        <f t="shared" si="1"/>
        <v>17.880229430000004</v>
      </c>
      <c r="E60">
        <f t="shared" si="0"/>
        <v>20.607299999999999</v>
      </c>
    </row>
    <row r="61" spans="1:8" x14ac:dyDescent="0.2">
      <c r="A61">
        <v>29.5</v>
      </c>
      <c r="B61">
        <f t="shared" si="1"/>
        <v>28.515000000000001</v>
      </c>
      <c r="C61">
        <f t="shared" si="1"/>
        <v>27.559550000000002</v>
      </c>
      <c r="D61">
        <f t="shared" si="1"/>
        <v>26.632763500000003</v>
      </c>
      <c r="E61">
        <f t="shared" si="0"/>
        <v>30.484999999999999</v>
      </c>
    </row>
    <row r="62" spans="1:8" x14ac:dyDescent="0.2">
      <c r="A62">
        <v>47.88</v>
      </c>
      <c r="B62">
        <f t="shared" si="1"/>
        <v>46.343600000000002</v>
      </c>
      <c r="C62">
        <f t="shared" si="1"/>
        <v>44.853292000000003</v>
      </c>
      <c r="D62">
        <f t="shared" si="1"/>
        <v>43.40769324</v>
      </c>
      <c r="E62">
        <f t="shared" si="0"/>
        <v>49.416400000000003</v>
      </c>
    </row>
  </sheetData>
  <sheetProtection sheet="1" objects="1" scenarios="1" selectLockedCells="1"/>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Pict="0" macro="[0]!ReturnToMain">
                <anchor moveWithCells="1" sizeWithCells="1">
                  <from>
                    <xdr:col>0</xdr:col>
                    <xdr:colOff>19050</xdr:colOff>
                    <xdr:row>0</xdr:row>
                    <xdr:rowOff>19050</xdr:rowOff>
                  </from>
                  <to>
                    <xdr:col>0</xdr:col>
                    <xdr:colOff>790575</xdr:colOff>
                    <xdr:row>0</xdr:row>
                    <xdr:rowOff>152400</xdr:rowOff>
                  </to>
                </anchor>
              </controlPr>
            </control>
          </mc:Choice>
        </mc:AlternateContent>
        <mc:AlternateContent xmlns:mc="http://schemas.openxmlformats.org/markup-compatibility/2006">
          <mc:Choice Requires="x14">
            <control shapeId="9224" r:id="rId4" name="Button 8">
              <controlPr defaultSize="0" print="0" autoFill="0" autoPict="0" macro="[0]!FischerThicknessProbeInfo">
                <anchor moveWithCells="1" sizeWithCells="1">
                  <from>
                    <xdr:col>0</xdr:col>
                    <xdr:colOff>876300</xdr:colOff>
                    <xdr:row>0</xdr:row>
                    <xdr:rowOff>19050</xdr:rowOff>
                  </from>
                  <to>
                    <xdr:col>1</xdr:col>
                    <xdr:colOff>704850</xdr:colOff>
                    <xdr:row>0</xdr:row>
                    <xdr:rowOff>152400</xdr:rowOff>
                  </to>
                </anchor>
              </controlPr>
            </control>
          </mc:Choice>
        </mc:AlternateContent>
        <mc:AlternateContent xmlns:mc="http://schemas.openxmlformats.org/markup-compatibility/2006">
          <mc:Choice Requires="x14">
            <control shapeId="9225" r:id="rId5" name="Button 9">
              <controlPr defaultSize="0" print="0" autoFill="0" autoPict="0" macro="[0]!DeFelskoThicknessProbeInfo">
                <anchor moveWithCells="1" sizeWithCells="1">
                  <from>
                    <xdr:col>1</xdr:col>
                    <xdr:colOff>790575</xdr:colOff>
                    <xdr:row>0</xdr:row>
                    <xdr:rowOff>19050</xdr:rowOff>
                  </from>
                  <to>
                    <xdr:col>4</xdr:col>
                    <xdr:colOff>247650</xdr:colOff>
                    <xdr:row>0</xdr:row>
                    <xdr:rowOff>152400</xdr:rowOff>
                  </to>
                </anchor>
              </controlPr>
            </control>
          </mc:Choice>
        </mc:AlternateContent>
        <mc:AlternateContent xmlns:mc="http://schemas.openxmlformats.org/markup-compatibility/2006">
          <mc:Choice Requires="x14">
            <control shapeId="9226" r:id="rId6" name="Button 10">
              <controlPr defaultSize="0" print="0" autoFill="0" autoPict="0" macro="[0]!CoatingThicknessCalc">
                <anchor moveWithCells="1" sizeWithCells="1">
                  <from>
                    <xdr:col>4</xdr:col>
                    <xdr:colOff>304800</xdr:colOff>
                    <xdr:row>0</xdr:row>
                    <xdr:rowOff>19050</xdr:rowOff>
                  </from>
                  <to>
                    <xdr:col>4</xdr:col>
                    <xdr:colOff>1095375</xdr:colOff>
                    <xdr:row>0</xdr:row>
                    <xdr:rowOff>152400</xdr:rowOff>
                  </to>
                </anchor>
              </controlPr>
            </control>
          </mc:Choice>
        </mc:AlternateContent>
        <mc:AlternateContent xmlns:mc="http://schemas.openxmlformats.org/markup-compatibility/2006">
          <mc:Choice Requires="x14">
            <control shapeId="9227" r:id="rId7" name="Button 11">
              <controlPr defaultSize="0" print="0" autoFill="0" autoPict="0" macro="[0]!CoatingThicknessNIST">
                <anchor moveWithCells="1" sizeWithCells="1">
                  <from>
                    <xdr:col>4</xdr:col>
                    <xdr:colOff>1123950</xdr:colOff>
                    <xdr:row>0</xdr:row>
                    <xdr:rowOff>19050</xdr:rowOff>
                  </from>
                  <to>
                    <xdr:col>4</xdr:col>
                    <xdr:colOff>1914525</xdr:colOff>
                    <xdr:row>0</xdr:row>
                    <xdr:rowOff>152400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7">
    <tabColor indexed="13"/>
  </sheetPr>
  <dimension ref="N1:P24"/>
  <sheetViews>
    <sheetView topLeftCell="A24" zoomScale="130" zoomScaleNormal="130" workbookViewId="0"/>
  </sheetViews>
  <sheetFormatPr defaultRowHeight="12.75" x14ac:dyDescent="0.2"/>
  <cols>
    <col min="14" max="14" width="12.7109375" customWidth="1"/>
    <col min="15" max="15" width="12.85546875" bestFit="1" customWidth="1"/>
  </cols>
  <sheetData>
    <row r="1" spans="14:16" ht="25.5" customHeight="1" x14ac:dyDescent="0.2"/>
    <row r="3" spans="14:16" ht="12.75" customHeight="1" x14ac:dyDescent="0.2">
      <c r="N3" t="s">
        <v>727</v>
      </c>
    </row>
    <row r="4" spans="14:16" x14ac:dyDescent="0.2">
      <c r="N4" t="s">
        <v>728</v>
      </c>
    </row>
    <row r="7" spans="14:16" x14ac:dyDescent="0.2">
      <c r="N7" t="s">
        <v>729</v>
      </c>
    </row>
    <row r="8" spans="14:16" x14ac:dyDescent="0.2">
      <c r="N8" t="s">
        <v>730</v>
      </c>
      <c r="P8" t="s">
        <v>731</v>
      </c>
    </row>
    <row r="9" spans="14:16" x14ac:dyDescent="0.2">
      <c r="N9" t="s">
        <v>732</v>
      </c>
      <c r="P9" t="s">
        <v>733</v>
      </c>
    </row>
    <row r="11" spans="14:16" x14ac:dyDescent="0.2">
      <c r="N11" t="s">
        <v>734</v>
      </c>
    </row>
    <row r="12" spans="14:16" x14ac:dyDescent="0.2">
      <c r="N12" t="s">
        <v>735</v>
      </c>
    </row>
    <row r="13" spans="14:16" x14ac:dyDescent="0.2">
      <c r="N13" t="s">
        <v>736</v>
      </c>
    </row>
    <row r="16" spans="14:16" x14ac:dyDescent="0.2">
      <c r="N16" t="s">
        <v>737</v>
      </c>
      <c r="O16" t="s">
        <v>738</v>
      </c>
    </row>
    <row r="17" spans="14:15" x14ac:dyDescent="0.2">
      <c r="N17">
        <v>1.6299999999999999E-2</v>
      </c>
      <c r="O17" s="86" t="s">
        <v>739</v>
      </c>
    </row>
    <row r="18" spans="14:15" x14ac:dyDescent="0.2">
      <c r="N18">
        <v>2.8500000000000001E-2</v>
      </c>
      <c r="O18" s="86" t="s">
        <v>740</v>
      </c>
    </row>
    <row r="19" spans="14:15" x14ac:dyDescent="0.2">
      <c r="N19">
        <v>6.0299999999999999E-2</v>
      </c>
      <c r="O19" s="86" t="s">
        <v>741</v>
      </c>
    </row>
    <row r="20" spans="14:15" x14ac:dyDescent="0.2">
      <c r="N20">
        <v>2.3699999999999999E-2</v>
      </c>
      <c r="O20" s="86" t="s">
        <v>742</v>
      </c>
    </row>
    <row r="21" spans="14:15" x14ac:dyDescent="0.2">
      <c r="N21">
        <v>0.47210000000000002</v>
      </c>
      <c r="O21" s="86" t="s">
        <v>743</v>
      </c>
    </row>
    <row r="24" spans="14:15" x14ac:dyDescent="0.2">
      <c r="N24" t="s">
        <v>744</v>
      </c>
    </row>
  </sheetData>
  <sheetProtection sheet="1" objects="1" scenarios="1"/>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1" r:id="rId3" name="Button 19">
              <controlPr defaultSize="0" print="0" autoFill="0" autoPict="0" macro="[0]!ReturnToMain">
                <anchor moveWithCells="1" sizeWithCells="1">
                  <from>
                    <xdr:col>0</xdr:col>
                    <xdr:colOff>19050</xdr:colOff>
                    <xdr:row>0</xdr:row>
                    <xdr:rowOff>19050</xdr:rowOff>
                  </from>
                  <to>
                    <xdr:col>2</xdr:col>
                    <xdr:colOff>171450</xdr:colOff>
                    <xdr:row>0</xdr:row>
                    <xdr:rowOff>161925</xdr:rowOff>
                  </to>
                </anchor>
              </controlPr>
            </control>
          </mc:Choice>
        </mc:AlternateContent>
        <mc:AlternateContent xmlns:mc="http://schemas.openxmlformats.org/markup-compatibility/2006">
          <mc:Choice Requires="x14">
            <control shapeId="3095" r:id="rId4" name="Button 23">
              <controlPr defaultSize="0" print="0" autoFill="0" autoPict="0" macro="[0]!CoatingThicknessCalc">
                <anchor moveWithCells="1" sizeWithCells="1">
                  <from>
                    <xdr:col>5</xdr:col>
                    <xdr:colOff>171450</xdr:colOff>
                    <xdr:row>0</xdr:row>
                    <xdr:rowOff>19050</xdr:rowOff>
                  </from>
                  <to>
                    <xdr:col>8</xdr:col>
                    <xdr:colOff>0</xdr:colOff>
                    <xdr:row>0</xdr:row>
                    <xdr:rowOff>161925</xdr:rowOff>
                  </to>
                </anchor>
              </controlPr>
            </control>
          </mc:Choice>
        </mc:AlternateContent>
        <mc:AlternateContent xmlns:mc="http://schemas.openxmlformats.org/markup-compatibility/2006">
          <mc:Choice Requires="x14">
            <control shapeId="3096" r:id="rId5" name="Button 24">
              <controlPr defaultSize="0" print="0" autoFill="0" autoPict="0" macro="[0]!CoatingThicknessNIST">
                <anchor moveWithCells="1" sizeWithCells="1">
                  <from>
                    <xdr:col>8</xdr:col>
                    <xdr:colOff>38100</xdr:colOff>
                    <xdr:row>0</xdr:row>
                    <xdr:rowOff>19050</xdr:rowOff>
                  </from>
                  <to>
                    <xdr:col>10</xdr:col>
                    <xdr:colOff>180975</xdr:colOff>
                    <xdr:row>0</xdr:row>
                    <xdr:rowOff>161925</xdr:rowOff>
                  </to>
                </anchor>
              </controlPr>
            </control>
          </mc:Choice>
        </mc:AlternateContent>
        <mc:AlternateContent xmlns:mc="http://schemas.openxmlformats.org/markup-compatibility/2006">
          <mc:Choice Requires="x14">
            <control shapeId="3097" r:id="rId6" name="Button 25">
              <controlPr defaultSize="0" print="0" autoFill="0" autoPict="0" macro="[0]!CoatingThicknessManufacturers">
                <anchor moveWithCells="1" sizeWithCells="1">
                  <from>
                    <xdr:col>2</xdr:col>
                    <xdr:colOff>209550</xdr:colOff>
                    <xdr:row>0</xdr:row>
                    <xdr:rowOff>19050</xdr:rowOff>
                  </from>
                  <to>
                    <xdr:col>5</xdr:col>
                    <xdr:colOff>133350</xdr:colOff>
                    <xdr:row>0</xdr:row>
                    <xdr:rowOff>161925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8">
    <tabColor indexed="13"/>
  </sheetPr>
  <dimension ref="A1:H110"/>
  <sheetViews>
    <sheetView topLeftCell="A27" workbookViewId="0"/>
  </sheetViews>
  <sheetFormatPr defaultRowHeight="12.75" x14ac:dyDescent="0.2"/>
  <cols>
    <col min="1" max="1" width="28.7109375" customWidth="1"/>
    <col min="2" max="2" width="25.28515625" bestFit="1" customWidth="1"/>
    <col min="3" max="3" width="26" bestFit="1" customWidth="1"/>
    <col min="6" max="6" width="21.28515625" customWidth="1"/>
    <col min="7" max="7" width="27" bestFit="1" customWidth="1"/>
    <col min="8" max="8" width="27.5703125" bestFit="1" customWidth="1"/>
  </cols>
  <sheetData>
    <row r="1" spans="1:5" ht="22.5" customHeight="1" x14ac:dyDescent="0.2"/>
    <row r="2" spans="1:5" x14ac:dyDescent="0.2">
      <c r="A2" t="s">
        <v>745</v>
      </c>
      <c r="E2" t="s">
        <v>746</v>
      </c>
    </row>
    <row r="56" spans="1:8" ht="13.5" thickBot="1" x14ac:dyDescent="0.25"/>
    <row r="57" spans="1:8" ht="13.5" thickBot="1" x14ac:dyDescent="0.25">
      <c r="A57" s="1176" t="s">
        <v>747</v>
      </c>
      <c r="B57" s="1177"/>
      <c r="C57" s="1177"/>
      <c r="D57" s="1177"/>
      <c r="E57" s="1177"/>
      <c r="F57" s="1177"/>
      <c r="G57" s="1177"/>
      <c r="H57" s="1178"/>
    </row>
    <row r="58" spans="1:8" x14ac:dyDescent="0.2">
      <c r="A58" s="1236" t="s">
        <v>748</v>
      </c>
      <c r="B58" s="1236"/>
      <c r="C58" s="1236"/>
      <c r="F58" s="1236" t="s">
        <v>749</v>
      </c>
      <c r="G58" s="1236"/>
      <c r="H58" s="1236"/>
    </row>
    <row r="59" spans="1:8" x14ac:dyDescent="0.2">
      <c r="A59" s="407" t="s">
        <v>750</v>
      </c>
      <c r="B59" s="720" t="s">
        <v>751</v>
      </c>
      <c r="C59" s="720" t="s">
        <v>752</v>
      </c>
      <c r="F59" s="407" t="s">
        <v>750</v>
      </c>
      <c r="G59" s="720" t="s">
        <v>753</v>
      </c>
      <c r="H59" s="720" t="s">
        <v>754</v>
      </c>
    </row>
    <row r="60" spans="1:8" x14ac:dyDescent="0.2">
      <c r="A60" s="40">
        <v>0.87</v>
      </c>
      <c r="B60" s="559">
        <f t="shared" ref="B60:B66" si="0">A60-(0.5+(A60*0.01))</f>
        <v>0.36129999999999995</v>
      </c>
      <c r="C60" s="559">
        <f t="shared" ref="C60:C66" si="1">A60+(0.5+(B60*0.01))</f>
        <v>1.373613</v>
      </c>
      <c r="F60" s="40">
        <v>0.87</v>
      </c>
      <c r="G60" s="559">
        <f>F60-(0.05+(F60*0.01))</f>
        <v>0.81130000000000002</v>
      </c>
      <c r="H60" s="559">
        <f>F60+(0.05+(F60*0.01))</f>
        <v>0.92869999999999997</v>
      </c>
    </row>
    <row r="61" spans="1:8" x14ac:dyDescent="0.2">
      <c r="A61" s="407">
        <v>2.64</v>
      </c>
      <c r="B61" s="721">
        <f t="shared" si="0"/>
        <v>2.1135999999999999</v>
      </c>
      <c r="C61" s="721">
        <f t="shared" si="1"/>
        <v>3.1611359999999999</v>
      </c>
      <c r="F61" s="407" t="s">
        <v>750</v>
      </c>
      <c r="G61" s="720" t="s">
        <v>755</v>
      </c>
      <c r="H61" s="720" t="s">
        <v>756</v>
      </c>
    </row>
    <row r="62" spans="1:8" x14ac:dyDescent="0.2">
      <c r="A62" s="5">
        <v>3.95</v>
      </c>
      <c r="B62" s="559">
        <f t="shared" si="0"/>
        <v>3.4105000000000003</v>
      </c>
      <c r="C62" s="559">
        <f t="shared" si="1"/>
        <v>4.4841050000000005</v>
      </c>
      <c r="F62" s="40">
        <v>2.64</v>
      </c>
      <c r="G62" s="559">
        <f>F62-(0.1+(F62*0.01))</f>
        <v>2.5136000000000003</v>
      </c>
      <c r="H62" s="559">
        <f t="shared" ref="H62:H68" si="2">F62+(0.1+(F62*0.01))</f>
        <v>2.7664</v>
      </c>
    </row>
    <row r="63" spans="1:8" x14ac:dyDescent="0.2">
      <c r="A63" s="356">
        <v>9.7100000000000009</v>
      </c>
      <c r="B63" s="721">
        <f t="shared" si="0"/>
        <v>9.1129000000000016</v>
      </c>
      <c r="C63" s="721">
        <f t="shared" si="1"/>
        <v>10.301129000000001</v>
      </c>
      <c r="F63" s="356">
        <v>3.95</v>
      </c>
      <c r="G63" s="721">
        <f t="shared" ref="G63:G68" si="3">F63-(0.1+(F63*0.01))</f>
        <v>3.8105000000000002</v>
      </c>
      <c r="H63" s="721">
        <f t="shared" si="2"/>
        <v>4.0895000000000001</v>
      </c>
    </row>
    <row r="64" spans="1:8" x14ac:dyDescent="0.2">
      <c r="A64" s="5">
        <v>19.79</v>
      </c>
      <c r="B64" s="559">
        <f t="shared" si="0"/>
        <v>19.092099999999999</v>
      </c>
      <c r="C64" s="559">
        <f t="shared" si="1"/>
        <v>20.480920999999999</v>
      </c>
      <c r="F64" s="5">
        <v>9.7100000000000009</v>
      </c>
      <c r="G64" s="559">
        <f t="shared" si="3"/>
        <v>9.5129000000000001</v>
      </c>
      <c r="H64" s="559">
        <f t="shared" si="2"/>
        <v>9.9071000000000016</v>
      </c>
    </row>
    <row r="65" spans="1:8" x14ac:dyDescent="0.2">
      <c r="A65" s="356">
        <v>47.88</v>
      </c>
      <c r="B65" s="721">
        <f t="shared" si="0"/>
        <v>46.901200000000003</v>
      </c>
      <c r="C65" s="721">
        <f t="shared" si="1"/>
        <v>48.849012000000002</v>
      </c>
      <c r="F65" s="356">
        <v>19.79</v>
      </c>
      <c r="G65" s="721">
        <f t="shared" si="3"/>
        <v>19.492100000000001</v>
      </c>
      <c r="H65" s="721">
        <f t="shared" si="2"/>
        <v>20.087899999999998</v>
      </c>
    </row>
    <row r="66" spans="1:8" x14ac:dyDescent="0.2">
      <c r="A66" s="5">
        <v>79.34</v>
      </c>
      <c r="B66" s="559">
        <f t="shared" si="0"/>
        <v>78.046599999999998</v>
      </c>
      <c r="C66" s="559">
        <f t="shared" si="1"/>
        <v>80.620466000000008</v>
      </c>
      <c r="F66" s="5">
        <v>29.5</v>
      </c>
      <c r="G66" s="559">
        <f t="shared" si="3"/>
        <v>29.105</v>
      </c>
      <c r="H66" s="559">
        <f t="shared" si="2"/>
        <v>29.895</v>
      </c>
    </row>
    <row r="67" spans="1:8" x14ac:dyDescent="0.2">
      <c r="F67" s="356">
        <v>47.88</v>
      </c>
      <c r="G67" s="721">
        <f t="shared" si="3"/>
        <v>47.301200000000001</v>
      </c>
      <c r="H67" s="721">
        <f t="shared" si="2"/>
        <v>48.458800000000004</v>
      </c>
    </row>
    <row r="68" spans="1:8" x14ac:dyDescent="0.2">
      <c r="F68" s="5">
        <v>79.34</v>
      </c>
      <c r="G68" s="559">
        <f t="shared" si="3"/>
        <v>78.446600000000004</v>
      </c>
      <c r="H68" s="559">
        <f t="shared" si="2"/>
        <v>80.233400000000003</v>
      </c>
    </row>
    <row r="72" spans="1:8" x14ac:dyDescent="0.2">
      <c r="G72" s="86"/>
    </row>
    <row r="102" spans="2:4" x14ac:dyDescent="0.2">
      <c r="B102" s="86"/>
      <c r="C102" s="87"/>
      <c r="D102" s="87"/>
    </row>
    <row r="103" spans="2:4" x14ac:dyDescent="0.2">
      <c r="B103" s="86"/>
      <c r="C103" s="103"/>
      <c r="D103" s="103"/>
    </row>
    <row r="104" spans="2:4" x14ac:dyDescent="0.2">
      <c r="B104" s="86"/>
      <c r="C104" s="103"/>
      <c r="D104" s="103"/>
    </row>
    <row r="105" spans="2:4" x14ac:dyDescent="0.2">
      <c r="C105" s="103"/>
      <c r="D105" s="103"/>
    </row>
    <row r="106" spans="2:4" x14ac:dyDescent="0.2">
      <c r="C106" s="103"/>
      <c r="D106" s="103"/>
    </row>
    <row r="107" spans="2:4" x14ac:dyDescent="0.2">
      <c r="C107" s="103"/>
      <c r="D107" s="103"/>
    </row>
    <row r="108" spans="2:4" x14ac:dyDescent="0.2">
      <c r="C108" s="103"/>
      <c r="D108" s="103"/>
    </row>
    <row r="109" spans="2:4" x14ac:dyDescent="0.2">
      <c r="C109" s="103"/>
      <c r="D109" s="103"/>
    </row>
    <row r="110" spans="2:4" x14ac:dyDescent="0.2">
      <c r="C110" s="103"/>
      <c r="D110" s="103"/>
    </row>
  </sheetData>
  <sheetProtection sheet="1" objects="1" scenarios="1"/>
  <mergeCells count="3">
    <mergeCell ref="A57:H57"/>
    <mergeCell ref="A58:C58"/>
    <mergeCell ref="F58:H58"/>
  </mergeCells>
  <phoneticPr fontId="1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43" r:id="rId4" name="Button 47">
              <controlPr defaultSize="0" print="0" autoFill="0" autoPict="0" macro="[0]!ReturnToMain">
                <anchor moveWithCells="1" sizeWithCells="1">
                  <from>
                    <xdr:col>0</xdr:col>
                    <xdr:colOff>19050</xdr:colOff>
                    <xdr:row>0</xdr:row>
                    <xdr:rowOff>19050</xdr:rowOff>
                  </from>
                  <to>
                    <xdr:col>0</xdr:col>
                    <xdr:colOff>790575</xdr:colOff>
                    <xdr:row>1</xdr:row>
                    <xdr:rowOff>0</xdr:rowOff>
                  </to>
                </anchor>
              </controlPr>
            </control>
          </mc:Choice>
        </mc:AlternateContent>
        <mc:AlternateContent xmlns:mc="http://schemas.openxmlformats.org/markup-compatibility/2006">
          <mc:Choice Requires="x14">
            <control shapeId="4146" r:id="rId5" name="Button 50">
              <controlPr defaultSize="0" print="0" autoFill="0" autoPict="0" macro="[0]!CoatingThicknessCalc">
                <anchor moveWithCells="1" sizeWithCells="1">
                  <from>
                    <xdr:col>1</xdr:col>
                    <xdr:colOff>781050</xdr:colOff>
                    <xdr:row>0</xdr:row>
                    <xdr:rowOff>19050</xdr:rowOff>
                  </from>
                  <to>
                    <xdr:col>2</xdr:col>
                    <xdr:colOff>704850</xdr:colOff>
                    <xdr:row>1</xdr:row>
                    <xdr:rowOff>0</xdr:rowOff>
                  </to>
                </anchor>
              </controlPr>
            </control>
          </mc:Choice>
        </mc:AlternateContent>
        <mc:AlternateContent xmlns:mc="http://schemas.openxmlformats.org/markup-compatibility/2006">
          <mc:Choice Requires="x14">
            <control shapeId="4147" r:id="rId6" name="Button 51">
              <controlPr defaultSize="0" print="0" autoFill="0" autoPict="0" macro="[0]!CoatingThicknessNIST">
                <anchor moveWithCells="1" sizeWithCells="1">
                  <from>
                    <xdr:col>2</xdr:col>
                    <xdr:colOff>742950</xdr:colOff>
                    <xdr:row>0</xdr:row>
                    <xdr:rowOff>19050</xdr:rowOff>
                  </from>
                  <to>
                    <xdr:col>5</xdr:col>
                    <xdr:colOff>9525</xdr:colOff>
                    <xdr:row>1</xdr:row>
                    <xdr:rowOff>0</xdr:rowOff>
                  </to>
                </anchor>
              </controlPr>
            </control>
          </mc:Choice>
        </mc:AlternateContent>
        <mc:AlternateContent xmlns:mc="http://schemas.openxmlformats.org/markup-compatibility/2006">
          <mc:Choice Requires="x14">
            <control shapeId="4148" r:id="rId7" name="Button 52">
              <controlPr defaultSize="0" print="0" autoFill="0" autoPict="0" macro="[0]!CoatingThicknessManufacturers">
                <anchor moveWithCells="1" sizeWithCells="1">
                  <from>
                    <xdr:col>0</xdr:col>
                    <xdr:colOff>838200</xdr:colOff>
                    <xdr:row>0</xdr:row>
                    <xdr:rowOff>19050</xdr:rowOff>
                  </from>
                  <to>
                    <xdr:col>1</xdr:col>
                    <xdr:colOff>723900</xdr:colOff>
                    <xdr:row>1</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9">
    <tabColor indexed="13"/>
  </sheetPr>
  <dimension ref="A1:S33"/>
  <sheetViews>
    <sheetView topLeftCell="A13" workbookViewId="0">
      <selection activeCell="L22" sqref="L22"/>
    </sheetView>
  </sheetViews>
  <sheetFormatPr defaultRowHeight="12.75" x14ac:dyDescent="0.2"/>
  <cols>
    <col min="1" max="1" width="28.140625" customWidth="1"/>
    <col min="2" max="2" width="14.140625" customWidth="1"/>
    <col min="3" max="3" width="12.140625" customWidth="1"/>
    <col min="4" max="4" width="10" bestFit="1" customWidth="1"/>
    <col min="5" max="5" width="11.7109375" bestFit="1" customWidth="1"/>
    <col min="6" max="6" width="10.140625" customWidth="1"/>
    <col min="7" max="7" width="10.140625" bestFit="1" customWidth="1"/>
    <col min="8" max="8" width="10.85546875" customWidth="1"/>
    <col min="9" max="9" width="10.140625" bestFit="1" customWidth="1"/>
    <col min="10" max="11" width="9.7109375" customWidth="1"/>
    <col min="12" max="12" width="11.28515625" bestFit="1" customWidth="1"/>
    <col min="13" max="16" width="9.7109375" customWidth="1"/>
    <col min="19" max="19" width="11.28515625" customWidth="1"/>
  </cols>
  <sheetData>
    <row r="1" spans="1:18" s="10" customFormat="1" ht="25.5" customHeight="1" thickBot="1" x14ac:dyDescent="0.25"/>
    <row r="2" spans="1:18" ht="20.25" customHeight="1" thickBot="1" x14ac:dyDescent="0.25">
      <c r="A2" s="1237" t="s">
        <v>757</v>
      </c>
      <c r="B2" s="1238"/>
      <c r="C2" s="1238"/>
      <c r="D2" s="1238"/>
      <c r="E2" s="1238"/>
      <c r="F2" s="1238"/>
      <c r="G2" s="1238"/>
      <c r="H2" s="1238"/>
      <c r="I2" s="1238"/>
      <c r="J2" s="1238"/>
      <c r="K2" s="1238"/>
      <c r="L2" s="1239"/>
      <c r="M2" s="192"/>
      <c r="N2" s="192"/>
      <c r="O2" s="192"/>
      <c r="P2" s="192"/>
      <c r="Q2" s="192"/>
      <c r="R2" s="192"/>
    </row>
    <row r="3" spans="1:18" ht="18.75" customHeight="1" x14ac:dyDescent="0.2">
      <c r="A3" s="605"/>
      <c r="B3" s="606" t="b">
        <v>0</v>
      </c>
      <c r="C3" s="583"/>
      <c r="D3" s="583"/>
      <c r="E3" s="583"/>
      <c r="F3" s="583"/>
      <c r="G3" s="583"/>
      <c r="H3" s="583"/>
      <c r="I3" s="583"/>
      <c r="J3" s="583"/>
      <c r="K3" s="583"/>
      <c r="L3" s="607"/>
      <c r="M3" s="583"/>
      <c r="N3" s="86"/>
      <c r="O3" s="583"/>
      <c r="P3" s="583"/>
      <c r="Q3" s="583"/>
      <c r="R3" s="583"/>
    </row>
    <row r="4" spans="1:18" ht="12.75" customHeight="1" x14ac:dyDescent="0.2">
      <c r="A4" s="608" t="s">
        <v>758</v>
      </c>
      <c r="B4" s="550" t="s">
        <v>759</v>
      </c>
      <c r="C4" s="586" t="s">
        <v>290</v>
      </c>
      <c r="D4" s="586" t="s">
        <v>291</v>
      </c>
      <c r="E4" s="550" t="s">
        <v>760</v>
      </c>
      <c r="F4" s="550" t="s">
        <v>761</v>
      </c>
      <c r="G4" s="727" t="s">
        <v>762</v>
      </c>
      <c r="H4" s="550" t="s">
        <v>763</v>
      </c>
      <c r="I4" s="550" t="s">
        <v>764</v>
      </c>
      <c r="J4" s="586" t="s">
        <v>601</v>
      </c>
      <c r="K4" s="586" t="s">
        <v>765</v>
      </c>
      <c r="L4" s="917" t="s">
        <v>766</v>
      </c>
      <c r="M4" s="84"/>
      <c r="N4" s="86"/>
      <c r="O4" s="84"/>
      <c r="P4" s="84"/>
    </row>
    <row r="5" spans="1:18" x14ac:dyDescent="0.2">
      <c r="A5" s="1079">
        <f>IF(B3=TRUE,'JGI Thickness Foil Min_Max'!B18,'JGI Thickness Foil Min_Max'!A4)</f>
        <v>0.21</v>
      </c>
      <c r="B5" s="2">
        <v>5</v>
      </c>
      <c r="C5" s="472">
        <f>A5-(A5*B5/100)</f>
        <v>0.19949999999999998</v>
      </c>
      <c r="D5" s="472">
        <f>A5+(A5*B5/100)</f>
        <v>0.2205</v>
      </c>
      <c r="E5" s="2"/>
      <c r="F5" s="2"/>
      <c r="G5" s="2"/>
      <c r="H5" s="2"/>
      <c r="I5" s="2"/>
      <c r="J5" s="5" t="str">
        <f>IF(E5="","",IF(I5="",AVERAGE(E5:H5),AVERAGE(E5:I5)))</f>
        <v/>
      </c>
      <c r="K5" s="5" t="str">
        <f>IF(J5="", "",IF(AND(J5&gt;=C5,J5&lt;=D5), "Accepted", "Rejected"))</f>
        <v/>
      </c>
      <c r="L5" s="918" t="str">
        <f>IF(K5="","",((0.015*J5)+0.022))</f>
        <v/>
      </c>
      <c r="M5" s="84"/>
      <c r="N5" s="86"/>
      <c r="O5" s="84"/>
      <c r="P5" s="84"/>
    </row>
    <row r="6" spans="1:18" x14ac:dyDescent="0.2">
      <c r="A6" s="1079">
        <f>IF($B$3=TRUE,'JGI Thickness Foil Min_Max'!B19,'JGI Thickness Foil Min_Max'!A5)</f>
        <v>0.43</v>
      </c>
      <c r="B6" s="2">
        <v>5</v>
      </c>
      <c r="C6" s="472">
        <f t="shared" ref="C6:C15" si="0">A6-(A6*B6/100)</f>
        <v>0.40849999999999997</v>
      </c>
      <c r="D6" s="472">
        <f t="shared" ref="D6:D15" si="1">A6+(A6*B6/100)</f>
        <v>0.45150000000000001</v>
      </c>
      <c r="E6" s="1080"/>
      <c r="F6" s="2"/>
      <c r="G6" s="2"/>
      <c r="H6" s="2"/>
      <c r="I6" s="2"/>
      <c r="J6" s="5" t="str">
        <f t="shared" ref="J6:J16" si="2">IF(E6="","",IF(I6="",AVERAGE(E6:H6),AVERAGE(E6:I6)))</f>
        <v/>
      </c>
      <c r="K6" s="5" t="str">
        <f t="shared" ref="K6:K15" si="3">IF(J6="", "",IF(AND(J6&gt;=C6,J6&lt;=D6), "Accepted", "Rejected"))</f>
        <v/>
      </c>
      <c r="L6" s="168" t="str">
        <f t="shared" ref="L6:L15" si="4">IF(K6="","",((0.015*J6)+0.022))</f>
        <v/>
      </c>
      <c r="M6" s="84"/>
      <c r="N6" s="86"/>
      <c r="O6" s="84"/>
      <c r="P6" s="84"/>
    </row>
    <row r="7" spans="1:18" x14ac:dyDescent="0.2">
      <c r="A7" s="1079">
        <f>IF($B$3=TRUE,'JGI Thickness Foil Min_Max'!B20,'JGI Thickness Foil Min_Max'!A6)</f>
        <v>0.87</v>
      </c>
      <c r="B7" s="2">
        <v>1</v>
      </c>
      <c r="C7" s="472">
        <f t="shared" si="0"/>
        <v>0.86129999999999995</v>
      </c>
      <c r="D7" s="472">
        <f t="shared" si="1"/>
        <v>0.87870000000000004</v>
      </c>
      <c r="E7" s="1080"/>
      <c r="F7" s="2"/>
      <c r="G7" s="2"/>
      <c r="H7" s="2"/>
      <c r="I7" s="2"/>
      <c r="J7" s="5" t="str">
        <f t="shared" si="2"/>
        <v/>
      </c>
      <c r="K7" s="5" t="str">
        <f t="shared" si="3"/>
        <v/>
      </c>
      <c r="L7" s="918" t="str">
        <f t="shared" si="4"/>
        <v/>
      </c>
      <c r="M7" s="84"/>
      <c r="N7" s="86"/>
      <c r="O7" s="84"/>
      <c r="P7" s="86"/>
    </row>
    <row r="8" spans="1:18" x14ac:dyDescent="0.2">
      <c r="A8" s="1079">
        <f>IF($B$3=TRUE,'JGI Thickness Foil Min_Max'!B21,'JGI Thickness Foil Min_Max'!A7)</f>
        <v>2.64</v>
      </c>
      <c r="B8" s="2">
        <v>5</v>
      </c>
      <c r="C8" s="472">
        <f t="shared" si="0"/>
        <v>2.508</v>
      </c>
      <c r="D8" s="472">
        <f t="shared" si="1"/>
        <v>2.7720000000000002</v>
      </c>
      <c r="E8" s="1080"/>
      <c r="F8" s="2"/>
      <c r="G8" s="2"/>
      <c r="H8" s="2"/>
      <c r="I8" s="2"/>
      <c r="J8" s="5" t="str">
        <f t="shared" si="2"/>
        <v/>
      </c>
      <c r="K8" s="5" t="str">
        <f t="shared" si="3"/>
        <v/>
      </c>
      <c r="L8" s="168" t="str">
        <f t="shared" si="4"/>
        <v/>
      </c>
      <c r="M8" s="84"/>
      <c r="N8" s="86"/>
      <c r="O8" s="84"/>
      <c r="P8" s="587"/>
    </row>
    <row r="9" spans="1:18" x14ac:dyDescent="0.2">
      <c r="A9" s="1079">
        <f>IF($B$3=TRUE,'JGI Thickness Foil Min_Max'!B22,'JGI Thickness Foil Min_Max'!A8)</f>
        <v>2.79</v>
      </c>
      <c r="B9" s="2">
        <v>5</v>
      </c>
      <c r="C9" s="472">
        <f t="shared" si="0"/>
        <v>2.6505000000000001</v>
      </c>
      <c r="D9" s="472">
        <f t="shared" si="1"/>
        <v>2.9295</v>
      </c>
      <c r="E9" s="1081"/>
      <c r="F9" s="2"/>
      <c r="G9" s="2"/>
      <c r="H9" s="2"/>
      <c r="I9" s="2"/>
      <c r="J9" s="5" t="str">
        <f>IF(E9="","",IF(I9="",AVERAGE(E9:H9),AVERAGE(E9:I9)))</f>
        <v/>
      </c>
      <c r="K9" s="5" t="str">
        <f t="shared" si="3"/>
        <v/>
      </c>
      <c r="L9" s="918" t="str">
        <f t="shared" si="4"/>
        <v/>
      </c>
      <c r="M9" s="84"/>
      <c r="N9" s="86"/>
      <c r="O9" s="84"/>
      <c r="P9" s="587"/>
    </row>
    <row r="10" spans="1:18" x14ac:dyDescent="0.2">
      <c r="A10" s="1079">
        <f>IF($B$3=TRUE,'JGI Thickness Foil Min_Max'!B23,'JGI Thickness Foil Min_Max'!A9)</f>
        <v>3.95</v>
      </c>
      <c r="B10" s="2">
        <v>4</v>
      </c>
      <c r="C10" s="472">
        <f t="shared" si="0"/>
        <v>3.7920000000000003</v>
      </c>
      <c r="D10" s="472">
        <f t="shared" si="1"/>
        <v>4.1080000000000005</v>
      </c>
      <c r="E10" s="1080"/>
      <c r="F10" s="2"/>
      <c r="G10" s="2"/>
      <c r="H10" s="2"/>
      <c r="I10" s="2"/>
      <c r="J10" s="5" t="str">
        <f t="shared" si="2"/>
        <v/>
      </c>
      <c r="K10" s="5" t="str">
        <f t="shared" si="3"/>
        <v/>
      </c>
      <c r="L10" s="168" t="str">
        <f t="shared" si="4"/>
        <v/>
      </c>
      <c r="M10" s="84"/>
      <c r="N10" s="86"/>
      <c r="O10" s="84"/>
      <c r="P10" s="86"/>
    </row>
    <row r="11" spans="1:18" x14ac:dyDescent="0.2">
      <c r="A11" s="1079">
        <v>9.7100000000000009</v>
      </c>
      <c r="B11" s="2">
        <v>1</v>
      </c>
      <c r="C11" s="472">
        <f t="shared" si="0"/>
        <v>9.6129000000000016</v>
      </c>
      <c r="D11" s="472">
        <f t="shared" si="1"/>
        <v>9.8071000000000002</v>
      </c>
      <c r="E11" s="559"/>
      <c r="F11" s="2"/>
      <c r="G11" s="2"/>
      <c r="H11" s="2"/>
      <c r="I11" s="2"/>
      <c r="J11" s="5" t="str">
        <f t="shared" si="2"/>
        <v/>
      </c>
      <c r="K11" s="5" t="str">
        <f t="shared" si="3"/>
        <v/>
      </c>
      <c r="L11" s="918" t="str">
        <f t="shared" si="4"/>
        <v/>
      </c>
      <c r="M11" s="84"/>
      <c r="N11" s="86"/>
      <c r="O11" s="84"/>
      <c r="P11" s="86"/>
    </row>
    <row r="12" spans="1:18" x14ac:dyDescent="0.2">
      <c r="A12" s="1079">
        <v>19.79</v>
      </c>
      <c r="B12" s="2">
        <v>3</v>
      </c>
      <c r="C12" s="472">
        <f t="shared" si="0"/>
        <v>19.196300000000001</v>
      </c>
      <c r="D12" s="472">
        <f t="shared" si="1"/>
        <v>20.383699999999997</v>
      </c>
      <c r="E12" s="559"/>
      <c r="F12" s="2"/>
      <c r="G12" s="2"/>
      <c r="H12" s="2"/>
      <c r="I12" s="2"/>
      <c r="J12" s="5" t="str">
        <f t="shared" si="2"/>
        <v/>
      </c>
      <c r="K12" s="5" t="str">
        <f t="shared" si="3"/>
        <v/>
      </c>
      <c r="L12" s="168" t="str">
        <f t="shared" si="4"/>
        <v/>
      </c>
      <c r="N12" s="86"/>
      <c r="O12" s="84"/>
      <c r="P12" s="86"/>
    </row>
    <row r="13" spans="1:18" x14ac:dyDescent="0.2">
      <c r="A13" s="1079">
        <v>29.34</v>
      </c>
      <c r="B13" s="2">
        <v>3</v>
      </c>
      <c r="C13" s="472">
        <f t="shared" si="0"/>
        <v>28.459800000000001</v>
      </c>
      <c r="D13" s="472">
        <f t="shared" si="1"/>
        <v>30.220199999999998</v>
      </c>
      <c r="E13" s="559"/>
      <c r="F13" s="2"/>
      <c r="G13" s="2"/>
      <c r="H13" s="2"/>
      <c r="I13" s="2"/>
      <c r="J13" s="5" t="str">
        <f t="shared" si="2"/>
        <v/>
      </c>
      <c r="K13" s="5" t="str">
        <f t="shared" si="3"/>
        <v/>
      </c>
      <c r="L13" s="918" t="str">
        <f t="shared" si="4"/>
        <v/>
      </c>
      <c r="M13" s="84"/>
      <c r="N13" s="86"/>
      <c r="O13" s="251"/>
      <c r="P13" s="98"/>
    </row>
    <row r="14" spans="1:18" x14ac:dyDescent="0.2">
      <c r="A14" s="1079">
        <f>IF($B$3=TRUE,'JGI Thickness Foil Min_Max'!B27,'JGI Thickness Foil Min_Max'!A13)</f>
        <v>47.88</v>
      </c>
      <c r="B14" s="2">
        <v>5</v>
      </c>
      <c r="C14" s="472">
        <f t="shared" si="0"/>
        <v>45.486000000000004</v>
      </c>
      <c r="D14" s="472">
        <f t="shared" si="1"/>
        <v>50.274000000000001</v>
      </c>
      <c r="E14" s="559"/>
      <c r="F14" s="2"/>
      <c r="G14" s="2"/>
      <c r="H14" s="2"/>
      <c r="I14" s="2"/>
      <c r="J14" s="5" t="str">
        <f t="shared" si="2"/>
        <v/>
      </c>
      <c r="K14" s="5" t="str">
        <f t="shared" si="3"/>
        <v/>
      </c>
      <c r="L14" s="168" t="str">
        <f t="shared" si="4"/>
        <v/>
      </c>
      <c r="M14" s="84"/>
      <c r="N14" s="86"/>
      <c r="O14" s="84"/>
      <c r="P14" s="86"/>
      <c r="Q14" s="95"/>
      <c r="R14" s="95"/>
    </row>
    <row r="15" spans="1:18" x14ac:dyDescent="0.2">
      <c r="A15" s="1079">
        <f>IF($B$3=TRUE,'JGI Thickness Foil Min_Max'!B28,'JGI Thickness Foil Min_Max'!A14)</f>
        <v>79.34</v>
      </c>
      <c r="B15" s="2">
        <v>5</v>
      </c>
      <c r="C15" s="472">
        <f t="shared" si="0"/>
        <v>75.373000000000005</v>
      </c>
      <c r="D15" s="472">
        <f t="shared" si="1"/>
        <v>83.307000000000002</v>
      </c>
      <c r="E15" s="559"/>
      <c r="F15" s="2"/>
      <c r="G15" s="2"/>
      <c r="H15" s="2"/>
      <c r="I15" s="2"/>
      <c r="J15" s="5" t="str">
        <f t="shared" si="2"/>
        <v/>
      </c>
      <c r="K15" s="5" t="str">
        <f t="shared" si="3"/>
        <v/>
      </c>
      <c r="L15" s="918" t="str">
        <f t="shared" si="4"/>
        <v/>
      </c>
      <c r="M15" s="84"/>
      <c r="N15" s="86"/>
      <c r="O15" s="84"/>
      <c r="P15" s="587"/>
    </row>
    <row r="16" spans="1:18" ht="13.5" thickBot="1" x14ac:dyDescent="0.25">
      <c r="A16" s="556"/>
      <c r="B16" s="106"/>
      <c r="C16" s="106"/>
      <c r="D16" s="106"/>
      <c r="E16" s="106"/>
      <c r="F16" s="106"/>
      <c r="G16" s="106"/>
      <c r="H16" s="106"/>
      <c r="I16" s="106"/>
      <c r="J16" s="106" t="str">
        <f t="shared" si="2"/>
        <v/>
      </c>
      <c r="K16" s="106"/>
      <c r="L16" s="610"/>
      <c r="M16" s="84"/>
      <c r="N16" s="86"/>
      <c r="O16" s="84"/>
      <c r="P16" s="587"/>
    </row>
    <row r="17" spans="1:19" ht="13.5" thickBot="1" x14ac:dyDescent="0.25">
      <c r="E17" s="103"/>
      <c r="P17" s="86"/>
    </row>
    <row r="18" spans="1:19" ht="18.75" thickBot="1" x14ac:dyDescent="0.3">
      <c r="A18" s="1240" t="s">
        <v>767</v>
      </c>
      <c r="B18" s="1241"/>
      <c r="C18" s="1241"/>
      <c r="D18" s="1241"/>
      <c r="E18" s="1241"/>
      <c r="F18" s="1241"/>
      <c r="G18" s="725"/>
      <c r="H18" s="629"/>
      <c r="J18" s="622"/>
      <c r="K18" s="613"/>
      <c r="L18" s="89" t="s">
        <v>768</v>
      </c>
      <c r="M18" s="99" t="s">
        <v>769</v>
      </c>
      <c r="N18" s="533" t="s">
        <v>770</v>
      </c>
    </row>
    <row r="19" spans="1:19" ht="18.75" thickBot="1" x14ac:dyDescent="0.3">
      <c r="A19" s="614"/>
      <c r="B19" s="611"/>
      <c r="C19" s="611"/>
      <c r="D19" s="611"/>
      <c r="E19" s="611"/>
      <c r="F19" s="611"/>
      <c r="G19" s="611"/>
      <c r="H19" s="615"/>
      <c r="I19" s="611"/>
      <c r="J19" s="621" t="s">
        <v>771</v>
      </c>
      <c r="K19" s="446"/>
      <c r="L19" s="96">
        <v>120</v>
      </c>
      <c r="M19" s="97">
        <f>L19*0.03937</f>
        <v>4.7244000000000002</v>
      </c>
      <c r="N19" s="12">
        <f>M19/100</f>
        <v>4.7244000000000001E-2</v>
      </c>
    </row>
    <row r="20" spans="1:19" ht="12.75" customHeight="1" thickBot="1" x14ac:dyDescent="0.3">
      <c r="A20" s="1082" t="s">
        <v>772</v>
      </c>
      <c r="C20" s="611"/>
      <c r="D20" s="611"/>
      <c r="E20" s="999" t="s">
        <v>773</v>
      </c>
      <c r="F20" s="611"/>
      <c r="G20" s="999" t="s">
        <v>774</v>
      </c>
      <c r="H20" s="615"/>
      <c r="J20" s="617"/>
      <c r="K20" s="618"/>
      <c r="L20" s="618"/>
      <c r="M20" s="619"/>
      <c r="N20" s="628"/>
    </row>
    <row r="21" spans="1:19" x14ac:dyDescent="0.2">
      <c r="A21" s="568"/>
      <c r="B21" s="1083" t="s">
        <v>759</v>
      </c>
      <c r="C21" s="360" t="s">
        <v>290</v>
      </c>
      <c r="D21" s="360" t="s">
        <v>291</v>
      </c>
      <c r="E21" s="569"/>
      <c r="F21" s="360" t="s">
        <v>765</v>
      </c>
      <c r="G21" s="360" t="s">
        <v>775</v>
      </c>
      <c r="H21" s="920" t="s">
        <v>766</v>
      </c>
      <c r="J21" s="626"/>
      <c r="K21" s="4"/>
      <c r="L21" s="366" t="s">
        <v>776</v>
      </c>
      <c r="M21" s="498" t="s">
        <v>777</v>
      </c>
      <c r="N21" s="628"/>
    </row>
    <row r="22" spans="1:19" ht="13.5" thickBot="1" x14ac:dyDescent="0.25">
      <c r="A22" s="91">
        <v>0.87</v>
      </c>
      <c r="B22" s="2">
        <v>3</v>
      </c>
      <c r="C22" s="5">
        <f>IF(B22="","",A22-(A22*B22/100))</f>
        <v>0.84389999999999998</v>
      </c>
      <c r="D22" s="5">
        <f>IF(B22="", "",A22+(A22*B22/100))</f>
        <v>0.89610000000000001</v>
      </c>
      <c r="E22" s="2">
        <v>2.0099999999999998</v>
      </c>
      <c r="F22" s="5" t="str">
        <f>IF(C22="", "",IF(AND(E22&gt;=C22,E22&lt;=D22), "Accepted", "Rejected"))</f>
        <v>Rejected</v>
      </c>
      <c r="G22" s="128">
        <f t="shared" ref="G22:G29" si="5">IF(E22="","",-(A22-E22)/1000)</f>
        <v>1.1399999999999997E-3</v>
      </c>
      <c r="H22" s="919" t="s">
        <v>778</v>
      </c>
      <c r="J22" s="616" t="s">
        <v>779</v>
      </c>
      <c r="K22" s="624"/>
      <c r="L22" s="623">
        <v>502</v>
      </c>
      <c r="M22" s="585">
        <f>L22/0.03937</f>
        <v>12750.825501651003</v>
      </c>
      <c r="N22" s="102"/>
    </row>
    <row r="23" spans="1:19" ht="13.5" thickBot="1" x14ac:dyDescent="0.25">
      <c r="A23" s="91">
        <v>4.84</v>
      </c>
      <c r="B23" s="2">
        <v>3</v>
      </c>
      <c r="C23" s="5">
        <f t="shared" ref="C23:C29" si="6">IF(B23="","",A23-(A23*B23/100))</f>
        <v>4.6947999999999999</v>
      </c>
      <c r="D23" s="5">
        <f t="shared" ref="D23:D29" si="7">IF(B23="", "",A23+(A23*B23/100))</f>
        <v>4.9851999999999999</v>
      </c>
      <c r="E23" s="2">
        <v>4.91</v>
      </c>
      <c r="F23" s="5" t="str">
        <f>IF(C23="", "",IF(AND(E23&gt;=C23,E23&lt;=D23), "Accepted", "Rejected"))</f>
        <v>Accepted</v>
      </c>
      <c r="G23" s="128">
        <f t="shared" si="5"/>
        <v>7.0000000000000278E-5</v>
      </c>
      <c r="H23" s="921" t="s">
        <v>778</v>
      </c>
      <c r="J23" s="627"/>
      <c r="K23" s="625"/>
      <c r="L23" s="620"/>
      <c r="M23" s="619"/>
      <c r="N23" s="102"/>
    </row>
    <row r="24" spans="1:19" x14ac:dyDescent="0.2">
      <c r="A24" s="91">
        <v>9.7100000000000009</v>
      </c>
      <c r="B24" s="2">
        <v>3</v>
      </c>
      <c r="C24" s="5">
        <f t="shared" si="6"/>
        <v>9.4187000000000012</v>
      </c>
      <c r="D24" s="5">
        <f t="shared" si="7"/>
        <v>10.001300000000001</v>
      </c>
      <c r="E24" s="2">
        <v>9.49</v>
      </c>
      <c r="F24" s="5" t="str">
        <f>IF(C24="", "",IF(AND(E24&gt;=C24,E24&lt;=D24), "Accepted", "Rejected"))</f>
        <v>Accepted</v>
      </c>
      <c r="G24" s="128">
        <f t="shared" si="5"/>
        <v>-2.2000000000000063E-4</v>
      </c>
      <c r="H24" s="919" t="s">
        <v>778</v>
      </c>
      <c r="J24" s="626"/>
      <c r="K24" s="4"/>
      <c r="L24" s="3" t="s">
        <v>780</v>
      </c>
      <c r="M24" s="498" t="s">
        <v>777</v>
      </c>
      <c r="N24" s="102"/>
    </row>
    <row r="25" spans="1:19" ht="13.5" thickBot="1" x14ac:dyDescent="0.25">
      <c r="A25" s="91">
        <v>19.79</v>
      </c>
      <c r="B25" s="2">
        <v>3</v>
      </c>
      <c r="C25" s="5">
        <f t="shared" si="6"/>
        <v>19.196300000000001</v>
      </c>
      <c r="D25" s="5">
        <f t="shared" si="7"/>
        <v>20.383699999999997</v>
      </c>
      <c r="E25" s="2">
        <v>20.2</v>
      </c>
      <c r="F25" s="5" t="str">
        <f>IF(C25="", "",IF(AND(E25&gt;=C25,E25&lt;=D25), "Accepted", "Rejected"))</f>
        <v>Accepted</v>
      </c>
      <c r="G25" s="128">
        <f t="shared" si="5"/>
        <v>4.1000000000000015E-4</v>
      </c>
      <c r="H25" s="921" t="s">
        <v>778</v>
      </c>
      <c r="J25" s="67" t="s">
        <v>781</v>
      </c>
      <c r="K25" s="612"/>
      <c r="L25" s="8">
        <v>2.0000000000000002E-5</v>
      </c>
      <c r="M25" s="12">
        <f>L25*25400</f>
        <v>0.50800000000000001</v>
      </c>
      <c r="N25" s="107"/>
    </row>
    <row r="26" spans="1:19" ht="13.5" thickBot="1" x14ac:dyDescent="0.25">
      <c r="A26" s="91">
        <v>29.34</v>
      </c>
      <c r="B26" s="2">
        <v>3</v>
      </c>
      <c r="C26" s="5">
        <f t="shared" si="6"/>
        <v>28.459800000000001</v>
      </c>
      <c r="D26" s="5">
        <f t="shared" si="7"/>
        <v>30.220199999999998</v>
      </c>
      <c r="E26" s="2">
        <v>41</v>
      </c>
      <c r="F26" s="5" t="str">
        <f>IF(C26="", "",IF(AND(E26&gt;=C26,C26&lt;=D26), "Accepted", "Rejected"))</f>
        <v>Accepted</v>
      </c>
      <c r="G26" s="5">
        <f t="shared" si="5"/>
        <v>1.166E-2</v>
      </c>
      <c r="H26" s="919" t="s">
        <v>778</v>
      </c>
    </row>
    <row r="27" spans="1:19" x14ac:dyDescent="0.2">
      <c r="A27" s="91">
        <v>47.78</v>
      </c>
      <c r="B27" s="2">
        <v>3</v>
      </c>
      <c r="C27" s="5">
        <f t="shared" si="6"/>
        <v>46.346600000000002</v>
      </c>
      <c r="D27" s="5">
        <f t="shared" si="7"/>
        <v>49.2134</v>
      </c>
      <c r="E27" s="2">
        <v>4.8899999999999997</v>
      </c>
      <c r="F27" s="5" t="str">
        <f>IF(C27="", "",IF(AND(E27&gt;=C27,C27&lt;=D27), "Accepted", "Rejected"))</f>
        <v>Rejected</v>
      </c>
      <c r="G27" s="5">
        <f t="shared" si="5"/>
        <v>-4.2889999999999998E-2</v>
      </c>
      <c r="H27" s="921" t="s">
        <v>778</v>
      </c>
      <c r="J27" s="534" t="s">
        <v>782</v>
      </c>
      <c r="K27" s="535"/>
      <c r="L27" s="535"/>
      <c r="M27" s="536"/>
      <c r="N27" s="535"/>
      <c r="O27" s="589"/>
      <c r="P27" s="535"/>
      <c r="Q27" s="590"/>
      <c r="R27" s="591"/>
      <c r="S27" s="592"/>
    </row>
    <row r="28" spans="1:19" ht="13.5" thickBot="1" x14ac:dyDescent="0.25">
      <c r="A28" s="91">
        <v>19.3</v>
      </c>
      <c r="B28" s="2">
        <v>5</v>
      </c>
      <c r="C28" s="5">
        <f t="shared" si="6"/>
        <v>18.335000000000001</v>
      </c>
      <c r="D28" s="5">
        <f t="shared" si="7"/>
        <v>20.265000000000001</v>
      </c>
      <c r="E28" s="2">
        <v>18.95</v>
      </c>
      <c r="F28" s="5" t="str">
        <f>IF(C28="", "",IF(AND(E28&gt;=C28,C28&lt;=D28), "Accepted", "Rejected"))</f>
        <v>Accepted</v>
      </c>
      <c r="G28" s="5">
        <f t="shared" si="5"/>
        <v>-3.5000000000000141E-4</v>
      </c>
      <c r="H28" s="919" t="s">
        <v>778</v>
      </c>
      <c r="J28" s="537" t="s">
        <v>783</v>
      </c>
      <c r="K28" s="538"/>
      <c r="L28" s="538"/>
      <c r="M28" s="539"/>
      <c r="N28" s="538"/>
      <c r="O28" s="600"/>
      <c r="P28" s="601"/>
      <c r="Q28" s="602"/>
      <c r="R28" s="603"/>
      <c r="S28" s="604"/>
    </row>
    <row r="29" spans="1:19" x14ac:dyDescent="0.2">
      <c r="A29" s="91"/>
      <c r="B29" s="2"/>
      <c r="C29" s="5" t="str">
        <f t="shared" si="6"/>
        <v/>
      </c>
      <c r="D29" s="5" t="str">
        <f t="shared" si="7"/>
        <v/>
      </c>
      <c r="E29" s="2"/>
      <c r="F29" s="5" t="str">
        <f>IF(C29="", "",IF(AND(E29&gt;=C29,C29&lt;=D29), "Accepted", "Rejected"))</f>
        <v/>
      </c>
      <c r="G29" s="5" t="str">
        <f t="shared" si="5"/>
        <v/>
      </c>
      <c r="H29" s="918"/>
      <c r="J29" s="100" t="s">
        <v>784</v>
      </c>
      <c r="K29" s="598"/>
      <c r="L29" s="599"/>
      <c r="M29" s="47"/>
      <c r="N29" s="47"/>
      <c r="O29" s="47"/>
      <c r="P29" s="588"/>
      <c r="Q29" s="260"/>
      <c r="R29" s="554"/>
      <c r="S29" s="593"/>
    </row>
    <row r="30" spans="1:19" ht="13.5" thickBot="1" x14ac:dyDescent="0.25">
      <c r="A30" s="91"/>
      <c r="B30" s="2"/>
      <c r="C30" s="5"/>
      <c r="D30" s="5"/>
      <c r="E30" s="2"/>
      <c r="F30" s="5"/>
      <c r="G30" s="5"/>
      <c r="H30" s="906"/>
      <c r="J30" s="104" t="s">
        <v>785</v>
      </c>
      <c r="K30" s="594"/>
      <c r="L30" s="597">
        <f>L29/0.8</f>
        <v>0</v>
      </c>
      <c r="M30" s="106"/>
      <c r="N30" s="106"/>
      <c r="O30" s="595"/>
      <c r="P30" s="595"/>
      <c r="Q30" s="596"/>
      <c r="R30" s="557"/>
      <c r="S30" s="247"/>
    </row>
    <row r="31" spans="1:19" x14ac:dyDescent="0.2">
      <c r="A31" s="91"/>
      <c r="B31" s="2"/>
      <c r="C31" s="5"/>
      <c r="D31" s="5"/>
      <c r="E31" s="2"/>
      <c r="F31" s="5"/>
      <c r="G31" s="5"/>
      <c r="H31" s="918"/>
    </row>
    <row r="32" spans="1:19" x14ac:dyDescent="0.2">
      <c r="A32" s="91"/>
      <c r="B32" s="2"/>
      <c r="C32" s="5"/>
      <c r="D32" s="5"/>
      <c r="E32" s="2"/>
      <c r="F32" s="5"/>
      <c r="G32" s="5"/>
      <c r="H32" s="906"/>
    </row>
    <row r="33" spans="1:8" ht="13.5" thickBot="1" x14ac:dyDescent="0.25">
      <c r="A33" s="387"/>
      <c r="B33" s="106"/>
      <c r="C33" s="106"/>
      <c r="D33" s="106"/>
      <c r="E33" s="106"/>
      <c r="F33" s="106"/>
      <c r="G33" s="106"/>
      <c r="H33" s="107"/>
    </row>
  </sheetData>
  <sheetProtection password="CC48" sheet="1" selectLockedCells="1"/>
  <mergeCells count="2">
    <mergeCell ref="A2:L2"/>
    <mergeCell ref="A18:F18"/>
  </mergeCells>
  <phoneticPr fontId="13" type="noConversion"/>
  <conditionalFormatting sqref="A4:K15 A22:G32">
    <cfRule type="expression" dxfId="1" priority="2" stopIfTrue="1">
      <formula>MOD(ROW(),2)=1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6" r:id="rId4" name="Check Box 6">
              <controlPr locked="0" defaultSize="0" autoFill="0" autoLine="0" autoPict="0">
                <anchor moveWithCells="1">
                  <from>
                    <xdr:col>0</xdr:col>
                    <xdr:colOff>47625</xdr:colOff>
                    <xdr:row>2</xdr:row>
                    <xdr:rowOff>19050</xdr:rowOff>
                  </from>
                  <to>
                    <xdr:col>0</xdr:col>
                    <xdr:colOff>781050</xdr:colOff>
                    <xdr:row>3</xdr:row>
                    <xdr:rowOff>0</xdr:rowOff>
                  </to>
                </anchor>
              </controlPr>
            </control>
          </mc:Choice>
        </mc:AlternateContent>
        <mc:AlternateContent xmlns:mc="http://schemas.openxmlformats.org/markup-compatibility/2006">
          <mc:Choice Requires="x14">
            <control shapeId="10251" r:id="rId5" name="Button 11">
              <controlPr defaultSize="0" print="0" autoFill="0" autoPict="0" macro="[0]!ReturnToMain">
                <anchor moveWithCells="1" sizeWithCells="1">
                  <from>
                    <xdr:col>0</xdr:col>
                    <xdr:colOff>19050</xdr:colOff>
                    <xdr:row>0</xdr:row>
                    <xdr:rowOff>19050</xdr:rowOff>
                  </from>
                  <to>
                    <xdr:col>0</xdr:col>
                    <xdr:colOff>781050</xdr:colOff>
                    <xdr:row>0</xdr:row>
                    <xdr:rowOff>152400</xdr:rowOff>
                  </to>
                </anchor>
              </controlPr>
            </control>
          </mc:Choice>
        </mc:AlternateContent>
        <mc:AlternateContent xmlns:mc="http://schemas.openxmlformats.org/markup-compatibility/2006">
          <mc:Choice Requires="x14">
            <control shapeId="10252" r:id="rId6" name="Button 12">
              <controlPr defaultSize="0" print="0" autoFill="0" autoPict="0" macro="[0]!DeFelskoThicknessProbeInfo">
                <anchor moveWithCells="1" sizeWithCells="1">
                  <from>
                    <xdr:col>2</xdr:col>
                    <xdr:colOff>180975</xdr:colOff>
                    <xdr:row>0</xdr:row>
                    <xdr:rowOff>19050</xdr:rowOff>
                  </from>
                  <to>
                    <xdr:col>4</xdr:col>
                    <xdr:colOff>200025</xdr:colOff>
                    <xdr:row>0</xdr:row>
                    <xdr:rowOff>142875</xdr:rowOff>
                  </to>
                </anchor>
              </controlPr>
            </control>
          </mc:Choice>
        </mc:AlternateContent>
        <mc:AlternateContent xmlns:mc="http://schemas.openxmlformats.org/markup-compatibility/2006">
          <mc:Choice Requires="x14">
            <control shapeId="10253" r:id="rId7" name="Button 13">
              <controlPr defaultSize="0" print="0" autoFill="0" autoPict="0" macro="[0]!FischerThicknessProbeInfo">
                <anchor moveWithCells="1" sizeWithCells="1">
                  <from>
                    <xdr:col>0</xdr:col>
                    <xdr:colOff>819150</xdr:colOff>
                    <xdr:row>0</xdr:row>
                    <xdr:rowOff>19050</xdr:rowOff>
                  </from>
                  <to>
                    <xdr:col>2</xdr:col>
                    <xdr:colOff>152400</xdr:colOff>
                    <xdr:row>0</xdr:row>
                    <xdr:rowOff>142875</xdr:rowOff>
                  </to>
                </anchor>
              </controlPr>
            </control>
          </mc:Choice>
        </mc:AlternateContent>
        <mc:AlternateContent xmlns:mc="http://schemas.openxmlformats.org/markup-compatibility/2006">
          <mc:Choice Requires="x14">
            <control shapeId="10254" r:id="rId8" name="Button 14">
              <controlPr defaultSize="0" print="0" autoFill="0" autoPict="0" macro="[0]!CoatingThicknessNIST">
                <anchor moveWithCells="1" sizeWithCells="1">
                  <from>
                    <xdr:col>4</xdr:col>
                    <xdr:colOff>209550</xdr:colOff>
                    <xdr:row>0</xdr:row>
                    <xdr:rowOff>19050</xdr:rowOff>
                  </from>
                  <to>
                    <xdr:col>6</xdr:col>
                    <xdr:colOff>228600</xdr:colOff>
                    <xdr:row>0</xdr:row>
                    <xdr:rowOff>142875</xdr:rowOff>
                  </to>
                </anchor>
              </controlPr>
            </control>
          </mc:Choice>
        </mc:AlternateContent>
        <mc:AlternateContent xmlns:mc="http://schemas.openxmlformats.org/markup-compatibility/2006">
          <mc:Choice Requires="x14">
            <control shapeId="10255" r:id="rId9" name="Button 15">
              <controlPr defaultSize="0" print="0" autoFill="0" autoPict="0" macro="[0]!CoatingThicknessManufacturers">
                <anchor moveWithCells="1" sizeWithCells="1">
                  <from>
                    <xdr:col>6</xdr:col>
                    <xdr:colOff>257175</xdr:colOff>
                    <xdr:row>0</xdr:row>
                    <xdr:rowOff>9525</xdr:rowOff>
                  </from>
                  <to>
                    <xdr:col>9</xdr:col>
                    <xdr:colOff>85725</xdr:colOff>
                    <xdr:row>0</xdr:row>
                    <xdr:rowOff>133350</xdr:rowOff>
                  </to>
                </anchor>
              </controlPr>
            </control>
          </mc:Choice>
        </mc:AlternateContent>
        <mc:AlternateContent xmlns:mc="http://schemas.openxmlformats.org/markup-compatibility/2006">
          <mc:Choice Requires="x14">
            <control shapeId="10256" r:id="rId10" name="Button 16">
              <controlPr defaultSize="0" print="0" autoFill="0" autoPict="0" macro="[0]!CoatingThicknessClearReadings">
                <anchor moveWithCells="1" sizeWithCells="1">
                  <from>
                    <xdr:col>4</xdr:col>
                    <xdr:colOff>19050</xdr:colOff>
                    <xdr:row>2</xdr:row>
                    <xdr:rowOff>19050</xdr:rowOff>
                  </from>
                  <to>
                    <xdr:col>6</xdr:col>
                    <xdr:colOff>38100</xdr:colOff>
                    <xdr:row>2</xdr:row>
                    <xdr:rowOff>114300</xdr:rowOff>
                  </to>
                </anchor>
              </controlPr>
            </control>
          </mc:Choice>
        </mc:AlternateContent>
        <mc:AlternateContent xmlns:mc="http://schemas.openxmlformats.org/markup-compatibility/2006">
          <mc:Choice Requires="x14">
            <control shapeId="10258" r:id="rId11" name="Button 18">
              <controlPr defaultSize="0" print="0" autoFill="0" autoPict="0" macro="[0]!CoatingThicknessCustomerClearReadings">
                <anchor moveWithCells="1" sizeWithCells="1">
                  <from>
                    <xdr:col>1</xdr:col>
                    <xdr:colOff>19050</xdr:colOff>
                    <xdr:row>18</xdr:row>
                    <xdr:rowOff>19050</xdr:rowOff>
                  </from>
                  <to>
                    <xdr:col>2</xdr:col>
                    <xdr:colOff>304800</xdr:colOff>
                    <xdr:row>18</xdr:row>
                    <xdr:rowOff>123825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0">
    <tabColor indexed="13"/>
  </sheetPr>
  <dimension ref="A1:I28"/>
  <sheetViews>
    <sheetView workbookViewId="0"/>
  </sheetViews>
  <sheetFormatPr defaultColWidth="9.140625" defaultRowHeight="15" x14ac:dyDescent="0.2"/>
  <cols>
    <col min="1" max="1" width="17" style="111" bestFit="1" customWidth="1"/>
    <col min="2" max="2" width="17.28515625" style="111" bestFit="1" customWidth="1"/>
    <col min="3" max="5" width="18.42578125" style="111" bestFit="1" customWidth="1"/>
    <col min="6" max="6" width="17" style="111" bestFit="1" customWidth="1"/>
    <col min="7" max="7" width="15.28515625" style="111" bestFit="1" customWidth="1"/>
    <col min="8" max="9" width="14.28515625" style="111" bestFit="1" customWidth="1"/>
    <col min="10" max="16384" width="9.140625" style="111"/>
  </cols>
  <sheetData>
    <row r="1" spans="1:9" ht="25.5" customHeight="1" x14ac:dyDescent="0.2"/>
    <row r="2" spans="1:9" ht="15.75" x14ac:dyDescent="0.25">
      <c r="A2" s="1126" t="s">
        <v>575</v>
      </c>
      <c r="B2" s="1126"/>
      <c r="C2" s="1126"/>
      <c r="D2" s="1126"/>
      <c r="E2" s="1126"/>
      <c r="F2" s="110"/>
    </row>
    <row r="3" spans="1:9" ht="15.75" x14ac:dyDescent="0.25">
      <c r="A3" s="112" t="s">
        <v>786</v>
      </c>
      <c r="B3" s="113" t="s">
        <v>787</v>
      </c>
      <c r="C3" s="113" t="s">
        <v>788</v>
      </c>
      <c r="D3" s="113" t="s">
        <v>789</v>
      </c>
      <c r="E3" s="113" t="s">
        <v>653</v>
      </c>
      <c r="F3" s="110"/>
      <c r="G3" s="114" t="s">
        <v>790</v>
      </c>
      <c r="H3" s="115" t="s">
        <v>290</v>
      </c>
      <c r="I3" s="115" t="s">
        <v>291</v>
      </c>
    </row>
    <row r="4" spans="1:9" ht="15" customHeight="1" x14ac:dyDescent="0.2">
      <c r="A4" s="116">
        <v>0.21</v>
      </c>
      <c r="B4" s="117" t="s">
        <v>791</v>
      </c>
      <c r="C4" s="117" t="s">
        <v>792</v>
      </c>
      <c r="D4" s="117" t="s">
        <v>793</v>
      </c>
      <c r="E4" s="117" t="s">
        <v>794</v>
      </c>
      <c r="F4" s="118"/>
      <c r="G4" s="114">
        <v>1</v>
      </c>
      <c r="H4" s="119">
        <f t="shared" ref="H4:H14" si="0">A4-(A4*(G4/100))</f>
        <v>0.2079</v>
      </c>
      <c r="I4" s="119">
        <f t="shared" ref="I4:I14" si="1">A4+(A4*(G4/100))</f>
        <v>0.21209999999999998</v>
      </c>
    </row>
    <row r="5" spans="1:9" ht="15" customHeight="1" x14ac:dyDescent="0.2">
      <c r="A5" s="120">
        <v>0.43</v>
      </c>
      <c r="B5" s="121" t="s">
        <v>795</v>
      </c>
      <c r="C5" s="121" t="s">
        <v>796</v>
      </c>
      <c r="D5" s="121" t="s">
        <v>797</v>
      </c>
      <c r="E5" s="121" t="s">
        <v>798</v>
      </c>
      <c r="F5" s="118"/>
      <c r="G5" s="114">
        <v>1</v>
      </c>
      <c r="H5" s="119">
        <f t="shared" si="0"/>
        <v>0.42569999999999997</v>
      </c>
      <c r="I5" s="119">
        <f t="shared" si="1"/>
        <v>0.43430000000000002</v>
      </c>
    </row>
    <row r="6" spans="1:9" ht="15" customHeight="1" x14ac:dyDescent="0.2">
      <c r="A6" s="116">
        <v>0.87</v>
      </c>
      <c r="B6" s="117" t="s">
        <v>799</v>
      </c>
      <c r="C6" s="117" t="s">
        <v>800</v>
      </c>
      <c r="D6" s="117" t="s">
        <v>801</v>
      </c>
      <c r="E6" s="117" t="s">
        <v>802</v>
      </c>
      <c r="F6" s="118"/>
      <c r="G6" s="114">
        <v>1</v>
      </c>
      <c r="H6" s="119">
        <f t="shared" si="0"/>
        <v>0.86129999999999995</v>
      </c>
      <c r="I6" s="119">
        <f t="shared" si="1"/>
        <v>0.87870000000000004</v>
      </c>
    </row>
    <row r="7" spans="1:9" ht="15" customHeight="1" x14ac:dyDescent="0.2">
      <c r="A7" s="120">
        <v>2.64</v>
      </c>
      <c r="B7" s="121" t="s">
        <v>803</v>
      </c>
      <c r="C7" s="121" t="s">
        <v>804</v>
      </c>
      <c r="D7" s="121" t="s">
        <v>805</v>
      </c>
      <c r="E7" s="121" t="s">
        <v>806</v>
      </c>
      <c r="F7" s="118"/>
      <c r="G7" s="114">
        <v>1</v>
      </c>
      <c r="H7" s="119">
        <f t="shared" si="0"/>
        <v>2.6135999999999999</v>
      </c>
      <c r="I7" s="119">
        <f t="shared" si="1"/>
        <v>2.6664000000000003</v>
      </c>
    </row>
    <row r="8" spans="1:9" ht="15" customHeight="1" x14ac:dyDescent="0.2">
      <c r="A8" s="116">
        <v>2.79</v>
      </c>
      <c r="B8" s="117" t="s">
        <v>807</v>
      </c>
      <c r="C8" s="117" t="s">
        <v>808</v>
      </c>
      <c r="D8" s="117" t="s">
        <v>809</v>
      </c>
      <c r="E8" s="117" t="s">
        <v>810</v>
      </c>
      <c r="F8" s="118"/>
      <c r="G8" s="114">
        <v>1</v>
      </c>
      <c r="H8" s="119">
        <f t="shared" si="0"/>
        <v>2.7621000000000002</v>
      </c>
      <c r="I8" s="119">
        <f t="shared" si="1"/>
        <v>2.8178999999999998</v>
      </c>
    </row>
    <row r="9" spans="1:9" ht="15" customHeight="1" x14ac:dyDescent="0.2">
      <c r="A9" s="120">
        <v>3.95</v>
      </c>
      <c r="B9" s="121" t="s">
        <v>811</v>
      </c>
      <c r="C9" s="121" t="s">
        <v>812</v>
      </c>
      <c r="D9" s="121" t="s">
        <v>813</v>
      </c>
      <c r="E9" s="121" t="s">
        <v>814</v>
      </c>
      <c r="F9" s="118"/>
      <c r="G9" s="114">
        <v>1</v>
      </c>
      <c r="H9" s="119">
        <f t="shared" si="0"/>
        <v>3.9105000000000003</v>
      </c>
      <c r="I9" s="119">
        <f t="shared" si="1"/>
        <v>3.9895</v>
      </c>
    </row>
    <row r="10" spans="1:9" ht="15" customHeight="1" x14ac:dyDescent="0.2">
      <c r="A10" s="116">
        <v>9.61</v>
      </c>
      <c r="B10" s="117" t="s">
        <v>815</v>
      </c>
      <c r="C10" s="117" t="s">
        <v>816</v>
      </c>
      <c r="D10" s="117" t="s">
        <v>817</v>
      </c>
      <c r="E10" s="117" t="s">
        <v>818</v>
      </c>
      <c r="F10" s="118"/>
      <c r="G10" s="114">
        <v>1</v>
      </c>
      <c r="H10" s="119">
        <f t="shared" si="0"/>
        <v>9.5138999999999996</v>
      </c>
      <c r="I10" s="119">
        <f t="shared" si="1"/>
        <v>9.7060999999999993</v>
      </c>
    </row>
    <row r="11" spans="1:9" ht="15" customHeight="1" x14ac:dyDescent="0.2">
      <c r="A11" s="120">
        <v>19.91</v>
      </c>
      <c r="B11" s="121" t="s">
        <v>819</v>
      </c>
      <c r="C11" s="121" t="s">
        <v>820</v>
      </c>
      <c r="D11" s="121" t="s">
        <v>821</v>
      </c>
      <c r="E11" s="121" t="s">
        <v>822</v>
      </c>
      <c r="F11" s="118"/>
      <c r="G11" s="114">
        <v>1</v>
      </c>
      <c r="H11" s="119">
        <f t="shared" si="0"/>
        <v>19.710899999999999</v>
      </c>
      <c r="I11" s="119">
        <f t="shared" si="1"/>
        <v>20.109100000000002</v>
      </c>
    </row>
    <row r="12" spans="1:9" ht="15" customHeight="1" x14ac:dyDescent="0.2">
      <c r="A12" s="116">
        <v>29.5</v>
      </c>
      <c r="B12" s="117" t="s">
        <v>823</v>
      </c>
      <c r="C12" s="117" t="s">
        <v>824</v>
      </c>
      <c r="D12" s="117" t="s">
        <v>825</v>
      </c>
      <c r="E12" s="117" t="s">
        <v>826</v>
      </c>
      <c r="F12" s="118"/>
      <c r="G12" s="114">
        <v>1</v>
      </c>
      <c r="H12" s="119">
        <f t="shared" si="0"/>
        <v>29.204999999999998</v>
      </c>
      <c r="I12" s="119">
        <f t="shared" si="1"/>
        <v>29.795000000000002</v>
      </c>
    </row>
    <row r="13" spans="1:9" ht="15" customHeight="1" x14ac:dyDescent="0.2">
      <c r="A13" s="120">
        <v>47.88</v>
      </c>
      <c r="B13" s="121" t="s">
        <v>827</v>
      </c>
      <c r="C13" s="121" t="s">
        <v>828</v>
      </c>
      <c r="D13" s="121" t="s">
        <v>829</v>
      </c>
      <c r="E13" s="121" t="s">
        <v>830</v>
      </c>
      <c r="F13" s="118"/>
      <c r="G13" s="114">
        <v>1</v>
      </c>
      <c r="H13" s="119">
        <f t="shared" si="0"/>
        <v>47.401200000000003</v>
      </c>
      <c r="I13" s="119">
        <f t="shared" si="1"/>
        <v>48.358800000000002</v>
      </c>
    </row>
    <row r="14" spans="1:9" ht="15" customHeight="1" x14ac:dyDescent="0.2">
      <c r="A14" s="116">
        <v>79.34</v>
      </c>
      <c r="B14" s="117" t="s">
        <v>831</v>
      </c>
      <c r="C14" s="117" t="s">
        <v>832</v>
      </c>
      <c r="D14" s="117" t="s">
        <v>833</v>
      </c>
      <c r="E14" s="117" t="s">
        <v>834</v>
      </c>
      <c r="F14" s="118"/>
      <c r="G14" s="114">
        <v>1</v>
      </c>
      <c r="H14" s="119">
        <f t="shared" si="0"/>
        <v>78.546599999999998</v>
      </c>
      <c r="I14" s="119">
        <f t="shared" si="1"/>
        <v>80.133400000000009</v>
      </c>
    </row>
    <row r="16" spans="1:9" ht="15.75" x14ac:dyDescent="0.25">
      <c r="A16" s="1242" t="s">
        <v>547</v>
      </c>
      <c r="B16" s="1242"/>
      <c r="C16" s="1242"/>
      <c r="D16" s="1242"/>
      <c r="E16" s="1242"/>
      <c r="F16" s="1242"/>
    </row>
    <row r="17" spans="1:9" ht="15.75" x14ac:dyDescent="0.25">
      <c r="A17" s="113" t="s">
        <v>835</v>
      </c>
      <c r="B17" s="113" t="s">
        <v>836</v>
      </c>
      <c r="C17" s="113" t="s">
        <v>787</v>
      </c>
      <c r="D17" s="113" t="s">
        <v>788</v>
      </c>
      <c r="E17" s="113" t="s">
        <v>789</v>
      </c>
      <c r="F17" s="113" t="s">
        <v>653</v>
      </c>
      <c r="G17" s="119" t="s">
        <v>790</v>
      </c>
      <c r="H17" s="115" t="s">
        <v>290</v>
      </c>
      <c r="I17" s="115" t="s">
        <v>291</v>
      </c>
    </row>
    <row r="18" spans="1:9" x14ac:dyDescent="0.2">
      <c r="A18" s="117">
        <v>0.21</v>
      </c>
      <c r="B18" s="122">
        <f>A18*25.4</f>
        <v>5.3339999999999996</v>
      </c>
      <c r="C18" s="119" t="s">
        <v>837</v>
      </c>
      <c r="D18" s="119" t="s">
        <v>838</v>
      </c>
      <c r="E18" s="119" t="s">
        <v>839</v>
      </c>
      <c r="F18" s="119" t="s">
        <v>840</v>
      </c>
      <c r="G18" s="119">
        <v>2</v>
      </c>
      <c r="H18" s="119">
        <f t="shared" ref="H18:H28" si="2">B18-(B18*(G18/100))</f>
        <v>5.2273199999999997</v>
      </c>
      <c r="I18" s="119">
        <f t="shared" ref="I18:I28" si="3">B18+(B18*(G18/100))</f>
        <v>5.4406799999999995</v>
      </c>
    </row>
    <row r="19" spans="1:9" x14ac:dyDescent="0.2">
      <c r="A19" s="121">
        <v>0.43</v>
      </c>
      <c r="B19" s="123">
        <f t="shared" ref="B19:B28" si="4">A19*25.4</f>
        <v>10.921999999999999</v>
      </c>
      <c r="C19" s="115" t="s">
        <v>841</v>
      </c>
      <c r="D19" s="115" t="s">
        <v>842</v>
      </c>
      <c r="E19" s="115" t="s">
        <v>843</v>
      </c>
      <c r="F19" s="115" t="s">
        <v>844</v>
      </c>
      <c r="G19" s="119">
        <v>2</v>
      </c>
      <c r="H19" s="119">
        <f t="shared" si="2"/>
        <v>10.70356</v>
      </c>
      <c r="I19" s="119">
        <f t="shared" si="3"/>
        <v>11.140439999999998</v>
      </c>
    </row>
    <row r="20" spans="1:9" x14ac:dyDescent="0.2">
      <c r="A20" s="117">
        <v>0.87</v>
      </c>
      <c r="B20" s="122">
        <f t="shared" si="4"/>
        <v>22.097999999999999</v>
      </c>
      <c r="C20" s="119" t="s">
        <v>845</v>
      </c>
      <c r="D20" s="119" t="s">
        <v>846</v>
      </c>
      <c r="E20" s="119" t="s">
        <v>847</v>
      </c>
      <c r="F20" s="119" t="s">
        <v>848</v>
      </c>
      <c r="G20" s="119">
        <v>1</v>
      </c>
      <c r="H20" s="119">
        <f t="shared" si="2"/>
        <v>21.877019999999998</v>
      </c>
      <c r="I20" s="119">
        <f t="shared" si="3"/>
        <v>22.31898</v>
      </c>
    </row>
    <row r="21" spans="1:9" x14ac:dyDescent="0.2">
      <c r="A21" s="121">
        <v>2.64</v>
      </c>
      <c r="B21" s="123">
        <f t="shared" si="4"/>
        <v>67.055999999999997</v>
      </c>
      <c r="C21" s="115" t="s">
        <v>849</v>
      </c>
      <c r="D21" s="115" t="s">
        <v>850</v>
      </c>
      <c r="E21" s="115" t="s">
        <v>851</v>
      </c>
      <c r="F21" s="115" t="s">
        <v>852</v>
      </c>
      <c r="G21" s="119">
        <v>1</v>
      </c>
      <c r="H21" s="119">
        <f t="shared" si="2"/>
        <v>66.385440000000003</v>
      </c>
      <c r="I21" s="119">
        <f t="shared" si="3"/>
        <v>67.726559999999992</v>
      </c>
    </row>
    <row r="22" spans="1:9" x14ac:dyDescent="0.2">
      <c r="A22" s="117">
        <v>2.79</v>
      </c>
      <c r="B22" s="122">
        <f t="shared" si="4"/>
        <v>70.866</v>
      </c>
      <c r="C22" s="119" t="s">
        <v>853</v>
      </c>
      <c r="D22" s="119" t="s">
        <v>854</v>
      </c>
      <c r="E22" s="119" t="s">
        <v>855</v>
      </c>
      <c r="F22" s="119" t="s">
        <v>856</v>
      </c>
      <c r="G22" s="119">
        <v>1</v>
      </c>
      <c r="H22" s="119">
        <f t="shared" si="2"/>
        <v>70.157340000000005</v>
      </c>
      <c r="I22" s="119">
        <f t="shared" si="3"/>
        <v>71.574659999999994</v>
      </c>
    </row>
    <row r="23" spans="1:9" x14ac:dyDescent="0.2">
      <c r="A23" s="121">
        <v>3.95</v>
      </c>
      <c r="B23" s="123">
        <f t="shared" si="4"/>
        <v>100.33</v>
      </c>
      <c r="C23" s="115" t="s">
        <v>857</v>
      </c>
      <c r="D23" s="115" t="s">
        <v>858</v>
      </c>
      <c r="E23" s="115" t="s">
        <v>859</v>
      </c>
      <c r="F23" s="115" t="s">
        <v>860</v>
      </c>
      <c r="G23" s="119">
        <v>1</v>
      </c>
      <c r="H23" s="119">
        <f t="shared" si="2"/>
        <v>99.326700000000002</v>
      </c>
      <c r="I23" s="119">
        <f t="shared" si="3"/>
        <v>101.33329999999999</v>
      </c>
    </row>
    <row r="24" spans="1:9" x14ac:dyDescent="0.2">
      <c r="A24" s="117">
        <v>9.61</v>
      </c>
      <c r="B24" s="122">
        <f t="shared" si="4"/>
        <v>244.09399999999997</v>
      </c>
      <c r="C24" s="119" t="s">
        <v>861</v>
      </c>
      <c r="D24" s="119" t="s">
        <v>862</v>
      </c>
      <c r="E24" s="119" t="s">
        <v>863</v>
      </c>
      <c r="F24" s="119" t="s">
        <v>864</v>
      </c>
      <c r="G24" s="119">
        <v>1</v>
      </c>
      <c r="H24" s="119">
        <f t="shared" si="2"/>
        <v>241.65305999999995</v>
      </c>
      <c r="I24" s="119">
        <f t="shared" si="3"/>
        <v>246.53493999999998</v>
      </c>
    </row>
    <row r="25" spans="1:9" x14ac:dyDescent="0.2">
      <c r="A25" s="121">
        <v>19.91</v>
      </c>
      <c r="B25" s="123">
        <f t="shared" si="4"/>
        <v>505.714</v>
      </c>
      <c r="C25" s="115" t="s">
        <v>865</v>
      </c>
      <c r="D25" s="115" t="s">
        <v>866</v>
      </c>
      <c r="E25" s="115" t="s">
        <v>867</v>
      </c>
      <c r="F25" s="115" t="s">
        <v>868</v>
      </c>
      <c r="G25" s="119">
        <v>1</v>
      </c>
      <c r="H25" s="119">
        <f t="shared" si="2"/>
        <v>500.65685999999999</v>
      </c>
      <c r="I25" s="119">
        <f t="shared" si="3"/>
        <v>510.77114</v>
      </c>
    </row>
    <row r="26" spans="1:9" x14ac:dyDescent="0.2">
      <c r="A26" s="117">
        <v>29.5</v>
      </c>
      <c r="B26" s="122">
        <f t="shared" si="4"/>
        <v>749.3</v>
      </c>
      <c r="C26" s="119" t="s">
        <v>869</v>
      </c>
      <c r="D26" s="119" t="s">
        <v>870</v>
      </c>
      <c r="E26" s="119" t="s">
        <v>871</v>
      </c>
      <c r="F26" s="119" t="s">
        <v>872</v>
      </c>
      <c r="G26" s="119">
        <v>1</v>
      </c>
      <c r="H26" s="119">
        <f t="shared" si="2"/>
        <v>741.8069999999999</v>
      </c>
      <c r="I26" s="119">
        <f t="shared" si="3"/>
        <v>756.79300000000001</v>
      </c>
    </row>
    <row r="27" spans="1:9" x14ac:dyDescent="0.2">
      <c r="A27" s="121">
        <v>47.88</v>
      </c>
      <c r="B27" s="123">
        <f t="shared" si="4"/>
        <v>1216.152</v>
      </c>
      <c r="C27" s="115" t="s">
        <v>873</v>
      </c>
      <c r="D27" s="115" t="s">
        <v>874</v>
      </c>
      <c r="E27" s="115" t="s">
        <v>875</v>
      </c>
      <c r="F27" s="115" t="s">
        <v>876</v>
      </c>
      <c r="G27" s="119">
        <v>1</v>
      </c>
      <c r="H27" s="119">
        <f t="shared" si="2"/>
        <v>1203.9904799999999</v>
      </c>
      <c r="I27" s="119">
        <f t="shared" si="3"/>
        <v>1228.3135200000002</v>
      </c>
    </row>
    <row r="28" spans="1:9" x14ac:dyDescent="0.2">
      <c r="A28" s="117">
        <v>79.34</v>
      </c>
      <c r="B28" s="122">
        <f t="shared" si="4"/>
        <v>2015.2359999999999</v>
      </c>
      <c r="C28" s="119" t="s">
        <v>877</v>
      </c>
      <c r="D28" s="119" t="s">
        <v>878</v>
      </c>
      <c r="E28" s="119" t="s">
        <v>879</v>
      </c>
      <c r="F28" s="119" t="s">
        <v>880</v>
      </c>
      <c r="G28" s="119">
        <v>3</v>
      </c>
      <c r="H28" s="119">
        <f t="shared" si="2"/>
        <v>1954.77892</v>
      </c>
      <c r="I28" s="119">
        <f t="shared" si="3"/>
        <v>2075.69308</v>
      </c>
    </row>
  </sheetData>
  <sheetProtection sheet="1" objects="1" scenarios="1" selectLockedCells="1"/>
  <mergeCells count="2">
    <mergeCell ref="A2:E2"/>
    <mergeCell ref="A16:F16"/>
  </mergeCells>
  <phoneticPr fontId="13"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ReturnToMain">
                <anchor moveWithCells="1" sizeWithCells="1">
                  <from>
                    <xdr:col>0</xdr:col>
                    <xdr:colOff>19050</xdr:colOff>
                    <xdr:row>0</xdr:row>
                    <xdr:rowOff>19050</xdr:rowOff>
                  </from>
                  <to>
                    <xdr:col>1</xdr:col>
                    <xdr:colOff>209550</xdr:colOff>
                    <xdr:row>0</xdr:row>
                    <xdr:rowOff>161925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4">
    <tabColor indexed="13"/>
  </sheetPr>
  <dimension ref="A1:D32"/>
  <sheetViews>
    <sheetView topLeftCell="A9" workbookViewId="0"/>
  </sheetViews>
  <sheetFormatPr defaultRowHeight="12.75" x14ac:dyDescent="0.2"/>
  <cols>
    <col min="1" max="1" width="9.85546875" bestFit="1" customWidth="1"/>
    <col min="2" max="2" width="17.85546875" bestFit="1" customWidth="1"/>
    <col min="3" max="3" width="14.28515625" bestFit="1" customWidth="1"/>
    <col min="4" max="4" width="25.5703125" bestFit="1" customWidth="1"/>
  </cols>
  <sheetData>
    <row r="1" spans="1:4" ht="25.5" customHeight="1" thickBot="1" x14ac:dyDescent="0.25"/>
    <row r="2" spans="1:4" ht="13.5" thickBot="1" x14ac:dyDescent="0.25">
      <c r="A2" s="1243" t="s">
        <v>881</v>
      </c>
      <c r="B2" s="1244"/>
      <c r="C2" s="1245" t="s">
        <v>882</v>
      </c>
      <c r="D2" s="1244"/>
    </row>
    <row r="3" spans="1:4" x14ac:dyDescent="0.2">
      <c r="A3" s="504" t="s">
        <v>883</v>
      </c>
      <c r="B3" s="558" t="s">
        <v>884</v>
      </c>
      <c r="C3" s="555" t="s">
        <v>885</v>
      </c>
      <c r="D3" s="541" t="s">
        <v>886</v>
      </c>
    </row>
    <row r="4" spans="1:4" x14ac:dyDescent="0.2">
      <c r="A4" s="494" t="s">
        <v>887</v>
      </c>
      <c r="B4" s="188">
        <v>42104</v>
      </c>
      <c r="C4" s="515" t="s">
        <v>883</v>
      </c>
      <c r="D4" s="187" t="s">
        <v>888</v>
      </c>
    </row>
    <row r="5" spans="1:4" x14ac:dyDescent="0.2">
      <c r="A5" s="494" t="s">
        <v>889</v>
      </c>
      <c r="B5" s="188">
        <v>42470</v>
      </c>
      <c r="C5" s="515" t="s">
        <v>887</v>
      </c>
      <c r="D5" s="402">
        <v>41894</v>
      </c>
    </row>
    <row r="6" spans="1:4" x14ac:dyDescent="0.2">
      <c r="A6" s="494" t="s">
        <v>890</v>
      </c>
      <c r="B6" s="187" t="s">
        <v>891</v>
      </c>
      <c r="C6" s="515" t="s">
        <v>889</v>
      </c>
      <c r="D6" s="402">
        <v>42075</v>
      </c>
    </row>
    <row r="7" spans="1:4" x14ac:dyDescent="0.2">
      <c r="A7" s="494" t="s">
        <v>69</v>
      </c>
      <c r="B7" s="187">
        <v>2458</v>
      </c>
      <c r="C7" s="515" t="s">
        <v>890</v>
      </c>
      <c r="D7" s="187" t="s">
        <v>892</v>
      </c>
    </row>
    <row r="8" spans="1:4" ht="13.5" thickBot="1" x14ac:dyDescent="0.25">
      <c r="A8" s="501" t="s">
        <v>893</v>
      </c>
      <c r="B8" s="191" t="s">
        <v>894</v>
      </c>
      <c r="C8" s="515" t="s">
        <v>69</v>
      </c>
      <c r="D8" s="187" t="s">
        <v>895</v>
      </c>
    </row>
    <row r="9" spans="1:4" ht="13.5" thickBot="1" x14ac:dyDescent="0.25">
      <c r="A9" s="109"/>
      <c r="B9" s="47"/>
      <c r="C9" s="501" t="s">
        <v>893</v>
      </c>
      <c r="D9" s="191" t="s">
        <v>896</v>
      </c>
    </row>
    <row r="10" spans="1:4" x14ac:dyDescent="0.2">
      <c r="A10" s="263"/>
      <c r="B10" s="554"/>
      <c r="C10" s="540" t="s">
        <v>897</v>
      </c>
      <c r="D10" s="491" t="s">
        <v>898</v>
      </c>
    </row>
    <row r="11" spans="1:4" x14ac:dyDescent="0.2">
      <c r="A11" s="263"/>
      <c r="B11" s="554"/>
      <c r="C11" s="494" t="s">
        <v>883</v>
      </c>
      <c r="D11" s="187" t="s">
        <v>888</v>
      </c>
    </row>
    <row r="12" spans="1:4" x14ac:dyDescent="0.2">
      <c r="A12" s="263"/>
      <c r="B12" s="554"/>
      <c r="C12" s="494" t="s">
        <v>887</v>
      </c>
      <c r="D12" s="402">
        <v>42104</v>
      </c>
    </row>
    <row r="13" spans="1:4" x14ac:dyDescent="0.2">
      <c r="A13" s="263"/>
      <c r="B13" s="554"/>
      <c r="C13" s="494" t="s">
        <v>889</v>
      </c>
      <c r="D13" s="402">
        <v>42470</v>
      </c>
    </row>
    <row r="14" spans="1:4" x14ac:dyDescent="0.2">
      <c r="A14" s="263"/>
      <c r="B14" s="554"/>
      <c r="C14" s="494" t="s">
        <v>890</v>
      </c>
      <c r="D14" s="187" t="s">
        <v>899</v>
      </c>
    </row>
    <row r="15" spans="1:4" x14ac:dyDescent="0.2">
      <c r="A15" s="263"/>
      <c r="B15" s="554"/>
      <c r="C15" s="494" t="s">
        <v>69</v>
      </c>
      <c r="D15" s="187">
        <v>21040173</v>
      </c>
    </row>
    <row r="16" spans="1:4" ht="13.5" thickBot="1" x14ac:dyDescent="0.25">
      <c r="A16" s="556"/>
      <c r="B16" s="557"/>
      <c r="C16" s="501" t="s">
        <v>893</v>
      </c>
      <c r="D16" s="191" t="s">
        <v>894</v>
      </c>
    </row>
    <row r="17" spans="1:2" ht="13.5" thickBot="1" x14ac:dyDescent="0.25"/>
    <row r="18" spans="1:2" x14ac:dyDescent="0.2">
      <c r="A18" s="1246" t="s">
        <v>900</v>
      </c>
      <c r="B18" s="1247"/>
    </row>
    <row r="19" spans="1:2" x14ac:dyDescent="0.2">
      <c r="A19" s="494" t="s">
        <v>901</v>
      </c>
      <c r="B19" s="187" t="s">
        <v>902</v>
      </c>
    </row>
    <row r="20" spans="1:2" x14ac:dyDescent="0.2">
      <c r="A20" s="494" t="s">
        <v>887</v>
      </c>
      <c r="B20" s="188">
        <v>41955</v>
      </c>
    </row>
    <row r="21" spans="1:2" x14ac:dyDescent="0.2">
      <c r="A21" s="494" t="s">
        <v>889</v>
      </c>
      <c r="B21" s="188">
        <v>42320</v>
      </c>
    </row>
    <row r="22" spans="1:2" x14ac:dyDescent="0.2">
      <c r="A22" s="494" t="s">
        <v>606</v>
      </c>
      <c r="B22" s="187" t="s">
        <v>903</v>
      </c>
    </row>
    <row r="23" spans="1:2" x14ac:dyDescent="0.2">
      <c r="A23" s="494" t="s">
        <v>69</v>
      </c>
      <c r="B23" s="187" t="s">
        <v>904</v>
      </c>
    </row>
    <row r="24" spans="1:2" ht="13.5" thickBot="1" x14ac:dyDescent="0.25">
      <c r="A24" s="501" t="s">
        <v>893</v>
      </c>
      <c r="B24" s="191" t="s">
        <v>905</v>
      </c>
    </row>
    <row r="25" spans="1:2" ht="13.5" thickBot="1" x14ac:dyDescent="0.25"/>
    <row r="26" spans="1:2" x14ac:dyDescent="0.2">
      <c r="A26" s="1153" t="s">
        <v>906</v>
      </c>
      <c r="B26" s="1154"/>
    </row>
    <row r="27" spans="1:2" x14ac:dyDescent="0.2">
      <c r="A27" s="494" t="s">
        <v>907</v>
      </c>
      <c r="B27" s="187" t="s">
        <v>908</v>
      </c>
    </row>
    <row r="28" spans="1:2" x14ac:dyDescent="0.2">
      <c r="A28" s="494" t="s">
        <v>887</v>
      </c>
      <c r="B28" s="402">
        <v>42083</v>
      </c>
    </row>
    <row r="29" spans="1:2" x14ac:dyDescent="0.2">
      <c r="A29" s="494" t="s">
        <v>889</v>
      </c>
      <c r="B29" s="402">
        <v>42449</v>
      </c>
    </row>
    <row r="30" spans="1:2" x14ac:dyDescent="0.2">
      <c r="A30" s="494" t="s">
        <v>69</v>
      </c>
      <c r="B30" s="79">
        <v>816018</v>
      </c>
    </row>
    <row r="31" spans="1:2" x14ac:dyDescent="0.2">
      <c r="A31" s="494" t="s">
        <v>606</v>
      </c>
      <c r="B31" s="79">
        <v>1025</v>
      </c>
    </row>
    <row r="32" spans="1:2" ht="13.5" thickBot="1" x14ac:dyDescent="0.25">
      <c r="A32" s="501" t="s">
        <v>893</v>
      </c>
      <c r="B32" s="81" t="s">
        <v>909</v>
      </c>
    </row>
  </sheetData>
  <sheetProtection sheet="1" objects="1" scenarios="1" selectLockedCells="1"/>
  <mergeCells count="4">
    <mergeCell ref="A2:B2"/>
    <mergeCell ref="C2:D2"/>
    <mergeCell ref="A18:B18"/>
    <mergeCell ref="A26:B26"/>
  </mergeCells>
  <phoneticPr fontId="13"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180" r:id="rId4" name="Button 4">
              <controlPr defaultSize="0" print="0" autoFill="0" autoPict="0" macro="[0]!ReturnToMain">
                <anchor moveWithCells="1" sizeWithCells="1">
                  <from>
                    <xdr:col>0</xdr:col>
                    <xdr:colOff>19050</xdr:colOff>
                    <xdr:row>0</xdr:row>
                    <xdr:rowOff>19050</xdr:rowOff>
                  </from>
                  <to>
                    <xdr:col>1</xdr:col>
                    <xdr:colOff>466725</xdr:colOff>
                    <xdr:row>0</xdr:row>
                    <xdr:rowOff>152400</xdr:rowOff>
                  </to>
                </anchor>
              </controlPr>
            </control>
          </mc:Choice>
        </mc:AlternateContent>
        <mc:AlternateContent xmlns:mc="http://schemas.openxmlformats.org/markup-compatibility/2006">
          <mc:Choice Requires="x14">
            <control shapeId="50181" r:id="rId5" name="Button 5">
              <controlPr defaultSize="0" print="0" autoFill="0" autoPict="0" macro="[0]!CoatingThicknessManufacturers">
                <anchor moveWithCells="1" sizeWithCells="1">
                  <from>
                    <xdr:col>1</xdr:col>
                    <xdr:colOff>485775</xdr:colOff>
                    <xdr:row>0</xdr:row>
                    <xdr:rowOff>19050</xdr:rowOff>
                  </from>
                  <to>
                    <xdr:col>3</xdr:col>
                    <xdr:colOff>247650</xdr:colOff>
                    <xdr:row>0</xdr:row>
                    <xdr:rowOff>142875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7">
    <tabColor theme="6" tint="-0.499984740745262"/>
  </sheetPr>
  <dimension ref="A1:N56"/>
  <sheetViews>
    <sheetView workbookViewId="0">
      <selection activeCell="E37" sqref="E37"/>
    </sheetView>
  </sheetViews>
  <sheetFormatPr defaultRowHeight="12.75" x14ac:dyDescent="0.2"/>
  <cols>
    <col min="1" max="1" width="17" customWidth="1"/>
    <col min="3" max="3" width="3.85546875" customWidth="1"/>
    <col min="4" max="4" width="23" customWidth="1"/>
    <col min="6" max="6" width="3.85546875" style="47" customWidth="1"/>
    <col min="7" max="7" width="41.42578125" bestFit="1" customWidth="1"/>
    <col min="8" max="8" width="3.5703125" style="47" customWidth="1"/>
    <col min="9" max="9" width="51.85546875" customWidth="1"/>
    <col min="12" max="12" width="26.140625" bestFit="1" customWidth="1"/>
    <col min="13" max="13" width="5" customWidth="1"/>
    <col min="14" max="14" width="45.5703125" bestFit="1" customWidth="1"/>
  </cols>
  <sheetData>
    <row r="1" spans="1:14" ht="25.5" customHeight="1" thickBot="1" x14ac:dyDescent="0.25">
      <c r="G1" s="47"/>
      <c r="I1" s="47"/>
      <c r="J1" s="47"/>
      <c r="K1" s="47"/>
      <c r="L1" s="47"/>
    </row>
    <row r="2" spans="1:14" ht="15.75" thickBot="1" x14ac:dyDescent="0.3">
      <c r="A2" s="1248" t="s">
        <v>910</v>
      </c>
      <c r="B2" s="1249"/>
      <c r="C2" s="792"/>
      <c r="D2" s="1248" t="s">
        <v>911</v>
      </c>
      <c r="E2" s="1249"/>
      <c r="G2" s="324" t="s">
        <v>912</v>
      </c>
      <c r="I2" s="324" t="s">
        <v>913</v>
      </c>
      <c r="J2" s="47"/>
      <c r="K2" s="47"/>
      <c r="L2" s="47"/>
      <c r="M2" s="47"/>
    </row>
    <row r="3" spans="1:14" ht="13.5" thickBot="1" x14ac:dyDescent="0.25">
      <c r="A3" s="1253" t="s">
        <v>914</v>
      </c>
      <c r="B3" s="1254"/>
      <c r="C3" s="213"/>
      <c r="D3" s="1253" t="s">
        <v>915</v>
      </c>
      <c r="E3" s="1254"/>
      <c r="G3" s="1084" t="s">
        <v>916</v>
      </c>
      <c r="I3" s="215">
        <v>400</v>
      </c>
      <c r="J3" s="47"/>
      <c r="K3" s="47"/>
      <c r="L3" s="47"/>
    </row>
    <row r="4" spans="1:14" ht="13.5" thickBot="1" x14ac:dyDescent="0.25">
      <c r="A4" s="193" t="s">
        <v>917</v>
      </c>
      <c r="B4" s="636" t="s">
        <v>918</v>
      </c>
      <c r="C4" s="47"/>
      <c r="D4" s="193" t="s">
        <v>917</v>
      </c>
      <c r="E4" s="636" t="s">
        <v>918</v>
      </c>
      <c r="G4" s="588"/>
      <c r="I4" s="216">
        <f>I3/39.37</f>
        <v>10.16002032004064</v>
      </c>
      <c r="J4" s="47"/>
      <c r="K4" s="47"/>
      <c r="L4" s="47"/>
    </row>
    <row r="5" spans="1:14" x14ac:dyDescent="0.2">
      <c r="A5" s="91">
        <v>118</v>
      </c>
      <c r="B5" s="194">
        <v>128</v>
      </c>
      <c r="C5" s="47"/>
      <c r="D5" s="336">
        <f>A5/39.37</f>
        <v>2.9972059944119889</v>
      </c>
      <c r="E5" s="94">
        <f>B5/39.37</f>
        <v>3.2512065024130052</v>
      </c>
      <c r="G5" s="789" t="s">
        <v>919</v>
      </c>
      <c r="I5" s="324" t="s">
        <v>920</v>
      </c>
      <c r="J5" s="47"/>
      <c r="K5" s="47"/>
      <c r="L5" s="47"/>
    </row>
    <row r="6" spans="1:14" x14ac:dyDescent="0.2">
      <c r="A6" s="189"/>
      <c r="B6" s="194">
        <v>128</v>
      </c>
      <c r="C6" s="47"/>
      <c r="D6" s="560"/>
      <c r="E6" s="94">
        <f>B6/39.37</f>
        <v>3.2512065024130052</v>
      </c>
      <c r="G6" s="432" t="s">
        <v>921</v>
      </c>
      <c r="I6" s="215">
        <v>0.8</v>
      </c>
      <c r="J6" s="47"/>
      <c r="K6" s="47"/>
      <c r="L6" s="47"/>
    </row>
    <row r="7" spans="1:14" ht="13.5" thickBot="1" x14ac:dyDescent="0.25">
      <c r="A7" s="189"/>
      <c r="B7" s="194">
        <v>130</v>
      </c>
      <c r="C7" s="47"/>
      <c r="D7" s="560"/>
      <c r="E7" s="94">
        <f>B7/39.37</f>
        <v>3.3020066040132083</v>
      </c>
      <c r="G7" s="431" t="s">
        <v>922</v>
      </c>
      <c r="I7" s="217">
        <f>I6*39.37</f>
        <v>31.495999999999999</v>
      </c>
      <c r="J7" s="47"/>
      <c r="K7" s="47"/>
      <c r="L7" s="47"/>
    </row>
    <row r="8" spans="1:14" ht="13.5" thickBot="1" x14ac:dyDescent="0.25">
      <c r="A8" s="189"/>
      <c r="B8" s="194">
        <v>118</v>
      </c>
      <c r="C8" s="47"/>
      <c r="D8" s="560"/>
      <c r="E8" s="94">
        <f>B8/39.37</f>
        <v>2.9972059944119889</v>
      </c>
      <c r="G8" s="433" t="s">
        <v>923</v>
      </c>
      <c r="I8" s="47"/>
      <c r="J8" s="47"/>
      <c r="K8" s="47"/>
      <c r="L8" s="47"/>
    </row>
    <row r="9" spans="1:14" ht="13.5" thickBot="1" x14ac:dyDescent="0.25">
      <c r="A9" s="189"/>
      <c r="B9" s="194">
        <v>124</v>
      </c>
      <c r="C9" s="47"/>
      <c r="D9" s="560"/>
      <c r="E9" s="94">
        <f>B9/39.37</f>
        <v>3.1496062992125986</v>
      </c>
      <c r="G9" s="47"/>
      <c r="I9" s="47"/>
      <c r="J9" s="47"/>
      <c r="K9" s="47"/>
      <c r="L9" s="260"/>
      <c r="N9" s="84"/>
    </row>
    <row r="10" spans="1:14" ht="13.5" thickBot="1" x14ac:dyDescent="0.25">
      <c r="A10" s="494" t="s">
        <v>601</v>
      </c>
      <c r="B10" s="79">
        <f>AVERAGE(B5:B9)</f>
        <v>125.6</v>
      </c>
      <c r="C10" s="106"/>
      <c r="D10" s="638" t="s">
        <v>601</v>
      </c>
      <c r="E10" s="94">
        <f>AVERAGE(E5:E9)</f>
        <v>3.190246380492761</v>
      </c>
      <c r="G10" s="324" t="s">
        <v>924</v>
      </c>
      <c r="I10" s="47"/>
      <c r="J10" s="47"/>
      <c r="K10" s="47"/>
      <c r="L10" s="554"/>
    </row>
    <row r="11" spans="1:14" ht="13.5" thickBot="1" x14ac:dyDescent="0.25">
      <c r="A11" s="501" t="s">
        <v>775</v>
      </c>
      <c r="B11" s="81">
        <f>ABS(A5-B10)</f>
        <v>7.5999999999999943</v>
      </c>
      <c r="C11" s="106"/>
      <c r="D11" s="501" t="s">
        <v>775</v>
      </c>
      <c r="E11" s="12">
        <f>ABS(D5-E10)</f>
        <v>0.19304038608077212</v>
      </c>
      <c r="G11" s="1084" t="s">
        <v>925</v>
      </c>
      <c r="I11" s="47"/>
      <c r="J11" s="47"/>
      <c r="K11" s="47"/>
      <c r="L11" s="260"/>
    </row>
    <row r="12" spans="1:14" x14ac:dyDescent="0.2">
      <c r="A12" s="47"/>
      <c r="B12" s="47"/>
      <c r="C12" s="47"/>
      <c r="D12" s="47"/>
      <c r="E12" s="47"/>
      <c r="G12" s="47"/>
      <c r="I12" s="47"/>
      <c r="J12" s="47"/>
      <c r="K12" s="47"/>
      <c r="L12" s="554"/>
    </row>
    <row r="13" spans="1:14" ht="13.5" thickBot="1" x14ac:dyDescent="0.25">
      <c r="A13" s="47"/>
      <c r="B13" s="47"/>
      <c r="C13" s="47"/>
      <c r="D13" s="47"/>
      <c r="E13" s="47"/>
      <c r="G13" s="47"/>
      <c r="I13" s="47"/>
      <c r="J13" s="47"/>
      <c r="K13" s="47"/>
      <c r="L13" s="47"/>
      <c r="N13" s="84"/>
    </row>
    <row r="14" spans="1:14" ht="13.5" thickBot="1" x14ac:dyDescent="0.25">
      <c r="A14" s="213"/>
      <c r="B14" s="213"/>
      <c r="C14" s="213"/>
      <c r="D14" s="213"/>
      <c r="E14" s="213"/>
      <c r="G14" s="324" t="s">
        <v>912</v>
      </c>
      <c r="I14" s="47"/>
      <c r="J14" s="47"/>
      <c r="K14" s="47"/>
      <c r="L14" s="47"/>
    </row>
    <row r="15" spans="1:14" ht="21" thickBot="1" x14ac:dyDescent="0.35">
      <c r="A15" s="1248" t="s">
        <v>448</v>
      </c>
      <c r="B15" s="1249"/>
      <c r="C15" s="797"/>
      <c r="D15" s="1166" t="s">
        <v>926</v>
      </c>
      <c r="E15" s="1168"/>
      <c r="G15" s="1084" t="s">
        <v>916</v>
      </c>
      <c r="I15" s="47"/>
      <c r="J15" s="47"/>
      <c r="K15" s="47"/>
      <c r="L15" s="47"/>
    </row>
    <row r="16" spans="1:14" x14ac:dyDescent="0.2">
      <c r="A16" s="1253" t="s">
        <v>915</v>
      </c>
      <c r="B16" s="1254"/>
      <c r="C16" s="213"/>
      <c r="D16" s="1250" t="s">
        <v>915</v>
      </c>
      <c r="E16" s="1251"/>
      <c r="G16" s="47"/>
      <c r="I16" s="47"/>
      <c r="J16" s="47"/>
      <c r="K16" s="47"/>
      <c r="L16" s="47"/>
    </row>
    <row r="17" spans="1:12" ht="13.5" customHeight="1" x14ac:dyDescent="0.2">
      <c r="A17" s="193" t="s">
        <v>917</v>
      </c>
      <c r="B17" s="640">
        <v>114</v>
      </c>
      <c r="C17" s="47"/>
      <c r="D17" s="193" t="s">
        <v>917</v>
      </c>
      <c r="E17" s="636" t="s">
        <v>918</v>
      </c>
      <c r="G17" s="588"/>
      <c r="I17" s="47"/>
      <c r="J17" s="47"/>
      <c r="K17" s="47"/>
      <c r="L17" s="47"/>
    </row>
    <row r="18" spans="1:12" s="213" customFormat="1" ht="13.5" customHeight="1" x14ac:dyDescent="0.2">
      <c r="A18" s="91">
        <v>2.97</v>
      </c>
      <c r="B18" s="194">
        <v>2.99</v>
      </c>
      <c r="C18" s="47"/>
      <c r="D18" s="336">
        <f>A18*39.37</f>
        <v>116.9289</v>
      </c>
      <c r="E18" s="808">
        <f>B18*39.37</f>
        <v>117.7163</v>
      </c>
      <c r="G18" s="789" t="s">
        <v>927</v>
      </c>
    </row>
    <row r="19" spans="1:12" s="84" customFormat="1" ht="15.75" customHeight="1" x14ac:dyDescent="0.3">
      <c r="A19" s="189"/>
      <c r="B19" s="194">
        <v>2.98</v>
      </c>
      <c r="C19" s="47"/>
      <c r="D19" s="560"/>
      <c r="E19" s="808">
        <f>B19*39.37</f>
        <v>117.32259999999999</v>
      </c>
      <c r="F19" s="793"/>
      <c r="G19" s="432" t="s">
        <v>921</v>
      </c>
      <c r="H19" s="793"/>
      <c r="I19" s="793"/>
      <c r="J19" s="260"/>
      <c r="K19" s="260"/>
      <c r="L19" s="260"/>
    </row>
    <row r="20" spans="1:12" x14ac:dyDescent="0.2">
      <c r="A20" s="189"/>
      <c r="B20" s="194">
        <v>3.01</v>
      </c>
      <c r="C20" s="47"/>
      <c r="D20" s="560"/>
      <c r="E20" s="808">
        <f>B20*39.37</f>
        <v>118.50369999999998</v>
      </c>
      <c r="G20" s="431" t="s">
        <v>928</v>
      </c>
      <c r="I20" s="260"/>
      <c r="J20" s="47"/>
      <c r="K20" s="47"/>
      <c r="L20" s="47"/>
    </row>
    <row r="21" spans="1:12" ht="13.5" thickBot="1" x14ac:dyDescent="0.25">
      <c r="A21" s="189"/>
      <c r="B21" s="194">
        <v>3.01</v>
      </c>
      <c r="C21" s="47"/>
      <c r="D21" s="560"/>
      <c r="E21" s="808">
        <f>B21*39.37</f>
        <v>118.50369999999998</v>
      </c>
      <c r="G21" s="433" t="s">
        <v>923</v>
      </c>
      <c r="I21" s="1085"/>
      <c r="J21" s="47"/>
      <c r="K21" s="47"/>
      <c r="L21" s="47"/>
    </row>
    <row r="22" spans="1:12" ht="13.5" thickBot="1" x14ac:dyDescent="0.25">
      <c r="A22" s="189"/>
      <c r="B22" s="194">
        <v>2.97</v>
      </c>
      <c r="C22" s="47"/>
      <c r="D22" s="560"/>
      <c r="E22" s="808">
        <f>B22*39.37</f>
        <v>116.9289</v>
      </c>
      <c r="G22" s="47"/>
      <c r="I22" s="47"/>
      <c r="J22" s="47"/>
      <c r="K22" s="47"/>
      <c r="L22" s="47"/>
    </row>
    <row r="23" spans="1:12" ht="13.5" thickBot="1" x14ac:dyDescent="0.25">
      <c r="A23" s="494" t="s">
        <v>601</v>
      </c>
      <c r="B23" s="79">
        <f>AVERAGE(B18:B22)</f>
        <v>2.992</v>
      </c>
      <c r="C23" s="106"/>
      <c r="D23" s="637" t="s">
        <v>601</v>
      </c>
      <c r="E23" s="214">
        <f>B23*39.37</f>
        <v>117.79503999999999</v>
      </c>
      <c r="G23" s="324" t="s">
        <v>924</v>
      </c>
      <c r="I23" s="47"/>
      <c r="J23" s="47"/>
      <c r="K23" s="47"/>
      <c r="L23" s="47"/>
    </row>
    <row r="24" spans="1:12" ht="13.5" thickBot="1" x14ac:dyDescent="0.25">
      <c r="A24" s="501" t="s">
        <v>775</v>
      </c>
      <c r="B24" s="639">
        <f>ABS(A18-B23)</f>
        <v>2.1999999999999797E-2</v>
      </c>
      <c r="C24" s="596"/>
      <c r="D24" s="501" t="s">
        <v>775</v>
      </c>
      <c r="E24" s="639">
        <f>ABS(D18-E23)</f>
        <v>0.86613999999998725</v>
      </c>
      <c r="G24" s="1084" t="s">
        <v>925</v>
      </c>
      <c r="I24" s="260"/>
      <c r="J24" s="47"/>
      <c r="K24" s="47"/>
      <c r="L24" s="47"/>
    </row>
    <row r="25" spans="1:12" x14ac:dyDescent="0.2">
      <c r="A25" s="47"/>
      <c r="B25" s="47"/>
      <c r="C25" s="47"/>
      <c r="D25" s="47"/>
      <c r="E25" s="47"/>
      <c r="G25" s="47"/>
      <c r="I25" s="47"/>
      <c r="J25" s="47"/>
      <c r="K25" s="47"/>
      <c r="L25" s="47"/>
    </row>
    <row r="26" spans="1:12" x14ac:dyDescent="0.2">
      <c r="A26" s="47"/>
      <c r="B26" s="260"/>
      <c r="C26" s="260"/>
      <c r="D26" s="260"/>
      <c r="E26" s="260"/>
      <c r="G26" s="47"/>
      <c r="I26" s="47"/>
      <c r="J26" s="47"/>
      <c r="K26" s="47"/>
      <c r="L26" s="47"/>
    </row>
    <row r="27" spans="1:12" x14ac:dyDescent="0.2">
      <c r="A27" s="47"/>
      <c r="B27" s="47"/>
      <c r="C27" s="213"/>
      <c r="D27" s="1252"/>
      <c r="E27" s="1252"/>
      <c r="G27" s="47"/>
      <c r="I27" s="47"/>
      <c r="J27" s="47"/>
      <c r="K27" s="47"/>
      <c r="L27" s="47"/>
    </row>
    <row r="28" spans="1:12" x14ac:dyDescent="0.2">
      <c r="A28" s="47"/>
      <c r="B28" s="47"/>
      <c r="C28" s="47"/>
      <c r="D28" s="260"/>
      <c r="E28" s="260"/>
      <c r="G28" s="47"/>
      <c r="I28" s="47"/>
      <c r="J28" s="47"/>
      <c r="K28" s="47"/>
      <c r="L28" s="47"/>
    </row>
    <row r="29" spans="1:12" x14ac:dyDescent="0.2">
      <c r="A29" s="47"/>
      <c r="B29" s="47"/>
      <c r="C29" s="47"/>
      <c r="D29" s="794"/>
      <c r="E29" s="794"/>
      <c r="G29" s="47"/>
      <c r="I29" s="47"/>
      <c r="J29" s="47"/>
      <c r="K29" s="47"/>
      <c r="L29" s="47"/>
    </row>
    <row r="30" spans="1:12" x14ac:dyDescent="0.2">
      <c r="A30" s="47"/>
      <c r="B30" s="47"/>
      <c r="C30" s="47"/>
      <c r="D30" s="588"/>
      <c r="E30" s="794"/>
      <c r="G30" s="260"/>
      <c r="I30" s="47"/>
      <c r="J30" s="47"/>
      <c r="K30" s="47"/>
      <c r="L30" s="47"/>
    </row>
    <row r="31" spans="1:12" x14ac:dyDescent="0.2">
      <c r="A31" s="47"/>
      <c r="B31" s="47"/>
      <c r="C31" s="47"/>
      <c r="D31" s="588"/>
      <c r="E31" s="794"/>
      <c r="G31" s="790"/>
      <c r="I31" s="47"/>
      <c r="J31" s="47"/>
      <c r="K31" s="47"/>
      <c r="L31" s="47"/>
    </row>
    <row r="32" spans="1:12" x14ac:dyDescent="0.2">
      <c r="A32" s="47"/>
      <c r="B32" s="47"/>
      <c r="C32" s="47"/>
      <c r="D32" s="588"/>
      <c r="E32" s="794"/>
      <c r="G32" s="791"/>
      <c r="I32" s="260"/>
      <c r="J32" s="47"/>
      <c r="K32" s="47"/>
      <c r="L32" s="47"/>
    </row>
    <row r="33" spans="1:12" x14ac:dyDescent="0.2">
      <c r="A33" s="47"/>
      <c r="B33" s="47"/>
      <c r="C33" s="47"/>
      <c r="D33" s="588"/>
      <c r="E33" s="794"/>
      <c r="G33" s="588"/>
      <c r="I33" s="1085"/>
      <c r="J33" s="47"/>
      <c r="K33" s="47"/>
      <c r="L33" s="47"/>
    </row>
    <row r="34" spans="1:12" s="47" customFormat="1" x14ac:dyDescent="0.2">
      <c r="D34" s="588"/>
      <c r="E34" s="794"/>
      <c r="G34" s="260"/>
    </row>
    <row r="35" spans="1:12" s="47" customFormat="1" x14ac:dyDescent="0.2">
      <c r="D35" s="588"/>
      <c r="E35" s="794"/>
      <c r="G35" s="790"/>
      <c r="I35" s="260"/>
    </row>
    <row r="36" spans="1:12" s="47" customFormat="1" x14ac:dyDescent="0.2">
      <c r="D36" s="588"/>
      <c r="E36" s="794"/>
      <c r="I36" s="1085"/>
    </row>
    <row r="37" spans="1:12" s="47" customFormat="1" x14ac:dyDescent="0.2">
      <c r="D37" s="588"/>
      <c r="E37" s="794"/>
      <c r="G37" s="260"/>
    </row>
    <row r="38" spans="1:12" s="47" customFormat="1" x14ac:dyDescent="0.2">
      <c r="D38" s="588"/>
      <c r="E38" s="794"/>
      <c r="G38" s="339"/>
    </row>
    <row r="39" spans="1:12" s="47" customFormat="1" x14ac:dyDescent="0.2">
      <c r="D39" s="796"/>
      <c r="E39" s="588"/>
      <c r="G39" s="795"/>
      <c r="I39" s="260"/>
    </row>
    <row r="40" spans="1:12" s="47" customFormat="1" x14ac:dyDescent="0.2">
      <c r="C40" s="260"/>
      <c r="D40" s="260"/>
      <c r="G40" s="260"/>
      <c r="I40" s="1085"/>
    </row>
    <row r="41" spans="1:12" s="47" customFormat="1" x14ac:dyDescent="0.2">
      <c r="G41" s="339"/>
    </row>
    <row r="42" spans="1:12" s="47" customFormat="1" x14ac:dyDescent="0.2">
      <c r="G42" s="796"/>
    </row>
    <row r="43" spans="1:12" s="47" customFormat="1" x14ac:dyDescent="0.2">
      <c r="I43" s="260"/>
    </row>
    <row r="44" spans="1:12" s="47" customFormat="1" x14ac:dyDescent="0.2"/>
    <row r="45" spans="1:12" s="47" customFormat="1" x14ac:dyDescent="0.2"/>
    <row r="46" spans="1:12" s="47" customFormat="1" x14ac:dyDescent="0.2"/>
    <row r="47" spans="1:12" s="47" customFormat="1" x14ac:dyDescent="0.2">
      <c r="I47" s="260"/>
    </row>
    <row r="48" spans="1:12" s="47" customFormat="1" x14ac:dyDescent="0.2">
      <c r="A48"/>
      <c r="B48"/>
      <c r="C48"/>
      <c r="D48"/>
      <c r="E48"/>
      <c r="I48" s="1085"/>
    </row>
    <row r="49" spans="1:9" s="47" customFormat="1" x14ac:dyDescent="0.2">
      <c r="A49"/>
      <c r="B49"/>
      <c r="C49"/>
      <c r="D49"/>
      <c r="E49"/>
      <c r="I49" s="1085"/>
    </row>
    <row r="50" spans="1:9" s="47" customFormat="1" x14ac:dyDescent="0.2">
      <c r="A50"/>
      <c r="B50"/>
      <c r="C50"/>
      <c r="D50"/>
      <c r="E50"/>
    </row>
    <row r="51" spans="1:9" s="47" customFormat="1" x14ac:dyDescent="0.2">
      <c r="A51"/>
      <c r="B51"/>
      <c r="C51"/>
      <c r="D51"/>
      <c r="E51"/>
    </row>
    <row r="52" spans="1:9" s="47" customFormat="1" x14ac:dyDescent="0.2">
      <c r="A52"/>
      <c r="B52"/>
      <c r="C52"/>
      <c r="D52"/>
      <c r="E52"/>
      <c r="G52"/>
    </row>
    <row r="53" spans="1:9" s="47" customFormat="1" x14ac:dyDescent="0.2">
      <c r="A53"/>
      <c r="B53"/>
      <c r="C53"/>
      <c r="D53"/>
      <c r="E53"/>
      <c r="G53"/>
    </row>
    <row r="54" spans="1:9" s="47" customFormat="1" x14ac:dyDescent="0.2">
      <c r="A54"/>
      <c r="B54"/>
      <c r="C54"/>
      <c r="D54"/>
      <c r="E54"/>
      <c r="G54"/>
    </row>
    <row r="55" spans="1:9" s="47" customFormat="1" x14ac:dyDescent="0.2">
      <c r="A55"/>
      <c r="B55"/>
      <c r="C55"/>
      <c r="D55"/>
      <c r="E55"/>
      <c r="G55"/>
    </row>
    <row r="56" spans="1:9" s="47" customFormat="1" x14ac:dyDescent="0.2">
      <c r="A56"/>
      <c r="B56"/>
      <c r="C56"/>
      <c r="D56"/>
      <c r="E56"/>
      <c r="G56"/>
    </row>
  </sheetData>
  <sheetProtection sheet="1" selectLockedCells="1"/>
  <mergeCells count="9">
    <mergeCell ref="A2:B2"/>
    <mergeCell ref="D2:E2"/>
    <mergeCell ref="D16:E16"/>
    <mergeCell ref="D27:E27"/>
    <mergeCell ref="A16:B16"/>
    <mergeCell ref="D15:E15"/>
    <mergeCell ref="A15:B15"/>
    <mergeCell ref="D3:E3"/>
    <mergeCell ref="A3:B3"/>
  </mergeCells>
  <phoneticPr fontId="13"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7" r:id="rId4" name="Button 7">
              <controlPr defaultSize="0" print="0" autoFill="0" autoPict="0" macro="[0]!ReturnToMain">
                <anchor moveWithCells="1" sizeWithCells="1">
                  <from>
                    <xdr:col>0</xdr:col>
                    <xdr:colOff>19050</xdr:colOff>
                    <xdr:row>0</xdr:row>
                    <xdr:rowOff>19050</xdr:rowOff>
                  </from>
                  <to>
                    <xdr:col>1</xdr:col>
                    <xdr:colOff>209550</xdr:colOff>
                    <xdr:row>0</xdr:row>
                    <xdr:rowOff>152400</xdr:rowOff>
                  </to>
                </anchor>
              </controlPr>
            </control>
          </mc:Choice>
        </mc:AlternateContent>
        <mc:AlternateContent xmlns:mc="http://schemas.openxmlformats.org/markup-compatibility/2006">
          <mc:Choice Requires="x14">
            <control shapeId="15369" r:id="rId5" name="Button 9">
              <controlPr defaultSize="0" print="0" autoFill="0" autoPict="0" macro="[0]!RoughnessNIST">
                <anchor moveWithCells="1" sizeWithCells="1">
                  <from>
                    <xdr:col>3</xdr:col>
                    <xdr:colOff>781050</xdr:colOff>
                    <xdr:row>0</xdr:row>
                    <xdr:rowOff>19050</xdr:rowOff>
                  </from>
                  <to>
                    <xdr:col>6</xdr:col>
                    <xdr:colOff>314325</xdr:colOff>
                    <xdr:row>0</xdr:row>
                    <xdr:rowOff>161925</xdr:rowOff>
                  </to>
                </anchor>
              </controlPr>
            </control>
          </mc:Choice>
        </mc:AlternateContent>
        <mc:AlternateContent xmlns:mc="http://schemas.openxmlformats.org/markup-compatibility/2006">
          <mc:Choice Requires="x14">
            <control shapeId="15370" r:id="rId6" name="Button 10">
              <controlPr defaultSize="0" print="0" autoFill="0" autoPict="0" macro="[0]!RoughnessClearReadings">
                <anchor moveWithCells="1" sizeWithCells="1">
                  <from>
                    <xdr:col>0</xdr:col>
                    <xdr:colOff>28575</xdr:colOff>
                    <xdr:row>5</xdr:row>
                    <xdr:rowOff>38100</xdr:rowOff>
                  </from>
                  <to>
                    <xdr:col>0</xdr:col>
                    <xdr:colOff>552450</xdr:colOff>
                    <xdr:row>6</xdr:row>
                    <xdr:rowOff>57150</xdr:rowOff>
                  </to>
                </anchor>
              </controlPr>
            </control>
          </mc:Choice>
        </mc:AlternateContent>
        <mc:AlternateContent xmlns:mc="http://schemas.openxmlformats.org/markup-compatibility/2006">
          <mc:Choice Requires="x14">
            <control shapeId="15371" r:id="rId7" name="Button 11">
              <controlPr defaultSize="0" print="0" autoFill="0" autoPict="0" macro="[0]!RoughnessClearReading2">
                <anchor moveWithCells="1" sizeWithCells="1">
                  <from>
                    <xdr:col>3</xdr:col>
                    <xdr:colOff>76200</xdr:colOff>
                    <xdr:row>5</xdr:row>
                    <xdr:rowOff>38100</xdr:rowOff>
                  </from>
                  <to>
                    <xdr:col>3</xdr:col>
                    <xdr:colOff>771525</xdr:colOff>
                    <xdr:row>6</xdr:row>
                    <xdr:rowOff>57150</xdr:rowOff>
                  </to>
                </anchor>
              </controlPr>
            </control>
          </mc:Choice>
        </mc:AlternateContent>
        <mc:AlternateContent xmlns:mc="http://schemas.openxmlformats.org/markup-compatibility/2006">
          <mc:Choice Requires="x14">
            <control shapeId="15372" r:id="rId8" name="Button 12">
              <controlPr defaultSize="0" print="0" autoFill="0" autoPict="0" macro="[0]!RoughnessClearReading3">
                <anchor moveWithCells="1" sizeWithCells="1">
                  <from>
                    <xdr:col>0</xdr:col>
                    <xdr:colOff>38100</xdr:colOff>
                    <xdr:row>18</xdr:row>
                    <xdr:rowOff>38100</xdr:rowOff>
                  </from>
                  <to>
                    <xdr:col>0</xdr:col>
                    <xdr:colOff>523875</xdr:colOff>
                    <xdr:row>19</xdr:row>
                    <xdr:rowOff>57150</xdr:rowOff>
                  </to>
                </anchor>
              </controlPr>
            </control>
          </mc:Choice>
        </mc:AlternateContent>
        <mc:AlternateContent xmlns:mc="http://schemas.openxmlformats.org/markup-compatibility/2006">
          <mc:Choice Requires="x14">
            <control shapeId="15373" r:id="rId9" name="Button 13">
              <controlPr defaultSize="0" print="0" autoFill="0" autoPict="0" macro="[0]!RoughnessClearReading4">
                <anchor moveWithCells="1" sizeWithCells="1">
                  <from>
                    <xdr:col>3</xdr:col>
                    <xdr:colOff>133350</xdr:colOff>
                    <xdr:row>18</xdr:row>
                    <xdr:rowOff>47625</xdr:rowOff>
                  </from>
                  <to>
                    <xdr:col>3</xdr:col>
                    <xdr:colOff>733425</xdr:colOff>
                    <xdr:row>19</xdr:row>
                    <xdr:rowOff>66675</xdr:rowOff>
                  </to>
                </anchor>
              </controlPr>
            </control>
          </mc:Choice>
        </mc:AlternateContent>
        <mc:AlternateContent xmlns:mc="http://schemas.openxmlformats.org/markup-compatibility/2006">
          <mc:Choice Requires="x14">
            <control shapeId="15374" r:id="rId10" name="Button 14">
              <controlPr defaultSize="0" print="0" autoFill="0" autoPict="0" macro="[0]!RoughnessStandards">
                <anchor moveWithCells="1" sizeWithCells="1">
                  <from>
                    <xdr:col>1</xdr:col>
                    <xdr:colOff>285750</xdr:colOff>
                    <xdr:row>0</xdr:row>
                    <xdr:rowOff>19050</xdr:rowOff>
                  </from>
                  <to>
                    <xdr:col>3</xdr:col>
                    <xdr:colOff>628650</xdr:colOff>
                    <xdr:row>0</xdr:row>
                    <xdr:rowOff>142875</xdr:rowOff>
                  </to>
                </anchor>
              </controlPr>
            </control>
          </mc:Choice>
        </mc:AlternateContent>
        <mc:AlternateContent xmlns:mc="http://schemas.openxmlformats.org/markup-compatibility/2006">
          <mc:Choice Requires="x14">
            <control shapeId="15375" r:id="rId11" name="Button 15">
              <controlPr defaultSize="0" print="0" autoFill="0" autoPict="0" macro="[0]!RoughnessTechnicalData">
                <anchor moveWithCells="1" sizeWithCells="1">
                  <from>
                    <xdr:col>6</xdr:col>
                    <xdr:colOff>428625</xdr:colOff>
                    <xdr:row>0</xdr:row>
                    <xdr:rowOff>38100</xdr:rowOff>
                  </from>
                  <to>
                    <xdr:col>6</xdr:col>
                    <xdr:colOff>1371600</xdr:colOff>
                    <xdr:row>0</xdr:row>
                    <xdr:rowOff>152400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7">
    <tabColor theme="6" tint="-0.499984740745262"/>
  </sheetPr>
  <dimension ref="A1:AF43"/>
  <sheetViews>
    <sheetView topLeftCell="A3" workbookViewId="0">
      <selection activeCell="F5" sqref="F5"/>
    </sheetView>
  </sheetViews>
  <sheetFormatPr defaultRowHeight="12.75" x14ac:dyDescent="0.2"/>
  <cols>
    <col min="4" max="4" width="9.7109375" bestFit="1" customWidth="1"/>
    <col min="8" max="8" width="9.7109375" bestFit="1" customWidth="1"/>
    <col min="9" max="9" width="9.5703125" customWidth="1"/>
    <col min="15" max="15" width="14.28515625" customWidth="1"/>
    <col min="17" max="17" width="9.7109375" bestFit="1" customWidth="1"/>
    <col min="19" max="19" width="19.85546875" bestFit="1" customWidth="1"/>
    <col min="26" max="26" width="10.7109375" customWidth="1"/>
  </cols>
  <sheetData>
    <row r="1" spans="1:31" ht="18.75" x14ac:dyDescent="0.3">
      <c r="D1" s="783"/>
    </row>
    <row r="2" spans="1:31" ht="13.5" thickBot="1" x14ac:dyDescent="0.25"/>
    <row r="3" spans="1:31" ht="15.75" thickBot="1" x14ac:dyDescent="0.3">
      <c r="A3" s="1086" t="s">
        <v>929</v>
      </c>
      <c r="B3" s="784"/>
      <c r="C3" s="784"/>
      <c r="D3" s="784"/>
      <c r="E3" s="784"/>
      <c r="F3" s="1087" t="s">
        <v>930</v>
      </c>
      <c r="G3" s="784"/>
      <c r="H3" s="784"/>
      <c r="I3" s="784"/>
      <c r="J3" s="784"/>
      <c r="K3" s="784"/>
      <c r="L3" s="166"/>
      <c r="M3" s="47"/>
      <c r="N3" s="1086" t="s">
        <v>931</v>
      </c>
      <c r="O3" s="784"/>
      <c r="P3" s="784"/>
      <c r="Q3" s="784"/>
      <c r="R3" s="784"/>
      <c r="S3" s="787"/>
      <c r="T3" s="787"/>
      <c r="U3" s="787"/>
      <c r="V3" s="787"/>
      <c r="W3" s="787"/>
      <c r="X3" s="787"/>
      <c r="Y3" s="787"/>
      <c r="Z3" s="787"/>
      <c r="AA3" s="787"/>
      <c r="AB3" s="787"/>
      <c r="AC3" s="787"/>
      <c r="AD3" s="799"/>
    </row>
    <row r="4" spans="1:31" ht="15.75" thickBot="1" x14ac:dyDescent="0.3">
      <c r="A4" s="1280" t="s">
        <v>932</v>
      </c>
      <c r="B4" s="1281"/>
      <c r="C4" s="1282"/>
      <c r="D4" s="1291" t="s">
        <v>918</v>
      </c>
      <c r="E4" s="1300"/>
      <c r="F4" s="1300"/>
      <c r="G4" s="1300"/>
      <c r="H4" s="1292"/>
      <c r="I4" s="1088"/>
      <c r="J4" s="787"/>
      <c r="K4" s="787"/>
      <c r="L4" s="799"/>
      <c r="M4" s="47"/>
      <c r="N4" s="809"/>
      <c r="O4" s="810"/>
      <c r="P4" s="1089" t="s">
        <v>933</v>
      </c>
      <c r="Q4" s="1257" t="s">
        <v>918</v>
      </c>
      <c r="R4" s="1258"/>
      <c r="S4" s="1258"/>
      <c r="T4" s="1258"/>
      <c r="U4" s="1259"/>
      <c r="V4" s="787"/>
      <c r="W4" s="1283" t="s">
        <v>934</v>
      </c>
      <c r="X4" s="1284"/>
      <c r="Y4" s="149">
        <f>P9-P5</f>
        <v>100</v>
      </c>
      <c r="Z4" s="787"/>
      <c r="AA4" s="787"/>
      <c r="AB4" s="811"/>
      <c r="AC4" s="811"/>
      <c r="AD4" s="799"/>
      <c r="AE4" s="166"/>
    </row>
    <row r="5" spans="1:31" ht="15.75" thickBot="1" x14ac:dyDescent="0.3">
      <c r="A5" s="788"/>
      <c r="B5" s="10"/>
      <c r="C5" s="1090">
        <v>118</v>
      </c>
      <c r="D5" s="1090">
        <v>119</v>
      </c>
      <c r="E5" s="1090">
        <v>119</v>
      </c>
      <c r="F5" s="1090">
        <v>119</v>
      </c>
      <c r="G5" s="1090">
        <v>119</v>
      </c>
      <c r="H5" s="1090">
        <v>117</v>
      </c>
      <c r="I5" s="786"/>
      <c r="J5" s="10"/>
      <c r="K5" s="10"/>
      <c r="L5" s="785"/>
      <c r="M5" s="47"/>
      <c r="N5" s="788"/>
      <c r="O5" s="10"/>
      <c r="P5" s="1091">
        <v>20</v>
      </c>
      <c r="Q5" s="101">
        <v>20</v>
      </c>
      <c r="R5" s="101">
        <v>20</v>
      </c>
      <c r="S5" s="101">
        <v>20</v>
      </c>
      <c r="T5" s="101">
        <v>20</v>
      </c>
      <c r="U5" s="101">
        <v>20</v>
      </c>
      <c r="V5" s="10"/>
      <c r="W5" s="1285" t="s">
        <v>935</v>
      </c>
      <c r="X5" s="1286"/>
      <c r="Y5" s="79">
        <f>U11-U7</f>
        <v>-50</v>
      </c>
      <c r="Z5" s="10"/>
      <c r="AA5" s="10"/>
      <c r="AB5" s="801"/>
      <c r="AC5" s="801"/>
      <c r="AD5" s="785"/>
      <c r="AE5" s="168"/>
    </row>
    <row r="6" spans="1:31" ht="15" x14ac:dyDescent="0.25">
      <c r="A6" s="788"/>
      <c r="B6" s="1092">
        <f ca="1">TODAY()</f>
        <v>45699</v>
      </c>
      <c r="C6" s="10"/>
      <c r="D6" s="10"/>
      <c r="E6" s="10"/>
      <c r="F6" s="1295" t="s">
        <v>601</v>
      </c>
      <c r="G6" s="1296"/>
      <c r="H6" s="1093">
        <f>AVERAGE(D5:H5)</f>
        <v>118.6</v>
      </c>
      <c r="I6" s="786"/>
      <c r="J6" s="10"/>
      <c r="K6" s="10"/>
      <c r="L6" s="785"/>
      <c r="M6" s="47"/>
      <c r="N6" s="788"/>
      <c r="O6" s="10"/>
      <c r="P6" s="10"/>
      <c r="Q6" s="10"/>
      <c r="R6" s="10"/>
      <c r="S6" s="1270" t="s">
        <v>601</v>
      </c>
      <c r="T6" s="1270"/>
      <c r="U6" s="1094">
        <f>AVERAGE(P5:P9)</f>
        <v>70</v>
      </c>
      <c r="V6" s="10"/>
      <c r="W6" s="1285" t="s">
        <v>936</v>
      </c>
      <c r="X6" s="1286"/>
      <c r="Y6" s="79">
        <f>Y5/Y4</f>
        <v>-0.5</v>
      </c>
      <c r="Z6" s="10"/>
      <c r="AA6" s="10"/>
      <c r="AB6" s="801"/>
      <c r="AC6" s="801"/>
      <c r="AD6" s="785"/>
      <c r="AE6" s="168"/>
    </row>
    <row r="7" spans="1:31" ht="15.75" thickBot="1" x14ac:dyDescent="0.3">
      <c r="A7" s="788"/>
      <c r="B7" s="1095"/>
      <c r="C7" s="1095"/>
      <c r="D7" s="10"/>
      <c r="E7" s="10"/>
      <c r="F7" s="1298" t="s">
        <v>937</v>
      </c>
      <c r="G7" s="1299"/>
      <c r="H7" s="1096">
        <f>C5-H6</f>
        <v>-0.59999999999999432</v>
      </c>
      <c r="I7" s="786"/>
      <c r="J7" s="10"/>
      <c r="K7" s="10"/>
      <c r="L7" s="785"/>
      <c r="M7" s="47"/>
      <c r="N7" s="788"/>
      <c r="O7" s="10"/>
      <c r="P7" s="10"/>
      <c r="Q7" s="10"/>
      <c r="R7" s="10"/>
      <c r="S7" s="1297" t="s">
        <v>937</v>
      </c>
      <c r="T7" s="1297"/>
      <c r="U7" s="1097">
        <f>P5-U6</f>
        <v>-50</v>
      </c>
      <c r="V7" s="10"/>
      <c r="W7" s="1287" t="s">
        <v>938</v>
      </c>
      <c r="X7" s="1288"/>
      <c r="Y7" s="81">
        <f>U7+((O12-P5)*Y6)</f>
        <v>-75</v>
      </c>
      <c r="Z7" s="10"/>
      <c r="AA7" s="10"/>
      <c r="AB7" s="10"/>
      <c r="AC7" s="10"/>
      <c r="AD7" s="785"/>
      <c r="AE7" s="168"/>
    </row>
    <row r="8" spans="1:31" ht="15.75" thickBot="1" x14ac:dyDescent="0.3">
      <c r="A8" s="788"/>
      <c r="B8" s="1095"/>
      <c r="C8" s="1095"/>
      <c r="D8" s="10"/>
      <c r="E8" s="10"/>
      <c r="F8" s="10"/>
      <c r="G8" s="10"/>
      <c r="H8" s="10"/>
      <c r="I8" s="10"/>
      <c r="J8" s="786"/>
      <c r="K8" s="10"/>
      <c r="L8" s="785"/>
      <c r="M8" s="47"/>
      <c r="N8" s="809"/>
      <c r="O8" s="810"/>
      <c r="P8" s="1089" t="s">
        <v>939</v>
      </c>
      <c r="Q8" s="1257" t="s">
        <v>918</v>
      </c>
      <c r="R8" s="1258"/>
      <c r="S8" s="1258"/>
      <c r="T8" s="1258"/>
      <c r="U8" s="1259"/>
      <c r="V8" s="10"/>
      <c r="W8" s="10"/>
      <c r="X8" s="10"/>
      <c r="Y8" s="10"/>
      <c r="Z8" s="10"/>
      <c r="AA8" s="10"/>
      <c r="AB8" s="10"/>
      <c r="AC8" s="10"/>
      <c r="AD8" s="785"/>
      <c r="AE8" s="168"/>
    </row>
    <row r="9" spans="1:31" ht="15.75" thickBot="1" x14ac:dyDescent="0.3">
      <c r="A9" s="1289" t="s">
        <v>940</v>
      </c>
      <c r="B9" s="1290"/>
      <c r="C9" s="1290"/>
      <c r="D9" s="1291" t="s">
        <v>918</v>
      </c>
      <c r="E9" s="1292"/>
      <c r="F9" s="10"/>
      <c r="G9" s="1243" t="s">
        <v>941</v>
      </c>
      <c r="H9" s="1245"/>
      <c r="I9" s="1245"/>
      <c r="J9" s="1245"/>
      <c r="K9" s="1245"/>
      <c r="L9" s="1244"/>
      <c r="M9" s="47"/>
      <c r="N9" s="788"/>
      <c r="O9" s="10"/>
      <c r="P9" s="1091">
        <v>120</v>
      </c>
      <c r="Q9" s="101">
        <v>220</v>
      </c>
      <c r="R9" s="101">
        <v>220</v>
      </c>
      <c r="S9" s="101">
        <v>220</v>
      </c>
      <c r="T9" s="101">
        <v>220</v>
      </c>
      <c r="U9" s="101">
        <v>220</v>
      </c>
      <c r="V9" s="10"/>
      <c r="W9" s="10"/>
      <c r="X9" s="10"/>
      <c r="Y9" s="10"/>
      <c r="Z9" s="10"/>
      <c r="AA9" s="10"/>
      <c r="AB9" s="10"/>
      <c r="AC9" s="10"/>
      <c r="AD9" s="785"/>
      <c r="AE9" s="168"/>
    </row>
    <row r="10" spans="1:31" ht="15.75" thickBot="1" x14ac:dyDescent="0.3">
      <c r="A10" s="788"/>
      <c r="B10" s="10"/>
      <c r="C10" s="1098">
        <v>116.93</v>
      </c>
      <c r="D10" s="2">
        <v>117</v>
      </c>
      <c r="E10" s="194">
        <v>116</v>
      </c>
      <c r="F10" s="10"/>
      <c r="G10" s="1266" t="s">
        <v>942</v>
      </c>
      <c r="H10" s="1267"/>
      <c r="I10" s="1267"/>
      <c r="J10" s="1267"/>
      <c r="K10" s="1267"/>
      <c r="L10" s="1268"/>
      <c r="M10" s="47"/>
      <c r="N10" s="788"/>
      <c r="O10" s="10"/>
      <c r="P10" s="10"/>
      <c r="Q10" s="10"/>
      <c r="R10" s="10"/>
      <c r="S10" s="1270" t="s">
        <v>601</v>
      </c>
      <c r="T10" s="1270"/>
      <c r="U10" s="1094">
        <f>AVERAGE(Q9:Q10)</f>
        <v>220</v>
      </c>
      <c r="V10" s="10"/>
      <c r="W10" s="10"/>
      <c r="X10" s="10"/>
      <c r="Y10" s="10"/>
      <c r="Z10" s="10"/>
      <c r="AA10" s="10"/>
      <c r="AB10" s="10"/>
      <c r="AC10" s="10"/>
      <c r="AD10" s="785"/>
      <c r="AE10" s="168"/>
    </row>
    <row r="11" spans="1:31" ht="15.75" thickBot="1" x14ac:dyDescent="0.3">
      <c r="A11" s="788"/>
      <c r="B11" s="10"/>
      <c r="C11" s="10"/>
      <c r="D11" s="874">
        <v>117</v>
      </c>
      <c r="E11" s="875">
        <v>117</v>
      </c>
      <c r="F11" s="10"/>
      <c r="G11" s="1260" t="s">
        <v>943</v>
      </c>
      <c r="H11" s="1261"/>
      <c r="I11" s="1261"/>
      <c r="J11" s="1261"/>
      <c r="K11" s="1261"/>
      <c r="L11" s="1262"/>
      <c r="M11" s="47"/>
      <c r="N11" s="1302" t="s">
        <v>940</v>
      </c>
      <c r="O11" s="1303"/>
      <c r="P11" s="1293" t="s">
        <v>918</v>
      </c>
      <c r="Q11" s="1294"/>
      <c r="R11" s="10"/>
      <c r="S11" s="1299" t="s">
        <v>937</v>
      </c>
      <c r="T11" s="1301"/>
      <c r="U11" s="1096">
        <f>P9-U10</f>
        <v>-100</v>
      </c>
      <c r="V11" s="10"/>
      <c r="W11" s="10"/>
      <c r="X11" s="10"/>
      <c r="Y11" s="10"/>
      <c r="Z11" s="10"/>
      <c r="AA11" s="10"/>
      <c r="AB11" s="10"/>
      <c r="AC11" s="10"/>
      <c r="AD11" s="785"/>
      <c r="AE11" s="168"/>
    </row>
    <row r="12" spans="1:31" ht="13.5" customHeight="1" thickBot="1" x14ac:dyDescent="0.3">
      <c r="A12" s="788"/>
      <c r="B12" s="10"/>
      <c r="C12" s="10"/>
      <c r="D12" s="874">
        <v>117</v>
      </c>
      <c r="E12" s="875">
        <v>117</v>
      </c>
      <c r="F12" s="10"/>
      <c r="G12" s="10"/>
      <c r="H12" s="10"/>
      <c r="I12" s="10"/>
      <c r="J12" s="10"/>
      <c r="K12" s="10"/>
      <c r="L12" s="785"/>
      <c r="M12" s="47"/>
      <c r="N12" s="788"/>
      <c r="O12" s="1091">
        <v>70</v>
      </c>
      <c r="P12" s="599">
        <v>120</v>
      </c>
      <c r="Q12" s="101"/>
      <c r="R12" s="10"/>
      <c r="S12" s="10"/>
      <c r="T12" s="10"/>
      <c r="U12" s="10"/>
      <c r="V12" s="10"/>
      <c r="W12" s="10"/>
      <c r="X12" s="10"/>
      <c r="Y12" s="10"/>
      <c r="Z12" s="10"/>
      <c r="AA12" s="10"/>
      <c r="AB12" s="10"/>
      <c r="AC12" s="10"/>
      <c r="AD12" s="10"/>
      <c r="AE12" s="785"/>
    </row>
    <row r="13" spans="1:31" ht="13.5" thickBot="1" x14ac:dyDescent="0.25">
      <c r="A13" s="788"/>
      <c r="B13" s="10"/>
      <c r="C13" s="10"/>
      <c r="D13" s="874">
        <v>117</v>
      </c>
      <c r="E13" s="875">
        <v>117</v>
      </c>
      <c r="F13" s="10"/>
      <c r="G13" s="1243" t="s">
        <v>944</v>
      </c>
      <c r="H13" s="1245"/>
      <c r="I13" s="1245"/>
      <c r="J13" s="1245"/>
      <c r="K13" s="1245"/>
      <c r="L13" s="1244"/>
      <c r="M13" s="47"/>
      <c r="N13" s="788"/>
      <c r="O13" s="10"/>
      <c r="P13" s="129">
        <v>120</v>
      </c>
      <c r="Q13" s="194"/>
      <c r="R13" s="10"/>
      <c r="S13" s="1243" t="s">
        <v>941</v>
      </c>
      <c r="T13" s="1245"/>
      <c r="U13" s="1245"/>
      <c r="V13" s="1245"/>
      <c r="W13" s="1245"/>
      <c r="X13" s="1244"/>
      <c r="Y13" s="10"/>
      <c r="Z13" s="10"/>
      <c r="AA13" s="10"/>
      <c r="AB13" s="10"/>
      <c r="AC13" s="10"/>
      <c r="AD13" s="10"/>
      <c r="AE13" s="785"/>
    </row>
    <row r="14" spans="1:31" ht="15" x14ac:dyDescent="0.25">
      <c r="A14" s="788"/>
      <c r="B14" s="10"/>
      <c r="C14" s="10"/>
      <c r="D14" s="874">
        <v>117</v>
      </c>
      <c r="E14" s="875">
        <v>117</v>
      </c>
      <c r="F14" s="10"/>
      <c r="G14" s="1263" t="s">
        <v>945</v>
      </c>
      <c r="H14" s="1264"/>
      <c r="I14" s="1264"/>
      <c r="J14" s="1264"/>
      <c r="K14" s="1264"/>
      <c r="L14" s="1265"/>
      <c r="M14" s="47"/>
      <c r="N14" s="1099"/>
      <c r="O14" s="1095"/>
      <c r="P14" s="129">
        <v>120</v>
      </c>
      <c r="Q14" s="194"/>
      <c r="R14" s="10"/>
      <c r="S14" s="1266" t="s">
        <v>942</v>
      </c>
      <c r="T14" s="1267"/>
      <c r="U14" s="1267"/>
      <c r="V14" s="1267"/>
      <c r="W14" s="1267"/>
      <c r="X14" s="1268"/>
      <c r="Y14" s="10"/>
      <c r="Z14" s="10"/>
      <c r="AA14" s="10"/>
      <c r="AB14" s="10"/>
      <c r="AC14" s="10"/>
      <c r="AD14" s="10"/>
      <c r="AE14" s="785"/>
    </row>
    <row r="15" spans="1:31" ht="13.5" thickBot="1" x14ac:dyDescent="0.25">
      <c r="A15" s="788"/>
      <c r="B15" s="10"/>
      <c r="C15" s="10"/>
      <c r="D15" s="874">
        <v>117</v>
      </c>
      <c r="E15" s="875">
        <v>117</v>
      </c>
      <c r="F15" s="10"/>
      <c r="G15" s="1260" t="s">
        <v>946</v>
      </c>
      <c r="H15" s="1261"/>
      <c r="I15" s="1261"/>
      <c r="J15" s="1261"/>
      <c r="K15" s="1261"/>
      <c r="L15" s="1262"/>
      <c r="M15" s="47"/>
      <c r="N15" s="788"/>
      <c r="O15" s="10"/>
      <c r="P15" s="129">
        <v>120</v>
      </c>
      <c r="Q15" s="194"/>
      <c r="R15" s="10"/>
      <c r="S15" s="1260" t="s">
        <v>943</v>
      </c>
      <c r="T15" s="1261"/>
      <c r="U15" s="1261"/>
      <c r="V15" s="1261"/>
      <c r="W15" s="1261"/>
      <c r="X15" s="1262"/>
      <c r="Y15" s="10"/>
      <c r="Z15" s="10"/>
      <c r="AA15" s="10"/>
      <c r="AB15" s="10"/>
      <c r="AC15" s="10"/>
      <c r="AD15" s="10"/>
      <c r="AE15" s="785"/>
    </row>
    <row r="16" spans="1:31" ht="15.75" thickBot="1" x14ac:dyDescent="0.3">
      <c r="A16" s="788"/>
      <c r="B16" s="10"/>
      <c r="C16" s="10"/>
      <c r="D16" s="874">
        <v>117</v>
      </c>
      <c r="E16" s="875">
        <v>117</v>
      </c>
      <c r="F16" s="10"/>
      <c r="G16" s="1100"/>
      <c r="H16" s="10"/>
      <c r="I16" s="10"/>
      <c r="J16" s="10"/>
      <c r="K16" s="10"/>
      <c r="L16" s="785"/>
      <c r="M16" s="47"/>
      <c r="N16" s="788"/>
      <c r="O16" s="10"/>
      <c r="P16" s="129">
        <v>120</v>
      </c>
      <c r="Q16" s="194"/>
      <c r="R16" s="10"/>
      <c r="S16" s="10"/>
      <c r="T16" s="10"/>
      <c r="U16" s="10"/>
      <c r="V16" s="10"/>
      <c r="W16" s="10"/>
      <c r="X16" s="10"/>
      <c r="Y16" s="10"/>
      <c r="Z16" s="10"/>
      <c r="AA16" s="10"/>
      <c r="AB16" s="10"/>
      <c r="AC16" s="10"/>
      <c r="AD16" s="10"/>
      <c r="AE16" s="785"/>
    </row>
    <row r="17" spans="1:32" ht="13.5" thickBot="1" x14ac:dyDescent="0.25">
      <c r="A17" s="788"/>
      <c r="B17" s="10"/>
      <c r="C17" s="10"/>
      <c r="D17" s="874">
        <v>117</v>
      </c>
      <c r="E17" s="875">
        <v>117</v>
      </c>
      <c r="F17" s="10"/>
      <c r="G17" s="1243" t="s">
        <v>947</v>
      </c>
      <c r="H17" s="1245"/>
      <c r="I17" s="1245"/>
      <c r="J17" s="1245"/>
      <c r="K17" s="1245"/>
      <c r="L17" s="1244"/>
      <c r="M17" s="47"/>
      <c r="N17" s="788"/>
      <c r="O17" s="10"/>
      <c r="P17" s="129">
        <v>120</v>
      </c>
      <c r="Q17" s="194"/>
      <c r="R17" s="10"/>
      <c r="S17" s="1243" t="s">
        <v>944</v>
      </c>
      <c r="T17" s="1245"/>
      <c r="U17" s="1245"/>
      <c r="V17" s="1245"/>
      <c r="W17" s="1245"/>
      <c r="X17" s="1244"/>
      <c r="Y17" s="10"/>
      <c r="Z17" s="10"/>
      <c r="AA17" s="10"/>
      <c r="AB17" s="10"/>
      <c r="AC17" s="10"/>
      <c r="AD17" s="10"/>
      <c r="AE17" s="785"/>
    </row>
    <row r="18" spans="1:32" x14ac:dyDescent="0.2">
      <c r="A18" s="788"/>
      <c r="B18" s="10"/>
      <c r="C18" s="10"/>
      <c r="D18" s="874">
        <v>117</v>
      </c>
      <c r="E18" s="875">
        <v>117</v>
      </c>
      <c r="F18" s="10"/>
      <c r="G18" s="1277" t="s">
        <v>948</v>
      </c>
      <c r="H18" s="1278"/>
      <c r="I18" s="1278"/>
      <c r="J18" s="1278"/>
      <c r="K18" s="1278"/>
      <c r="L18" s="1279"/>
      <c r="M18" s="47"/>
      <c r="N18" s="788"/>
      <c r="O18" s="10"/>
      <c r="P18" s="129">
        <v>120</v>
      </c>
      <c r="Q18" s="194"/>
      <c r="R18" s="10"/>
      <c r="S18" s="1263" t="s">
        <v>945</v>
      </c>
      <c r="T18" s="1264"/>
      <c r="U18" s="1264"/>
      <c r="V18" s="1264"/>
      <c r="W18" s="1264"/>
      <c r="X18" s="1265"/>
      <c r="Y18" s="10"/>
      <c r="Z18" s="10"/>
      <c r="AA18" s="10"/>
      <c r="AB18" s="10"/>
      <c r="AC18" s="10"/>
      <c r="AD18" s="10"/>
      <c r="AE18" s="785"/>
    </row>
    <row r="19" spans="1:32" ht="15.75" thickBot="1" x14ac:dyDescent="0.3">
      <c r="A19" s="1269" t="s">
        <v>601</v>
      </c>
      <c r="B19" s="1270"/>
      <c r="C19" s="1270"/>
      <c r="D19" s="1255">
        <f>AVERAGE(D10:E18)</f>
        <v>116.94444444444444</v>
      </c>
      <c r="E19" s="1256"/>
      <c r="F19" s="10"/>
      <c r="G19" s="1260" t="s">
        <v>946</v>
      </c>
      <c r="H19" s="1261"/>
      <c r="I19" s="1261"/>
      <c r="J19" s="1261"/>
      <c r="K19" s="1261"/>
      <c r="L19" s="1262"/>
      <c r="M19" s="47"/>
      <c r="N19" s="788"/>
      <c r="O19" s="10"/>
      <c r="P19" s="129">
        <v>120</v>
      </c>
      <c r="Q19" s="194"/>
      <c r="R19" s="10"/>
      <c r="S19" s="1260" t="s">
        <v>946</v>
      </c>
      <c r="T19" s="1261"/>
      <c r="U19" s="1261"/>
      <c r="V19" s="1261"/>
      <c r="W19" s="1261"/>
      <c r="X19" s="1262"/>
      <c r="Y19" s="10"/>
      <c r="Z19" s="10"/>
      <c r="AA19" s="10"/>
      <c r="AB19" s="10"/>
      <c r="AC19" s="10"/>
      <c r="AD19" s="10"/>
      <c r="AE19" s="785"/>
    </row>
    <row r="20" spans="1:32" ht="15.75" thickBot="1" x14ac:dyDescent="0.3">
      <c r="A20" s="1269" t="s">
        <v>949</v>
      </c>
      <c r="B20" s="1270"/>
      <c r="C20" s="1270"/>
      <c r="D20" s="1255">
        <f>(D19+H7)</f>
        <v>116.34444444444445</v>
      </c>
      <c r="E20" s="1256"/>
      <c r="F20" s="10"/>
      <c r="G20" s="801"/>
      <c r="H20" s="801"/>
      <c r="I20" s="801"/>
      <c r="J20" s="801"/>
      <c r="K20" s="801"/>
      <c r="L20" s="802"/>
      <c r="M20" s="47"/>
      <c r="N20" s="788"/>
      <c r="O20" s="10"/>
      <c r="P20" s="129">
        <v>120</v>
      </c>
      <c r="Q20" s="194"/>
      <c r="R20" s="10"/>
      <c r="S20" s="1100"/>
      <c r="T20" s="10"/>
      <c r="U20" s="10"/>
      <c r="V20" s="10"/>
      <c r="W20" s="10"/>
      <c r="X20" s="10"/>
      <c r="Y20" s="10"/>
      <c r="Z20" s="10"/>
      <c r="AA20" s="10"/>
      <c r="AB20" s="10"/>
      <c r="AC20" s="10"/>
      <c r="AD20" s="10"/>
      <c r="AE20" s="785"/>
    </row>
    <row r="21" spans="1:32" ht="15.75" thickBot="1" x14ac:dyDescent="0.3">
      <c r="A21" s="1271" t="s">
        <v>775</v>
      </c>
      <c r="B21" s="1272"/>
      <c r="C21" s="1272"/>
      <c r="D21" s="1273">
        <f>D20-C10</f>
        <v>-0.58555555555555827</v>
      </c>
      <c r="E21" s="1274"/>
      <c r="F21" s="10"/>
      <c r="G21" s="1243" t="s">
        <v>913</v>
      </c>
      <c r="H21" s="1245"/>
      <c r="I21" s="1244"/>
      <c r="J21" s="10"/>
      <c r="K21" s="10"/>
      <c r="L21" s="785"/>
      <c r="M21" s="47"/>
      <c r="N21" s="1101" t="s">
        <v>601</v>
      </c>
      <c r="O21" s="1102"/>
      <c r="P21" s="1275">
        <f>AVERAGE(P12:Q20)</f>
        <v>120</v>
      </c>
      <c r="Q21" s="1276"/>
      <c r="R21" s="10"/>
      <c r="S21" s="1243" t="s">
        <v>947</v>
      </c>
      <c r="T21" s="1245"/>
      <c r="U21" s="1245"/>
      <c r="V21" s="1245"/>
      <c r="W21" s="1245"/>
      <c r="X21" s="1244"/>
      <c r="Y21" s="10"/>
      <c r="Z21" s="10"/>
      <c r="AA21" s="10"/>
      <c r="AB21" s="10"/>
      <c r="AC21" s="10"/>
      <c r="AD21" s="10"/>
      <c r="AE21" s="785"/>
    </row>
    <row r="22" spans="1:32" ht="15" x14ac:dyDescent="0.25">
      <c r="A22" s="1271" t="s">
        <v>950</v>
      </c>
      <c r="B22" s="1272"/>
      <c r="C22" s="1272"/>
      <c r="D22" s="1320">
        <f>D21/C10</f>
        <v>-5.0077444244895084E-3</v>
      </c>
      <c r="E22" s="1321"/>
      <c r="F22" s="10"/>
      <c r="G22" s="1307">
        <v>20</v>
      </c>
      <c r="H22" s="1308"/>
      <c r="I22" s="1309"/>
      <c r="J22" s="10"/>
      <c r="K22" s="10"/>
      <c r="L22" s="785"/>
      <c r="M22" s="47"/>
      <c r="N22" s="1101" t="s">
        <v>949</v>
      </c>
      <c r="O22" s="1102"/>
      <c r="P22" s="1313">
        <f>(P21+Y7)</f>
        <v>45</v>
      </c>
      <c r="Q22" s="1314"/>
      <c r="R22" s="10"/>
      <c r="S22" s="1277" t="s">
        <v>948</v>
      </c>
      <c r="T22" s="1278"/>
      <c r="U22" s="1278"/>
      <c r="V22" s="1278"/>
      <c r="W22" s="1278"/>
      <c r="X22" s="1279"/>
      <c r="Y22" s="10"/>
      <c r="Z22" s="10"/>
      <c r="AA22" s="10"/>
      <c r="AB22" s="10"/>
      <c r="AC22" s="10"/>
      <c r="AD22" s="10"/>
      <c r="AE22" s="785"/>
    </row>
    <row r="23" spans="1:32" ht="15.75" thickBot="1" x14ac:dyDescent="0.3">
      <c r="A23" s="1271" t="s">
        <v>951</v>
      </c>
      <c r="B23" s="1272"/>
      <c r="C23" s="1272"/>
      <c r="D23" s="1255">
        <f>STDEV(D10:E18)</f>
        <v>0.23570226039551573</v>
      </c>
      <c r="E23" s="1256"/>
      <c r="F23" s="10"/>
      <c r="G23" s="1317">
        <f>G22/39.37</f>
        <v>0.50800101600203207</v>
      </c>
      <c r="H23" s="1318"/>
      <c r="I23" s="1319"/>
      <c r="J23" s="10"/>
      <c r="K23" s="10"/>
      <c r="L23" s="785"/>
      <c r="M23" s="47"/>
      <c r="N23" s="1101" t="s">
        <v>775</v>
      </c>
      <c r="O23" s="1102"/>
      <c r="P23" s="1313">
        <f>P22-O12</f>
        <v>-25</v>
      </c>
      <c r="Q23" s="1314"/>
      <c r="R23" s="1095"/>
      <c r="S23" s="1260" t="s">
        <v>946</v>
      </c>
      <c r="T23" s="1261"/>
      <c r="U23" s="1261"/>
      <c r="V23" s="1261"/>
      <c r="W23" s="1261"/>
      <c r="X23" s="1262"/>
      <c r="Y23" s="10"/>
      <c r="Z23" s="10"/>
      <c r="AA23" s="10"/>
      <c r="AB23" s="10"/>
      <c r="AC23" s="10"/>
      <c r="AD23" s="10"/>
      <c r="AE23" s="785"/>
    </row>
    <row r="24" spans="1:32" ht="15.75" thickBot="1" x14ac:dyDescent="0.3">
      <c r="A24" s="1331" t="s">
        <v>952</v>
      </c>
      <c r="B24" s="1332"/>
      <c r="C24" s="1332"/>
      <c r="D24" s="1322">
        <f>D23/D20</f>
        <v>2.0259004331579043E-3</v>
      </c>
      <c r="E24" s="1323"/>
      <c r="F24" s="10"/>
      <c r="G24" s="1243" t="s">
        <v>920</v>
      </c>
      <c r="H24" s="1245"/>
      <c r="I24" s="1244"/>
      <c r="J24" s="10"/>
      <c r="K24" s="10"/>
      <c r="L24" s="785"/>
      <c r="M24" s="47"/>
      <c r="N24" s="1101" t="s">
        <v>950</v>
      </c>
      <c r="O24" s="1102"/>
      <c r="P24" s="1320">
        <f>P23/O12</f>
        <v>-0.35714285714285715</v>
      </c>
      <c r="Q24" s="1321"/>
      <c r="R24" s="786"/>
      <c r="S24" s="10"/>
      <c r="T24" s="10"/>
      <c r="U24" s="10"/>
      <c r="V24" s="10"/>
      <c r="W24" s="10"/>
      <c r="X24" s="10"/>
      <c r="Y24" s="10"/>
      <c r="Z24" s="10"/>
      <c r="AA24" s="10"/>
      <c r="AB24" s="10"/>
      <c r="AC24" s="10"/>
      <c r="AD24" s="10"/>
      <c r="AE24" s="785"/>
    </row>
    <row r="25" spans="1:32" ht="15.75" thickBot="1" x14ac:dyDescent="0.3">
      <c r="A25" s="1326" t="s">
        <v>911</v>
      </c>
      <c r="B25" s="1327"/>
      <c r="C25" s="1327"/>
      <c r="D25" s="1327"/>
      <c r="E25" s="1328"/>
      <c r="F25" s="10"/>
      <c r="G25" s="1307">
        <v>2.97</v>
      </c>
      <c r="H25" s="1308"/>
      <c r="I25" s="1309"/>
      <c r="J25" s="10"/>
      <c r="K25" s="10"/>
      <c r="L25" s="785"/>
      <c r="M25" s="47"/>
      <c r="N25" s="1101" t="s">
        <v>951</v>
      </c>
      <c r="O25" s="1102"/>
      <c r="P25" s="1313">
        <f>STDEV(P12:Q20)</f>
        <v>0</v>
      </c>
      <c r="Q25" s="1314"/>
      <c r="R25" s="10"/>
      <c r="S25" s="1243" t="s">
        <v>913</v>
      </c>
      <c r="T25" s="1245"/>
      <c r="U25" s="1244"/>
      <c r="V25" s="10"/>
      <c r="W25" s="10"/>
      <c r="X25" s="10"/>
      <c r="Y25" s="10"/>
      <c r="Z25" s="10"/>
      <c r="AA25" s="10"/>
      <c r="AB25" s="10"/>
      <c r="AC25" s="10"/>
      <c r="AD25" s="10"/>
      <c r="AE25" s="785"/>
    </row>
    <row r="26" spans="1:32" ht="15.75" thickBot="1" x14ac:dyDescent="0.3">
      <c r="A26" s="1329" t="s">
        <v>940</v>
      </c>
      <c r="B26" s="1330"/>
      <c r="C26" s="1330"/>
      <c r="D26" s="1324" t="s">
        <v>918</v>
      </c>
      <c r="E26" s="1325"/>
      <c r="F26" s="10"/>
      <c r="G26" s="1310">
        <f>G25*39.37</f>
        <v>116.9289</v>
      </c>
      <c r="H26" s="1311"/>
      <c r="I26" s="1312"/>
      <c r="J26" s="10"/>
      <c r="K26" s="10"/>
      <c r="L26" s="785"/>
      <c r="M26" s="47"/>
      <c r="N26" s="1103" t="s">
        <v>952</v>
      </c>
      <c r="O26" s="1104"/>
      <c r="P26" s="1315">
        <f>P25/P22</f>
        <v>0</v>
      </c>
      <c r="Q26" s="1316"/>
      <c r="R26" s="10"/>
      <c r="S26" s="1307">
        <v>400</v>
      </c>
      <c r="T26" s="1308"/>
      <c r="U26" s="1309"/>
      <c r="V26" s="10"/>
      <c r="W26" s="10"/>
      <c r="X26" s="10"/>
      <c r="Y26" s="10"/>
      <c r="Z26" s="1105"/>
      <c r="AA26" s="10"/>
      <c r="AB26" s="10"/>
      <c r="AC26" s="10"/>
      <c r="AD26" s="10"/>
      <c r="AE26" s="785"/>
    </row>
    <row r="27" spans="1:32" ht="15.75" thickBot="1" x14ac:dyDescent="0.3">
      <c r="A27" s="788"/>
      <c r="B27" s="10"/>
      <c r="C27" s="1106">
        <f>C10/39.37</f>
        <v>2.9700279400558807</v>
      </c>
      <c r="D27" s="1106">
        <f>D10/39.37</f>
        <v>2.9718059436118875</v>
      </c>
      <c r="E27" s="1106">
        <f>E10/39.37</f>
        <v>2.9464058928117858</v>
      </c>
      <c r="F27" s="10"/>
      <c r="G27" s="803"/>
      <c r="H27" s="803"/>
      <c r="I27" s="803"/>
      <c r="J27" s="10"/>
      <c r="K27" s="10"/>
      <c r="L27" s="785"/>
      <c r="M27" s="47"/>
      <c r="N27" s="1326" t="s">
        <v>911</v>
      </c>
      <c r="O27" s="1327"/>
      <c r="P27" s="1327"/>
      <c r="Q27" s="1328"/>
      <c r="R27" s="10"/>
      <c r="S27" s="1317">
        <f>S26/39.37</f>
        <v>10.16002032004064</v>
      </c>
      <c r="T27" s="1318"/>
      <c r="U27" s="1319"/>
      <c r="V27" s="10"/>
      <c r="W27" s="10"/>
      <c r="X27" s="10"/>
      <c r="Y27" s="10"/>
      <c r="Z27" s="10"/>
      <c r="AA27" s="10"/>
      <c r="AB27" s="10"/>
      <c r="AC27" s="10"/>
      <c r="AD27" s="10"/>
      <c r="AE27" s="785"/>
    </row>
    <row r="28" spans="1:32" ht="15.75" thickBot="1" x14ac:dyDescent="0.3">
      <c r="A28" s="788"/>
      <c r="B28" s="10"/>
      <c r="C28" s="10"/>
      <c r="D28" s="1106">
        <f t="shared" ref="D28:E35" si="0">D11/39.37</f>
        <v>2.9718059436118875</v>
      </c>
      <c r="E28" s="1106">
        <f t="shared" si="0"/>
        <v>2.9718059436118875</v>
      </c>
      <c r="F28" s="10"/>
      <c r="G28" s="1243" t="s">
        <v>953</v>
      </c>
      <c r="H28" s="1245"/>
      <c r="I28" s="1245"/>
      <c r="J28" s="1245"/>
      <c r="K28" s="1245"/>
      <c r="L28" s="1244"/>
      <c r="M28" s="47"/>
      <c r="N28" s="1329" t="s">
        <v>940</v>
      </c>
      <c r="O28" s="1335"/>
      <c r="P28" s="1333" t="s">
        <v>918</v>
      </c>
      <c r="Q28" s="1334"/>
      <c r="R28" s="10"/>
      <c r="S28" s="1243" t="s">
        <v>920</v>
      </c>
      <c r="T28" s="1245"/>
      <c r="U28" s="1244"/>
      <c r="V28" s="10"/>
      <c r="W28" s="10"/>
      <c r="X28" s="10"/>
      <c r="Y28" s="10"/>
      <c r="Z28" s="10"/>
      <c r="AA28" s="10"/>
      <c r="AB28" s="10"/>
      <c r="AC28" s="10"/>
      <c r="AD28" s="10"/>
      <c r="AE28" s="785"/>
      <c r="AF28" s="1107"/>
    </row>
    <row r="29" spans="1:32" ht="15" x14ac:dyDescent="0.25">
      <c r="A29" s="788"/>
      <c r="B29" s="10"/>
      <c r="C29" s="10"/>
      <c r="D29" s="1106">
        <f t="shared" si="0"/>
        <v>2.9718059436118875</v>
      </c>
      <c r="E29" s="1106">
        <f t="shared" si="0"/>
        <v>2.9718059436118875</v>
      </c>
      <c r="F29" s="10"/>
      <c r="G29" s="1266" t="s">
        <v>942</v>
      </c>
      <c r="H29" s="1267"/>
      <c r="I29" s="1267"/>
      <c r="J29" s="1267"/>
      <c r="K29" s="1267"/>
      <c r="L29" s="1268"/>
      <c r="M29" s="47"/>
      <c r="N29" s="788"/>
      <c r="O29" s="1106">
        <f>O12/39.37</f>
        <v>1.7780035560071121</v>
      </c>
      <c r="P29" s="1106">
        <f>P12/39.37</f>
        <v>3.0480060960121924</v>
      </c>
      <c r="Q29" s="1108"/>
      <c r="R29" s="10"/>
      <c r="S29" s="1307">
        <v>1.6</v>
      </c>
      <c r="T29" s="1308"/>
      <c r="U29" s="1309"/>
      <c r="V29" s="10"/>
      <c r="W29" s="10"/>
      <c r="X29" s="1095"/>
      <c r="Y29" s="10"/>
      <c r="Z29" s="10"/>
      <c r="AA29" s="10"/>
      <c r="AB29" s="10"/>
      <c r="AC29" s="10"/>
      <c r="AD29" s="10"/>
      <c r="AE29" s="785"/>
    </row>
    <row r="30" spans="1:32" ht="15.75" thickBot="1" x14ac:dyDescent="0.3">
      <c r="A30" s="788"/>
      <c r="B30" s="10"/>
      <c r="C30" s="10"/>
      <c r="D30" s="1106">
        <f t="shared" si="0"/>
        <v>2.9718059436118875</v>
      </c>
      <c r="E30" s="1106">
        <f t="shared" si="0"/>
        <v>2.9718059436118875</v>
      </c>
      <c r="F30" s="10"/>
      <c r="G30" s="1260" t="s">
        <v>943</v>
      </c>
      <c r="H30" s="1261"/>
      <c r="I30" s="1261"/>
      <c r="J30" s="1261"/>
      <c r="K30" s="1261"/>
      <c r="L30" s="1262"/>
      <c r="M30" s="47"/>
      <c r="N30" s="788"/>
      <c r="O30" s="10"/>
      <c r="P30" s="1106">
        <f t="shared" ref="P30:P37" si="1">P13/39.37</f>
        <v>3.0480060960121924</v>
      </c>
      <c r="Q30" s="1108"/>
      <c r="R30" s="10"/>
      <c r="S30" s="1310">
        <f>S29*39.37</f>
        <v>62.991999999999997</v>
      </c>
      <c r="T30" s="1311"/>
      <c r="U30" s="1312"/>
      <c r="V30" s="10"/>
      <c r="W30" s="10"/>
      <c r="X30" s="10"/>
      <c r="Y30" s="10"/>
      <c r="Z30" s="10"/>
      <c r="AA30" s="10"/>
      <c r="AB30" s="10"/>
      <c r="AC30" s="10"/>
      <c r="AD30" s="10"/>
      <c r="AE30" s="785"/>
    </row>
    <row r="31" spans="1:32" ht="15.75" thickBot="1" x14ac:dyDescent="0.3">
      <c r="A31" s="788"/>
      <c r="B31" s="10"/>
      <c r="C31" s="10"/>
      <c r="D31" s="1106">
        <f t="shared" si="0"/>
        <v>2.9718059436118875</v>
      </c>
      <c r="E31" s="1106">
        <f t="shared" si="0"/>
        <v>2.9718059436118875</v>
      </c>
      <c r="F31" s="10"/>
      <c r="G31" s="10"/>
      <c r="H31" s="10"/>
      <c r="I31" s="10"/>
      <c r="J31" s="10"/>
      <c r="K31" s="10"/>
      <c r="L31" s="785"/>
      <c r="M31" s="47"/>
      <c r="N31" s="788"/>
      <c r="O31" s="10"/>
      <c r="P31" s="1106">
        <f t="shared" si="1"/>
        <v>3.0480060960121924</v>
      </c>
      <c r="Q31" s="1108"/>
      <c r="R31" s="10"/>
      <c r="S31" s="10"/>
      <c r="T31" s="10"/>
      <c r="U31" s="10"/>
      <c r="V31" s="10"/>
      <c r="W31" s="10"/>
      <c r="X31" s="10"/>
      <c r="Y31" s="10"/>
      <c r="Z31" s="10"/>
      <c r="AA31" s="10"/>
      <c r="AB31" s="10"/>
      <c r="AC31" s="10"/>
      <c r="AD31" s="10"/>
      <c r="AE31" s="785"/>
    </row>
    <row r="32" spans="1:32" ht="15.75" thickBot="1" x14ac:dyDescent="0.3">
      <c r="A32" s="788"/>
      <c r="B32" s="10"/>
      <c r="C32" s="10"/>
      <c r="D32" s="1106">
        <f t="shared" si="0"/>
        <v>2.9718059436118875</v>
      </c>
      <c r="E32" s="1106">
        <f t="shared" si="0"/>
        <v>2.9718059436118875</v>
      </c>
      <c r="F32" s="10"/>
      <c r="G32" s="1243" t="s">
        <v>954</v>
      </c>
      <c r="H32" s="1245"/>
      <c r="I32" s="1245"/>
      <c r="J32" s="1245"/>
      <c r="K32" s="1245"/>
      <c r="L32" s="1244"/>
      <c r="M32" s="47"/>
      <c r="N32" s="788"/>
      <c r="O32" s="10"/>
      <c r="P32" s="1106">
        <f t="shared" si="1"/>
        <v>3.0480060960121924</v>
      </c>
      <c r="Q32" s="1108"/>
      <c r="R32" s="10"/>
      <c r="S32" s="1243" t="s">
        <v>953</v>
      </c>
      <c r="T32" s="1245"/>
      <c r="U32" s="1245"/>
      <c r="V32" s="1245"/>
      <c r="W32" s="1245"/>
      <c r="X32" s="1244"/>
      <c r="Y32" s="10"/>
      <c r="Z32" s="10"/>
      <c r="AA32" s="10"/>
      <c r="AB32" s="10"/>
      <c r="AC32" s="10"/>
      <c r="AD32" s="10"/>
      <c r="AE32" s="785"/>
    </row>
    <row r="33" spans="1:31" ht="15" x14ac:dyDescent="0.25">
      <c r="A33" s="788"/>
      <c r="B33" s="10"/>
      <c r="C33" s="10"/>
      <c r="D33" s="1106">
        <f t="shared" si="0"/>
        <v>2.9718059436118875</v>
      </c>
      <c r="E33" s="1106">
        <f t="shared" si="0"/>
        <v>2.9718059436118875</v>
      </c>
      <c r="F33" s="10"/>
      <c r="G33" s="1263" t="s">
        <v>945</v>
      </c>
      <c r="H33" s="1264"/>
      <c r="I33" s="1264"/>
      <c r="J33" s="1264"/>
      <c r="K33" s="1264"/>
      <c r="L33" s="1265"/>
      <c r="M33" s="47"/>
      <c r="N33" s="788"/>
      <c r="O33" s="10"/>
      <c r="P33" s="1106">
        <f t="shared" si="1"/>
        <v>3.0480060960121924</v>
      </c>
      <c r="Q33" s="1108"/>
      <c r="R33" s="10"/>
      <c r="S33" s="1304" t="s">
        <v>942</v>
      </c>
      <c r="T33" s="1305"/>
      <c r="U33" s="1305"/>
      <c r="V33" s="1305"/>
      <c r="W33" s="1305"/>
      <c r="X33" s="1306"/>
      <c r="Y33" s="10"/>
      <c r="Z33" s="10"/>
      <c r="AA33" s="10"/>
      <c r="AB33" s="10"/>
      <c r="AC33" s="10"/>
      <c r="AD33" s="10"/>
      <c r="AE33" s="785"/>
    </row>
    <row r="34" spans="1:31" ht="15.75" thickBot="1" x14ac:dyDescent="0.3">
      <c r="A34" s="788"/>
      <c r="B34" s="10"/>
      <c r="C34" s="10"/>
      <c r="D34" s="1106">
        <f t="shared" si="0"/>
        <v>2.9718059436118875</v>
      </c>
      <c r="E34" s="1106">
        <f t="shared" si="0"/>
        <v>2.9718059436118875</v>
      </c>
      <c r="F34" s="10"/>
      <c r="G34" s="1260" t="s">
        <v>946</v>
      </c>
      <c r="H34" s="1261"/>
      <c r="I34" s="1261"/>
      <c r="J34" s="1261"/>
      <c r="K34" s="1261"/>
      <c r="L34" s="1262"/>
      <c r="M34" s="47"/>
      <c r="N34" s="788"/>
      <c r="O34" s="10"/>
      <c r="P34" s="1106">
        <f t="shared" si="1"/>
        <v>3.0480060960121924</v>
      </c>
      <c r="Q34" s="1108"/>
      <c r="R34" s="10"/>
      <c r="S34" s="1260" t="s">
        <v>943</v>
      </c>
      <c r="T34" s="1261"/>
      <c r="U34" s="1261"/>
      <c r="V34" s="1261"/>
      <c r="W34" s="1261"/>
      <c r="X34" s="1262"/>
      <c r="Y34" s="10"/>
      <c r="Z34" s="10"/>
      <c r="AA34" s="10"/>
      <c r="AB34" s="10"/>
      <c r="AC34" s="10"/>
      <c r="AD34" s="10"/>
      <c r="AE34" s="785"/>
    </row>
    <row r="35" spans="1:31" ht="15.75" thickBot="1" x14ac:dyDescent="0.3">
      <c r="A35" s="788"/>
      <c r="B35" s="10"/>
      <c r="C35" s="10"/>
      <c r="D35" s="1106">
        <f t="shared" si="0"/>
        <v>2.9718059436118875</v>
      </c>
      <c r="E35" s="1106">
        <f t="shared" si="0"/>
        <v>2.9718059436118875</v>
      </c>
      <c r="F35" s="10"/>
      <c r="G35" s="1100"/>
      <c r="H35" s="10"/>
      <c r="I35" s="10"/>
      <c r="J35" s="10"/>
      <c r="K35" s="10"/>
      <c r="L35" s="785"/>
      <c r="M35" s="47"/>
      <c r="N35" s="788"/>
      <c r="O35" s="10"/>
      <c r="P35" s="1106">
        <f t="shared" si="1"/>
        <v>3.0480060960121924</v>
      </c>
      <c r="Q35" s="1108"/>
      <c r="R35" s="10"/>
      <c r="S35" s="10"/>
      <c r="T35" s="10"/>
      <c r="U35" s="10"/>
      <c r="V35" s="10"/>
      <c r="W35" s="10"/>
      <c r="X35" s="10"/>
      <c r="Y35" s="10"/>
      <c r="Z35" s="10"/>
      <c r="AA35" s="10"/>
      <c r="AB35" s="10"/>
      <c r="AC35" s="10"/>
      <c r="AD35" s="10"/>
      <c r="AE35" s="785"/>
    </row>
    <row r="36" spans="1:31" ht="15.75" thickBot="1" x14ac:dyDescent="0.3">
      <c r="A36" s="1269" t="s">
        <v>601</v>
      </c>
      <c r="B36" s="1270"/>
      <c r="C36" s="1270"/>
      <c r="D36" s="1255">
        <f>AVERAGE(D27:E35)</f>
        <v>2.9703948296785496</v>
      </c>
      <c r="E36" s="1256"/>
      <c r="F36" s="10"/>
      <c r="G36" s="1243" t="s">
        <v>955</v>
      </c>
      <c r="H36" s="1245"/>
      <c r="I36" s="1245"/>
      <c r="J36" s="1245"/>
      <c r="K36" s="1245"/>
      <c r="L36" s="1244"/>
      <c r="M36" s="47"/>
      <c r="N36" s="788"/>
      <c r="O36" s="10"/>
      <c r="P36" s="1106">
        <f t="shared" si="1"/>
        <v>3.0480060960121924</v>
      </c>
      <c r="Q36" s="1108"/>
      <c r="R36" s="10"/>
      <c r="S36" s="1243" t="s">
        <v>954</v>
      </c>
      <c r="T36" s="1245"/>
      <c r="U36" s="1245"/>
      <c r="V36" s="1245"/>
      <c r="W36" s="1245"/>
      <c r="X36" s="1244"/>
      <c r="Y36" s="10"/>
      <c r="Z36" s="10"/>
      <c r="AA36" s="10"/>
      <c r="AB36" s="10"/>
      <c r="AC36" s="10"/>
      <c r="AD36" s="10"/>
      <c r="AE36" s="785"/>
    </row>
    <row r="37" spans="1:31" ht="15" x14ac:dyDescent="0.25">
      <c r="A37" s="1269" t="s">
        <v>949</v>
      </c>
      <c r="B37" s="1270"/>
      <c r="C37" s="1270"/>
      <c r="D37" s="1255">
        <f>(D36+H7/39.37)</f>
        <v>2.955154799198489</v>
      </c>
      <c r="E37" s="1256"/>
      <c r="F37" s="10"/>
      <c r="G37" s="1277" t="s">
        <v>948</v>
      </c>
      <c r="H37" s="1278"/>
      <c r="I37" s="1278"/>
      <c r="J37" s="1278"/>
      <c r="K37" s="1278"/>
      <c r="L37" s="1279"/>
      <c r="M37" s="47"/>
      <c r="N37" s="788"/>
      <c r="O37" s="10"/>
      <c r="P37" s="1106">
        <f t="shared" si="1"/>
        <v>3.0480060960121924</v>
      </c>
      <c r="Q37" s="1108"/>
      <c r="R37" s="10"/>
      <c r="S37" s="1263" t="s">
        <v>945</v>
      </c>
      <c r="T37" s="1264"/>
      <c r="U37" s="1264"/>
      <c r="V37" s="1264"/>
      <c r="W37" s="1264"/>
      <c r="X37" s="1265"/>
      <c r="Y37" s="10"/>
      <c r="Z37" s="10"/>
      <c r="AA37" s="10"/>
      <c r="AB37" s="10"/>
      <c r="AC37" s="10"/>
      <c r="AD37" s="10"/>
      <c r="AE37" s="785"/>
    </row>
    <row r="38" spans="1:31" ht="15.75" thickBot="1" x14ac:dyDescent="0.3">
      <c r="A38" s="1271" t="s">
        <v>775</v>
      </c>
      <c r="B38" s="1272"/>
      <c r="C38" s="1272"/>
      <c r="D38" s="1273">
        <f>D37-C27</f>
        <v>-1.4873140857391665E-2</v>
      </c>
      <c r="E38" s="1274"/>
      <c r="F38" s="10"/>
      <c r="G38" s="1260" t="s">
        <v>946</v>
      </c>
      <c r="H38" s="1261"/>
      <c r="I38" s="1261"/>
      <c r="J38" s="1261"/>
      <c r="K38" s="1261"/>
      <c r="L38" s="1262"/>
      <c r="M38" s="47"/>
      <c r="N38" s="1101" t="s">
        <v>601</v>
      </c>
      <c r="O38" s="1102"/>
      <c r="P38" s="1255">
        <f>AVERAGE(P29:Q37)</f>
        <v>3.048006096012192</v>
      </c>
      <c r="Q38" s="1256"/>
      <c r="R38" s="10"/>
      <c r="S38" s="1260" t="s">
        <v>946</v>
      </c>
      <c r="T38" s="1261"/>
      <c r="U38" s="1261"/>
      <c r="V38" s="1261"/>
      <c r="W38" s="1261"/>
      <c r="X38" s="1262"/>
      <c r="Y38" s="10"/>
      <c r="Z38" s="10"/>
      <c r="AA38" s="10"/>
      <c r="AB38" s="10"/>
      <c r="AC38" s="10"/>
      <c r="AD38" s="10"/>
      <c r="AE38" s="785"/>
    </row>
    <row r="39" spans="1:31" ht="15.75" thickBot="1" x14ac:dyDescent="0.3">
      <c r="A39" s="1271" t="s">
        <v>950</v>
      </c>
      <c r="B39" s="1272"/>
      <c r="C39" s="1272"/>
      <c r="D39" s="1320">
        <f>D38/C27</f>
        <v>-5.0077444244890938E-3</v>
      </c>
      <c r="E39" s="1321"/>
      <c r="F39" s="10"/>
      <c r="G39" s="10"/>
      <c r="H39" s="10"/>
      <c r="I39" s="10"/>
      <c r="J39" s="10"/>
      <c r="K39" s="10"/>
      <c r="L39" s="785"/>
      <c r="M39" s="47"/>
      <c r="N39" s="1101" t="s">
        <v>949</v>
      </c>
      <c r="O39" s="1102"/>
      <c r="P39" s="1255">
        <f>(P38+Y7/39.37)</f>
        <v>1.1430022860045719</v>
      </c>
      <c r="Q39" s="1256"/>
      <c r="R39" s="10"/>
      <c r="S39" s="1100"/>
      <c r="T39" s="10"/>
      <c r="U39" s="10"/>
      <c r="V39" s="10"/>
      <c r="W39" s="10"/>
      <c r="X39" s="10"/>
      <c r="Y39" s="10"/>
      <c r="Z39" s="10"/>
      <c r="AA39" s="10"/>
      <c r="AB39" s="10"/>
      <c r="AC39" s="10"/>
      <c r="AD39" s="10"/>
      <c r="AE39" s="785"/>
    </row>
    <row r="40" spans="1:31" ht="15.75" thickBot="1" x14ac:dyDescent="0.3">
      <c r="A40" s="1271" t="s">
        <v>951</v>
      </c>
      <c r="B40" s="1272"/>
      <c r="C40" s="1272"/>
      <c r="D40" s="1255">
        <f>STDEV(D27:E35)</f>
        <v>5.9868493877449193E-3</v>
      </c>
      <c r="E40" s="1256"/>
      <c r="F40" s="10"/>
      <c r="G40" s="10"/>
      <c r="H40" s="10"/>
      <c r="I40" s="10"/>
      <c r="J40" s="10"/>
      <c r="K40" s="10"/>
      <c r="L40" s="785"/>
      <c r="M40" s="47"/>
      <c r="N40" s="804" t="s">
        <v>775</v>
      </c>
      <c r="O40" s="805"/>
      <c r="P40" s="1273">
        <f>P39-O29</f>
        <v>-0.63500127000254025</v>
      </c>
      <c r="Q40" s="1274"/>
      <c r="R40" s="10"/>
      <c r="S40" s="1243" t="s">
        <v>955</v>
      </c>
      <c r="T40" s="1245"/>
      <c r="U40" s="1245"/>
      <c r="V40" s="1245"/>
      <c r="W40" s="1245"/>
      <c r="X40" s="1244"/>
      <c r="Y40" s="10"/>
      <c r="Z40" s="10"/>
      <c r="AA40" s="10"/>
      <c r="AB40" s="10"/>
      <c r="AC40" s="10"/>
      <c r="AD40" s="10"/>
      <c r="AE40" s="785"/>
    </row>
    <row r="41" spans="1:31" ht="15.75" thickBot="1" x14ac:dyDescent="0.3">
      <c r="A41" s="1331" t="s">
        <v>952</v>
      </c>
      <c r="B41" s="1332"/>
      <c r="C41" s="1332"/>
      <c r="D41" s="1322">
        <f>D40/D37</f>
        <v>2.0259004331579181E-3</v>
      </c>
      <c r="E41" s="1323"/>
      <c r="F41" s="798"/>
      <c r="G41" s="798"/>
      <c r="H41" s="798"/>
      <c r="I41" s="798"/>
      <c r="J41" s="798"/>
      <c r="K41" s="798"/>
      <c r="L41" s="800"/>
      <c r="M41" s="47"/>
      <c r="N41" s="804" t="s">
        <v>950</v>
      </c>
      <c r="O41" s="805"/>
      <c r="P41" s="1320">
        <f>P40/O29</f>
        <v>-0.35714285714285726</v>
      </c>
      <c r="Q41" s="1321"/>
      <c r="R41" s="10"/>
      <c r="S41" s="1263" t="s">
        <v>948</v>
      </c>
      <c r="T41" s="1264"/>
      <c r="U41" s="1264"/>
      <c r="V41" s="1264"/>
      <c r="W41" s="1264"/>
      <c r="X41" s="1265"/>
      <c r="Y41" s="10"/>
      <c r="Z41" s="10"/>
      <c r="AA41" s="10"/>
      <c r="AB41" s="10"/>
      <c r="AC41" s="10"/>
      <c r="AD41" s="10"/>
      <c r="AE41" s="785"/>
    </row>
    <row r="42" spans="1:31" ht="15.75" thickBot="1" x14ac:dyDescent="0.3">
      <c r="N42" s="804" t="s">
        <v>951</v>
      </c>
      <c r="O42" s="805"/>
      <c r="P42" s="1255">
        <f>STDEV(P29:Q37)</f>
        <v>4.7102773760513248E-16</v>
      </c>
      <c r="Q42" s="1256"/>
      <c r="R42" s="10"/>
      <c r="S42" s="1260" t="s">
        <v>946</v>
      </c>
      <c r="T42" s="1261"/>
      <c r="U42" s="1261"/>
      <c r="V42" s="1261"/>
      <c r="W42" s="1261"/>
      <c r="X42" s="1262"/>
      <c r="Y42" s="10"/>
      <c r="Z42" s="10"/>
      <c r="AA42" s="10"/>
      <c r="AB42" s="10"/>
      <c r="AC42" s="10"/>
      <c r="AD42" s="10"/>
      <c r="AE42" s="785"/>
    </row>
    <row r="43" spans="1:31" ht="15.75" thickBot="1" x14ac:dyDescent="0.3">
      <c r="N43" s="806" t="s">
        <v>952</v>
      </c>
      <c r="O43" s="807"/>
      <c r="P43" s="1322">
        <f>P42/P39</f>
        <v>4.120969339892015E-16</v>
      </c>
      <c r="Q43" s="1323"/>
      <c r="R43" s="798"/>
      <c r="S43" s="798"/>
      <c r="T43" s="798"/>
      <c r="U43" s="798"/>
      <c r="V43" s="798"/>
      <c r="W43" s="798"/>
      <c r="X43" s="798"/>
      <c r="Y43" s="798"/>
      <c r="Z43" s="798"/>
      <c r="AA43" s="798"/>
      <c r="AB43" s="798"/>
      <c r="AC43" s="798"/>
      <c r="AD43" s="798"/>
      <c r="AE43" s="800"/>
    </row>
  </sheetData>
  <sheetProtection password="CD88" sheet="1" selectLockedCells="1"/>
  <mergeCells count="108">
    <mergeCell ref="D36:E36"/>
    <mergeCell ref="A40:C40"/>
    <mergeCell ref="G26:I26"/>
    <mergeCell ref="D37:E37"/>
    <mergeCell ref="P43:Q43"/>
    <mergeCell ref="N27:Q27"/>
    <mergeCell ref="P28:Q28"/>
    <mergeCell ref="P38:Q38"/>
    <mergeCell ref="P39:Q39"/>
    <mergeCell ref="P40:Q40"/>
    <mergeCell ref="N28:O28"/>
    <mergeCell ref="P42:Q42"/>
    <mergeCell ref="P41:Q41"/>
    <mergeCell ref="D41:E41"/>
    <mergeCell ref="D39:E39"/>
    <mergeCell ref="A37:C37"/>
    <mergeCell ref="A41:C41"/>
    <mergeCell ref="A36:C36"/>
    <mergeCell ref="D38:E38"/>
    <mergeCell ref="G37:L37"/>
    <mergeCell ref="G38:L38"/>
    <mergeCell ref="A39:C39"/>
    <mergeCell ref="A38:C38"/>
    <mergeCell ref="D40:E40"/>
    <mergeCell ref="D24:E24"/>
    <mergeCell ref="G24:I24"/>
    <mergeCell ref="G21:I21"/>
    <mergeCell ref="G22:I22"/>
    <mergeCell ref="G23:I23"/>
    <mergeCell ref="D22:E22"/>
    <mergeCell ref="D26:E26"/>
    <mergeCell ref="A25:E25"/>
    <mergeCell ref="G32:L32"/>
    <mergeCell ref="A26:C26"/>
    <mergeCell ref="A23:C23"/>
    <mergeCell ref="A24:C24"/>
    <mergeCell ref="D23:E23"/>
    <mergeCell ref="A22:C22"/>
    <mergeCell ref="G34:L34"/>
    <mergeCell ref="G33:L33"/>
    <mergeCell ref="G28:L28"/>
    <mergeCell ref="S25:U25"/>
    <mergeCell ref="G25:I25"/>
    <mergeCell ref="S22:X22"/>
    <mergeCell ref="G29:L29"/>
    <mergeCell ref="G36:L36"/>
    <mergeCell ref="G30:L30"/>
    <mergeCell ref="S36:X36"/>
    <mergeCell ref="S29:U29"/>
    <mergeCell ref="S30:U30"/>
    <mergeCell ref="P25:Q25"/>
    <mergeCell ref="P26:Q26"/>
    <mergeCell ref="S26:U26"/>
    <mergeCell ref="S27:U27"/>
    <mergeCell ref="P22:Q22"/>
    <mergeCell ref="P23:Q23"/>
    <mergeCell ref="P24:Q24"/>
    <mergeCell ref="S23:X23"/>
    <mergeCell ref="S42:X42"/>
    <mergeCell ref="S41:X41"/>
    <mergeCell ref="S40:X40"/>
    <mergeCell ref="S38:X38"/>
    <mergeCell ref="S37:X37"/>
    <mergeCell ref="S34:X34"/>
    <mergeCell ref="S33:X33"/>
    <mergeCell ref="S32:X32"/>
    <mergeCell ref="S28:U28"/>
    <mergeCell ref="A4:C4"/>
    <mergeCell ref="W4:X4"/>
    <mergeCell ref="W5:X5"/>
    <mergeCell ref="W6:X6"/>
    <mergeCell ref="W7:X7"/>
    <mergeCell ref="A9:C9"/>
    <mergeCell ref="G14:L14"/>
    <mergeCell ref="D9:E9"/>
    <mergeCell ref="G9:L9"/>
    <mergeCell ref="G10:L10"/>
    <mergeCell ref="P11:Q11"/>
    <mergeCell ref="F6:G6"/>
    <mergeCell ref="S7:T7"/>
    <mergeCell ref="S6:T6"/>
    <mergeCell ref="F7:G7"/>
    <mergeCell ref="D4:H4"/>
    <mergeCell ref="S10:T10"/>
    <mergeCell ref="S11:T11"/>
    <mergeCell ref="Q4:U4"/>
    <mergeCell ref="N11:O11"/>
    <mergeCell ref="G13:L13"/>
    <mergeCell ref="D20:E20"/>
    <mergeCell ref="Q8:U8"/>
    <mergeCell ref="G11:L11"/>
    <mergeCell ref="S18:X18"/>
    <mergeCell ref="S13:X13"/>
    <mergeCell ref="S14:X14"/>
    <mergeCell ref="A19:C19"/>
    <mergeCell ref="A21:C21"/>
    <mergeCell ref="D21:E21"/>
    <mergeCell ref="A20:C20"/>
    <mergeCell ref="D19:E19"/>
    <mergeCell ref="S21:X21"/>
    <mergeCell ref="S15:X15"/>
    <mergeCell ref="P21:Q21"/>
    <mergeCell ref="G18:L18"/>
    <mergeCell ref="G15:L15"/>
    <mergeCell ref="G19:L19"/>
    <mergeCell ref="G17:L17"/>
    <mergeCell ref="S19:X19"/>
    <mergeCell ref="S17:X17"/>
  </mergeCells>
  <phoneticPr fontId="25"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9" r:id="rId4" name="Button 7">
              <controlPr defaultSize="0" print="0" autoFill="0" autoPict="0" macro="[0]!ReturnToMain">
                <anchor moveWithCells="1" sizeWithCells="1">
                  <from>
                    <xdr:col>0</xdr:col>
                    <xdr:colOff>95250</xdr:colOff>
                    <xdr:row>0</xdr:row>
                    <xdr:rowOff>38100</xdr:rowOff>
                  </from>
                  <to>
                    <xdr:col>2</xdr:col>
                    <xdr:colOff>161925</xdr:colOff>
                    <xdr:row>1</xdr:row>
                    <xdr:rowOff>47625</xdr:rowOff>
                  </to>
                </anchor>
              </controlPr>
            </control>
          </mc:Choice>
        </mc:AlternateContent>
        <mc:AlternateContent xmlns:mc="http://schemas.openxmlformats.org/markup-compatibility/2006">
          <mc:Choice Requires="x14">
            <control shapeId="95240" r:id="rId5" name="Button 8">
              <controlPr defaultSize="0" print="0" autoFill="0" autoPict="0" macro="[0]!RoughnessCalc">
                <anchor moveWithCells="1" sizeWithCells="1">
                  <from>
                    <xdr:col>2</xdr:col>
                    <xdr:colOff>266700</xdr:colOff>
                    <xdr:row>0</xdr:row>
                    <xdr:rowOff>47625</xdr:rowOff>
                  </from>
                  <to>
                    <xdr:col>5</xdr:col>
                    <xdr:colOff>47625</xdr:colOff>
                    <xdr:row>1</xdr:row>
                    <xdr:rowOff>47625</xdr:rowOff>
                  </to>
                </anchor>
              </controlPr>
            </control>
          </mc:Choice>
        </mc:AlternateContent>
        <mc:AlternateContent xmlns:mc="http://schemas.openxmlformats.org/markup-compatibility/2006">
          <mc:Choice Requires="x14">
            <control shapeId="95241" r:id="rId6" name="Button 9">
              <controlPr defaultSize="0" print="0" autoFill="0" autoPict="0" macro="[0]!RoughnessNIST">
                <anchor moveWithCells="1" sizeWithCells="1">
                  <from>
                    <xdr:col>5</xdr:col>
                    <xdr:colOff>171450</xdr:colOff>
                    <xdr:row>0</xdr:row>
                    <xdr:rowOff>66675</xdr:rowOff>
                  </from>
                  <to>
                    <xdr:col>7</xdr:col>
                    <xdr:colOff>276225</xdr:colOff>
                    <xdr:row>1</xdr:row>
                    <xdr:rowOff>47625</xdr:rowOff>
                  </to>
                </anchor>
              </controlPr>
            </control>
          </mc:Choice>
        </mc:AlternateContent>
        <mc:AlternateContent xmlns:mc="http://schemas.openxmlformats.org/markup-compatibility/2006">
          <mc:Choice Requires="x14">
            <control shapeId="95242" r:id="rId7" name="Button 10">
              <controlPr defaultSize="0" print="0" autoFill="0" autoPict="0" macro="[0]!PerthometerData">
                <anchor moveWithCells="1" sizeWithCells="1">
                  <from>
                    <xdr:col>8</xdr:col>
                    <xdr:colOff>57150</xdr:colOff>
                    <xdr:row>0</xdr:row>
                    <xdr:rowOff>57150</xdr:rowOff>
                  </from>
                  <to>
                    <xdr:col>10</xdr:col>
                    <xdr:colOff>114300</xdr:colOff>
                    <xdr:row>1</xdr:row>
                    <xdr:rowOff>47625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8">
    <tabColor theme="6" tint="-0.499984740745262"/>
  </sheetPr>
  <dimension ref="A3:E35"/>
  <sheetViews>
    <sheetView workbookViewId="0"/>
  </sheetViews>
  <sheetFormatPr defaultRowHeight="12.75" x14ac:dyDescent="0.2"/>
  <cols>
    <col min="1" max="1" width="21.28515625" bestFit="1" customWidth="1"/>
    <col min="2" max="2" width="21.140625" bestFit="1" customWidth="1"/>
    <col min="3" max="3" width="30.5703125" bestFit="1" customWidth="1"/>
    <col min="4" max="4" width="23" bestFit="1" customWidth="1"/>
    <col min="5" max="5" width="12.85546875" bestFit="1" customWidth="1"/>
  </cols>
  <sheetData>
    <row r="3" spans="1:5" ht="19.5" customHeight="1" x14ac:dyDescent="0.25">
      <c r="A3" s="1336" t="s">
        <v>956</v>
      </c>
      <c r="B3" s="1336"/>
      <c r="C3" s="1336"/>
      <c r="D3" s="1336"/>
      <c r="E3" s="1336"/>
    </row>
    <row r="4" spans="1:5" ht="13.5" thickBot="1" x14ac:dyDescent="0.25"/>
    <row r="5" spans="1:5" ht="18.75" thickBot="1" x14ac:dyDescent="0.3">
      <c r="A5" s="864" t="s">
        <v>605</v>
      </c>
      <c r="B5" s="865" t="s">
        <v>606</v>
      </c>
      <c r="C5" s="865" t="s">
        <v>957</v>
      </c>
      <c r="D5" s="865" t="s">
        <v>958</v>
      </c>
      <c r="E5" s="866" t="s">
        <v>959</v>
      </c>
    </row>
    <row r="6" spans="1:5" ht="18" customHeight="1" x14ac:dyDescent="0.2">
      <c r="A6" s="860" t="s">
        <v>960</v>
      </c>
      <c r="B6" s="861" t="s">
        <v>961</v>
      </c>
      <c r="C6" s="862" t="s">
        <v>962</v>
      </c>
      <c r="D6" s="861" t="s">
        <v>963</v>
      </c>
      <c r="E6" s="863" t="s">
        <v>964</v>
      </c>
    </row>
    <row r="7" spans="1:5" ht="15" x14ac:dyDescent="0.2">
      <c r="A7" s="855" t="s">
        <v>965</v>
      </c>
      <c r="B7" s="115" t="s">
        <v>966</v>
      </c>
      <c r="C7" s="115" t="s">
        <v>967</v>
      </c>
      <c r="D7" s="115" t="s">
        <v>968</v>
      </c>
      <c r="E7" s="856" t="s">
        <v>964</v>
      </c>
    </row>
    <row r="8" spans="1:5" ht="15" x14ac:dyDescent="0.2">
      <c r="A8" s="759" t="s">
        <v>965</v>
      </c>
      <c r="B8" s="119" t="s">
        <v>969</v>
      </c>
      <c r="C8" s="119" t="s">
        <v>967</v>
      </c>
      <c r="D8" s="119" t="s">
        <v>968</v>
      </c>
      <c r="E8" s="760" t="s">
        <v>964</v>
      </c>
    </row>
    <row r="9" spans="1:5" ht="15" x14ac:dyDescent="0.2">
      <c r="A9" s="855" t="s">
        <v>965</v>
      </c>
      <c r="B9" s="115" t="s">
        <v>970</v>
      </c>
      <c r="C9" s="115" t="s">
        <v>971</v>
      </c>
      <c r="D9" s="115" t="s">
        <v>972</v>
      </c>
      <c r="E9" s="856" t="s">
        <v>964</v>
      </c>
    </row>
    <row r="10" spans="1:5" ht="15" x14ac:dyDescent="0.2">
      <c r="A10" s="759" t="s">
        <v>973</v>
      </c>
      <c r="B10" s="119" t="s">
        <v>974</v>
      </c>
      <c r="C10" s="119" t="s">
        <v>975</v>
      </c>
      <c r="D10" s="119" t="s">
        <v>976</v>
      </c>
      <c r="E10" s="760" t="s">
        <v>964</v>
      </c>
    </row>
    <row r="11" spans="1:5" ht="15" x14ac:dyDescent="0.2">
      <c r="A11" s="855" t="s">
        <v>977</v>
      </c>
      <c r="B11" s="115" t="s">
        <v>978</v>
      </c>
      <c r="C11" s="851" t="s">
        <v>979</v>
      </c>
      <c r="D11" s="115" t="s">
        <v>976</v>
      </c>
      <c r="E11" s="856" t="s">
        <v>964</v>
      </c>
    </row>
    <row r="12" spans="1:5" ht="15" x14ac:dyDescent="0.2">
      <c r="A12" s="759" t="s">
        <v>980</v>
      </c>
      <c r="B12" s="119" t="s">
        <v>981</v>
      </c>
      <c r="C12" s="852"/>
      <c r="D12" s="119" t="s">
        <v>968</v>
      </c>
      <c r="E12" s="760" t="s">
        <v>964</v>
      </c>
    </row>
    <row r="13" spans="1:5" ht="15" x14ac:dyDescent="0.2">
      <c r="A13" s="855" t="s">
        <v>980</v>
      </c>
      <c r="B13" s="115" t="s">
        <v>966</v>
      </c>
      <c r="C13" s="115" t="s">
        <v>967</v>
      </c>
      <c r="D13" s="115" t="s">
        <v>968</v>
      </c>
      <c r="E13" s="856" t="s">
        <v>964</v>
      </c>
    </row>
    <row r="14" spans="1:5" ht="15" x14ac:dyDescent="0.2">
      <c r="A14" s="759" t="s">
        <v>982</v>
      </c>
      <c r="B14" s="119" t="s">
        <v>983</v>
      </c>
      <c r="C14" s="853">
        <v>3940</v>
      </c>
      <c r="D14" s="119" t="s">
        <v>984</v>
      </c>
      <c r="E14" s="760" t="s">
        <v>964</v>
      </c>
    </row>
    <row r="15" spans="1:5" ht="15" x14ac:dyDescent="0.2">
      <c r="A15" s="855" t="s">
        <v>985</v>
      </c>
      <c r="B15" s="115" t="s">
        <v>986</v>
      </c>
      <c r="C15" s="851" t="s">
        <v>987</v>
      </c>
      <c r="D15" s="115" t="s">
        <v>976</v>
      </c>
      <c r="E15" s="856" t="s">
        <v>964</v>
      </c>
    </row>
    <row r="16" spans="1:5" ht="15" x14ac:dyDescent="0.2">
      <c r="A16" s="759" t="s">
        <v>985</v>
      </c>
      <c r="B16" s="119" t="s">
        <v>988</v>
      </c>
      <c r="C16" s="852" t="s">
        <v>989</v>
      </c>
      <c r="D16" s="119" t="s">
        <v>968</v>
      </c>
      <c r="E16" s="760" t="s">
        <v>964</v>
      </c>
    </row>
    <row r="17" spans="1:5" ht="15" x14ac:dyDescent="0.2">
      <c r="A17" s="855" t="s">
        <v>985</v>
      </c>
      <c r="B17" s="115" t="s">
        <v>990</v>
      </c>
      <c r="C17" s="851" t="s">
        <v>991</v>
      </c>
      <c r="D17" s="115" t="s">
        <v>976</v>
      </c>
      <c r="E17" s="856" t="s">
        <v>964</v>
      </c>
    </row>
    <row r="18" spans="1:5" ht="15" x14ac:dyDescent="0.2">
      <c r="A18" s="759" t="s">
        <v>985</v>
      </c>
      <c r="B18" s="119" t="s">
        <v>992</v>
      </c>
      <c r="C18" s="119" t="s">
        <v>993</v>
      </c>
      <c r="D18" s="119" t="s">
        <v>976</v>
      </c>
      <c r="E18" s="760" t="s">
        <v>964</v>
      </c>
    </row>
    <row r="19" spans="1:5" ht="15" x14ac:dyDescent="0.2">
      <c r="A19" s="855" t="s">
        <v>985</v>
      </c>
      <c r="B19" s="115" t="s">
        <v>994</v>
      </c>
      <c r="C19" s="115" t="s">
        <v>993</v>
      </c>
      <c r="D19" s="115" t="s">
        <v>976</v>
      </c>
      <c r="E19" s="856" t="s">
        <v>964</v>
      </c>
    </row>
    <row r="20" spans="1:5" ht="15" x14ac:dyDescent="0.2">
      <c r="A20" s="759" t="s">
        <v>985</v>
      </c>
      <c r="B20" s="119" t="s">
        <v>995</v>
      </c>
      <c r="C20" s="853">
        <v>32000</v>
      </c>
      <c r="D20" s="119" t="s">
        <v>976</v>
      </c>
      <c r="E20" s="760" t="s">
        <v>964</v>
      </c>
    </row>
    <row r="21" spans="1:5" ht="15" x14ac:dyDescent="0.2">
      <c r="A21" s="855" t="s">
        <v>720</v>
      </c>
      <c r="B21" s="115" t="s">
        <v>996</v>
      </c>
      <c r="C21" s="115" t="s">
        <v>997</v>
      </c>
      <c r="D21" s="115" t="s">
        <v>998</v>
      </c>
      <c r="E21" s="856" t="s">
        <v>964</v>
      </c>
    </row>
    <row r="22" spans="1:5" ht="15" x14ac:dyDescent="0.2">
      <c r="A22" s="759" t="s">
        <v>720</v>
      </c>
      <c r="B22" s="119" t="s">
        <v>999</v>
      </c>
      <c r="C22" s="119" t="s">
        <v>997</v>
      </c>
      <c r="D22" s="119" t="s">
        <v>1000</v>
      </c>
      <c r="E22" s="760" t="s">
        <v>964</v>
      </c>
    </row>
    <row r="23" spans="1:5" ht="15" x14ac:dyDescent="0.2">
      <c r="A23" s="855" t="s">
        <v>720</v>
      </c>
      <c r="B23" s="115" t="s">
        <v>1001</v>
      </c>
      <c r="C23" s="851" t="s">
        <v>1002</v>
      </c>
      <c r="D23" s="115" t="s">
        <v>968</v>
      </c>
      <c r="E23" s="856" t="s">
        <v>964</v>
      </c>
    </row>
    <row r="24" spans="1:5" ht="15" x14ac:dyDescent="0.2">
      <c r="A24" s="759" t="s">
        <v>1003</v>
      </c>
      <c r="B24" s="119" t="s">
        <v>1004</v>
      </c>
      <c r="C24" s="853">
        <v>1575</v>
      </c>
      <c r="D24" s="119" t="s">
        <v>976</v>
      </c>
      <c r="E24" s="760" t="s">
        <v>964</v>
      </c>
    </row>
    <row r="25" spans="1:5" ht="15" x14ac:dyDescent="0.2">
      <c r="A25" s="855" t="s">
        <v>1005</v>
      </c>
      <c r="B25" s="115" t="s">
        <v>1006</v>
      </c>
      <c r="C25" s="115" t="s">
        <v>1007</v>
      </c>
      <c r="D25" s="115" t="s">
        <v>968</v>
      </c>
      <c r="E25" s="856" t="s">
        <v>964</v>
      </c>
    </row>
    <row r="26" spans="1:5" ht="15" x14ac:dyDescent="0.2">
      <c r="A26" s="759" t="s">
        <v>1008</v>
      </c>
      <c r="B26" s="853">
        <v>3800</v>
      </c>
      <c r="C26" s="119" t="s">
        <v>997</v>
      </c>
      <c r="D26" s="119" t="s">
        <v>972</v>
      </c>
      <c r="E26" s="760" t="s">
        <v>964</v>
      </c>
    </row>
    <row r="27" spans="1:5" ht="15" x14ac:dyDescent="0.2">
      <c r="A27" s="855" t="s">
        <v>1008</v>
      </c>
      <c r="B27" s="115" t="s">
        <v>1009</v>
      </c>
      <c r="C27" s="115" t="s">
        <v>1010</v>
      </c>
      <c r="D27" s="115" t="s">
        <v>976</v>
      </c>
      <c r="E27" s="856" t="s">
        <v>964</v>
      </c>
    </row>
    <row r="28" spans="1:5" ht="15" x14ac:dyDescent="0.2">
      <c r="A28" s="759" t="s">
        <v>1008</v>
      </c>
      <c r="B28" s="119" t="s">
        <v>1011</v>
      </c>
      <c r="C28" s="119" t="s">
        <v>1012</v>
      </c>
      <c r="D28" s="119" t="s">
        <v>976</v>
      </c>
      <c r="E28" s="760" t="s">
        <v>964</v>
      </c>
    </row>
    <row r="29" spans="1:5" ht="15" x14ac:dyDescent="0.2">
      <c r="A29" s="855" t="s">
        <v>1008</v>
      </c>
      <c r="B29" s="115" t="s">
        <v>1013</v>
      </c>
      <c r="C29" s="115" t="s">
        <v>1014</v>
      </c>
      <c r="D29" s="115" t="s">
        <v>976</v>
      </c>
      <c r="E29" s="856" t="s">
        <v>964</v>
      </c>
    </row>
    <row r="30" spans="1:5" ht="15" x14ac:dyDescent="0.2">
      <c r="A30" s="759" t="s">
        <v>1015</v>
      </c>
      <c r="B30" s="119" t="s">
        <v>1016</v>
      </c>
      <c r="C30" s="119" t="s">
        <v>1017</v>
      </c>
      <c r="D30" s="119" t="s">
        <v>1018</v>
      </c>
      <c r="E30" s="760" t="s">
        <v>964</v>
      </c>
    </row>
    <row r="31" spans="1:5" ht="15" x14ac:dyDescent="0.2">
      <c r="A31" s="855" t="s">
        <v>1015</v>
      </c>
      <c r="B31" s="115" t="s">
        <v>1019</v>
      </c>
      <c r="C31" s="115" t="s">
        <v>1020</v>
      </c>
      <c r="D31" s="115" t="s">
        <v>1018</v>
      </c>
      <c r="E31" s="856" t="s">
        <v>964</v>
      </c>
    </row>
    <row r="32" spans="1:5" ht="15" x14ac:dyDescent="0.2">
      <c r="A32" s="759" t="s">
        <v>1015</v>
      </c>
      <c r="B32" s="119" t="s">
        <v>1021</v>
      </c>
      <c r="C32" s="852" t="s">
        <v>1022</v>
      </c>
      <c r="D32" s="119" t="s">
        <v>976</v>
      </c>
      <c r="E32" s="760" t="s">
        <v>964</v>
      </c>
    </row>
    <row r="33" spans="1:5" ht="15" x14ac:dyDescent="0.2">
      <c r="A33" s="855" t="s">
        <v>1023</v>
      </c>
      <c r="B33" s="854">
        <v>20</v>
      </c>
      <c r="C33" s="851" t="s">
        <v>1024</v>
      </c>
      <c r="D33" s="115" t="s">
        <v>976</v>
      </c>
      <c r="E33" s="856" t="s">
        <v>964</v>
      </c>
    </row>
    <row r="34" spans="1:5" ht="15" x14ac:dyDescent="0.2">
      <c r="A34" s="759" t="s">
        <v>1025</v>
      </c>
      <c r="B34" s="119" t="s">
        <v>1026</v>
      </c>
      <c r="C34" s="119" t="s">
        <v>1027</v>
      </c>
      <c r="D34" s="119" t="s">
        <v>1028</v>
      </c>
      <c r="E34" s="760" t="s">
        <v>964</v>
      </c>
    </row>
    <row r="35" spans="1:5" ht="15.75" thickBot="1" x14ac:dyDescent="0.25">
      <c r="A35" s="857" t="s">
        <v>1025</v>
      </c>
      <c r="B35" s="858" t="s">
        <v>1004</v>
      </c>
      <c r="C35" s="858" t="s">
        <v>1029</v>
      </c>
      <c r="D35" s="858" t="s">
        <v>998</v>
      </c>
      <c r="E35" s="859" t="s">
        <v>964</v>
      </c>
    </row>
  </sheetData>
  <mergeCells count="1">
    <mergeCell ref="A3:E3"/>
  </mergeCells>
  <phoneticPr fontId="25"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330" r:id="rId4" name="Button 2">
              <controlPr defaultSize="0" print="0" autoFill="0" autoPict="0" macro="[0]!RoughnessCalc">
                <anchor moveWithCells="1" sizeWithCells="1">
                  <from>
                    <xdr:col>1</xdr:col>
                    <xdr:colOff>285750</xdr:colOff>
                    <xdr:row>0</xdr:row>
                    <xdr:rowOff>19050</xdr:rowOff>
                  </from>
                  <to>
                    <xdr:col>2</xdr:col>
                    <xdr:colOff>485775</xdr:colOff>
                    <xdr:row>1</xdr:row>
                    <xdr:rowOff>57150</xdr:rowOff>
                  </to>
                </anchor>
              </controlPr>
            </control>
          </mc:Choice>
        </mc:AlternateContent>
        <mc:AlternateContent xmlns:mc="http://schemas.openxmlformats.org/markup-compatibility/2006">
          <mc:Choice Requires="x14">
            <control shapeId="99332" r:id="rId5" name="Return to Main Screen">
              <controlPr defaultSize="0" print="0" autoFill="0" autoPict="0" macro="[0]!ReturnToMain">
                <anchor moveWithCells="1" sizeWithCells="1">
                  <from>
                    <xdr:col>0</xdr:col>
                    <xdr:colOff>47625</xdr:colOff>
                    <xdr:row>0</xdr:row>
                    <xdr:rowOff>19050</xdr:rowOff>
                  </from>
                  <to>
                    <xdr:col>1</xdr:col>
                    <xdr:colOff>142875</xdr:colOff>
                    <xdr:row>1</xdr:row>
                    <xdr:rowOff>66675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8">
    <tabColor theme="6" tint="-0.499984740745262"/>
  </sheetPr>
  <dimension ref="A1:C21"/>
  <sheetViews>
    <sheetView workbookViewId="0"/>
  </sheetViews>
  <sheetFormatPr defaultRowHeight="12.75" x14ac:dyDescent="0.2"/>
  <cols>
    <col min="1" max="1" width="19.7109375" bestFit="1" customWidth="1"/>
    <col min="2" max="2" width="20.140625" bestFit="1" customWidth="1"/>
    <col min="3" max="3" width="24.42578125" customWidth="1"/>
  </cols>
  <sheetData>
    <row r="1" spans="1:3" ht="25.5" customHeight="1" thickBot="1" x14ac:dyDescent="0.25"/>
    <row r="2" spans="1:3" x14ac:dyDescent="0.2">
      <c r="A2" s="218" t="s">
        <v>1030</v>
      </c>
      <c r="B2" s="219" t="s">
        <v>982</v>
      </c>
      <c r="C2" s="220" t="s">
        <v>1031</v>
      </c>
    </row>
    <row r="3" spans="1:3" x14ac:dyDescent="0.2">
      <c r="A3" s="221" t="s">
        <v>1032</v>
      </c>
      <c r="B3" s="222" t="s">
        <v>983</v>
      </c>
      <c r="C3" s="223" t="s">
        <v>1033</v>
      </c>
    </row>
    <row r="4" spans="1:3" x14ac:dyDescent="0.2">
      <c r="A4" s="221" t="s">
        <v>1034</v>
      </c>
      <c r="B4" s="222">
        <v>6240252</v>
      </c>
      <c r="C4" s="223">
        <v>12938</v>
      </c>
    </row>
    <row r="5" spans="1:3" x14ac:dyDescent="0.2">
      <c r="A5" s="221" t="s">
        <v>1035</v>
      </c>
      <c r="B5" s="224">
        <v>42173</v>
      </c>
      <c r="C5" s="225">
        <v>42250</v>
      </c>
    </row>
    <row r="6" spans="1:3" x14ac:dyDescent="0.2">
      <c r="A6" s="221" t="s">
        <v>889</v>
      </c>
      <c r="B6" s="224">
        <v>42539</v>
      </c>
      <c r="C6" s="225">
        <v>42616</v>
      </c>
    </row>
    <row r="7" spans="1:3" ht="13.5" thickBot="1" x14ac:dyDescent="0.25">
      <c r="A7" s="90" t="s">
        <v>1036</v>
      </c>
      <c r="B7" s="226" t="s">
        <v>1037</v>
      </c>
      <c r="C7" s="227" t="s">
        <v>1038</v>
      </c>
    </row>
    <row r="8" spans="1:3" ht="13.5" thickBot="1" x14ac:dyDescent="0.25"/>
    <row r="9" spans="1:3" x14ac:dyDescent="0.2">
      <c r="A9" s="218" t="s">
        <v>1030</v>
      </c>
      <c r="B9" s="219" t="s">
        <v>1039</v>
      </c>
      <c r="C9" s="220" t="s">
        <v>1040</v>
      </c>
    </row>
    <row r="10" spans="1:3" x14ac:dyDescent="0.2">
      <c r="A10" s="221" t="s">
        <v>1032</v>
      </c>
      <c r="B10" s="222" t="s">
        <v>1041</v>
      </c>
      <c r="C10" s="223" t="s">
        <v>1042</v>
      </c>
    </row>
    <row r="11" spans="1:3" x14ac:dyDescent="0.2">
      <c r="A11" s="221" t="s">
        <v>1034</v>
      </c>
      <c r="B11" s="222">
        <v>295</v>
      </c>
      <c r="C11" s="223" t="s">
        <v>1043</v>
      </c>
    </row>
    <row r="12" spans="1:3" x14ac:dyDescent="0.2">
      <c r="A12" s="221" t="s">
        <v>1035</v>
      </c>
      <c r="B12" s="224">
        <v>42167</v>
      </c>
      <c r="C12" s="225">
        <v>42250</v>
      </c>
    </row>
    <row r="13" spans="1:3" x14ac:dyDescent="0.2">
      <c r="A13" s="221" t="s">
        <v>889</v>
      </c>
      <c r="B13" s="224">
        <v>43263</v>
      </c>
      <c r="C13" s="225">
        <v>42616</v>
      </c>
    </row>
    <row r="14" spans="1:3" ht="13.5" thickBot="1" x14ac:dyDescent="0.25">
      <c r="A14" s="228" t="s">
        <v>1036</v>
      </c>
      <c r="B14" s="229">
        <v>171269000</v>
      </c>
      <c r="C14" s="230" t="s">
        <v>1044</v>
      </c>
    </row>
    <row r="15" spans="1:3" ht="13.5" thickBot="1" x14ac:dyDescent="0.25">
      <c r="A15" s="231" t="s">
        <v>917</v>
      </c>
      <c r="B15" s="232" t="s">
        <v>1045</v>
      </c>
      <c r="C15" s="233" t="s">
        <v>1046</v>
      </c>
    </row>
    <row r="16" spans="1:3" ht="13.5" thickBot="1" x14ac:dyDescent="0.25">
      <c r="A16" s="231" t="s">
        <v>1047</v>
      </c>
      <c r="B16" s="418" t="s">
        <v>1048</v>
      </c>
      <c r="C16" s="418" t="s">
        <v>1049</v>
      </c>
    </row>
    <row r="18" spans="2:3" x14ac:dyDescent="0.2">
      <c r="B18" t="s">
        <v>1050</v>
      </c>
    </row>
    <row r="19" spans="2:3" x14ac:dyDescent="0.2">
      <c r="B19" t="s">
        <v>1051</v>
      </c>
    </row>
    <row r="20" spans="2:3" x14ac:dyDescent="0.2">
      <c r="B20" s="84" t="s">
        <v>925</v>
      </c>
      <c r="C20" t="s">
        <v>1052</v>
      </c>
    </row>
    <row r="21" spans="2:3" x14ac:dyDescent="0.2">
      <c r="B21" t="s">
        <v>1053</v>
      </c>
    </row>
  </sheetData>
  <sheetProtection sheet="1" selectLockedCells="1"/>
  <phoneticPr fontId="13"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8676" r:id="rId3" name="Button 4">
              <controlPr defaultSize="0" print="0" autoFill="0" autoPict="0" macro="[0]!ReturnToMain">
                <anchor moveWithCells="1" sizeWithCells="1">
                  <from>
                    <xdr:col>0</xdr:col>
                    <xdr:colOff>19050</xdr:colOff>
                    <xdr:row>0</xdr:row>
                    <xdr:rowOff>19050</xdr:rowOff>
                  </from>
                  <to>
                    <xdr:col>1</xdr:col>
                    <xdr:colOff>123825</xdr:colOff>
                    <xdr:row>0</xdr:row>
                    <xdr:rowOff>152400</xdr:rowOff>
                  </to>
                </anchor>
              </controlPr>
            </control>
          </mc:Choice>
        </mc:AlternateContent>
        <mc:AlternateContent xmlns:mc="http://schemas.openxmlformats.org/markup-compatibility/2006">
          <mc:Choice Requires="x14">
            <control shapeId="28677" r:id="rId4" name="Button 5">
              <controlPr defaultSize="0" print="0" autoFill="0" autoPict="0" macro="[0]!RoughnessCalc">
                <anchor moveWithCells="1" sizeWithCells="1">
                  <from>
                    <xdr:col>1</xdr:col>
                    <xdr:colOff>180975</xdr:colOff>
                    <xdr:row>0</xdr:row>
                    <xdr:rowOff>19050</xdr:rowOff>
                  </from>
                  <to>
                    <xdr:col>2</xdr:col>
                    <xdr:colOff>266700</xdr:colOff>
                    <xdr:row>0</xdr:row>
                    <xdr:rowOff>152400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
    <tabColor theme="6" tint="-0.499984740745262"/>
  </sheetPr>
  <dimension ref="A1:E23"/>
  <sheetViews>
    <sheetView workbookViewId="0"/>
  </sheetViews>
  <sheetFormatPr defaultRowHeight="12.75" x14ac:dyDescent="0.2"/>
  <sheetData>
    <row r="1" spans="1:5" ht="25.5" customHeight="1" x14ac:dyDescent="0.2"/>
    <row r="3" spans="1:5" ht="13.5" thickBot="1" x14ac:dyDescent="0.25">
      <c r="A3" s="1337" t="s">
        <v>1054</v>
      </c>
      <c r="B3" s="1337"/>
      <c r="C3" s="1337"/>
    </row>
    <row r="4" spans="1:5" ht="13.5" thickBot="1" x14ac:dyDescent="0.25">
      <c r="A4" s="482" t="s">
        <v>1055</v>
      </c>
      <c r="B4" s="483" t="s">
        <v>1056</v>
      </c>
      <c r="C4" s="484" t="s">
        <v>1057</v>
      </c>
      <c r="D4" s="485" t="s">
        <v>290</v>
      </c>
      <c r="E4" s="486" t="s">
        <v>291</v>
      </c>
    </row>
    <row r="5" spans="1:5" x14ac:dyDescent="0.2">
      <c r="A5" s="76">
        <v>12</v>
      </c>
      <c r="B5" s="31">
        <v>0.4</v>
      </c>
      <c r="C5" s="77">
        <v>16</v>
      </c>
      <c r="D5" s="480">
        <f>C5-(C5*0.122)</f>
        <v>14.048</v>
      </c>
      <c r="E5" s="481">
        <f>C5+(C5*0.122)</f>
        <v>17.951999999999998</v>
      </c>
    </row>
    <row r="6" spans="1:5" x14ac:dyDescent="0.2">
      <c r="A6" s="189">
        <v>15</v>
      </c>
      <c r="B6" s="37">
        <v>0.56000000000000005</v>
      </c>
      <c r="C6" s="190">
        <v>22</v>
      </c>
      <c r="D6" s="476">
        <f t="shared" ref="D6:D16" si="0">C6-(C6*0.122)</f>
        <v>19.315999999999999</v>
      </c>
      <c r="E6" s="474">
        <f t="shared" ref="E6:E16" si="1">C6+(C6*0.122)</f>
        <v>24.684000000000001</v>
      </c>
    </row>
    <row r="7" spans="1:5" x14ac:dyDescent="0.2">
      <c r="A7" s="78">
        <v>18</v>
      </c>
      <c r="B7" s="5">
        <v>0.8</v>
      </c>
      <c r="C7" s="79">
        <v>32</v>
      </c>
      <c r="D7" s="475">
        <f t="shared" si="0"/>
        <v>28.096</v>
      </c>
      <c r="E7" s="473">
        <f t="shared" si="1"/>
        <v>35.903999999999996</v>
      </c>
    </row>
    <row r="8" spans="1:5" x14ac:dyDescent="0.2">
      <c r="A8" s="189">
        <v>21</v>
      </c>
      <c r="B8" s="37">
        <v>1.1200000000000001</v>
      </c>
      <c r="C8" s="190">
        <v>44</v>
      </c>
      <c r="D8" s="476">
        <f t="shared" si="0"/>
        <v>38.631999999999998</v>
      </c>
      <c r="E8" s="474">
        <f t="shared" si="1"/>
        <v>49.368000000000002</v>
      </c>
    </row>
    <row r="9" spans="1:5" x14ac:dyDescent="0.2">
      <c r="A9" s="78">
        <v>24</v>
      </c>
      <c r="B9" s="5">
        <v>1.6</v>
      </c>
      <c r="C9" s="79">
        <v>63</v>
      </c>
      <c r="D9" s="475">
        <f t="shared" si="0"/>
        <v>55.314</v>
      </c>
      <c r="E9" s="473">
        <f t="shared" si="1"/>
        <v>70.686000000000007</v>
      </c>
    </row>
    <row r="10" spans="1:5" x14ac:dyDescent="0.2">
      <c r="A10" s="189">
        <v>27</v>
      </c>
      <c r="B10" s="37">
        <v>2.2400000000000002</v>
      </c>
      <c r="C10" s="190">
        <v>88</v>
      </c>
      <c r="D10" s="476">
        <f t="shared" si="0"/>
        <v>77.263999999999996</v>
      </c>
      <c r="E10" s="474">
        <f t="shared" si="1"/>
        <v>98.736000000000004</v>
      </c>
    </row>
    <row r="11" spans="1:5" x14ac:dyDescent="0.2">
      <c r="A11" s="78">
        <v>30</v>
      </c>
      <c r="B11" s="5">
        <v>3.15</v>
      </c>
      <c r="C11" s="79">
        <v>124</v>
      </c>
      <c r="D11" s="475">
        <f t="shared" si="0"/>
        <v>108.872</v>
      </c>
      <c r="E11" s="473">
        <f t="shared" si="1"/>
        <v>139.12799999999999</v>
      </c>
    </row>
    <row r="12" spans="1:5" x14ac:dyDescent="0.2">
      <c r="A12" s="189">
        <v>33</v>
      </c>
      <c r="B12" s="37">
        <v>4.5</v>
      </c>
      <c r="C12" s="190">
        <v>177</v>
      </c>
      <c r="D12" s="476">
        <f t="shared" si="0"/>
        <v>155.40600000000001</v>
      </c>
      <c r="E12" s="474">
        <f t="shared" si="1"/>
        <v>198.59399999999999</v>
      </c>
    </row>
    <row r="13" spans="1:5" x14ac:dyDescent="0.2">
      <c r="A13" s="78">
        <v>36</v>
      </c>
      <c r="B13" s="5">
        <v>6.3</v>
      </c>
      <c r="C13" s="79">
        <v>248</v>
      </c>
      <c r="D13" s="475">
        <f t="shared" si="0"/>
        <v>217.744</v>
      </c>
      <c r="E13" s="473">
        <f t="shared" si="1"/>
        <v>278.25599999999997</v>
      </c>
    </row>
    <row r="14" spans="1:5" x14ac:dyDescent="0.2">
      <c r="A14" s="189">
        <v>39</v>
      </c>
      <c r="B14" s="37">
        <v>9</v>
      </c>
      <c r="C14" s="190">
        <v>354</v>
      </c>
      <c r="D14" s="476">
        <f t="shared" si="0"/>
        <v>310.81200000000001</v>
      </c>
      <c r="E14" s="474">
        <f t="shared" si="1"/>
        <v>397.18799999999999</v>
      </c>
    </row>
    <row r="15" spans="1:5" x14ac:dyDescent="0.2">
      <c r="A15" s="78">
        <v>42</v>
      </c>
      <c r="B15" s="5">
        <v>12.5</v>
      </c>
      <c r="C15" s="79">
        <v>492</v>
      </c>
      <c r="D15" s="475">
        <f t="shared" si="0"/>
        <v>431.976</v>
      </c>
      <c r="E15" s="473">
        <f t="shared" si="1"/>
        <v>552.024</v>
      </c>
    </row>
    <row r="16" spans="1:5" ht="13.5" thickBot="1" x14ac:dyDescent="0.25">
      <c r="A16" s="477">
        <v>45</v>
      </c>
      <c r="B16" s="478">
        <v>18</v>
      </c>
      <c r="C16" s="479">
        <v>709</v>
      </c>
      <c r="D16" s="476">
        <f t="shared" si="0"/>
        <v>622.50199999999995</v>
      </c>
      <c r="E16" s="474">
        <f t="shared" si="1"/>
        <v>795.49800000000005</v>
      </c>
    </row>
    <row r="17" spans="1:1" x14ac:dyDescent="0.2">
      <c r="A17" t="s">
        <v>1058</v>
      </c>
    </row>
    <row r="18" spans="1:1" x14ac:dyDescent="0.2">
      <c r="A18" t="s">
        <v>1059</v>
      </c>
    </row>
    <row r="19" spans="1:1" x14ac:dyDescent="0.2">
      <c r="A19" t="s">
        <v>1060</v>
      </c>
    </row>
    <row r="22" spans="1:1" x14ac:dyDescent="0.2">
      <c r="A22" t="s">
        <v>1061</v>
      </c>
    </row>
    <row r="23" spans="1:1" x14ac:dyDescent="0.2">
      <c r="A23" t="s">
        <v>1062</v>
      </c>
    </row>
  </sheetData>
  <sheetProtection sheet="1" objects="1" scenarios="1" selectLockedCells="1"/>
  <mergeCells count="1">
    <mergeCell ref="A3:C3"/>
  </mergeCells>
  <phoneticPr fontId="13"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9939" r:id="rId4" name="Button 3">
              <controlPr defaultSize="0" print="0" autoFill="0" autoPict="0" macro="[0]!ReturnToMain">
                <anchor moveWithCells="1" sizeWithCells="1">
                  <from>
                    <xdr:col>0</xdr:col>
                    <xdr:colOff>19050</xdr:colOff>
                    <xdr:row>0</xdr:row>
                    <xdr:rowOff>19050</xdr:rowOff>
                  </from>
                  <to>
                    <xdr:col>2</xdr:col>
                    <xdr:colOff>171450</xdr:colOff>
                    <xdr:row>0</xdr:row>
                    <xdr:rowOff>161925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5">
    <tabColor indexed="46"/>
  </sheetPr>
  <dimension ref="A1:G37"/>
  <sheetViews>
    <sheetView workbookViewId="0">
      <selection activeCell="A5" sqref="A5"/>
    </sheetView>
  </sheetViews>
  <sheetFormatPr defaultRowHeight="12.75" x14ac:dyDescent="0.2"/>
  <cols>
    <col min="1" max="1" width="26.28515625" customWidth="1"/>
    <col min="2" max="2" width="27.28515625" customWidth="1"/>
    <col min="4" max="4" width="15.28515625" bestFit="1" customWidth="1"/>
    <col min="5" max="5" width="12" customWidth="1"/>
  </cols>
  <sheetData>
    <row r="1" spans="1:7" s="10" customFormat="1" ht="25.5" customHeight="1" thickBot="1" x14ac:dyDescent="0.25"/>
    <row r="2" spans="1:7" ht="24" customHeight="1" thickBot="1" x14ac:dyDescent="0.3">
      <c r="A2" s="1240" t="s">
        <v>1063</v>
      </c>
      <c r="B2" s="1241"/>
      <c r="C2" s="1241"/>
      <c r="D2" s="1241"/>
      <c r="E2" s="1241"/>
      <c r="F2" s="1241"/>
      <c r="G2" s="629"/>
    </row>
    <row r="3" spans="1:7" ht="25.5" customHeight="1" x14ac:dyDescent="0.25">
      <c r="A3" s="614"/>
      <c r="B3" s="611"/>
      <c r="C3" s="611"/>
      <c r="D3" s="611"/>
      <c r="E3" s="611"/>
      <c r="F3" s="611"/>
      <c r="G3" s="615"/>
    </row>
    <row r="4" spans="1:7" x14ac:dyDescent="0.2">
      <c r="A4" s="568" t="s">
        <v>1064</v>
      </c>
      <c r="B4" s="569" t="s">
        <v>317</v>
      </c>
      <c r="C4" s="360" t="s">
        <v>290</v>
      </c>
      <c r="D4" s="360" t="s">
        <v>291</v>
      </c>
      <c r="E4" s="569" t="s">
        <v>292</v>
      </c>
      <c r="F4" s="360" t="s">
        <v>765</v>
      </c>
      <c r="G4" s="102"/>
    </row>
    <row r="5" spans="1:7" ht="12.75" customHeight="1" x14ac:dyDescent="0.2">
      <c r="A5" s="91"/>
      <c r="B5" s="2"/>
      <c r="C5" s="124" t="str">
        <f>IF(B5="","",A5-B5)</f>
        <v/>
      </c>
      <c r="D5" s="124" t="str">
        <f>IF(B5="","",A5+B5)</f>
        <v/>
      </c>
      <c r="E5" s="722"/>
      <c r="F5" s="5" t="str">
        <f>IF(E5="", "",IF(AND(E5&gt;=C5,C5&lt;=D5), "Accepted", "Rejected"))</f>
        <v/>
      </c>
      <c r="G5" s="102"/>
    </row>
    <row r="6" spans="1:7" x14ac:dyDescent="0.2">
      <c r="A6" s="91"/>
      <c r="B6" s="2"/>
      <c r="C6" s="124" t="str">
        <f t="shared" ref="C6:C15" si="0">IF(B6="","",A6-B6)</f>
        <v/>
      </c>
      <c r="D6" s="124" t="str">
        <f t="shared" ref="D6:D15" si="1">IF(B6="","",A6+B6)</f>
        <v/>
      </c>
      <c r="E6" s="722"/>
      <c r="F6" s="5" t="str">
        <f t="shared" ref="F6:F15" si="2">IF(E6="", "",IF(AND(E6&gt;=C6,C6&lt;=D6), "Accepted", "Rejected"))</f>
        <v/>
      </c>
      <c r="G6" s="102"/>
    </row>
    <row r="7" spans="1:7" x14ac:dyDescent="0.2">
      <c r="A7" s="91"/>
      <c r="B7" s="2"/>
      <c r="C7" s="124" t="str">
        <f t="shared" si="0"/>
        <v/>
      </c>
      <c r="D7" s="124" t="str">
        <f t="shared" si="1"/>
        <v/>
      </c>
      <c r="E7" s="722"/>
      <c r="F7" s="5" t="str">
        <f t="shared" si="2"/>
        <v/>
      </c>
      <c r="G7" s="102"/>
    </row>
    <row r="8" spans="1:7" x14ac:dyDescent="0.2">
      <c r="A8" s="91"/>
      <c r="B8" s="2"/>
      <c r="C8" s="124" t="str">
        <f t="shared" si="0"/>
        <v/>
      </c>
      <c r="D8" s="124" t="str">
        <f t="shared" si="1"/>
        <v/>
      </c>
      <c r="E8" s="722"/>
      <c r="F8" s="5" t="str">
        <f t="shared" si="2"/>
        <v/>
      </c>
      <c r="G8" s="102"/>
    </row>
    <row r="9" spans="1:7" x14ac:dyDescent="0.2">
      <c r="A9" s="91"/>
      <c r="B9" s="2"/>
      <c r="C9" s="124" t="str">
        <f t="shared" si="0"/>
        <v/>
      </c>
      <c r="D9" s="124" t="str">
        <f t="shared" si="1"/>
        <v/>
      </c>
      <c r="E9" s="722"/>
      <c r="F9" s="5" t="str">
        <f t="shared" si="2"/>
        <v/>
      </c>
      <c r="G9" s="102"/>
    </row>
    <row r="10" spans="1:7" x14ac:dyDescent="0.2">
      <c r="A10" s="91"/>
      <c r="B10" s="2"/>
      <c r="C10" s="124" t="str">
        <f t="shared" si="0"/>
        <v/>
      </c>
      <c r="D10" s="124" t="str">
        <f t="shared" si="1"/>
        <v/>
      </c>
      <c r="E10" s="722"/>
      <c r="F10" s="5" t="str">
        <f t="shared" si="2"/>
        <v/>
      </c>
      <c r="G10" s="102"/>
    </row>
    <row r="11" spans="1:7" x14ac:dyDescent="0.2">
      <c r="A11" s="91"/>
      <c r="B11" s="2"/>
      <c r="C11" s="124" t="str">
        <f t="shared" si="0"/>
        <v/>
      </c>
      <c r="D11" s="124" t="str">
        <f t="shared" si="1"/>
        <v/>
      </c>
      <c r="E11" s="722"/>
      <c r="F11" s="5" t="str">
        <f t="shared" si="2"/>
        <v/>
      </c>
      <c r="G11" s="102"/>
    </row>
    <row r="12" spans="1:7" x14ac:dyDescent="0.2">
      <c r="A12" s="91"/>
      <c r="B12" s="2"/>
      <c r="C12" s="124" t="str">
        <f t="shared" si="0"/>
        <v/>
      </c>
      <c r="D12" s="124" t="str">
        <f t="shared" si="1"/>
        <v/>
      </c>
      <c r="E12" s="722"/>
      <c r="F12" s="5" t="str">
        <f t="shared" si="2"/>
        <v/>
      </c>
      <c r="G12" s="102"/>
    </row>
    <row r="13" spans="1:7" ht="12.75" customHeight="1" x14ac:dyDescent="0.2">
      <c r="A13" s="91"/>
      <c r="B13" s="2"/>
      <c r="C13" s="124" t="str">
        <f t="shared" si="0"/>
        <v/>
      </c>
      <c r="D13" s="124" t="str">
        <f t="shared" si="1"/>
        <v/>
      </c>
      <c r="E13" s="722"/>
      <c r="F13" s="5" t="str">
        <f t="shared" si="2"/>
        <v/>
      </c>
      <c r="G13" s="102"/>
    </row>
    <row r="14" spans="1:7" x14ac:dyDescent="0.2">
      <c r="A14" s="91"/>
      <c r="B14" s="2"/>
      <c r="C14" s="124" t="str">
        <f t="shared" si="0"/>
        <v/>
      </c>
      <c r="D14" s="124" t="str">
        <f t="shared" si="1"/>
        <v/>
      </c>
      <c r="E14" s="722"/>
      <c r="F14" s="5" t="str">
        <f t="shared" si="2"/>
        <v/>
      </c>
      <c r="G14" s="102"/>
    </row>
    <row r="15" spans="1:7" x14ac:dyDescent="0.2">
      <c r="A15" s="91"/>
      <c r="B15" s="2"/>
      <c r="C15" s="124" t="str">
        <f t="shared" si="0"/>
        <v/>
      </c>
      <c r="D15" s="124" t="str">
        <f t="shared" si="1"/>
        <v/>
      </c>
      <c r="E15" s="722"/>
      <c r="F15" s="5" t="str">
        <f t="shared" si="2"/>
        <v/>
      </c>
      <c r="G15" s="102"/>
    </row>
    <row r="16" spans="1:7" ht="13.5" thickBot="1" x14ac:dyDescent="0.25">
      <c r="A16" s="387"/>
      <c r="B16" s="106"/>
      <c r="C16" s="106"/>
      <c r="D16" s="106"/>
      <c r="E16" s="723"/>
      <c r="F16" s="106"/>
      <c r="G16" s="107"/>
    </row>
    <row r="17" spans="1:3" ht="13.5" thickBot="1" x14ac:dyDescent="0.25"/>
    <row r="18" spans="1:3" ht="12.75" customHeight="1" x14ac:dyDescent="0.2">
      <c r="A18" s="1338" t="s">
        <v>1065</v>
      </c>
      <c r="B18" s="1339"/>
      <c r="C18" s="192"/>
    </row>
    <row r="19" spans="1:3" ht="13.5" thickBot="1" x14ac:dyDescent="0.25">
      <c r="A19" s="1340"/>
      <c r="B19" s="1341"/>
      <c r="C19" s="192"/>
    </row>
    <row r="20" spans="1:3" ht="12.75" customHeight="1" x14ac:dyDescent="0.2">
      <c r="A20" s="703"/>
      <c r="B20" s="584"/>
      <c r="C20" s="192"/>
    </row>
    <row r="21" spans="1:3" x14ac:dyDescent="0.2">
      <c r="A21" s="193" t="s">
        <v>1066</v>
      </c>
      <c r="B21" s="194">
        <v>10.002000000000001</v>
      </c>
    </row>
    <row r="22" spans="1:3" ht="13.5" thickBot="1" x14ac:dyDescent="0.25">
      <c r="A22" s="325" t="s">
        <v>785</v>
      </c>
      <c r="B22" s="81">
        <f>B21/0.8</f>
        <v>12.5025</v>
      </c>
    </row>
    <row r="23" spans="1:3" ht="12.75" customHeight="1" thickBot="1" x14ac:dyDescent="0.25">
      <c r="A23" s="583"/>
      <c r="B23" s="583"/>
    </row>
    <row r="24" spans="1:3" x14ac:dyDescent="0.2">
      <c r="A24" s="1246" t="s">
        <v>1067</v>
      </c>
      <c r="B24" s="1247"/>
    </row>
    <row r="25" spans="1:3" x14ac:dyDescent="0.2">
      <c r="A25" s="193" t="s">
        <v>1068</v>
      </c>
      <c r="B25" s="194" t="s">
        <v>1069</v>
      </c>
    </row>
    <row r="26" spans="1:3" x14ac:dyDescent="0.2">
      <c r="A26" s="326" t="s">
        <v>291</v>
      </c>
      <c r="B26" s="195" t="e">
        <f>B25+(B25*0.005)+".002"</f>
        <v>#VALUE!</v>
      </c>
    </row>
    <row r="27" spans="1:3" ht="13.5" thickBot="1" x14ac:dyDescent="0.25">
      <c r="A27" s="325" t="s">
        <v>290</v>
      </c>
      <c r="B27" s="196" t="e">
        <f>B25-((B25*0.005)+0.002)</f>
        <v>#VALUE!</v>
      </c>
    </row>
    <row r="30" spans="1:3" x14ac:dyDescent="0.2">
      <c r="A30" t="s">
        <v>1054</v>
      </c>
    </row>
    <row r="31" spans="1:3" x14ac:dyDescent="0.2">
      <c r="A31">
        <v>0.05</v>
      </c>
      <c r="B31" s="739">
        <f>A31-(A31*0.005+0.002)</f>
        <v>4.7750000000000001E-2</v>
      </c>
      <c r="C31" s="739">
        <f>A31+(A31*0.005+0.002)</f>
        <v>5.2250000000000005E-2</v>
      </c>
    </row>
    <row r="32" spans="1:3" x14ac:dyDescent="0.2">
      <c r="A32">
        <v>0.5</v>
      </c>
      <c r="B32" s="739">
        <f t="shared" ref="B32:B37" si="3">A32-(A32*0.005+0.002)</f>
        <v>0.4955</v>
      </c>
      <c r="C32" s="739">
        <f t="shared" ref="C32:C37" si="4">A32+(A32*0.005+0.002)</f>
        <v>0.50449999999999995</v>
      </c>
    </row>
    <row r="33" spans="1:3" x14ac:dyDescent="0.2">
      <c r="A33">
        <v>1</v>
      </c>
      <c r="B33" s="739">
        <f t="shared" si="3"/>
        <v>0.99299999999999999</v>
      </c>
      <c r="C33" s="739">
        <f t="shared" si="4"/>
        <v>1.0069999999999999</v>
      </c>
    </row>
    <row r="34" spans="1:3" x14ac:dyDescent="0.2">
      <c r="A34">
        <v>4</v>
      </c>
      <c r="B34" s="739">
        <f t="shared" si="3"/>
        <v>3.9780000000000002</v>
      </c>
      <c r="C34" s="739">
        <f t="shared" si="4"/>
        <v>4.0220000000000002</v>
      </c>
    </row>
    <row r="35" spans="1:3" x14ac:dyDescent="0.2">
      <c r="A35">
        <v>8.0009999999999994</v>
      </c>
      <c r="B35" s="739">
        <f t="shared" si="3"/>
        <v>7.9589949999999998</v>
      </c>
      <c r="C35" s="739">
        <f t="shared" si="4"/>
        <v>8.0430049999999991</v>
      </c>
    </row>
    <row r="36" spans="1:3" x14ac:dyDescent="0.2">
      <c r="A36">
        <v>10.002000000000001</v>
      </c>
      <c r="B36" s="739">
        <f t="shared" si="3"/>
        <v>9.9499900000000014</v>
      </c>
      <c r="C36" s="739">
        <f t="shared" si="4"/>
        <v>10.05401</v>
      </c>
    </row>
    <row r="37" spans="1:3" x14ac:dyDescent="0.2">
      <c r="A37">
        <v>6.0010000000000003</v>
      </c>
      <c r="B37" s="739">
        <f t="shared" si="3"/>
        <v>5.9689950000000005</v>
      </c>
      <c r="C37" s="739">
        <f t="shared" si="4"/>
        <v>6.0330050000000002</v>
      </c>
    </row>
  </sheetData>
  <sheetProtection password="CC48" sheet="1" selectLockedCells="1"/>
  <mergeCells count="3">
    <mergeCell ref="A2:F2"/>
    <mergeCell ref="A18:B19"/>
    <mergeCell ref="A24:B24"/>
  </mergeCells>
  <phoneticPr fontId="13" type="noConversion"/>
  <conditionalFormatting sqref="A5:F15">
    <cfRule type="expression" dxfId="0" priority="1" stopIfTrue="1">
      <formula>MOD(ROW(),2)=1</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15" r:id="rId3" name="Button 7">
              <controlPr defaultSize="0" print="0" autoFill="0" autoPict="0" macro="[0]!ReturnToMain">
                <anchor moveWithCells="1" sizeWithCells="1">
                  <from>
                    <xdr:col>0</xdr:col>
                    <xdr:colOff>19050</xdr:colOff>
                    <xdr:row>0</xdr:row>
                    <xdr:rowOff>19050</xdr:rowOff>
                  </from>
                  <to>
                    <xdr:col>0</xdr:col>
                    <xdr:colOff>800100</xdr:colOff>
                    <xdr:row>0</xdr:row>
                    <xdr:rowOff>152400</xdr:rowOff>
                  </to>
                </anchor>
              </controlPr>
            </control>
          </mc:Choice>
        </mc:AlternateContent>
        <mc:AlternateContent xmlns:mc="http://schemas.openxmlformats.org/markup-compatibility/2006">
          <mc:Choice Requires="x14">
            <control shapeId="17417" r:id="rId4" name="Button 9">
              <controlPr defaultSize="0" print="0" autoFill="0" autoPict="0" macro="[0]!UltrasonicClearReadings">
                <anchor moveWithCells="1" sizeWithCells="1">
                  <from>
                    <xdr:col>1</xdr:col>
                    <xdr:colOff>9525</xdr:colOff>
                    <xdr:row>2</xdr:row>
                    <xdr:rowOff>19050</xdr:rowOff>
                  </from>
                  <to>
                    <xdr:col>1</xdr:col>
                    <xdr:colOff>790575</xdr:colOff>
                    <xdr:row>2</xdr:row>
                    <xdr:rowOff>152400</xdr:rowOff>
                  </to>
                </anchor>
              </controlPr>
            </control>
          </mc:Choice>
        </mc:AlternateContent>
        <mc:AlternateContent xmlns:mc="http://schemas.openxmlformats.org/markup-compatibility/2006">
          <mc:Choice Requires="x14">
            <control shapeId="17418" r:id="rId5" name="Button 10">
              <controlPr defaultSize="0" print="0" autoFill="0" autoPict="0" macro="[0]!UltrasonicManufacturers">
                <anchor moveWithCells="1" sizeWithCells="1">
                  <from>
                    <xdr:col>0</xdr:col>
                    <xdr:colOff>838200</xdr:colOff>
                    <xdr:row>0</xdr:row>
                    <xdr:rowOff>19050</xdr:rowOff>
                  </from>
                  <to>
                    <xdr:col>1</xdr:col>
                    <xdr:colOff>695325</xdr:colOff>
                    <xdr:row>0</xdr:row>
                    <xdr:rowOff>152400</xdr:rowOff>
                  </to>
                </anchor>
              </controlPr>
            </control>
          </mc:Choice>
        </mc:AlternateContent>
        <mc:AlternateContent xmlns:mc="http://schemas.openxmlformats.org/markup-compatibility/2006">
          <mc:Choice Requires="x14">
            <control shapeId="17420" r:id="rId6" name="Button 12">
              <controlPr defaultSize="0" print="0" autoFill="0" autoPict="0" macro="[0]!UltrasonicNIST">
                <anchor moveWithCells="1" sizeWithCells="1">
                  <from>
                    <xdr:col>1</xdr:col>
                    <xdr:colOff>733425</xdr:colOff>
                    <xdr:row>0</xdr:row>
                    <xdr:rowOff>19050</xdr:rowOff>
                  </from>
                  <to>
                    <xdr:col>3</xdr:col>
                    <xdr:colOff>247650</xdr:colOff>
                    <xdr:row>0</xdr:row>
                    <xdr:rowOff>152400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6">
    <tabColor indexed="46"/>
  </sheetPr>
  <dimension ref="A1:J114"/>
  <sheetViews>
    <sheetView workbookViewId="0"/>
  </sheetViews>
  <sheetFormatPr defaultRowHeight="12.75" x14ac:dyDescent="0.2"/>
  <cols>
    <col min="1" max="1" width="24.5703125" bestFit="1" customWidth="1"/>
    <col min="2" max="2" width="23.7109375" bestFit="1" customWidth="1"/>
    <col min="3" max="3" width="23.140625" bestFit="1" customWidth="1"/>
    <col min="4" max="5" width="19.28515625" hidden="1" customWidth="1"/>
    <col min="6" max="6" width="32.42578125" customWidth="1"/>
    <col min="7" max="7" width="24.7109375" bestFit="1" customWidth="1"/>
    <col min="8" max="8" width="27.140625" bestFit="1" customWidth="1"/>
    <col min="9" max="9" width="15.28515625" bestFit="1" customWidth="1"/>
    <col min="10" max="10" width="19.85546875" bestFit="1" customWidth="1"/>
  </cols>
  <sheetData>
    <row r="1" spans="1:10" ht="25.5" customHeight="1" x14ac:dyDescent="0.2"/>
    <row r="2" spans="1:10" ht="18" x14ac:dyDescent="0.25">
      <c r="A2" s="1342" t="s">
        <v>1070</v>
      </c>
      <c r="B2" s="1342"/>
      <c r="C2" s="1342"/>
      <c r="D2" s="1342"/>
      <c r="E2" s="1342"/>
      <c r="F2" s="1342"/>
      <c r="G2" s="1342"/>
      <c r="H2" s="1342"/>
      <c r="I2" s="1342"/>
    </row>
    <row r="3" spans="1:10" ht="16.5" thickBot="1" x14ac:dyDescent="0.3">
      <c r="A3" s="130" t="s">
        <v>1071</v>
      </c>
      <c r="B3" s="130" t="s">
        <v>1072</v>
      </c>
      <c r="C3" s="130" t="s">
        <v>1073</v>
      </c>
      <c r="D3" s="130" t="s">
        <v>1074</v>
      </c>
      <c r="E3" s="130" t="s">
        <v>1075</v>
      </c>
      <c r="F3" s="542" t="s">
        <v>1076</v>
      </c>
      <c r="G3" s="130" t="s">
        <v>1077</v>
      </c>
      <c r="H3" s="130" t="s">
        <v>1078</v>
      </c>
      <c r="I3" s="130" t="s">
        <v>1079</v>
      </c>
      <c r="J3" s="130" t="s">
        <v>1080</v>
      </c>
    </row>
    <row r="4" spans="1:10" x14ac:dyDescent="0.2">
      <c r="A4" s="131" t="s">
        <v>1081</v>
      </c>
      <c r="B4" s="131" t="s">
        <v>1082</v>
      </c>
      <c r="C4" s="131" t="s">
        <v>1083</v>
      </c>
      <c r="D4" s="132"/>
      <c r="E4" s="132" t="s">
        <v>1084</v>
      </c>
      <c r="F4" s="133" t="s">
        <v>1084</v>
      </c>
      <c r="G4" s="134"/>
      <c r="H4" s="134"/>
      <c r="I4" s="134"/>
    </row>
    <row r="5" spans="1:10" x14ac:dyDescent="0.2">
      <c r="A5" s="135" t="s">
        <v>1085</v>
      </c>
      <c r="B5" s="135" t="s">
        <v>1086</v>
      </c>
      <c r="C5" s="135" t="s">
        <v>1087</v>
      </c>
      <c r="D5" s="31"/>
      <c r="E5" s="31"/>
      <c r="F5" s="5" t="s">
        <v>1088</v>
      </c>
      <c r="G5" s="5" t="s">
        <v>1089</v>
      </c>
      <c r="H5" s="5" t="s">
        <v>1090</v>
      </c>
      <c r="I5" s="5" t="s">
        <v>1091</v>
      </c>
    </row>
    <row r="6" spans="1:10" x14ac:dyDescent="0.2">
      <c r="A6" s="135"/>
      <c r="B6" s="135"/>
      <c r="C6" s="135"/>
      <c r="D6" s="31"/>
      <c r="E6" s="31"/>
      <c r="F6" s="5"/>
      <c r="G6" s="137" t="s">
        <v>1092</v>
      </c>
      <c r="H6" s="137" t="s">
        <v>1093</v>
      </c>
      <c r="I6" s="137" t="s">
        <v>1094</v>
      </c>
    </row>
    <row r="7" spans="1:10" x14ac:dyDescent="0.2">
      <c r="A7" s="135"/>
      <c r="B7" s="135"/>
      <c r="C7" s="135"/>
      <c r="D7" s="31"/>
      <c r="E7" s="31"/>
      <c r="F7" s="5"/>
      <c r="G7" s="5" t="s">
        <v>1095</v>
      </c>
      <c r="H7" s="5" t="s">
        <v>1096</v>
      </c>
      <c r="I7" s="5" t="s">
        <v>1094</v>
      </c>
    </row>
    <row r="8" spans="1:10" x14ac:dyDescent="0.2">
      <c r="A8" s="136" t="s">
        <v>1097</v>
      </c>
      <c r="B8" s="136" t="s">
        <v>1098</v>
      </c>
      <c r="C8" s="136" t="s">
        <v>1099</v>
      </c>
      <c r="D8" s="137" t="s">
        <v>1100</v>
      </c>
      <c r="E8" s="137" t="s">
        <v>1101</v>
      </c>
      <c r="F8" s="137" t="s">
        <v>1088</v>
      </c>
      <c r="G8" s="137" t="s">
        <v>1102</v>
      </c>
      <c r="H8" s="137"/>
      <c r="I8" s="137" t="s">
        <v>1103</v>
      </c>
    </row>
    <row r="9" spans="1:10" x14ac:dyDescent="0.2">
      <c r="A9" s="138"/>
      <c r="B9" s="138" t="s">
        <v>1104</v>
      </c>
      <c r="C9" s="138" t="s">
        <v>1105</v>
      </c>
      <c r="D9" s="139"/>
      <c r="E9" s="139"/>
      <c r="F9" s="5" t="s">
        <v>1088</v>
      </c>
      <c r="G9" s="5" t="s">
        <v>1106</v>
      </c>
      <c r="H9" s="5" t="s">
        <v>1107</v>
      </c>
      <c r="I9" s="5">
        <v>5</v>
      </c>
    </row>
    <row r="10" spans="1:10" x14ac:dyDescent="0.2">
      <c r="A10" s="138"/>
      <c r="B10" s="140" t="s">
        <v>1108</v>
      </c>
      <c r="C10" s="140" t="s">
        <v>1109</v>
      </c>
      <c r="D10" s="141"/>
      <c r="E10" s="141"/>
      <c r="F10" s="137" t="s">
        <v>1088</v>
      </c>
      <c r="G10" s="134" t="s">
        <v>1089</v>
      </c>
      <c r="H10" s="134"/>
      <c r="I10" s="134">
        <v>15</v>
      </c>
    </row>
    <row r="11" spans="1:10" x14ac:dyDescent="0.2">
      <c r="A11" s="138"/>
      <c r="B11" s="140" t="s">
        <v>1110</v>
      </c>
      <c r="C11" s="140" t="s">
        <v>1111</v>
      </c>
      <c r="D11" s="141"/>
      <c r="E11" s="141"/>
      <c r="F11" s="350"/>
      <c r="G11" s="134"/>
      <c r="H11" s="134"/>
      <c r="I11" s="134"/>
    </row>
    <row r="12" spans="1:10" x14ac:dyDescent="0.2">
      <c r="A12" s="138"/>
      <c r="B12" s="140" t="s">
        <v>1112</v>
      </c>
      <c r="C12" s="140" t="s">
        <v>1096</v>
      </c>
      <c r="D12" s="141"/>
      <c r="E12" s="141"/>
      <c r="F12" s="350" t="s">
        <v>1113</v>
      </c>
      <c r="G12" s="134"/>
      <c r="H12" s="134"/>
      <c r="I12" s="134"/>
    </row>
    <row r="13" spans="1:10" ht="13.5" thickBot="1" x14ac:dyDescent="0.25">
      <c r="A13" s="139" t="s">
        <v>1114</v>
      </c>
      <c r="B13" s="139" t="s">
        <v>1115</v>
      </c>
      <c r="C13" s="139" t="s">
        <v>1116</v>
      </c>
      <c r="D13" s="139" t="s">
        <v>1117</v>
      </c>
      <c r="E13" s="139" t="s">
        <v>1084</v>
      </c>
      <c r="F13" s="24" t="s">
        <v>1084</v>
      </c>
      <c r="G13">
        <v>0.25</v>
      </c>
      <c r="I13">
        <v>5</v>
      </c>
    </row>
    <row r="14" spans="1:10" ht="26.25" thickBot="1" x14ac:dyDescent="0.25">
      <c r="A14" s="142" t="s">
        <v>1118</v>
      </c>
      <c r="B14" s="143" t="s">
        <v>1119</v>
      </c>
      <c r="C14" s="143" t="s">
        <v>1105</v>
      </c>
      <c r="D14" s="143" t="s">
        <v>1117</v>
      </c>
      <c r="E14" s="144" t="s">
        <v>1084</v>
      </c>
      <c r="F14" s="145" t="s">
        <v>1120</v>
      </c>
      <c r="G14" s="146" t="s">
        <v>1121</v>
      </c>
      <c r="H14" s="143" t="s">
        <v>1122</v>
      </c>
      <c r="I14" s="144">
        <v>5</v>
      </c>
    </row>
    <row r="15" spans="1:10" ht="25.5" x14ac:dyDescent="0.2">
      <c r="G15" s="147" t="s">
        <v>1123</v>
      </c>
      <c r="H15" s="148" t="s">
        <v>1124</v>
      </c>
      <c r="I15" s="149">
        <v>5</v>
      </c>
    </row>
    <row r="16" spans="1:10" x14ac:dyDescent="0.2">
      <c r="G16" s="150" t="s">
        <v>1125</v>
      </c>
      <c r="H16" s="137" t="s">
        <v>1126</v>
      </c>
      <c r="I16" s="151">
        <v>5</v>
      </c>
    </row>
    <row r="17" spans="1:10" x14ac:dyDescent="0.2">
      <c r="G17" s="78" t="s">
        <v>1127</v>
      </c>
      <c r="H17" s="5" t="s">
        <v>1124</v>
      </c>
      <c r="I17" s="79">
        <v>7.5</v>
      </c>
    </row>
    <row r="18" spans="1:10" x14ac:dyDescent="0.2">
      <c r="G18" s="150" t="s">
        <v>1128</v>
      </c>
      <c r="H18" s="137" t="s">
        <v>1129</v>
      </c>
      <c r="I18" s="151">
        <v>7.5</v>
      </c>
    </row>
    <row r="19" spans="1:10" x14ac:dyDescent="0.2">
      <c r="G19" s="78" t="s">
        <v>1130</v>
      </c>
      <c r="H19" s="5" t="s">
        <v>1124</v>
      </c>
      <c r="I19" s="79">
        <v>10</v>
      </c>
    </row>
    <row r="20" spans="1:10" ht="13.5" thickBot="1" x14ac:dyDescent="0.25">
      <c r="G20" s="152" t="s">
        <v>1131</v>
      </c>
      <c r="H20" s="141" t="s">
        <v>1132</v>
      </c>
      <c r="I20" s="153">
        <v>10</v>
      </c>
    </row>
    <row r="21" spans="1:10" ht="13.5" thickBot="1" x14ac:dyDescent="0.25">
      <c r="A21" s="71" t="s">
        <v>1133</v>
      </c>
      <c r="B21" s="154" t="s">
        <v>1134</v>
      </c>
      <c r="C21" s="154" t="s">
        <v>1135</v>
      </c>
      <c r="D21" s="154"/>
      <c r="E21" s="154"/>
      <c r="F21" s="155" t="s">
        <v>1120</v>
      </c>
      <c r="G21" s="426" t="s">
        <v>1136</v>
      </c>
      <c r="H21" s="427" t="s">
        <v>1137</v>
      </c>
      <c r="I21" s="83">
        <v>15</v>
      </c>
    </row>
    <row r="22" spans="1:10" x14ac:dyDescent="0.2">
      <c r="B22" t="s">
        <v>1138</v>
      </c>
      <c r="C22" t="s">
        <v>1139</v>
      </c>
      <c r="F22" t="s">
        <v>1140</v>
      </c>
      <c r="G22" s="463" t="s">
        <v>1141</v>
      </c>
      <c r="H22" s="454" t="s">
        <v>1142</v>
      </c>
      <c r="I22" s="464">
        <v>7.5</v>
      </c>
    </row>
    <row r="23" spans="1:10" x14ac:dyDescent="0.2">
      <c r="G23" s="468" t="s">
        <v>1143</v>
      </c>
      <c r="H23" s="455" t="s">
        <v>1144</v>
      </c>
      <c r="I23" s="469">
        <v>2</v>
      </c>
    </row>
    <row r="24" spans="1:10" ht="13.5" thickBot="1" x14ac:dyDescent="0.25">
      <c r="G24" s="465" t="s">
        <v>1145</v>
      </c>
      <c r="H24" s="466" t="s">
        <v>1146</v>
      </c>
      <c r="I24" s="467">
        <v>5</v>
      </c>
    </row>
    <row r="25" spans="1:10" ht="13.5" thickBot="1" x14ac:dyDescent="0.25">
      <c r="A25" s="457" t="s">
        <v>1147</v>
      </c>
      <c r="B25" s="458" t="s">
        <v>1148</v>
      </c>
      <c r="C25" s="458" t="s">
        <v>1149</v>
      </c>
      <c r="D25" s="458"/>
      <c r="E25" s="460"/>
      <c r="F25" s="461" t="s">
        <v>1120</v>
      </c>
      <c r="G25" s="452" t="s">
        <v>1136</v>
      </c>
      <c r="H25" s="131" t="s">
        <v>1137</v>
      </c>
      <c r="I25" s="453">
        <v>15</v>
      </c>
      <c r="J25" s="428" t="s">
        <v>1150</v>
      </c>
    </row>
    <row r="26" spans="1:10" x14ac:dyDescent="0.2">
      <c r="G26" s="422" t="s">
        <v>1151</v>
      </c>
      <c r="H26" s="423" t="s">
        <v>1132</v>
      </c>
      <c r="I26" s="69">
        <v>10</v>
      </c>
      <c r="J26" s="79" t="s">
        <v>1152</v>
      </c>
    </row>
    <row r="27" spans="1:10" x14ac:dyDescent="0.2">
      <c r="G27" s="150" t="s">
        <v>1153</v>
      </c>
      <c r="H27" s="137" t="s">
        <v>1154</v>
      </c>
      <c r="I27" s="424">
        <v>22</v>
      </c>
      <c r="J27" s="151" t="s">
        <v>1155</v>
      </c>
    </row>
    <row r="28" spans="1:10" x14ac:dyDescent="0.2">
      <c r="G28" s="78" t="s">
        <v>1156</v>
      </c>
      <c r="H28" s="5" t="s">
        <v>1157</v>
      </c>
      <c r="I28" s="425">
        <v>20</v>
      </c>
      <c r="J28" s="79" t="s">
        <v>1158</v>
      </c>
    </row>
    <row r="29" spans="1:10" ht="13.5" thickBot="1" x14ac:dyDescent="0.25">
      <c r="G29" s="157" t="s">
        <v>1159</v>
      </c>
      <c r="H29" s="158" t="s">
        <v>1160</v>
      </c>
      <c r="I29" s="404">
        <v>5</v>
      </c>
      <c r="J29" s="159" t="s">
        <v>1161</v>
      </c>
    </row>
    <row r="30" spans="1:10" ht="13.5" thickBot="1" x14ac:dyDescent="0.25">
      <c r="A30" s="457" t="s">
        <v>1147</v>
      </c>
      <c r="B30" s="458" t="s">
        <v>1162</v>
      </c>
      <c r="C30" s="143" t="s">
        <v>1163</v>
      </c>
      <c r="D30" s="143" t="s">
        <v>1164</v>
      </c>
      <c r="E30" s="144"/>
      <c r="F30" s="160" t="s">
        <v>1084</v>
      </c>
      <c r="G30" s="142" t="s">
        <v>1165</v>
      </c>
      <c r="H30" s="143" t="s">
        <v>1166</v>
      </c>
      <c r="I30" s="459">
        <v>20</v>
      </c>
      <c r="J30" s="144" t="s">
        <v>1167</v>
      </c>
    </row>
    <row r="31" spans="1:10" x14ac:dyDescent="0.2">
      <c r="G31" s="76" t="s">
        <v>1159</v>
      </c>
      <c r="H31" s="31" t="s">
        <v>1168</v>
      </c>
      <c r="I31" s="77">
        <v>5</v>
      </c>
    </row>
    <row r="32" spans="1:10" ht="13.5" thickBot="1" x14ac:dyDescent="0.25">
      <c r="G32" s="174" t="s">
        <v>1069</v>
      </c>
      <c r="H32" s="139" t="s">
        <v>1169</v>
      </c>
      <c r="I32" s="175">
        <v>5</v>
      </c>
    </row>
    <row r="33" spans="1:10" s="351" customFormat="1" ht="13.5" thickBot="1" x14ac:dyDescent="0.25">
      <c r="A33" s="156" t="s">
        <v>1170</v>
      </c>
      <c r="B33" s="148"/>
      <c r="C33" s="148" t="s">
        <v>1139</v>
      </c>
      <c r="D33" s="148" t="s">
        <v>1117</v>
      </c>
      <c r="E33" s="462"/>
      <c r="F33" s="55"/>
      <c r="G33" s="68" t="s">
        <v>144</v>
      </c>
      <c r="H33" s="82" t="s">
        <v>1171</v>
      </c>
      <c r="I33" s="83">
        <v>10</v>
      </c>
    </row>
    <row r="34" spans="1:10" ht="13.5" thickBot="1" x14ac:dyDescent="0.25">
      <c r="A34" s="449" t="s">
        <v>1172</v>
      </c>
      <c r="B34" s="450" t="s">
        <v>985</v>
      </c>
      <c r="C34" s="450" t="s">
        <v>1173</v>
      </c>
      <c r="D34" s="450"/>
      <c r="E34" s="456"/>
      <c r="F34" s="354" t="s">
        <v>1174</v>
      </c>
      <c r="G34" s="73" t="s">
        <v>1175</v>
      </c>
      <c r="H34" s="74" t="s">
        <v>1176</v>
      </c>
      <c r="I34" s="75">
        <v>8</v>
      </c>
    </row>
    <row r="35" spans="1:10" ht="13.5" thickBot="1" x14ac:dyDescent="0.25">
      <c r="A35" s="162" t="s">
        <v>1177</v>
      </c>
      <c r="B35" s="163" t="s">
        <v>1178</v>
      </c>
      <c r="C35" s="163" t="s">
        <v>1179</v>
      </c>
      <c r="D35" s="163" t="s">
        <v>1180</v>
      </c>
      <c r="E35" s="163"/>
      <c r="F35" s="163" t="s">
        <v>1181</v>
      </c>
      <c r="G35" s="429" t="s">
        <v>1182</v>
      </c>
      <c r="H35" s="132" t="s">
        <v>1183</v>
      </c>
      <c r="I35" s="430">
        <v>5</v>
      </c>
      <c r="J35" s="61" t="s">
        <v>1184</v>
      </c>
    </row>
    <row r="36" spans="1:10" ht="13.5" thickBot="1" x14ac:dyDescent="0.25">
      <c r="G36" s="80" t="s">
        <v>1185</v>
      </c>
      <c r="H36" s="9" t="s">
        <v>1186</v>
      </c>
      <c r="I36" s="81">
        <v>5</v>
      </c>
    </row>
    <row r="37" spans="1:10" x14ac:dyDescent="0.2">
      <c r="G37" s="352" t="s">
        <v>1187</v>
      </c>
      <c r="H37" s="353" t="s">
        <v>1188</v>
      </c>
      <c r="I37" s="353">
        <v>5</v>
      </c>
    </row>
    <row r="38" spans="1:10" ht="13.5" thickBot="1" x14ac:dyDescent="0.25">
      <c r="G38" s="354" t="s">
        <v>1189</v>
      </c>
      <c r="H38" s="158" t="s">
        <v>1190</v>
      </c>
      <c r="I38" s="354">
        <v>15</v>
      </c>
    </row>
    <row r="39" spans="1:10" ht="13.5" thickBot="1" x14ac:dyDescent="0.25">
      <c r="G39" s="156" t="s">
        <v>1191</v>
      </c>
      <c r="H39" s="148" t="s">
        <v>1192</v>
      </c>
      <c r="I39" s="149">
        <v>15</v>
      </c>
    </row>
    <row r="40" spans="1:10" ht="13.5" thickBot="1" x14ac:dyDescent="0.25">
      <c r="A40" s="142" t="s">
        <v>1177</v>
      </c>
      <c r="B40" s="143">
        <v>715</v>
      </c>
      <c r="C40" s="160" t="s">
        <v>1105</v>
      </c>
      <c r="D40" s="160" t="s">
        <v>1193</v>
      </c>
      <c r="E40" s="143" t="s">
        <v>1084</v>
      </c>
      <c r="F40" s="161" t="s">
        <v>1194</v>
      </c>
      <c r="G40" s="150" t="s">
        <v>1195</v>
      </c>
      <c r="H40" s="137" t="s">
        <v>1196</v>
      </c>
      <c r="I40" s="151">
        <v>15</v>
      </c>
    </row>
    <row r="41" spans="1:10" ht="13.5" thickBot="1" x14ac:dyDescent="0.25">
      <c r="A41" s="162" t="s">
        <v>1197</v>
      </c>
      <c r="B41" s="163" t="s">
        <v>1198</v>
      </c>
      <c r="C41" s="164" t="s">
        <v>1199</v>
      </c>
      <c r="D41" s="164"/>
      <c r="E41" s="165"/>
      <c r="F41" s="164"/>
      <c r="G41" s="78" t="s">
        <v>1200</v>
      </c>
      <c r="H41" s="5" t="s">
        <v>1192</v>
      </c>
      <c r="I41" s="79">
        <v>15</v>
      </c>
      <c r="J41" s="166" t="s">
        <v>1201</v>
      </c>
    </row>
    <row r="42" spans="1:10" ht="13.5" thickBot="1" x14ac:dyDescent="0.25">
      <c r="A42" s="72"/>
      <c r="B42" s="24"/>
      <c r="E42" s="69"/>
      <c r="G42" s="157" t="s">
        <v>1202</v>
      </c>
      <c r="H42" s="158" t="s">
        <v>1203</v>
      </c>
      <c r="I42" s="159">
        <v>15</v>
      </c>
      <c r="J42" s="167" t="s">
        <v>1204</v>
      </c>
    </row>
    <row r="43" spans="1:10" ht="13.5" thickBot="1" x14ac:dyDescent="0.25">
      <c r="A43" s="72"/>
      <c r="B43" s="24">
        <f>10/0.8</f>
        <v>12.5</v>
      </c>
      <c r="E43" s="69"/>
      <c r="G43" s="72"/>
      <c r="H43" s="24"/>
      <c r="I43" s="69"/>
      <c r="J43" s="168" t="s">
        <v>1201</v>
      </c>
    </row>
    <row r="44" spans="1:10" ht="13.5" thickBot="1" x14ac:dyDescent="0.25">
      <c r="A44" s="72"/>
      <c r="B44" s="24"/>
      <c r="E44" s="69"/>
      <c r="G44" s="143" t="s">
        <v>1205</v>
      </c>
      <c r="H44" s="143" t="s">
        <v>1206</v>
      </c>
      <c r="I44" s="144">
        <v>5</v>
      </c>
      <c r="J44" s="167" t="s">
        <v>1204</v>
      </c>
    </row>
    <row r="45" spans="1:10" x14ac:dyDescent="0.2">
      <c r="A45" s="72"/>
      <c r="B45" s="24"/>
      <c r="E45" s="69"/>
      <c r="G45" s="156" t="s">
        <v>1207</v>
      </c>
      <c r="H45" s="148" t="s">
        <v>1208</v>
      </c>
      <c r="I45" s="148">
        <v>20</v>
      </c>
      <c r="J45" s="168" t="s">
        <v>1201</v>
      </c>
    </row>
    <row r="46" spans="1:10" x14ac:dyDescent="0.2">
      <c r="A46" s="72"/>
      <c r="B46" s="24"/>
      <c r="E46" s="69"/>
      <c r="G46" s="150" t="s">
        <v>1207</v>
      </c>
      <c r="H46" s="137" t="s">
        <v>1209</v>
      </c>
      <c r="I46" s="137">
        <v>20</v>
      </c>
      <c r="J46" s="167" t="s">
        <v>1204</v>
      </c>
    </row>
    <row r="47" spans="1:10" x14ac:dyDescent="0.2">
      <c r="A47" s="72"/>
      <c r="B47" s="24"/>
      <c r="E47" s="69"/>
      <c r="G47" s="78" t="s">
        <v>1210</v>
      </c>
      <c r="H47" s="5" t="s">
        <v>1211</v>
      </c>
      <c r="I47" s="5">
        <v>10</v>
      </c>
      <c r="J47" s="168" t="s">
        <v>1201</v>
      </c>
    </row>
    <row r="48" spans="1:10" ht="13.5" thickBot="1" x14ac:dyDescent="0.25">
      <c r="A48" s="72"/>
      <c r="B48" s="24"/>
      <c r="E48" s="69"/>
      <c r="G48" s="150" t="s">
        <v>1210</v>
      </c>
      <c r="H48" s="137" t="s">
        <v>1212</v>
      </c>
      <c r="I48" s="137">
        <v>10</v>
      </c>
      <c r="J48" s="169" t="s">
        <v>1204</v>
      </c>
    </row>
    <row r="49" spans="1:9" x14ac:dyDescent="0.2">
      <c r="A49" s="170" t="s">
        <v>1213</v>
      </c>
      <c r="B49" s="171">
        <v>26</v>
      </c>
      <c r="C49" s="171" t="s">
        <v>1163</v>
      </c>
      <c r="D49" s="171" t="s">
        <v>1214</v>
      </c>
      <c r="E49" s="171"/>
      <c r="F49" s="403" t="s">
        <v>1215</v>
      </c>
      <c r="G49" s="78" t="s">
        <v>1216</v>
      </c>
      <c r="H49" s="5" t="s">
        <v>1217</v>
      </c>
      <c r="I49" s="5">
        <v>5</v>
      </c>
    </row>
    <row r="50" spans="1:9" ht="13.5" thickBot="1" x14ac:dyDescent="0.25">
      <c r="A50" s="157" t="s">
        <v>1213</v>
      </c>
      <c r="B50" s="158">
        <v>25</v>
      </c>
      <c r="C50" s="158" t="s">
        <v>1218</v>
      </c>
      <c r="D50" s="158"/>
      <c r="E50" s="158"/>
      <c r="F50" s="404" t="s">
        <v>1219</v>
      </c>
      <c r="G50" s="150" t="s">
        <v>1216</v>
      </c>
      <c r="H50" s="137" t="s">
        <v>1220</v>
      </c>
      <c r="I50" s="137">
        <v>5</v>
      </c>
    </row>
    <row r="51" spans="1:9" x14ac:dyDescent="0.2">
      <c r="G51" s="78" t="s">
        <v>1216</v>
      </c>
      <c r="H51" s="5" t="s">
        <v>1221</v>
      </c>
      <c r="I51" s="5">
        <v>2.25</v>
      </c>
    </row>
    <row r="52" spans="1:9" ht="13.5" thickBot="1" x14ac:dyDescent="0.25">
      <c r="G52" s="157" t="s">
        <v>1216</v>
      </c>
      <c r="H52" s="158" t="s">
        <v>1222</v>
      </c>
      <c r="I52" s="158">
        <v>2.25</v>
      </c>
    </row>
    <row r="53" spans="1:9" x14ac:dyDescent="0.2">
      <c r="G53" s="170" t="s">
        <v>1223</v>
      </c>
      <c r="H53" s="171" t="s">
        <v>1224</v>
      </c>
      <c r="I53" s="172">
        <v>5</v>
      </c>
    </row>
    <row r="54" spans="1:9" ht="13.5" thickBot="1" x14ac:dyDescent="0.25">
      <c r="G54" s="150" t="s">
        <v>1225</v>
      </c>
      <c r="H54" s="137" t="s">
        <v>1226</v>
      </c>
      <c r="I54" s="151">
        <v>10</v>
      </c>
    </row>
    <row r="55" spans="1:9" ht="13.5" thickBot="1" x14ac:dyDescent="0.25">
      <c r="A55" s="173" t="s">
        <v>1227</v>
      </c>
      <c r="B55" s="155" t="s">
        <v>1228</v>
      </c>
      <c r="C55" s="155" t="s">
        <v>1229</v>
      </c>
      <c r="D55" s="155"/>
      <c r="E55" s="155"/>
      <c r="F55" s="155" t="s">
        <v>1084</v>
      </c>
      <c r="G55" s="78" t="s">
        <v>1230</v>
      </c>
      <c r="H55" s="5" t="s">
        <v>1176</v>
      </c>
      <c r="I55" s="79">
        <v>5</v>
      </c>
    </row>
    <row r="56" spans="1:9" x14ac:dyDescent="0.2">
      <c r="G56" s="150" t="s">
        <v>1231</v>
      </c>
      <c r="H56" s="137" t="s">
        <v>1232</v>
      </c>
      <c r="I56" s="151">
        <v>5</v>
      </c>
    </row>
    <row r="57" spans="1:9" x14ac:dyDescent="0.2">
      <c r="G57" s="174" t="s">
        <v>1233</v>
      </c>
      <c r="H57" s="139" t="s">
        <v>1234</v>
      </c>
      <c r="I57" s="175">
        <v>7.5</v>
      </c>
    </row>
    <row r="58" spans="1:9" x14ac:dyDescent="0.2">
      <c r="G58" s="152" t="s">
        <v>1235</v>
      </c>
      <c r="H58" s="141" t="s">
        <v>1096</v>
      </c>
      <c r="I58" s="153">
        <v>5</v>
      </c>
    </row>
    <row r="59" spans="1:9" x14ac:dyDescent="0.2">
      <c r="G59" s="906" t="s">
        <v>1236</v>
      </c>
      <c r="H59" s="906" t="s">
        <v>1237</v>
      </c>
      <c r="I59" s="906">
        <v>7.5</v>
      </c>
    </row>
    <row r="60" spans="1:9" x14ac:dyDescent="0.2">
      <c r="G60" s="900" t="s">
        <v>1238</v>
      </c>
      <c r="H60" s="901" t="s">
        <v>1239</v>
      </c>
    </row>
    <row r="61" spans="1:9" x14ac:dyDescent="0.2">
      <c r="G61" s="897" t="s">
        <v>1240</v>
      </c>
      <c r="H61" s="898" t="s">
        <v>1186</v>
      </c>
    </row>
    <row r="62" spans="1:9" x14ac:dyDescent="0.2">
      <c r="G62" s="902" t="s">
        <v>1241</v>
      </c>
      <c r="H62" s="903" t="s">
        <v>1242</v>
      </c>
    </row>
    <row r="63" spans="1:9" x14ac:dyDescent="0.2">
      <c r="G63" s="897" t="s">
        <v>1243</v>
      </c>
      <c r="H63" s="898" t="s">
        <v>1244</v>
      </c>
    </row>
    <row r="64" spans="1:9" x14ac:dyDescent="0.2">
      <c r="G64" s="904" t="s">
        <v>1245</v>
      </c>
      <c r="H64" s="905" t="s">
        <v>1246</v>
      </c>
    </row>
    <row r="65" spans="1:10" x14ac:dyDescent="0.2">
      <c r="G65" s="897" t="s">
        <v>1247</v>
      </c>
      <c r="H65" s="898" t="s">
        <v>1248</v>
      </c>
    </row>
    <row r="66" spans="1:10" x14ac:dyDescent="0.2">
      <c r="G66" s="904" t="s">
        <v>1249</v>
      </c>
      <c r="H66" s="905" t="s">
        <v>1250</v>
      </c>
    </row>
    <row r="67" spans="1:10" x14ac:dyDescent="0.2">
      <c r="G67" s="897" t="s">
        <v>1251</v>
      </c>
      <c r="H67" s="898" t="s">
        <v>1252</v>
      </c>
    </row>
    <row r="68" spans="1:10" x14ac:dyDescent="0.2">
      <c r="G68" s="902" t="s">
        <v>1253</v>
      </c>
      <c r="H68" s="905" t="s">
        <v>1254</v>
      </c>
    </row>
    <row r="69" spans="1:10" x14ac:dyDescent="0.2">
      <c r="G69" s="899" t="s">
        <v>1255</v>
      </c>
      <c r="H69" s="898" t="s">
        <v>1256</v>
      </c>
    </row>
    <row r="70" spans="1:10" ht="13.5" thickBot="1" x14ac:dyDescent="0.25">
      <c r="G70" s="904" t="s">
        <v>1257</v>
      </c>
      <c r="H70" s="905" t="s">
        <v>1258</v>
      </c>
    </row>
    <row r="71" spans="1:10" ht="13.5" thickBot="1" x14ac:dyDescent="0.25">
      <c r="A71" s="907" t="s">
        <v>1259</v>
      </c>
      <c r="B71" s="908">
        <v>3812</v>
      </c>
      <c r="C71" s="908" t="s">
        <v>1260</v>
      </c>
      <c r="D71" s="908"/>
      <c r="E71" s="908"/>
      <c r="F71" s="909" t="s">
        <v>1261</v>
      </c>
      <c r="G71" s="897" t="s">
        <v>1262</v>
      </c>
      <c r="H71" s="898" t="s">
        <v>1263</v>
      </c>
      <c r="J71" s="134" t="s">
        <v>1264</v>
      </c>
    </row>
    <row r="72" spans="1:10" ht="13.5" thickBot="1" x14ac:dyDescent="0.25">
      <c r="A72" s="177" t="s">
        <v>1259</v>
      </c>
      <c r="B72" s="160">
        <v>2600</v>
      </c>
      <c r="C72" s="160" t="s">
        <v>1265</v>
      </c>
      <c r="D72" s="160"/>
      <c r="E72" s="160"/>
      <c r="F72" s="176" t="s">
        <v>1266</v>
      </c>
      <c r="G72" s="150" t="s">
        <v>1267</v>
      </c>
      <c r="H72" s="151"/>
      <c r="I72" t="s">
        <v>1268</v>
      </c>
      <c r="J72" s="134" t="s">
        <v>1269</v>
      </c>
    </row>
    <row r="73" spans="1:10" ht="13.5" thickBot="1" x14ac:dyDescent="0.25">
      <c r="A73" s="910" t="s">
        <v>1259</v>
      </c>
      <c r="B73" s="911">
        <v>2800</v>
      </c>
      <c r="C73" s="911" t="s">
        <v>1270</v>
      </c>
      <c r="D73" s="911"/>
      <c r="E73" s="911"/>
      <c r="F73" s="909" t="s">
        <v>1271</v>
      </c>
      <c r="G73" s="78" t="s">
        <v>1272</v>
      </c>
      <c r="H73" s="79" t="s">
        <v>1273</v>
      </c>
      <c r="J73" s="134"/>
    </row>
    <row r="74" spans="1:10" ht="13.5" thickBot="1" x14ac:dyDescent="0.25">
      <c r="A74" s="447" t="s">
        <v>1259</v>
      </c>
      <c r="B74" s="179">
        <v>1500</v>
      </c>
      <c r="C74" s="179" t="s">
        <v>1274</v>
      </c>
      <c r="D74" s="179"/>
      <c r="E74" s="179"/>
      <c r="F74" s="448" t="s">
        <v>1275</v>
      </c>
      <c r="G74" s="174">
        <v>8</v>
      </c>
      <c r="H74" s="175" t="s">
        <v>1276</v>
      </c>
      <c r="I74">
        <v>5</v>
      </c>
      <c r="J74" s="134"/>
    </row>
    <row r="75" spans="1:10" x14ac:dyDescent="0.2">
      <c r="A75" s="156" t="s">
        <v>1277</v>
      </c>
      <c r="B75" s="148" t="s">
        <v>1278</v>
      </c>
      <c r="C75" s="148" t="s">
        <v>1279</v>
      </c>
      <c r="D75" s="148"/>
      <c r="E75" s="148"/>
      <c r="F75" s="148" t="s">
        <v>1280</v>
      </c>
      <c r="G75" s="353" t="s">
        <v>1281</v>
      </c>
      <c r="H75" s="451" t="s">
        <v>1282</v>
      </c>
    </row>
    <row r="76" spans="1:10" x14ac:dyDescent="0.2">
      <c r="A76" s="78"/>
      <c r="B76" s="5"/>
      <c r="C76" s="5"/>
      <c r="D76" s="5"/>
      <c r="E76" s="5"/>
      <c r="F76" s="5"/>
      <c r="G76" s="5" t="s">
        <v>1283</v>
      </c>
      <c r="H76" s="79" t="s">
        <v>1284</v>
      </c>
    </row>
    <row r="77" spans="1:10" ht="13.5" thickBot="1" x14ac:dyDescent="0.25">
      <c r="A77" s="80"/>
      <c r="B77" s="9" t="s">
        <v>1285</v>
      </c>
      <c r="C77" s="9" t="s">
        <v>1286</v>
      </c>
      <c r="D77" s="9"/>
      <c r="E77" s="9"/>
      <c r="F77" s="9" t="s">
        <v>1287</v>
      </c>
      <c r="G77" s="9"/>
      <c r="H77" s="81"/>
    </row>
    <row r="78" spans="1:10" ht="13.5" thickBot="1" x14ac:dyDescent="0.25">
      <c r="A78" s="449" t="s">
        <v>1288</v>
      </c>
      <c r="B78" s="450" t="s">
        <v>1289</v>
      </c>
      <c r="C78" s="450" t="s">
        <v>1290</v>
      </c>
      <c r="D78" s="450"/>
      <c r="E78" s="450"/>
      <c r="F78" s="450" t="s">
        <v>1291</v>
      </c>
      <c r="G78" s="450" t="s">
        <v>1292</v>
      </c>
      <c r="H78" s="450"/>
      <c r="I78" s="144">
        <v>5</v>
      </c>
    </row>
    <row r="79" spans="1:10" ht="13.5" thickBot="1" x14ac:dyDescent="0.25">
      <c r="G79" s="178"/>
      <c r="H79" s="179"/>
      <c r="I79" s="134"/>
    </row>
    <row r="80" spans="1:10" x14ac:dyDescent="0.2">
      <c r="A80" s="86" t="s">
        <v>1293</v>
      </c>
      <c r="B80" s="86" t="s">
        <v>1294</v>
      </c>
      <c r="C80" s="86" t="s">
        <v>1295</v>
      </c>
      <c r="G80" s="68" t="s">
        <v>1205</v>
      </c>
      <c r="H80" s="166"/>
      <c r="I80">
        <v>5</v>
      </c>
    </row>
    <row r="81" spans="1:9" ht="13.5" thickBot="1" x14ac:dyDescent="0.25">
      <c r="A81">
        <v>0.128</v>
      </c>
      <c r="B81">
        <f t="shared" ref="B81:B87" si="0">A81-(A81*0.005+0.002)</f>
        <v>0.12536</v>
      </c>
      <c r="C81">
        <f t="shared" ref="C81:C87" si="1">(A81*0.005+0.002)+A81</f>
        <v>0.13064000000000001</v>
      </c>
      <c r="G81" s="419" t="s">
        <v>1106</v>
      </c>
      <c r="H81" s="167">
        <v>5</v>
      </c>
    </row>
    <row r="82" spans="1:9" ht="13.5" thickBot="1" x14ac:dyDescent="0.25">
      <c r="A82">
        <v>0.307</v>
      </c>
      <c r="B82">
        <f t="shared" si="0"/>
        <v>0.30346499999999998</v>
      </c>
      <c r="C82">
        <f t="shared" si="1"/>
        <v>0.31053500000000001</v>
      </c>
      <c r="G82" s="143">
        <v>8</v>
      </c>
      <c r="H82" s="143"/>
      <c r="I82" s="144">
        <v>5</v>
      </c>
    </row>
    <row r="83" spans="1:9" x14ac:dyDescent="0.2">
      <c r="A83">
        <v>0.36799999999999999</v>
      </c>
      <c r="B83">
        <f t="shared" si="0"/>
        <v>0.36415999999999998</v>
      </c>
      <c r="C83">
        <f t="shared" si="1"/>
        <v>0.37184</v>
      </c>
    </row>
    <row r="84" spans="1:9" x14ac:dyDescent="0.2">
      <c r="A84">
        <v>0.50060000000000004</v>
      </c>
      <c r="B84">
        <f t="shared" si="0"/>
        <v>0.49609700000000007</v>
      </c>
      <c r="C84">
        <f t="shared" si="1"/>
        <v>0.50510300000000008</v>
      </c>
    </row>
    <row r="85" spans="1:9" x14ac:dyDescent="0.2">
      <c r="A85">
        <v>0.63</v>
      </c>
      <c r="B85">
        <f t="shared" si="0"/>
        <v>0.62485000000000002</v>
      </c>
      <c r="C85">
        <f t="shared" si="1"/>
        <v>0.63514999999999999</v>
      </c>
    </row>
    <row r="86" spans="1:9" x14ac:dyDescent="0.2">
      <c r="B86">
        <f t="shared" si="0"/>
        <v>-2E-3</v>
      </c>
      <c r="C86">
        <f t="shared" si="1"/>
        <v>2E-3</v>
      </c>
    </row>
    <row r="87" spans="1:9" x14ac:dyDescent="0.2">
      <c r="B87">
        <f t="shared" si="0"/>
        <v>-2E-3</v>
      </c>
      <c r="C87">
        <f t="shared" si="1"/>
        <v>2E-3</v>
      </c>
    </row>
    <row r="89" spans="1:9" x14ac:dyDescent="0.2">
      <c r="A89" s="86" t="s">
        <v>1296</v>
      </c>
      <c r="B89" s="86" t="s">
        <v>290</v>
      </c>
      <c r="C89" s="86" t="s">
        <v>291</v>
      </c>
    </row>
    <row r="90" spans="1:9" x14ac:dyDescent="0.2">
      <c r="A90">
        <v>0.05</v>
      </c>
      <c r="B90">
        <f>A90-(0.002*A90+0.0002)</f>
        <v>4.9700000000000001E-2</v>
      </c>
      <c r="C90">
        <f>A90+(0.002*A90+0.0002)</f>
        <v>5.0300000000000004E-2</v>
      </c>
    </row>
    <row r="91" spans="1:9" x14ac:dyDescent="0.2">
      <c r="A91">
        <v>0.1</v>
      </c>
      <c r="B91">
        <f t="shared" ref="B91:B98" si="2">A91-(0.002*A91+0.0002)</f>
        <v>9.9600000000000008E-2</v>
      </c>
      <c r="C91">
        <f>A91+(0.002*A91+0.0002)</f>
        <v>0.1004</v>
      </c>
    </row>
    <row r="92" spans="1:9" x14ac:dyDescent="0.2">
      <c r="A92">
        <v>0.2</v>
      </c>
      <c r="B92">
        <f t="shared" si="2"/>
        <v>0.19940000000000002</v>
      </c>
      <c r="C92">
        <f t="shared" ref="C92:C98" si="3">A92+(0.002*A92+0.0002)</f>
        <v>0.2006</v>
      </c>
    </row>
    <row r="93" spans="1:9" x14ac:dyDescent="0.2">
      <c r="A93">
        <v>0.5</v>
      </c>
      <c r="B93">
        <f t="shared" si="2"/>
        <v>0.49880000000000002</v>
      </c>
      <c r="C93">
        <f t="shared" si="3"/>
        <v>0.50119999999999998</v>
      </c>
    </row>
    <row r="94" spans="1:9" x14ac:dyDescent="0.2">
      <c r="A94">
        <v>0.6</v>
      </c>
      <c r="B94">
        <f t="shared" si="2"/>
        <v>0.59860000000000002</v>
      </c>
      <c r="C94">
        <f t="shared" si="3"/>
        <v>0.60139999999999993</v>
      </c>
    </row>
    <row r="95" spans="1:9" x14ac:dyDescent="0.2">
      <c r="A95">
        <v>10</v>
      </c>
      <c r="B95">
        <f t="shared" si="2"/>
        <v>9.9797999999999991</v>
      </c>
      <c r="C95">
        <f t="shared" si="3"/>
        <v>10.020200000000001</v>
      </c>
    </row>
    <row r="96" spans="1:9" x14ac:dyDescent="0.2">
      <c r="B96">
        <f t="shared" si="2"/>
        <v>-2.0000000000000001E-4</v>
      </c>
      <c r="C96">
        <f t="shared" si="3"/>
        <v>2.0000000000000001E-4</v>
      </c>
    </row>
    <row r="97" spans="1:3" x14ac:dyDescent="0.2">
      <c r="B97">
        <f t="shared" si="2"/>
        <v>-2.0000000000000001E-4</v>
      </c>
      <c r="C97">
        <f t="shared" si="3"/>
        <v>2.0000000000000001E-4</v>
      </c>
    </row>
    <row r="98" spans="1:3" x14ac:dyDescent="0.2">
      <c r="B98">
        <f t="shared" si="2"/>
        <v>-2.0000000000000001E-4</v>
      </c>
      <c r="C98">
        <f t="shared" si="3"/>
        <v>2.0000000000000001E-4</v>
      </c>
    </row>
    <row r="100" spans="1:3" x14ac:dyDescent="0.2">
      <c r="A100" s="5" t="s">
        <v>1297</v>
      </c>
      <c r="B100" s="470" t="s">
        <v>1298</v>
      </c>
    </row>
    <row r="101" spans="1:3" x14ac:dyDescent="0.2">
      <c r="A101" s="35" t="s">
        <v>1296</v>
      </c>
      <c r="B101" s="35" t="s">
        <v>290</v>
      </c>
      <c r="C101" s="35" t="s">
        <v>291</v>
      </c>
    </row>
    <row r="102" spans="1:3" x14ac:dyDescent="0.2">
      <c r="A102" s="5">
        <v>0.05</v>
      </c>
      <c r="B102" s="5">
        <v>4.8000000000000001E-2</v>
      </c>
      <c r="C102" s="5">
        <v>5.1999999999999998E-2</v>
      </c>
    </row>
    <row r="103" spans="1:3" x14ac:dyDescent="0.2">
      <c r="A103" s="66">
        <v>0.1</v>
      </c>
      <c r="B103" s="66">
        <v>9.8000000000000004E-2</v>
      </c>
      <c r="C103" s="66">
        <v>0.10199999999999999</v>
      </c>
    </row>
    <row r="104" spans="1:3" x14ac:dyDescent="0.2">
      <c r="A104" s="5">
        <v>0.125</v>
      </c>
      <c r="B104" s="5">
        <v>0.123</v>
      </c>
      <c r="C104" s="5">
        <v>0.127</v>
      </c>
    </row>
    <row r="105" spans="1:3" x14ac:dyDescent="0.2">
      <c r="A105" s="66">
        <v>0.15</v>
      </c>
      <c r="B105" s="66">
        <v>0.14799999999999999</v>
      </c>
      <c r="C105" s="66">
        <v>0.152</v>
      </c>
    </row>
    <row r="106" spans="1:3" x14ac:dyDescent="0.2">
      <c r="A106" s="5">
        <v>0.2</v>
      </c>
      <c r="B106" s="5">
        <v>0.19800000000000001</v>
      </c>
      <c r="C106" s="5">
        <v>0.20200000000000001</v>
      </c>
    </row>
    <row r="107" spans="1:3" x14ac:dyDescent="0.2">
      <c r="A107" s="66">
        <v>0.5</v>
      </c>
      <c r="B107" s="471">
        <f>0.5-(0.04+(0.5*25.4)/1000)/25.4</f>
        <v>0.49792519685039371</v>
      </c>
      <c r="C107" s="471">
        <f>0.5+(0.04+(0.5*25.4)/1000)/25.4</f>
        <v>0.50207480314960629</v>
      </c>
    </row>
    <row r="108" spans="1:3" x14ac:dyDescent="0.2">
      <c r="A108" s="5">
        <v>0.75</v>
      </c>
      <c r="B108" s="472">
        <f>0.75-(0.04+(0.75*25.4)/1000)/25.4</f>
        <v>0.74767519685039374</v>
      </c>
      <c r="C108" s="472">
        <f>0.75+(0.04+(0.75*25.4)/1000)/25.4</f>
        <v>0.75232480314960626</v>
      </c>
    </row>
    <row r="109" spans="1:3" x14ac:dyDescent="0.2">
      <c r="A109" s="66">
        <v>1</v>
      </c>
      <c r="B109" s="471">
        <f>1-(0.04+(1*25.4)/1000)/25.4</f>
        <v>0.99742519685039366</v>
      </c>
      <c r="C109" s="471">
        <f>1+(0.04+(1*25.4)/1000)/25.4</f>
        <v>1.0025748031496062</v>
      </c>
    </row>
    <row r="110" spans="1:3" x14ac:dyDescent="0.2">
      <c r="A110" s="66">
        <v>2</v>
      </c>
      <c r="B110" s="471">
        <f>2-(0.04+(2*25.4)/1000)/25.4</f>
        <v>1.9964251968503937</v>
      </c>
      <c r="C110" s="471">
        <f>2+(0.04+(2*25.4)/1000)/25.4</f>
        <v>2.0035748031496063</v>
      </c>
    </row>
    <row r="111" spans="1:3" x14ac:dyDescent="0.2">
      <c r="A111" s="66">
        <v>3</v>
      </c>
      <c r="B111" s="471">
        <f>3-(0.04+(3*25.4)/1000)/25.4</f>
        <v>2.9954251968503938</v>
      </c>
      <c r="C111" s="471">
        <f>3+(0.04+(3*25.4)/1000)/25.4</f>
        <v>3.0045748031496062</v>
      </c>
    </row>
    <row r="112" spans="1:3" x14ac:dyDescent="0.2">
      <c r="A112" s="5">
        <v>4</v>
      </c>
      <c r="B112" s="472">
        <f>4-(0.04+(4*25.4)/1000)/25.4</f>
        <v>3.9944251968503939</v>
      </c>
      <c r="C112" s="472">
        <f>4+(0.04+(4*25.4)/1000)/25.4</f>
        <v>4.0055748031496066</v>
      </c>
    </row>
    <row r="113" spans="1:3" x14ac:dyDescent="0.2">
      <c r="A113" s="66">
        <v>8</v>
      </c>
      <c r="B113" s="471">
        <f>8-((8*25.4)/333)/25.4</f>
        <v>7.9759759759759756</v>
      </c>
      <c r="C113" s="471">
        <f>4+((8*25.4)/333)/25.4</f>
        <v>4.0240240240240244</v>
      </c>
    </row>
    <row r="114" spans="1:3" x14ac:dyDescent="0.2">
      <c r="A114" s="5">
        <v>10.000999999999999</v>
      </c>
      <c r="B114" s="472">
        <f>10.001-((10.001*25.4)/333)/25.4</f>
        <v>9.9709669669669658</v>
      </c>
      <c r="C114" s="472">
        <f>10.001+((10.001*25.4)/333)/25.4</f>
        <v>10.031033033033033</v>
      </c>
    </row>
  </sheetData>
  <sheetProtection password="CC48" sheet="1" selectLockedCells="1"/>
  <mergeCells count="1">
    <mergeCell ref="A2:I2"/>
  </mergeCells>
  <phoneticPr fontId="13" type="noConversion"/>
  <hyperlinks>
    <hyperlink ref="J35" r:id="rId1" xr:uid="{00000000-0004-0000-2D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21" r:id="rId5" name="Button 9">
              <controlPr defaultSize="0" print="0" autoFill="0" autoPict="0" macro="[0]!ReturnToMain">
                <anchor moveWithCells="1" sizeWithCells="1">
                  <from>
                    <xdr:col>0</xdr:col>
                    <xdr:colOff>19050</xdr:colOff>
                    <xdr:row>0</xdr:row>
                    <xdr:rowOff>19050</xdr:rowOff>
                  </from>
                  <to>
                    <xdr:col>0</xdr:col>
                    <xdr:colOff>800100</xdr:colOff>
                    <xdr:row>0</xdr:row>
                    <xdr:rowOff>152400</xdr:rowOff>
                  </to>
                </anchor>
              </controlPr>
            </control>
          </mc:Choice>
        </mc:AlternateContent>
        <mc:AlternateContent xmlns:mc="http://schemas.openxmlformats.org/markup-compatibility/2006">
          <mc:Choice Requires="x14">
            <control shapeId="13323" r:id="rId6" name="Button 11">
              <controlPr defaultSize="0" print="0" autoFill="0" autoPict="0" macro="[0]!UltrasonicNIST">
                <anchor moveWithCells="1" sizeWithCells="1">
                  <from>
                    <xdr:col>5</xdr:col>
                    <xdr:colOff>66675</xdr:colOff>
                    <xdr:row>0</xdr:row>
                    <xdr:rowOff>19050</xdr:rowOff>
                  </from>
                  <to>
                    <xdr:col>5</xdr:col>
                    <xdr:colOff>847725</xdr:colOff>
                    <xdr:row>0</xdr:row>
                    <xdr:rowOff>152400</xdr:rowOff>
                  </to>
                </anchor>
              </controlPr>
            </control>
          </mc:Choice>
        </mc:AlternateContent>
        <mc:AlternateContent xmlns:mc="http://schemas.openxmlformats.org/markup-compatibility/2006">
          <mc:Choice Requires="x14">
            <control shapeId="13324" r:id="rId7" name="Button 12">
              <controlPr defaultSize="0" print="0" autoFill="0" autoPict="0" macro="[0]!UltrasonicCalc">
                <anchor moveWithCells="1" sizeWithCells="1">
                  <from>
                    <xdr:col>1</xdr:col>
                    <xdr:colOff>9525</xdr:colOff>
                    <xdr:row>0</xdr:row>
                    <xdr:rowOff>19050</xdr:rowOff>
                  </from>
                  <to>
                    <xdr:col>1</xdr:col>
                    <xdr:colOff>771525</xdr:colOff>
                    <xdr:row>0</xdr:row>
                    <xdr:rowOff>152400</xdr:rowOff>
                  </to>
                </anchor>
              </controlPr>
            </control>
          </mc:Choice>
        </mc:AlternateContent>
        <mc:AlternateContent xmlns:mc="http://schemas.openxmlformats.org/markup-compatibility/2006">
          <mc:Choice Requires="x14">
            <control shapeId="13325" r:id="rId8" name="Button 13">
              <controlPr defaultSize="0" print="0" autoFill="0" autoPict="0" macro="[0]!DakotaUltrasonicProbeInfo">
                <anchor moveWithCells="1" sizeWithCells="1">
                  <from>
                    <xdr:col>2</xdr:col>
                    <xdr:colOff>19050</xdr:colOff>
                    <xdr:row>0</xdr:row>
                    <xdr:rowOff>19050</xdr:rowOff>
                  </from>
                  <to>
                    <xdr:col>5</xdr:col>
                    <xdr:colOff>9525</xdr:colOff>
                    <xdr:row>0</xdr:row>
                    <xdr:rowOff>161925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3">
    <tabColor indexed="46"/>
  </sheetPr>
  <dimension ref="A1:B20"/>
  <sheetViews>
    <sheetView workbookViewId="0"/>
  </sheetViews>
  <sheetFormatPr defaultRowHeight="12.75" x14ac:dyDescent="0.2"/>
  <cols>
    <col min="1" max="1" width="19" customWidth="1"/>
    <col min="2" max="2" width="14" customWidth="1"/>
  </cols>
  <sheetData>
    <row r="1" spans="1:2" ht="25.5" customHeight="1" x14ac:dyDescent="0.2"/>
    <row r="2" spans="1:2" ht="13.5" thickBot="1" x14ac:dyDescent="0.25">
      <c r="A2" t="s">
        <v>1299</v>
      </c>
    </row>
    <row r="3" spans="1:2" ht="33" thickTop="1" thickBot="1" x14ac:dyDescent="0.25">
      <c r="A3" s="180" t="s">
        <v>1300</v>
      </c>
      <c r="B3" s="181" t="s">
        <v>1301</v>
      </c>
    </row>
    <row r="4" spans="1:2" ht="16.5" thickBot="1" x14ac:dyDescent="0.25">
      <c r="A4" s="182">
        <v>0.05</v>
      </c>
      <c r="B4" s="183">
        <v>3.0000000000000001E-3</v>
      </c>
    </row>
    <row r="5" spans="1:2" ht="16.5" thickBot="1" x14ac:dyDescent="0.25">
      <c r="A5" s="182">
        <v>0.06</v>
      </c>
      <c r="B5" s="183">
        <v>3.0000000000000001E-3</v>
      </c>
    </row>
    <row r="6" spans="1:2" ht="16.5" thickBot="1" x14ac:dyDescent="0.25">
      <c r="A6" s="182">
        <v>7.4999999999999997E-2</v>
      </c>
      <c r="B6" s="183">
        <v>2E-3</v>
      </c>
    </row>
    <row r="7" spans="1:2" ht="16.5" thickBot="1" x14ac:dyDescent="0.25">
      <c r="A7" s="182">
        <v>0.1</v>
      </c>
      <c r="B7" s="183">
        <v>2E-3</v>
      </c>
    </row>
    <row r="8" spans="1:2" ht="16.5" thickBot="1" x14ac:dyDescent="0.25">
      <c r="A8" s="182">
        <v>0.2</v>
      </c>
      <c r="B8" s="183">
        <v>1E-3</v>
      </c>
    </row>
    <row r="9" spans="1:2" ht="16.5" thickBot="1" x14ac:dyDescent="0.25">
      <c r="A9" s="182">
        <v>0.3</v>
      </c>
      <c r="B9" s="183">
        <v>1E-3</v>
      </c>
    </row>
    <row r="10" spans="1:2" ht="16.5" thickBot="1" x14ac:dyDescent="0.25">
      <c r="A10" s="182">
        <v>0.4</v>
      </c>
      <c r="B10" s="183">
        <v>1E-3</v>
      </c>
    </row>
    <row r="11" spans="1:2" ht="16.5" thickBot="1" x14ac:dyDescent="0.25">
      <c r="A11" s="182">
        <v>0.5</v>
      </c>
      <c r="B11" s="183">
        <v>1E-3</v>
      </c>
    </row>
    <row r="12" spans="1:2" ht="16.5" thickBot="1" x14ac:dyDescent="0.25">
      <c r="A12" s="182">
        <v>0.75</v>
      </c>
      <c r="B12" s="183">
        <v>2E-3</v>
      </c>
    </row>
    <row r="13" spans="1:2" ht="16.5" thickBot="1" x14ac:dyDescent="0.25">
      <c r="A13" s="182">
        <v>1</v>
      </c>
      <c r="B13" s="183">
        <v>3.0000000000000001E-3</v>
      </c>
    </row>
    <row r="14" spans="1:2" ht="16.5" thickBot="1" x14ac:dyDescent="0.25">
      <c r="A14" s="182">
        <v>2</v>
      </c>
      <c r="B14" s="183">
        <v>5.0000000000000001E-3</v>
      </c>
    </row>
    <row r="15" spans="1:2" ht="16.5" thickBot="1" x14ac:dyDescent="0.25">
      <c r="A15" s="182">
        <v>4</v>
      </c>
      <c r="B15" s="183">
        <v>0.01</v>
      </c>
    </row>
    <row r="16" spans="1:2" ht="16.5" thickBot="1" x14ac:dyDescent="0.25">
      <c r="A16" s="182">
        <v>6</v>
      </c>
      <c r="B16" s="183">
        <v>0.01</v>
      </c>
    </row>
    <row r="17" spans="1:2" ht="16.5" thickBot="1" x14ac:dyDescent="0.25">
      <c r="A17" s="184" t="s">
        <v>1302</v>
      </c>
      <c r="B17" s="185">
        <v>5.0000000000000001E-3</v>
      </c>
    </row>
    <row r="18" spans="1:2" ht="13.5" thickTop="1" x14ac:dyDescent="0.2">
      <c r="A18" t="s">
        <v>1303</v>
      </c>
    </row>
    <row r="20" spans="1:2" x14ac:dyDescent="0.2">
      <c r="A20" t="s">
        <v>1304</v>
      </c>
    </row>
  </sheetData>
  <sheetProtection sheet="1" objects="1" scenarios="1" selectLockedCells="1"/>
  <phoneticPr fontId="13"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4" r:id="rId3" name="Button 4">
              <controlPr defaultSize="0" print="0" autoFill="0" autoPict="0" macro="[0]!ReturnToMain">
                <anchor moveWithCells="1" sizeWithCells="1">
                  <from>
                    <xdr:col>0</xdr:col>
                    <xdr:colOff>19050</xdr:colOff>
                    <xdr:row>0</xdr:row>
                    <xdr:rowOff>19050</xdr:rowOff>
                  </from>
                  <to>
                    <xdr:col>1</xdr:col>
                    <xdr:colOff>152400</xdr:colOff>
                    <xdr:row>0</xdr:row>
                    <xdr:rowOff>152400</xdr:rowOff>
                  </to>
                </anchor>
              </controlPr>
            </control>
          </mc:Choice>
        </mc:AlternateContent>
        <mc:AlternateContent xmlns:mc="http://schemas.openxmlformats.org/markup-compatibility/2006">
          <mc:Choice Requires="x14">
            <control shapeId="30725" r:id="rId4" name="Button 5">
              <controlPr defaultSize="0" print="0" autoFill="0" autoPict="0" macro="[0]!UltrasonicCalc">
                <anchor moveWithCells="1" sizeWithCells="1">
                  <from>
                    <xdr:col>1</xdr:col>
                    <xdr:colOff>190500</xdr:colOff>
                    <xdr:row>0</xdr:row>
                    <xdr:rowOff>19050</xdr:rowOff>
                  </from>
                  <to>
                    <xdr:col>3</xdr:col>
                    <xdr:colOff>171450</xdr:colOff>
                    <xdr:row>0</xdr:row>
                    <xdr:rowOff>152400</xdr:rowOff>
                  </to>
                </anchor>
              </controlPr>
            </control>
          </mc:Choice>
        </mc:AlternateContent>
        <mc:AlternateContent xmlns:mc="http://schemas.openxmlformats.org/markup-compatibility/2006">
          <mc:Choice Requires="x14">
            <control shapeId="30726" r:id="rId5" name="Button 6">
              <controlPr defaultSize="0" print="0" autoFill="0" autoPict="0" macro="[0]!UltrasonicNIST">
                <anchor moveWithCells="1" sizeWithCells="1">
                  <from>
                    <xdr:col>3</xdr:col>
                    <xdr:colOff>209550</xdr:colOff>
                    <xdr:row>0</xdr:row>
                    <xdr:rowOff>19050</xdr:rowOff>
                  </from>
                  <to>
                    <xdr:col>6</xdr:col>
                    <xdr:colOff>47625</xdr:colOff>
                    <xdr:row>0</xdr:row>
                    <xdr:rowOff>152400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4">
    <tabColor indexed="46"/>
  </sheetPr>
  <dimension ref="A1:E34"/>
  <sheetViews>
    <sheetView workbookViewId="0"/>
  </sheetViews>
  <sheetFormatPr defaultRowHeight="12.75" x14ac:dyDescent="0.2"/>
  <cols>
    <col min="1" max="1" width="19.7109375" bestFit="1" customWidth="1"/>
    <col min="2" max="2" width="27.85546875" bestFit="1" customWidth="1"/>
    <col min="4" max="4" width="19.7109375" bestFit="1" customWidth="1"/>
    <col min="5" max="5" width="27.85546875" bestFit="1" customWidth="1"/>
  </cols>
  <sheetData>
    <row r="1" spans="1:5" ht="25.5" customHeight="1" thickBot="1" x14ac:dyDescent="0.25"/>
    <row r="2" spans="1:5" x14ac:dyDescent="0.2">
      <c r="A2" s="1343" t="s">
        <v>1305</v>
      </c>
      <c r="B2" s="1344"/>
      <c r="D2" s="1343" t="s">
        <v>1306</v>
      </c>
      <c r="E2" s="1344"/>
    </row>
    <row r="3" spans="1:5" x14ac:dyDescent="0.2">
      <c r="A3" s="1345" t="s">
        <v>1307</v>
      </c>
      <c r="B3" s="1346"/>
      <c r="D3" s="1345" t="s">
        <v>1308</v>
      </c>
      <c r="E3" s="1346"/>
    </row>
    <row r="4" spans="1:5" x14ac:dyDescent="0.2">
      <c r="A4" s="244" t="s">
        <v>1309</v>
      </c>
      <c r="B4" s="187" t="s">
        <v>1310</v>
      </c>
      <c r="D4" s="244" t="s">
        <v>1309</v>
      </c>
      <c r="E4" s="187" t="s">
        <v>1311</v>
      </c>
    </row>
    <row r="5" spans="1:5" x14ac:dyDescent="0.2">
      <c r="A5" s="244" t="s">
        <v>1312</v>
      </c>
      <c r="B5" s="188">
        <v>42166</v>
      </c>
      <c r="D5" s="244" t="s">
        <v>1312</v>
      </c>
      <c r="E5" s="188">
        <v>41844</v>
      </c>
    </row>
    <row r="6" spans="1:5" x14ac:dyDescent="0.2">
      <c r="A6" s="244" t="s">
        <v>1313</v>
      </c>
      <c r="B6" s="188">
        <v>42897</v>
      </c>
      <c r="D6" s="244" t="s">
        <v>1313</v>
      </c>
      <c r="E6" s="188">
        <v>42209</v>
      </c>
    </row>
    <row r="7" spans="1:5" x14ac:dyDescent="0.2">
      <c r="A7" s="244" t="s">
        <v>606</v>
      </c>
      <c r="B7" s="187" t="s">
        <v>1307</v>
      </c>
      <c r="D7" s="244" t="s">
        <v>606</v>
      </c>
      <c r="E7" s="187" t="s">
        <v>1314</v>
      </c>
    </row>
    <row r="8" spans="1:5" x14ac:dyDescent="0.2">
      <c r="A8" s="244" t="s">
        <v>1034</v>
      </c>
      <c r="B8" s="187" t="s">
        <v>1315</v>
      </c>
      <c r="D8" s="244" t="s">
        <v>1034</v>
      </c>
      <c r="E8" s="187" t="s">
        <v>1316</v>
      </c>
    </row>
    <row r="9" spans="1:5" x14ac:dyDescent="0.2">
      <c r="A9" s="244" t="s">
        <v>1036</v>
      </c>
      <c r="B9" s="1109" t="s">
        <v>1317</v>
      </c>
      <c r="D9" s="244" t="s">
        <v>1036</v>
      </c>
      <c r="E9" s="187" t="s">
        <v>1318</v>
      </c>
    </row>
    <row r="10" spans="1:5" ht="13.5" thickBot="1" x14ac:dyDescent="0.25">
      <c r="A10" s="189"/>
      <c r="B10" s="190"/>
    </row>
    <row r="11" spans="1:5" x14ac:dyDescent="0.2">
      <c r="A11" s="1345" t="s">
        <v>1319</v>
      </c>
      <c r="B11" s="1346"/>
      <c r="D11" s="1343" t="s">
        <v>1306</v>
      </c>
      <c r="E11" s="1344"/>
    </row>
    <row r="12" spans="1:5" x14ac:dyDescent="0.2">
      <c r="A12" s="244" t="s">
        <v>1309</v>
      </c>
      <c r="B12" s="187" t="s">
        <v>1310</v>
      </c>
      <c r="D12" s="1345" t="s">
        <v>1320</v>
      </c>
      <c r="E12" s="1346"/>
    </row>
    <row r="13" spans="1:5" x14ac:dyDescent="0.2">
      <c r="A13" s="244" t="s">
        <v>1312</v>
      </c>
      <c r="B13" s="188">
        <v>42166</v>
      </c>
      <c r="D13" s="244" t="s">
        <v>1309</v>
      </c>
      <c r="E13" s="187" t="s">
        <v>1311</v>
      </c>
    </row>
    <row r="14" spans="1:5" x14ac:dyDescent="0.2">
      <c r="A14" s="244" t="s">
        <v>1313</v>
      </c>
      <c r="B14" s="188">
        <v>42897</v>
      </c>
      <c r="D14" s="244" t="s">
        <v>1312</v>
      </c>
      <c r="E14" s="188">
        <v>41623</v>
      </c>
    </row>
    <row r="15" spans="1:5" x14ac:dyDescent="0.2">
      <c r="A15" s="244" t="s">
        <v>606</v>
      </c>
      <c r="B15" s="187" t="s">
        <v>1319</v>
      </c>
      <c r="D15" s="244" t="s">
        <v>1313</v>
      </c>
      <c r="E15" s="188">
        <v>41988</v>
      </c>
    </row>
    <row r="16" spans="1:5" x14ac:dyDescent="0.2">
      <c r="A16" s="244" t="s">
        <v>1034</v>
      </c>
      <c r="B16" s="187" t="s">
        <v>1321</v>
      </c>
      <c r="D16" s="244" t="s">
        <v>606</v>
      </c>
      <c r="E16" s="187" t="s">
        <v>1322</v>
      </c>
    </row>
    <row r="17" spans="1:5" ht="13.5" thickBot="1" x14ac:dyDescent="0.25">
      <c r="A17" s="245" t="s">
        <v>1036</v>
      </c>
      <c r="B17" s="1110" t="s">
        <v>1323</v>
      </c>
      <c r="D17" s="244" t="s">
        <v>1034</v>
      </c>
      <c r="E17" s="187" t="s">
        <v>1324</v>
      </c>
    </row>
    <row r="18" spans="1:5" ht="13.5" thickBot="1" x14ac:dyDescent="0.25">
      <c r="D18" s="244" t="s">
        <v>1036</v>
      </c>
      <c r="E18" s="187" t="s">
        <v>1325</v>
      </c>
    </row>
    <row r="19" spans="1:5" x14ac:dyDescent="0.2">
      <c r="A19" s="1343" t="s">
        <v>1326</v>
      </c>
      <c r="B19" s="1344"/>
    </row>
    <row r="20" spans="1:5" x14ac:dyDescent="0.2">
      <c r="A20" s="1345" t="s">
        <v>1327</v>
      </c>
      <c r="B20" s="1346"/>
    </row>
    <row r="21" spans="1:5" x14ac:dyDescent="0.2">
      <c r="A21" s="244" t="s">
        <v>1309</v>
      </c>
      <c r="B21" s="187" t="s">
        <v>1328</v>
      </c>
    </row>
    <row r="22" spans="1:5" x14ac:dyDescent="0.2">
      <c r="A22" s="244" t="s">
        <v>1312</v>
      </c>
      <c r="B22" s="188">
        <v>42083</v>
      </c>
    </row>
    <row r="23" spans="1:5" x14ac:dyDescent="0.2">
      <c r="A23" s="244" t="s">
        <v>1313</v>
      </c>
      <c r="B23" s="188">
        <v>42449</v>
      </c>
    </row>
    <row r="24" spans="1:5" x14ac:dyDescent="0.2">
      <c r="A24" s="244" t="s">
        <v>606</v>
      </c>
      <c r="B24" s="187" t="s">
        <v>1329</v>
      </c>
    </row>
    <row r="25" spans="1:5" x14ac:dyDescent="0.2">
      <c r="A25" s="244" t="s">
        <v>1034</v>
      </c>
      <c r="B25" s="187" t="s">
        <v>1327</v>
      </c>
    </row>
    <row r="26" spans="1:5" x14ac:dyDescent="0.2">
      <c r="A26" s="244" t="s">
        <v>1036</v>
      </c>
      <c r="B26" s="187" t="s">
        <v>1330</v>
      </c>
    </row>
    <row r="27" spans="1:5" x14ac:dyDescent="0.2">
      <c r="A27" s="189"/>
      <c r="B27" s="190"/>
    </row>
    <row r="28" spans="1:5" x14ac:dyDescent="0.2">
      <c r="A28" s="1345" t="s">
        <v>1331</v>
      </c>
      <c r="B28" s="1346"/>
    </row>
    <row r="29" spans="1:5" x14ac:dyDescent="0.2">
      <c r="A29" s="244" t="s">
        <v>1309</v>
      </c>
      <c r="B29" s="187" t="s">
        <v>1328</v>
      </c>
    </row>
    <row r="30" spans="1:5" x14ac:dyDescent="0.2">
      <c r="A30" s="244" t="s">
        <v>1312</v>
      </c>
      <c r="B30" s="188">
        <v>42098</v>
      </c>
    </row>
    <row r="31" spans="1:5" x14ac:dyDescent="0.2">
      <c r="A31" s="244" t="s">
        <v>1313</v>
      </c>
      <c r="B31" s="188">
        <v>42464</v>
      </c>
    </row>
    <row r="32" spans="1:5" x14ac:dyDescent="0.2">
      <c r="A32" s="244" t="s">
        <v>606</v>
      </c>
      <c r="B32" s="187" t="s">
        <v>1329</v>
      </c>
    </row>
    <row r="33" spans="1:2" x14ac:dyDescent="0.2">
      <c r="A33" s="244" t="s">
        <v>1034</v>
      </c>
      <c r="B33" s="187" t="s">
        <v>1331</v>
      </c>
    </row>
    <row r="34" spans="1:2" ht="13.5" thickBot="1" x14ac:dyDescent="0.25">
      <c r="A34" s="245" t="s">
        <v>1036</v>
      </c>
      <c r="B34" s="191" t="s">
        <v>1332</v>
      </c>
    </row>
  </sheetData>
  <sheetProtection sheet="1" objects="1" scenarios="1" selectLockedCells="1"/>
  <mergeCells count="10">
    <mergeCell ref="A19:B19"/>
    <mergeCell ref="A20:B20"/>
    <mergeCell ref="A28:B28"/>
    <mergeCell ref="A2:B2"/>
    <mergeCell ref="D11:E11"/>
    <mergeCell ref="A3:B3"/>
    <mergeCell ref="D12:E12"/>
    <mergeCell ref="D2:E2"/>
    <mergeCell ref="D3:E3"/>
    <mergeCell ref="A11:B11"/>
  </mergeCells>
  <phoneticPr fontId="13"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3796" r:id="rId3" name="Button 4">
              <controlPr defaultSize="0" print="0" autoFill="0" autoPict="0" macro="[0]!ReturnToMain">
                <anchor moveWithCells="1" sizeWithCells="1">
                  <from>
                    <xdr:col>0</xdr:col>
                    <xdr:colOff>19050</xdr:colOff>
                    <xdr:row>0</xdr:row>
                    <xdr:rowOff>9525</xdr:rowOff>
                  </from>
                  <to>
                    <xdr:col>1</xdr:col>
                    <xdr:colOff>114300</xdr:colOff>
                    <xdr:row>0</xdr:row>
                    <xdr:rowOff>133350</xdr:rowOff>
                  </to>
                </anchor>
              </controlPr>
            </control>
          </mc:Choice>
        </mc:AlternateContent>
        <mc:AlternateContent xmlns:mc="http://schemas.openxmlformats.org/markup-compatibility/2006">
          <mc:Choice Requires="x14">
            <control shapeId="33797" r:id="rId4" name="Button 5">
              <controlPr defaultSize="0" print="0" autoFill="0" autoPict="0" macro="[0]!UltrasonicManufacturers">
                <anchor moveWithCells="1" sizeWithCells="1">
                  <from>
                    <xdr:col>1</xdr:col>
                    <xdr:colOff>152400</xdr:colOff>
                    <xdr:row>0</xdr:row>
                    <xdr:rowOff>9525</xdr:rowOff>
                  </from>
                  <to>
                    <xdr:col>1</xdr:col>
                    <xdr:colOff>933450</xdr:colOff>
                    <xdr:row>0</xdr:row>
                    <xdr:rowOff>142875</xdr:rowOff>
                  </to>
                </anchor>
              </controlPr>
            </control>
          </mc:Choice>
        </mc:AlternateContent>
        <mc:AlternateContent xmlns:mc="http://schemas.openxmlformats.org/markup-compatibility/2006">
          <mc:Choice Requires="x14">
            <control shapeId="33798" r:id="rId5" name="Button 6">
              <controlPr defaultSize="0" print="0" autoFill="0" autoPict="0" macro="[0]!UltrasonicCalc">
                <anchor moveWithCells="1" sizeWithCells="1">
                  <from>
                    <xdr:col>1</xdr:col>
                    <xdr:colOff>942975</xdr:colOff>
                    <xdr:row>0</xdr:row>
                    <xdr:rowOff>9525</xdr:rowOff>
                  </from>
                  <to>
                    <xdr:col>3</xdr:col>
                    <xdr:colOff>457200</xdr:colOff>
                    <xdr:row>0</xdr:row>
                    <xdr:rowOff>133350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9">
    <tabColor indexed="10"/>
  </sheetPr>
  <dimension ref="A1:AU231"/>
  <sheetViews>
    <sheetView workbookViewId="0"/>
  </sheetViews>
  <sheetFormatPr defaultRowHeight="12.75" x14ac:dyDescent="0.2"/>
  <cols>
    <col min="1" max="1" width="21.28515625" customWidth="1"/>
    <col min="2" max="2" width="3.28515625" customWidth="1"/>
    <col min="3" max="3" width="36.85546875" customWidth="1"/>
    <col min="4" max="8" width="9.7109375" customWidth="1"/>
    <col min="9" max="9" width="9.28515625" bestFit="1" customWidth="1"/>
    <col min="10" max="11" width="9.7109375" customWidth="1"/>
    <col min="12" max="12" width="22.85546875" customWidth="1"/>
    <col min="13" max="16" width="9.7109375" customWidth="1"/>
    <col min="17" max="17" width="9.140625" style="259" customWidth="1"/>
  </cols>
  <sheetData>
    <row r="1" spans="1:47" ht="25.5" customHeight="1" x14ac:dyDescent="0.2">
      <c r="A1" s="10"/>
      <c r="B1" s="10"/>
      <c r="C1" s="4"/>
      <c r="D1" s="4"/>
      <c r="E1" s="4"/>
      <c r="F1" s="4"/>
      <c r="G1" s="4"/>
      <c r="H1" s="4"/>
      <c r="I1" s="4"/>
      <c r="J1" s="4"/>
      <c r="K1" s="4"/>
      <c r="L1" s="4"/>
      <c r="M1" s="4"/>
      <c r="Q1" s="470"/>
      <c r="R1" s="656"/>
      <c r="S1" s="656"/>
      <c r="T1" s="656"/>
      <c r="U1" s="656"/>
      <c r="V1" s="656"/>
      <c r="W1" s="656"/>
      <c r="X1" s="656"/>
      <c r="Y1" s="656"/>
      <c r="Z1" s="656"/>
      <c r="AA1" s="656"/>
      <c r="AB1" s="656"/>
      <c r="AC1" s="656"/>
      <c r="AD1" s="656"/>
      <c r="AE1" s="656"/>
      <c r="AF1" s="656"/>
      <c r="AG1" s="656"/>
      <c r="AH1" s="656"/>
      <c r="AI1" s="656"/>
      <c r="AJ1" s="656"/>
      <c r="AK1" s="656"/>
      <c r="AL1" s="656"/>
      <c r="AM1" s="656"/>
      <c r="AN1" s="656"/>
      <c r="AO1" s="656"/>
      <c r="AP1" s="656"/>
      <c r="AQ1" s="656"/>
      <c r="AR1" s="656"/>
      <c r="AS1" s="656"/>
      <c r="AT1" s="656"/>
      <c r="AU1" s="656"/>
    </row>
    <row r="2" spans="1:47" ht="12.75" customHeight="1" x14ac:dyDescent="0.2">
      <c r="A2" s="84" t="s">
        <v>1333</v>
      </c>
      <c r="H2" s="4"/>
      <c r="I2" s="4"/>
      <c r="J2" s="4"/>
      <c r="K2" s="4"/>
      <c r="L2" s="4"/>
      <c r="M2" s="4"/>
      <c r="Q2" s="470"/>
      <c r="R2" s="656"/>
      <c r="S2" s="656"/>
      <c r="T2" s="656"/>
      <c r="U2" s="656"/>
      <c r="V2" s="656"/>
      <c r="W2" s="656"/>
      <c r="X2" s="656"/>
      <c r="Y2" s="656"/>
      <c r="Z2" s="656"/>
      <c r="AA2" s="656"/>
      <c r="AB2" s="656"/>
      <c r="AC2" s="656"/>
      <c r="AD2" s="656"/>
      <c r="AE2" s="656"/>
      <c r="AF2" s="656"/>
      <c r="AG2" s="656"/>
      <c r="AH2" s="656"/>
      <c r="AI2" s="656"/>
      <c r="AJ2" s="656"/>
      <c r="AK2" s="656"/>
      <c r="AL2" s="656"/>
      <c r="AM2" s="656"/>
      <c r="AN2" s="656"/>
      <c r="AO2" s="656"/>
      <c r="AP2" s="656"/>
      <c r="AQ2" s="656"/>
      <c r="AR2" s="656"/>
      <c r="AS2" s="656"/>
      <c r="AT2" s="656"/>
      <c r="AU2" s="656"/>
    </row>
    <row r="3" spans="1:47" ht="18" customHeight="1" x14ac:dyDescent="0.2">
      <c r="A3" s="770" t="s">
        <v>1334</v>
      </c>
      <c r="E3" s="4"/>
      <c r="F3" s="4"/>
      <c r="G3" s="4"/>
      <c r="H3" s="4"/>
      <c r="I3" s="4"/>
      <c r="J3" s="4"/>
      <c r="K3" s="4"/>
      <c r="L3" s="4"/>
      <c r="M3" s="4"/>
      <c r="Q3" s="470"/>
      <c r="R3" s="656"/>
      <c r="S3" s="656"/>
      <c r="T3" s="656"/>
      <c r="U3" s="656"/>
      <c r="V3" s="656"/>
      <c r="W3" s="656"/>
      <c r="X3" s="656"/>
      <c r="Y3" s="656"/>
      <c r="Z3" s="656"/>
      <c r="AA3" s="656"/>
      <c r="AB3" s="656"/>
      <c r="AC3" s="656"/>
      <c r="AD3" s="656"/>
      <c r="AE3" s="656"/>
      <c r="AF3" s="656"/>
      <c r="AG3" s="656"/>
      <c r="AH3" s="656"/>
      <c r="AI3" s="656"/>
      <c r="AJ3" s="656"/>
      <c r="AK3" s="656"/>
      <c r="AL3" s="656"/>
      <c r="AM3" s="656"/>
      <c r="AN3" s="656"/>
      <c r="AO3" s="656"/>
      <c r="AP3" s="656"/>
      <c r="AQ3" s="656"/>
      <c r="AR3" s="656"/>
      <c r="AS3" s="656"/>
      <c r="AT3" s="656"/>
      <c r="AU3" s="656"/>
    </row>
    <row r="4" spans="1:47" ht="12.75" customHeight="1" x14ac:dyDescent="0.2">
      <c r="A4" s="771">
        <v>1</v>
      </c>
      <c r="B4" s="10"/>
      <c r="C4" s="4"/>
      <c r="D4" s="4"/>
      <c r="E4" s="4"/>
      <c r="F4" s="4"/>
      <c r="G4" s="4"/>
      <c r="H4" s="4"/>
      <c r="I4" s="4"/>
      <c r="J4" s="4"/>
      <c r="K4" s="4"/>
      <c r="L4" s="4"/>
      <c r="M4" s="4"/>
      <c r="Q4" s="470"/>
      <c r="R4" s="656"/>
      <c r="S4" s="656"/>
      <c r="T4" s="656"/>
      <c r="U4" s="656"/>
      <c r="V4" s="656"/>
      <c r="W4" s="656"/>
      <c r="X4" s="656"/>
      <c r="Y4" s="656"/>
      <c r="Z4" s="656"/>
      <c r="AA4" s="656"/>
      <c r="AB4" s="656"/>
      <c r="AC4" s="656"/>
      <c r="AD4" s="656"/>
      <c r="AE4" s="656"/>
      <c r="AF4" s="656"/>
      <c r="AG4" s="656"/>
      <c r="AH4" s="656"/>
      <c r="AI4" s="656"/>
      <c r="AJ4" s="656"/>
      <c r="AK4" s="656"/>
      <c r="AL4" s="656"/>
      <c r="AM4" s="656"/>
      <c r="AN4" s="656"/>
      <c r="AO4" s="656"/>
      <c r="AP4" s="656"/>
      <c r="AQ4" s="656"/>
      <c r="AR4" s="656"/>
      <c r="AS4" s="656"/>
      <c r="AT4" s="656"/>
      <c r="AU4" s="656"/>
    </row>
    <row r="5" spans="1:47" ht="12.75" customHeight="1" x14ac:dyDescent="0.2">
      <c r="A5" s="771" t="s">
        <v>1335</v>
      </c>
      <c r="B5" s="10"/>
      <c r="C5" s="706" t="s">
        <v>1336</v>
      </c>
      <c r="D5" s="651"/>
      <c r="E5" s="651"/>
      <c r="F5" s="651"/>
      <c r="G5" s="651"/>
      <c r="H5" s="651"/>
      <c r="I5" s="651"/>
      <c r="J5" s="651"/>
      <c r="K5" s="651"/>
      <c r="L5" s="651"/>
      <c r="M5" s="651"/>
      <c r="Q5" s="470" t="s">
        <v>1337</v>
      </c>
      <c r="R5" s="656"/>
      <c r="S5" s="656"/>
      <c r="T5" s="656"/>
      <c r="U5" s="656"/>
      <c r="V5" s="656"/>
      <c r="W5" s="656"/>
      <c r="X5" s="656"/>
      <c r="Y5" s="656"/>
      <c r="Z5" s="656"/>
      <c r="AA5" s="656"/>
      <c r="AB5" s="656"/>
      <c r="AC5" s="656"/>
      <c r="AD5" s="656"/>
      <c r="AE5" s="656"/>
      <c r="AF5" s="656"/>
      <c r="AG5" s="656"/>
      <c r="AH5" s="656"/>
      <c r="AI5" s="656"/>
      <c r="AJ5" s="656"/>
      <c r="AK5" s="656"/>
      <c r="AL5" s="656"/>
      <c r="AM5" s="656"/>
      <c r="AN5" s="656"/>
      <c r="AO5" s="656"/>
      <c r="AP5" s="656"/>
      <c r="AQ5" s="656"/>
      <c r="AR5" s="656"/>
      <c r="AS5" s="656"/>
      <c r="AT5" s="656"/>
      <c r="AU5" s="656"/>
    </row>
    <row r="6" spans="1:47" ht="12.75" customHeight="1" x14ac:dyDescent="0.2">
      <c r="A6" s="771" t="s">
        <v>1338</v>
      </c>
      <c r="B6" s="10"/>
      <c r="C6" t="s">
        <v>1339</v>
      </c>
      <c r="D6" t="str">
        <f>IF($A$4=1,R6,IF($A$4=2,R8,IF($A$4=3, R9, IF($A$4=4,R10,IF($A$4=5,R11,IF($A$4=6,R12,"Error"))))))</f>
        <v>For Type II: 3 - one within 7% IACS of range to be measured, the other 2 ±3%-25 IACS of the first</v>
      </c>
      <c r="I6" s="896"/>
      <c r="J6" s="896"/>
      <c r="K6" s="896"/>
      <c r="L6" s="4"/>
      <c r="M6" s="4"/>
      <c r="Q6" s="84" t="s">
        <v>1335</v>
      </c>
      <c r="R6" s="656" t="s">
        <v>1340</v>
      </c>
      <c r="S6" s="656"/>
      <c r="T6" s="656"/>
      <c r="U6" s="656"/>
      <c r="V6" s="656"/>
      <c r="W6" s="656"/>
      <c r="X6" s="656"/>
      <c r="Y6" s="656"/>
      <c r="Z6" s="656"/>
      <c r="AA6" s="656"/>
      <c r="AB6" s="656"/>
      <c r="AC6" s="656"/>
      <c r="AD6" s="656"/>
      <c r="AE6" s="656"/>
      <c r="AF6" s="656"/>
      <c r="AG6" s="656"/>
      <c r="AH6" s="656"/>
      <c r="AI6" s="656"/>
      <c r="AJ6" s="656"/>
      <c r="AK6" s="656"/>
      <c r="AL6" s="656"/>
      <c r="AM6" s="656"/>
      <c r="AN6" s="656"/>
      <c r="AO6" s="656"/>
      <c r="AP6" s="656"/>
      <c r="AQ6" s="656"/>
      <c r="AR6" s="656"/>
      <c r="AS6" s="656"/>
      <c r="AT6" s="656"/>
      <c r="AU6" s="656"/>
    </row>
    <row r="7" spans="1:47" ht="12.75" customHeight="1" x14ac:dyDescent="0.2">
      <c r="A7" s="771" t="s">
        <v>1341</v>
      </c>
      <c r="B7" s="10"/>
      <c r="C7" s="4"/>
      <c r="D7" s="895"/>
      <c r="E7" s="895"/>
      <c r="F7" s="895"/>
      <c r="G7" s="895"/>
      <c r="H7" s="895"/>
      <c r="I7" s="895"/>
      <c r="J7" s="895"/>
      <c r="K7" s="895"/>
      <c r="L7" s="895"/>
      <c r="M7" s="4"/>
      <c r="Q7" s="470"/>
      <c r="R7" s="716"/>
      <c r="S7" s="656"/>
      <c r="T7" s="656"/>
      <c r="U7" s="656"/>
      <c r="V7" s="656"/>
      <c r="W7" s="656"/>
      <c r="X7" s="656"/>
      <c r="Y7" s="656"/>
      <c r="Z7" s="656"/>
      <c r="AA7" s="656"/>
      <c r="AB7" s="656"/>
      <c r="AC7" s="656"/>
      <c r="AD7" s="656"/>
      <c r="AE7" s="656"/>
      <c r="AF7" s="656"/>
      <c r="AG7" s="656"/>
      <c r="AH7" s="656"/>
      <c r="AI7" s="656"/>
      <c r="AJ7" s="656"/>
      <c r="AK7" s="656"/>
      <c r="AL7" s="656"/>
      <c r="AM7" s="656"/>
      <c r="AN7" s="656"/>
      <c r="AO7" s="656"/>
      <c r="AP7" s="656"/>
      <c r="AQ7" s="656"/>
      <c r="AR7" s="656"/>
      <c r="AS7" s="656"/>
      <c r="AT7" s="656"/>
      <c r="AU7" s="656"/>
    </row>
    <row r="8" spans="1:47" ht="12.75" customHeight="1" x14ac:dyDescent="0.2">
      <c r="A8" s="771" t="s">
        <v>1342</v>
      </c>
      <c r="B8" s="10"/>
      <c r="C8" s="4"/>
      <c r="D8" s="4"/>
      <c r="E8" s="4"/>
      <c r="F8" s="4"/>
      <c r="G8" s="4"/>
      <c r="H8" s="4"/>
      <c r="I8" s="4"/>
      <c r="J8" s="4"/>
      <c r="K8" s="4"/>
      <c r="L8" s="4"/>
      <c r="M8" s="4"/>
      <c r="Q8" s="84" t="s">
        <v>1338</v>
      </c>
      <c r="R8" s="656" t="s">
        <v>1343</v>
      </c>
      <c r="S8" s="656"/>
      <c r="T8" s="656"/>
      <c r="U8" s="656"/>
      <c r="V8" s="656"/>
      <c r="W8" s="656"/>
      <c r="X8" s="656"/>
      <c r="Y8" s="656"/>
      <c r="Z8" s="656"/>
      <c r="AA8" s="656"/>
      <c r="AB8" s="656"/>
      <c r="AC8" s="656"/>
      <c r="AD8" s="656"/>
      <c r="AE8" s="656"/>
      <c r="AF8" s="656"/>
      <c r="AG8" s="656"/>
      <c r="AH8" s="656"/>
      <c r="AI8" s="656"/>
      <c r="AJ8" s="656"/>
      <c r="AK8" s="656"/>
      <c r="AL8" s="656"/>
      <c r="AM8" s="656"/>
      <c r="AN8" s="656"/>
      <c r="AO8" s="656"/>
      <c r="AP8" s="656"/>
      <c r="AQ8" s="656"/>
      <c r="AR8" s="656"/>
      <c r="AS8" s="656"/>
      <c r="AT8" s="656"/>
      <c r="AU8" s="656"/>
    </row>
    <row r="9" spans="1:47" ht="12.75" customHeight="1" x14ac:dyDescent="0.2">
      <c r="A9" s="771" t="s">
        <v>1344</v>
      </c>
      <c r="B9" s="10"/>
      <c r="C9" s="706" t="s">
        <v>1345</v>
      </c>
      <c r="D9" s="651"/>
      <c r="E9" s="651"/>
      <c r="F9" s="651"/>
      <c r="G9" s="651"/>
      <c r="H9" s="651"/>
      <c r="I9" s="651"/>
      <c r="J9" s="651"/>
      <c r="K9" s="651"/>
      <c r="L9" s="651"/>
      <c r="M9" s="651"/>
      <c r="Q9" s="84" t="s">
        <v>1341</v>
      </c>
      <c r="R9" s="656" t="s">
        <v>1343</v>
      </c>
      <c r="S9" s="656"/>
      <c r="T9" s="656"/>
      <c r="U9" s="656"/>
      <c r="V9" s="656"/>
      <c r="W9" s="656"/>
      <c r="X9" s="656"/>
      <c r="Y9" s="656"/>
      <c r="Z9" s="656"/>
      <c r="AA9" s="656"/>
      <c r="AB9" s="656"/>
      <c r="AC9" s="656"/>
      <c r="AD9" s="656"/>
      <c r="AE9" s="656"/>
      <c r="AF9" s="656"/>
      <c r="AG9" s="656"/>
      <c r="AH9" s="656"/>
      <c r="AI9" s="656"/>
      <c r="AJ9" s="656"/>
      <c r="AK9" s="656"/>
      <c r="AL9" s="656"/>
      <c r="AM9" s="656"/>
      <c r="AN9" s="656"/>
      <c r="AO9" s="656"/>
      <c r="AP9" s="656"/>
      <c r="AQ9" s="656"/>
      <c r="AR9" s="656"/>
      <c r="AS9" s="656"/>
      <c r="AT9" s="656"/>
      <c r="AU9" s="656"/>
    </row>
    <row r="10" spans="1:47" ht="12.75" customHeight="1" x14ac:dyDescent="0.2">
      <c r="A10" s="771" t="s">
        <v>1346</v>
      </c>
      <c r="B10" s="10"/>
      <c r="C10" t="s">
        <v>1347</v>
      </c>
      <c r="D10" t="str">
        <f>IF($A$4=1,R17,IF($A$4=2,R18,IF($A$4=3, R19, IF($A$4=4,R20,IF($A$4=5,R21,IF($A$4=6,R22,"Error"))))))</f>
        <v>63µ", Ra</v>
      </c>
      <c r="F10" s="4"/>
      <c r="G10" s="4"/>
      <c r="H10" s="4"/>
      <c r="I10" s="4"/>
      <c r="J10" s="4"/>
      <c r="K10" s="4"/>
      <c r="L10" s="4"/>
      <c r="M10" s="4"/>
      <c r="Q10" s="84" t="s">
        <v>1348</v>
      </c>
      <c r="R10" s="656" t="s">
        <v>1349</v>
      </c>
      <c r="S10" s="656"/>
      <c r="T10" s="656"/>
      <c r="U10" s="656"/>
      <c r="V10" s="656"/>
      <c r="W10" s="656"/>
      <c r="X10" s="656"/>
      <c r="Y10" s="656"/>
      <c r="Z10" s="656"/>
      <c r="AA10" s="656"/>
      <c r="AB10" s="656"/>
      <c r="AC10" s="656"/>
      <c r="AD10" s="656"/>
      <c r="AE10" s="656"/>
      <c r="AF10" s="656"/>
      <c r="AG10" s="656"/>
      <c r="AH10" s="656"/>
      <c r="AI10" s="656"/>
      <c r="AJ10" s="656"/>
      <c r="AK10" s="656"/>
      <c r="AL10" s="656"/>
      <c r="AM10" s="656"/>
      <c r="AN10" s="656"/>
      <c r="AO10" s="656"/>
      <c r="AP10" s="656"/>
      <c r="AQ10" s="656"/>
      <c r="AR10" s="656"/>
      <c r="AS10" s="656"/>
      <c r="AT10" s="656"/>
      <c r="AU10" s="656"/>
    </row>
    <row r="11" spans="1:47" ht="12.75" customHeight="1" x14ac:dyDescent="0.2">
      <c r="A11" s="10"/>
      <c r="B11" s="10"/>
      <c r="C11" s="4"/>
      <c r="D11" s="4"/>
      <c r="E11" s="4"/>
      <c r="F11" s="4"/>
      <c r="G11" s="4"/>
      <c r="H11" s="4"/>
      <c r="I11" s="4"/>
      <c r="J11" s="4"/>
      <c r="K11" s="4"/>
      <c r="L11" s="4"/>
      <c r="M11" s="4"/>
      <c r="Q11" s="84" t="s">
        <v>1344</v>
      </c>
      <c r="R11" s="717" t="s">
        <v>1350</v>
      </c>
      <c r="S11" s="656"/>
      <c r="T11" s="656"/>
      <c r="U11" s="656"/>
      <c r="V11" s="656"/>
      <c r="W11" s="656"/>
      <c r="X11" s="656"/>
      <c r="Y11" s="656"/>
      <c r="Z11" s="656"/>
      <c r="AA11" s="656"/>
      <c r="AB11" s="656"/>
      <c r="AC11" s="656"/>
      <c r="AD11" s="656"/>
      <c r="AE11" s="656"/>
      <c r="AF11" s="656"/>
      <c r="AG11" s="656"/>
      <c r="AH11" s="656"/>
      <c r="AI11" s="656"/>
      <c r="AJ11" s="656"/>
      <c r="AK11" s="656"/>
      <c r="AL11" s="656"/>
      <c r="AM11" s="656"/>
      <c r="AN11" s="656"/>
      <c r="AO11" s="656"/>
      <c r="AP11" s="656"/>
      <c r="AQ11" s="656"/>
      <c r="AR11" s="656"/>
      <c r="AS11" s="656"/>
      <c r="AT11" s="656"/>
      <c r="AU11" s="656"/>
    </row>
    <row r="12" spans="1:47" ht="12.75" customHeight="1" x14ac:dyDescent="0.2">
      <c r="A12" s="10"/>
      <c r="B12" s="10"/>
      <c r="C12" s="706" t="s">
        <v>1351</v>
      </c>
      <c r="D12" s="706"/>
      <c r="E12" s="706"/>
      <c r="F12" s="706"/>
      <c r="G12" s="706"/>
      <c r="H12" s="707"/>
      <c r="I12" s="707"/>
      <c r="J12" s="707"/>
      <c r="K12" s="707"/>
      <c r="L12" s="707"/>
      <c r="M12" s="707"/>
      <c r="N12" s="251"/>
      <c r="Q12" s="84" t="s">
        <v>1346</v>
      </c>
      <c r="R12" s="656" t="s">
        <v>1352</v>
      </c>
      <c r="S12" s="656"/>
      <c r="T12" s="656"/>
      <c r="U12" s="656"/>
      <c r="V12" s="656"/>
      <c r="W12" s="656"/>
      <c r="X12" s="656"/>
      <c r="Y12" s="656"/>
      <c r="Z12" s="656"/>
      <c r="AA12" s="656"/>
      <c r="AB12" s="656"/>
      <c r="AC12" s="656"/>
      <c r="AD12" s="656"/>
      <c r="AE12" s="656"/>
      <c r="AF12" s="656"/>
      <c r="AG12" s="656"/>
      <c r="AH12" s="656"/>
      <c r="AI12" s="656"/>
      <c r="AJ12" s="656"/>
      <c r="AK12" s="656"/>
      <c r="AL12" s="656"/>
      <c r="AM12" s="656"/>
      <c r="AN12" s="656"/>
      <c r="AO12" s="656"/>
      <c r="AP12" s="656"/>
      <c r="AQ12" s="656"/>
      <c r="AR12" s="656"/>
      <c r="AS12" s="656"/>
      <c r="AT12" s="656"/>
      <c r="AU12" s="656"/>
    </row>
    <row r="13" spans="1:47" ht="12.75" customHeight="1" x14ac:dyDescent="0.2">
      <c r="A13" s="10"/>
      <c r="B13" s="10"/>
      <c r="C13" s="831" t="s">
        <v>1353</v>
      </c>
      <c r="D13" s="706"/>
      <c r="E13" s="706"/>
      <c r="F13" s="706"/>
      <c r="G13" s="706"/>
      <c r="H13" s="707"/>
      <c r="I13" s="707"/>
      <c r="J13" s="832" t="s">
        <v>1354</v>
      </c>
      <c r="K13" s="707"/>
      <c r="L13" s="707"/>
      <c r="M13" s="707"/>
      <c r="N13" s="251"/>
      <c r="Q13" s="84"/>
      <c r="R13" s="656"/>
      <c r="S13" s="656"/>
      <c r="T13" s="656"/>
      <c r="U13" s="656"/>
      <c r="V13" s="656"/>
      <c r="W13" s="656"/>
      <c r="X13" s="656"/>
      <c r="Y13" s="656"/>
      <c r="Z13" s="656"/>
      <c r="AA13" s="656"/>
      <c r="AB13" s="656"/>
      <c r="AC13" s="656"/>
      <c r="AD13" s="656"/>
      <c r="AE13" s="656"/>
      <c r="AF13" s="656"/>
      <c r="AG13" s="656"/>
      <c r="AH13" s="656"/>
      <c r="AI13" s="656"/>
      <c r="AJ13" s="656"/>
      <c r="AK13" s="656"/>
      <c r="AL13" s="656"/>
      <c r="AM13" s="656"/>
      <c r="AN13" s="656"/>
      <c r="AO13" s="656"/>
      <c r="AP13" s="656"/>
      <c r="AQ13" s="656"/>
      <c r="AR13" s="656"/>
      <c r="AS13" s="656"/>
      <c r="AT13" s="656"/>
      <c r="AU13" s="656"/>
    </row>
    <row r="14" spans="1:47" ht="12.75" customHeight="1" x14ac:dyDescent="0.2">
      <c r="A14" s="10"/>
      <c r="B14" s="10"/>
      <c r="C14" s="713" t="s">
        <v>1355</v>
      </c>
      <c r="D14" s="5">
        <v>16.36</v>
      </c>
      <c r="E14" s="5">
        <v>27.34</v>
      </c>
      <c r="F14" s="5">
        <v>34.47</v>
      </c>
      <c r="G14" s="5">
        <v>39.78</v>
      </c>
      <c r="H14" s="5">
        <v>60.93</v>
      </c>
      <c r="I14" s="5">
        <v>8.3420000000000005</v>
      </c>
      <c r="J14" s="5">
        <v>101.25</v>
      </c>
      <c r="K14" s="712"/>
      <c r="L14" s="712"/>
      <c r="M14" s="712"/>
      <c r="N14" s="289"/>
      <c r="O14" s="251"/>
      <c r="P14" s="251"/>
      <c r="Q14" s="470"/>
      <c r="R14" s="656"/>
      <c r="S14" s="656"/>
      <c r="T14" s="656"/>
      <c r="U14" s="656"/>
      <c r="V14" s="656"/>
      <c r="W14" s="656"/>
      <c r="X14" s="656"/>
      <c r="Y14" s="656"/>
      <c r="Z14" s="656"/>
      <c r="AA14" s="656"/>
      <c r="AB14" s="656"/>
      <c r="AC14" s="656"/>
      <c r="AD14" s="656"/>
      <c r="AE14" s="656"/>
      <c r="AF14" s="656"/>
      <c r="AG14" s="656"/>
      <c r="AH14" s="656"/>
      <c r="AI14" s="656"/>
      <c r="AJ14" s="656"/>
      <c r="AK14" s="656"/>
      <c r="AL14" s="656"/>
      <c r="AM14" s="656"/>
      <c r="AN14" s="656"/>
      <c r="AO14" s="656"/>
      <c r="AP14" s="656"/>
      <c r="AQ14" s="656"/>
      <c r="AR14" s="656"/>
      <c r="AS14" s="656"/>
      <c r="AT14" s="656"/>
      <c r="AU14" s="656"/>
    </row>
    <row r="15" spans="1:47" ht="12.75" customHeight="1" x14ac:dyDescent="0.2">
      <c r="A15" s="10"/>
      <c r="B15" s="10"/>
      <c r="C15" s="569" t="s">
        <v>1356</v>
      </c>
      <c r="D15" s="2"/>
      <c r="E15" s="2"/>
      <c r="F15" s="2"/>
      <c r="G15" s="2"/>
      <c r="H15" s="2"/>
      <c r="I15" s="2"/>
      <c r="J15" s="2"/>
      <c r="K15" s="710"/>
      <c r="L15" s="710"/>
      <c r="M15" s="710"/>
      <c r="N15" s="103"/>
      <c r="O15" s="289"/>
      <c r="P15" s="289"/>
      <c r="Q15" s="84" t="s">
        <v>1357</v>
      </c>
      <c r="R15" s="656"/>
      <c r="S15" s="656"/>
      <c r="T15" s="656"/>
      <c r="U15" s="656"/>
      <c r="V15" s="656"/>
      <c r="W15" s="656"/>
      <c r="X15" s="656"/>
      <c r="Y15" s="656"/>
      <c r="Z15" s="656"/>
      <c r="AA15" s="656"/>
      <c r="AB15" s="656"/>
      <c r="AC15" s="656"/>
      <c r="AD15" s="656"/>
      <c r="AE15" s="656"/>
      <c r="AF15" s="656"/>
      <c r="AG15" s="656"/>
      <c r="AH15" s="656"/>
      <c r="AI15" s="656"/>
      <c r="AJ15" s="656"/>
      <c r="AK15" s="656"/>
      <c r="AL15" s="656"/>
      <c r="AM15" s="656"/>
      <c r="AN15" s="656"/>
      <c r="AO15" s="656"/>
      <c r="AP15" s="656"/>
      <c r="AQ15" s="656"/>
      <c r="AR15" s="656"/>
      <c r="AS15" s="656"/>
      <c r="AT15" s="656"/>
      <c r="AU15" s="656"/>
    </row>
    <row r="16" spans="1:47" ht="12.75" customHeight="1" x14ac:dyDescent="0.2">
      <c r="A16" s="10"/>
      <c r="B16" s="10"/>
      <c r="C16" s="713" t="s">
        <v>775</v>
      </c>
      <c r="D16" s="93">
        <f>D14-D15</f>
        <v>16.36</v>
      </c>
      <c r="E16" s="93">
        <f t="shared" ref="E16:J16" si="0">E14-E15</f>
        <v>27.34</v>
      </c>
      <c r="F16" s="93">
        <f t="shared" si="0"/>
        <v>34.47</v>
      </c>
      <c r="G16" s="93">
        <f t="shared" si="0"/>
        <v>39.78</v>
      </c>
      <c r="H16" s="93">
        <f t="shared" si="0"/>
        <v>60.93</v>
      </c>
      <c r="I16" s="93">
        <f t="shared" si="0"/>
        <v>8.3420000000000005</v>
      </c>
      <c r="J16" s="93">
        <f t="shared" si="0"/>
        <v>101.25</v>
      </c>
      <c r="K16" s="710"/>
      <c r="L16" s="710"/>
      <c r="M16" s="710"/>
      <c r="N16" s="103"/>
      <c r="O16" s="103"/>
      <c r="P16" s="103"/>
      <c r="Q16" s="470" t="s">
        <v>1358</v>
      </c>
      <c r="R16" s="656"/>
      <c r="S16" s="656"/>
      <c r="T16" s="656"/>
      <c r="U16" s="656"/>
      <c r="V16" s="656"/>
      <c r="W16" s="656"/>
      <c r="X16" s="656"/>
      <c r="Y16" s="656"/>
      <c r="Z16" s="656"/>
      <c r="AA16" s="656"/>
      <c r="AB16" s="656"/>
      <c r="AC16" s="656"/>
      <c r="AD16" s="656"/>
      <c r="AE16" s="656"/>
      <c r="AF16" s="656"/>
      <c r="AG16" s="656"/>
      <c r="AH16" s="656"/>
      <c r="AI16" s="656"/>
      <c r="AJ16" s="656"/>
      <c r="AK16" s="656"/>
      <c r="AL16" s="656"/>
      <c r="AM16" s="656"/>
      <c r="AN16" s="656"/>
      <c r="AO16" s="656"/>
      <c r="AP16" s="656"/>
      <c r="AQ16" s="656"/>
      <c r="AR16" s="656"/>
      <c r="AS16" s="656"/>
      <c r="AT16" s="656"/>
      <c r="AU16" s="656"/>
    </row>
    <row r="17" spans="1:47" ht="12.75" customHeight="1" x14ac:dyDescent="0.2">
      <c r="A17" s="10"/>
      <c r="B17" s="10"/>
      <c r="C17" s="569" t="s">
        <v>1359</v>
      </c>
      <c r="D17" s="2"/>
      <c r="E17" s="2"/>
      <c r="F17" s="2"/>
      <c r="G17" s="2"/>
      <c r="H17" s="2"/>
      <c r="I17" s="2"/>
      <c r="J17" s="2"/>
      <c r="K17" s="710"/>
      <c r="L17" s="710"/>
      <c r="M17" s="710"/>
      <c r="N17" s="103"/>
      <c r="O17" s="103"/>
      <c r="P17" s="103"/>
      <c r="Q17" s="84" t="s">
        <v>1335</v>
      </c>
      <c r="R17" s="656" t="s">
        <v>1360</v>
      </c>
      <c r="S17" s="656"/>
      <c r="T17" s="656"/>
      <c r="U17" s="656"/>
      <c r="V17" s="656"/>
      <c r="W17" s="656"/>
      <c r="X17" s="656"/>
      <c r="Y17" s="656"/>
      <c r="Z17" s="656"/>
      <c r="AA17" s="656"/>
      <c r="AB17" s="656"/>
      <c r="AC17" s="656"/>
      <c r="AD17" s="656"/>
      <c r="AE17" s="656"/>
      <c r="AF17" s="656"/>
      <c r="AG17" s="656"/>
      <c r="AH17" s="656"/>
      <c r="AI17" s="656"/>
      <c r="AJ17" s="656"/>
      <c r="AK17" s="656"/>
      <c r="AL17" s="656"/>
      <c r="AM17" s="656"/>
      <c r="AN17" s="656"/>
      <c r="AO17" s="656"/>
      <c r="AP17" s="656"/>
      <c r="AQ17" s="656"/>
      <c r="AR17" s="656"/>
      <c r="AS17" s="656"/>
      <c r="AT17" s="656"/>
      <c r="AU17" s="656"/>
    </row>
    <row r="18" spans="1:47" ht="12.75" customHeight="1" x14ac:dyDescent="0.2">
      <c r="A18" s="10"/>
      <c r="B18" s="10"/>
      <c r="C18" s="713" t="s">
        <v>1361</v>
      </c>
      <c r="D18" s="93">
        <f>-(D16-D17)</f>
        <v>-16.36</v>
      </c>
      <c r="E18" s="93">
        <f t="shared" ref="E18:J18" si="1">-(E16-E17)</f>
        <v>-27.34</v>
      </c>
      <c r="F18" s="93">
        <f t="shared" si="1"/>
        <v>-34.47</v>
      </c>
      <c r="G18" s="93">
        <f t="shared" si="1"/>
        <v>-39.78</v>
      </c>
      <c r="H18" s="93">
        <f t="shared" si="1"/>
        <v>-60.93</v>
      </c>
      <c r="I18" s="93">
        <f t="shared" si="1"/>
        <v>-8.3420000000000005</v>
      </c>
      <c r="J18" s="93">
        <f t="shared" si="1"/>
        <v>-101.25</v>
      </c>
      <c r="K18" s="710"/>
      <c r="L18" s="710"/>
      <c r="M18" s="710"/>
      <c r="N18" s="103"/>
      <c r="O18" s="103"/>
      <c r="P18" s="103"/>
      <c r="Q18" s="84" t="s">
        <v>1338</v>
      </c>
      <c r="R18" s="656" t="s">
        <v>1362</v>
      </c>
      <c r="S18" s="656"/>
      <c r="T18" s="656"/>
      <c r="U18" s="656"/>
      <c r="V18" s="656"/>
      <c r="W18" s="656"/>
      <c r="X18" s="656"/>
      <c r="Y18" s="656"/>
      <c r="Z18" s="656"/>
      <c r="AA18" s="656"/>
      <c r="AB18" s="656"/>
      <c r="AC18" s="656"/>
      <c r="AD18" s="656"/>
      <c r="AE18" s="656"/>
      <c r="AF18" s="656"/>
      <c r="AG18" s="656"/>
      <c r="AH18" s="656"/>
      <c r="AI18" s="656"/>
      <c r="AJ18" s="656"/>
      <c r="AK18" s="656"/>
      <c r="AL18" s="656"/>
      <c r="AM18" s="656"/>
      <c r="AN18" s="656"/>
      <c r="AO18" s="656"/>
      <c r="AP18" s="656"/>
      <c r="AQ18" s="656"/>
      <c r="AR18" s="656"/>
      <c r="AS18" s="656"/>
      <c r="AT18" s="656"/>
      <c r="AU18" s="656"/>
    </row>
    <row r="19" spans="1:47" ht="12.75" customHeight="1" x14ac:dyDescent="0.2">
      <c r="A19" s="10"/>
      <c r="B19" s="10"/>
      <c r="C19" s="714" t="s">
        <v>1363</v>
      </c>
      <c r="D19" s="705"/>
      <c r="E19" s="103"/>
      <c r="F19" s="60"/>
      <c r="G19" s="103"/>
      <c r="H19" s="103"/>
      <c r="I19" s="710"/>
      <c r="J19" s="710"/>
      <c r="K19" s="710"/>
      <c r="L19" s="710"/>
      <c r="M19" s="710"/>
      <c r="N19" s="103"/>
      <c r="O19" s="103"/>
      <c r="P19" s="103"/>
      <c r="Q19" s="84" t="s">
        <v>1341</v>
      </c>
      <c r="R19" s="656" t="s">
        <v>1362</v>
      </c>
      <c r="S19" s="656"/>
      <c r="T19" s="656"/>
      <c r="U19" s="656"/>
      <c r="V19" s="656"/>
      <c r="W19" s="656"/>
      <c r="X19" s="656"/>
      <c r="Y19" s="656"/>
      <c r="Z19" s="656"/>
      <c r="AA19" s="656"/>
      <c r="AB19" s="656"/>
      <c r="AC19" s="656"/>
      <c r="AD19" s="656"/>
      <c r="AE19" s="656"/>
      <c r="AF19" s="656"/>
      <c r="AG19" s="656"/>
      <c r="AH19" s="656"/>
      <c r="AI19" s="656"/>
      <c r="AJ19" s="656"/>
      <c r="AK19" s="656"/>
      <c r="AL19" s="656"/>
      <c r="AM19" s="656"/>
      <c r="AN19" s="656"/>
      <c r="AO19" s="656"/>
      <c r="AP19" s="656"/>
      <c r="AQ19" s="656"/>
      <c r="AR19" s="656"/>
      <c r="AS19" s="656"/>
      <c r="AT19" s="656"/>
      <c r="AU19" s="656"/>
    </row>
    <row r="20" spans="1:47" ht="12.75" customHeight="1" x14ac:dyDescent="0.2">
      <c r="A20" s="10"/>
      <c r="B20" s="10"/>
      <c r="C20" s="710"/>
      <c r="D20" s="711"/>
      <c r="E20" s="710"/>
      <c r="F20" s="711"/>
      <c r="G20" s="710"/>
      <c r="H20" s="710"/>
      <c r="I20" s="710"/>
      <c r="J20" s="710"/>
      <c r="K20" s="710"/>
      <c r="L20" s="710"/>
      <c r="M20" s="710"/>
      <c r="N20" s="103"/>
      <c r="O20" s="103"/>
      <c r="P20" s="103"/>
      <c r="Q20" s="84" t="s">
        <v>1348</v>
      </c>
      <c r="R20" s="656" t="s">
        <v>1364</v>
      </c>
      <c r="S20" s="656"/>
      <c r="T20" s="656"/>
      <c r="U20" s="656"/>
      <c r="V20" s="656"/>
      <c r="W20" s="656"/>
      <c r="X20" s="656"/>
      <c r="Y20" s="656"/>
      <c r="Z20" s="656"/>
      <c r="AA20" s="656"/>
      <c r="AB20" s="656"/>
      <c r="AC20" s="656"/>
      <c r="AD20" s="656"/>
      <c r="AE20" s="656"/>
      <c r="AF20" s="656"/>
      <c r="AG20" s="656"/>
      <c r="AH20" s="656"/>
      <c r="AI20" s="656"/>
      <c r="AJ20" s="656"/>
      <c r="AK20" s="656"/>
      <c r="AL20" s="656"/>
      <c r="AM20" s="656"/>
      <c r="AN20" s="656"/>
      <c r="AO20" s="656"/>
      <c r="AP20" s="656"/>
      <c r="AQ20" s="656"/>
      <c r="AR20" s="656"/>
      <c r="AS20" s="656"/>
      <c r="AT20" s="656"/>
      <c r="AU20" s="656"/>
    </row>
    <row r="21" spans="1:47" ht="12.75" customHeight="1" x14ac:dyDescent="0.2">
      <c r="A21" s="10"/>
      <c r="B21" s="10"/>
      <c r="C21" s="706" t="s">
        <v>1365</v>
      </c>
      <c r="D21" s="708"/>
      <c r="E21" s="709"/>
      <c r="F21" s="708"/>
      <c r="G21" s="709"/>
      <c r="H21" s="709"/>
      <c r="I21" s="709"/>
      <c r="J21" s="709"/>
      <c r="K21" s="709"/>
      <c r="L21" s="709"/>
      <c r="M21" s="709"/>
      <c r="N21" s="103"/>
      <c r="O21" s="103"/>
      <c r="P21" s="103"/>
      <c r="Q21" s="84" t="s">
        <v>1344</v>
      </c>
      <c r="R21" s="656" t="s">
        <v>1360</v>
      </c>
      <c r="S21" s="656"/>
      <c r="T21" s="656"/>
      <c r="U21" s="656"/>
      <c r="V21" s="656"/>
      <c r="W21" s="656"/>
      <c r="X21" s="656"/>
      <c r="Y21" s="656"/>
      <c r="Z21" s="656"/>
      <c r="AA21" s="656"/>
      <c r="AB21" s="656"/>
      <c r="AC21" s="656"/>
      <c r="AD21" s="656"/>
      <c r="AE21" s="656"/>
      <c r="AF21" s="656"/>
      <c r="AG21" s="656"/>
      <c r="AH21" s="656"/>
      <c r="AI21" s="656"/>
      <c r="AJ21" s="656"/>
      <c r="AK21" s="656"/>
      <c r="AL21" s="656"/>
      <c r="AM21" s="656"/>
      <c r="AN21" s="656"/>
      <c r="AO21" s="656"/>
      <c r="AP21" s="656"/>
      <c r="AQ21" s="656"/>
      <c r="AR21" s="656"/>
      <c r="AS21" s="656"/>
      <c r="AT21" s="656"/>
      <c r="AU21" s="656"/>
    </row>
    <row r="22" spans="1:47" ht="12.75" customHeight="1" x14ac:dyDescent="0.2">
      <c r="A22" s="10"/>
      <c r="B22" s="10"/>
      <c r="C22" s="4"/>
      <c r="D22" s="4"/>
      <c r="E22" s="4"/>
      <c r="F22" s="4"/>
      <c r="G22" s="4"/>
      <c r="H22" s="4"/>
      <c r="I22" s="4"/>
      <c r="J22" s="4"/>
      <c r="K22" s="4"/>
      <c r="L22" s="4"/>
      <c r="M22" s="4"/>
      <c r="O22" s="103"/>
      <c r="P22" s="103"/>
      <c r="Q22" s="84" t="s">
        <v>1346</v>
      </c>
      <c r="R22" s="656" t="s">
        <v>1366</v>
      </c>
      <c r="S22" s="656"/>
      <c r="T22" s="656"/>
      <c r="U22" s="656"/>
      <c r="V22" s="656"/>
      <c r="W22" s="656"/>
      <c r="X22" s="656"/>
      <c r="Y22" s="656"/>
      <c r="Z22" s="656"/>
      <c r="AA22" s="656"/>
      <c r="AB22" s="656"/>
      <c r="AC22" s="656"/>
      <c r="AD22" s="656"/>
      <c r="AE22" s="656"/>
      <c r="AF22" s="656"/>
      <c r="AG22" s="656"/>
      <c r="AH22" s="656"/>
      <c r="AI22" s="656"/>
      <c r="AJ22" s="656"/>
      <c r="AK22" s="656"/>
      <c r="AL22" s="656"/>
      <c r="AM22" s="656"/>
      <c r="AN22" s="656"/>
      <c r="AO22" s="656"/>
      <c r="AP22" s="656"/>
      <c r="AQ22" s="656"/>
      <c r="AR22" s="656"/>
      <c r="AS22" s="656"/>
      <c r="AT22" s="656"/>
      <c r="AU22" s="656"/>
    </row>
    <row r="23" spans="1:47" ht="12.75" customHeight="1" x14ac:dyDescent="0.2">
      <c r="A23" s="10"/>
      <c r="B23" s="10"/>
      <c r="C23" s="706" t="s">
        <v>1367</v>
      </c>
      <c r="D23" s="651"/>
      <c r="E23" s="651"/>
      <c r="F23" s="651"/>
      <c r="G23" s="651"/>
      <c r="H23" s="651"/>
      <c r="I23" s="651"/>
      <c r="J23" s="651"/>
      <c r="K23" s="651"/>
      <c r="L23" s="651"/>
      <c r="M23" s="651"/>
      <c r="Q23" s="470"/>
      <c r="R23" s="656"/>
      <c r="S23" s="656"/>
      <c r="T23" s="656"/>
      <c r="U23" s="656"/>
      <c r="V23" s="656"/>
      <c r="W23" s="656"/>
      <c r="X23" s="656"/>
      <c r="Y23" s="656"/>
      <c r="Z23" s="656"/>
      <c r="AA23" s="656"/>
      <c r="AB23" s="656"/>
      <c r="AC23" s="656"/>
      <c r="AD23" s="656"/>
      <c r="AE23" s="656"/>
      <c r="AF23" s="656"/>
      <c r="AG23" s="656"/>
      <c r="AH23" s="656"/>
      <c r="AI23" s="656"/>
      <c r="AJ23" s="656"/>
      <c r="AK23" s="656"/>
      <c r="AL23" s="656"/>
      <c r="AM23" s="656"/>
      <c r="AN23" s="656"/>
      <c r="AO23" s="656"/>
      <c r="AP23" s="656"/>
      <c r="AQ23" s="656"/>
      <c r="AR23" s="656"/>
      <c r="AS23" s="656"/>
      <c r="AT23" s="656"/>
      <c r="AU23" s="656"/>
    </row>
    <row r="24" spans="1:47" x14ac:dyDescent="0.2">
      <c r="A24" s="10"/>
      <c r="B24" s="10"/>
      <c r="C24" s="470" t="s">
        <v>1368</v>
      </c>
      <c r="D24" t="str">
        <f>IF($A$4=1,R39,IF($A$4=2,R40,IF($A$4=3, R41, IF($A$4=4,R42,IF($A$4=5,R43,IF($A$4=6,R44,"Error"))))))</f>
        <v>±0.5% IACS</v>
      </c>
      <c r="F24" s="4"/>
      <c r="G24" s="4"/>
      <c r="H24" s="4"/>
      <c r="I24" s="4"/>
      <c r="J24" s="4"/>
      <c r="K24" s="4"/>
      <c r="L24" s="4"/>
      <c r="M24" s="4"/>
      <c r="O24" s="656"/>
      <c r="P24" s="656"/>
      <c r="Q24" s="1347" t="s">
        <v>1369</v>
      </c>
      <c r="R24" s="1347"/>
      <c r="S24" s="1347"/>
      <c r="T24" s="1347"/>
      <c r="U24" s="1347"/>
      <c r="V24" s="656"/>
      <c r="W24" s="656"/>
      <c r="X24" s="656"/>
      <c r="Y24" s="656"/>
      <c r="Z24" s="656"/>
      <c r="AA24" s="656"/>
      <c r="AB24" s="656"/>
      <c r="AC24" s="656"/>
      <c r="AD24" s="656"/>
      <c r="AE24" s="656"/>
      <c r="AF24" s="656"/>
      <c r="AG24" s="656"/>
      <c r="AH24" s="656"/>
      <c r="AI24" s="656"/>
      <c r="AJ24" s="656"/>
      <c r="AK24" s="656"/>
      <c r="AL24" s="656"/>
      <c r="AM24" s="656"/>
      <c r="AN24" s="656"/>
      <c r="AO24" s="656"/>
      <c r="AP24" s="656"/>
      <c r="AQ24" s="656"/>
      <c r="AR24" s="656"/>
      <c r="AS24" s="656"/>
      <c r="AT24" s="656"/>
      <c r="AU24" s="656"/>
    </row>
    <row r="25" spans="1:47" x14ac:dyDescent="0.2">
      <c r="A25" s="10"/>
      <c r="B25" s="10"/>
      <c r="C25" s="4"/>
      <c r="D25" s="4"/>
      <c r="E25" s="4"/>
      <c r="F25" s="4"/>
      <c r="G25" s="4"/>
      <c r="H25" s="4"/>
      <c r="I25" s="4"/>
      <c r="J25" s="4"/>
      <c r="K25" s="4"/>
      <c r="L25" s="4"/>
      <c r="M25" s="4"/>
      <c r="O25" s="656"/>
      <c r="P25" s="656"/>
      <c r="Q25" s="470" t="s">
        <v>1370</v>
      </c>
      <c r="R25" s="704" t="s">
        <v>1371</v>
      </c>
      <c r="S25" s="704" t="s">
        <v>775</v>
      </c>
      <c r="T25" s="656" t="s">
        <v>1372</v>
      </c>
      <c r="U25" s="704" t="s">
        <v>1373</v>
      </c>
      <c r="V25" s="656"/>
      <c r="W25" s="656"/>
      <c r="X25" s="656"/>
      <c r="Y25" s="656"/>
      <c r="Z25" s="656"/>
      <c r="AA25" s="656"/>
      <c r="AB25" s="656"/>
      <c r="AC25" s="656"/>
      <c r="AD25" s="656"/>
      <c r="AE25" s="656"/>
      <c r="AF25" s="656"/>
      <c r="AG25" s="656"/>
      <c r="AH25" s="656"/>
      <c r="AI25" s="656"/>
      <c r="AJ25" s="656"/>
      <c r="AK25" s="656"/>
      <c r="AL25" s="656"/>
      <c r="AM25" s="656"/>
      <c r="AN25" s="656"/>
      <c r="AO25" s="656"/>
      <c r="AP25" s="656"/>
      <c r="AQ25" s="656"/>
      <c r="AR25" s="656"/>
      <c r="AS25" s="656"/>
      <c r="AT25" s="656"/>
      <c r="AU25" s="656"/>
    </row>
    <row r="26" spans="1:47" x14ac:dyDescent="0.2">
      <c r="A26" s="10"/>
      <c r="B26" s="10"/>
      <c r="C26" s="706" t="s">
        <v>1374</v>
      </c>
      <c r="D26" s="651"/>
      <c r="E26" s="651"/>
      <c r="F26" s="651"/>
      <c r="G26" s="651"/>
      <c r="H26" s="651"/>
      <c r="I26" s="651"/>
      <c r="J26" s="651"/>
      <c r="K26" s="651"/>
      <c r="L26" s="651"/>
      <c r="M26" s="651"/>
      <c r="O26" s="656"/>
      <c r="P26" s="656"/>
      <c r="Q26" s="1111">
        <v>16.68</v>
      </c>
      <c r="R26" s="719"/>
      <c r="S26" s="718">
        <f>R26-Q26</f>
        <v>-16.68</v>
      </c>
      <c r="T26" s="702"/>
      <c r="U26" s="718">
        <f t="shared" ref="U26:U32" si="2">T26-S26</f>
        <v>16.68</v>
      </c>
      <c r="V26" s="656"/>
      <c r="W26" s="656"/>
      <c r="X26" s="656"/>
      <c r="Y26" s="656"/>
      <c r="Z26" s="656"/>
      <c r="AA26" s="656"/>
      <c r="AB26" s="656"/>
      <c r="AC26" s="656"/>
      <c r="AD26" s="656"/>
      <c r="AE26" s="656"/>
      <c r="AF26" s="656"/>
      <c r="AG26" s="656"/>
      <c r="AH26" s="656"/>
      <c r="AI26" s="656"/>
      <c r="AJ26" s="656"/>
      <c r="AK26" s="656"/>
      <c r="AL26" s="656"/>
      <c r="AM26" s="656"/>
      <c r="AN26" s="656"/>
      <c r="AO26" s="656"/>
      <c r="AP26" s="656"/>
      <c r="AQ26" s="656"/>
      <c r="AR26" s="656"/>
      <c r="AS26" s="656"/>
      <c r="AT26" s="656"/>
      <c r="AU26" s="656"/>
    </row>
    <row r="27" spans="1:47" x14ac:dyDescent="0.2">
      <c r="A27" s="10"/>
      <c r="B27" s="10"/>
      <c r="C27" s="4"/>
      <c r="D27" s="4"/>
      <c r="E27" s="4"/>
      <c r="F27" s="4"/>
      <c r="G27" s="4"/>
      <c r="H27" s="4"/>
      <c r="I27" s="4"/>
      <c r="J27" s="4"/>
      <c r="K27" s="4"/>
      <c r="L27" s="4"/>
      <c r="M27" s="4"/>
      <c r="O27" s="656"/>
      <c r="P27" s="656"/>
      <c r="Q27" s="1111">
        <v>28.21</v>
      </c>
      <c r="R27" s="719">
        <v>28.18</v>
      </c>
      <c r="S27" s="718">
        <f t="shared" ref="S27:S32" si="3">R27-Q27</f>
        <v>-3.0000000000001137E-2</v>
      </c>
      <c r="T27" s="702">
        <v>29.83</v>
      </c>
      <c r="U27" s="718">
        <f t="shared" si="2"/>
        <v>29.86</v>
      </c>
      <c r="V27" s="656"/>
      <c r="W27" s="656"/>
      <c r="X27" s="656"/>
      <c r="Y27" s="656"/>
      <c r="Z27" s="656"/>
      <c r="AA27" s="656"/>
      <c r="AB27" s="656"/>
      <c r="AC27" s="656"/>
      <c r="AD27" s="656"/>
      <c r="AE27" s="656"/>
      <c r="AF27" s="656"/>
      <c r="AG27" s="656"/>
      <c r="AH27" s="656"/>
      <c r="AI27" s="656"/>
      <c r="AJ27" s="656"/>
      <c r="AK27" s="656"/>
      <c r="AL27" s="656"/>
      <c r="AM27" s="656"/>
      <c r="AN27" s="656"/>
      <c r="AO27" s="656"/>
      <c r="AP27" s="656"/>
      <c r="AQ27" s="656"/>
      <c r="AR27" s="656"/>
      <c r="AS27" s="656"/>
      <c r="AT27" s="656"/>
      <c r="AU27" s="656"/>
    </row>
    <row r="28" spans="1:47" x14ac:dyDescent="0.2">
      <c r="A28" s="10"/>
      <c r="B28" s="10"/>
      <c r="C28" s="706" t="s">
        <v>1375</v>
      </c>
      <c r="D28" s="651"/>
      <c r="E28" s="651"/>
      <c r="F28" s="651"/>
      <c r="G28" s="651"/>
      <c r="H28" s="651"/>
      <c r="I28" s="651"/>
      <c r="J28" s="651"/>
      <c r="K28" s="651"/>
      <c r="L28" s="651"/>
      <c r="M28" s="651"/>
      <c r="O28" s="656"/>
      <c r="P28" s="656"/>
      <c r="Q28" s="1111">
        <v>36.71</v>
      </c>
      <c r="R28" s="719">
        <v>36.619999999999997</v>
      </c>
      <c r="S28" s="718">
        <f t="shared" si="3"/>
        <v>-9.0000000000003411E-2</v>
      </c>
      <c r="T28" s="702">
        <v>38.04</v>
      </c>
      <c r="U28" s="718">
        <f t="shared" si="2"/>
        <v>38.130000000000003</v>
      </c>
      <c r="V28" s="656"/>
      <c r="W28" s="656"/>
      <c r="X28" s="656"/>
      <c r="Y28" s="656"/>
      <c r="Z28" s="656"/>
      <c r="AA28" s="656"/>
      <c r="AB28" s="656"/>
      <c r="AC28" s="656"/>
      <c r="AD28" s="656"/>
      <c r="AE28" s="656"/>
      <c r="AF28" s="656"/>
      <c r="AG28" s="656"/>
      <c r="AH28" s="656"/>
      <c r="AI28" s="656"/>
      <c r="AJ28" s="656"/>
      <c r="AK28" s="656"/>
      <c r="AL28" s="656"/>
      <c r="AM28" s="656"/>
      <c r="AN28" s="656"/>
      <c r="AO28" s="656"/>
      <c r="AP28" s="656"/>
      <c r="AQ28" s="656"/>
      <c r="AR28" s="656"/>
      <c r="AS28" s="656"/>
      <c r="AT28" s="656"/>
      <c r="AU28" s="656"/>
    </row>
    <row r="29" spans="1:47" x14ac:dyDescent="0.2">
      <c r="A29" s="10"/>
      <c r="B29" s="10"/>
      <c r="C29" s="470" t="s">
        <v>1376</v>
      </c>
      <c r="D29" t="str">
        <f>IF($A$4=1,R51,IF($A$4=2,R52,IF($A$4=3, R53, IF($A$4=4,R54,IF($A$4=5,R55,IF($A$4=6,R56,"Error"))))))</f>
        <v>Based on historical reliability w/data; otherwise SA</v>
      </c>
      <c r="I29" s="4"/>
      <c r="J29" s="4"/>
      <c r="K29" s="4"/>
      <c r="L29" s="4"/>
      <c r="M29" s="4"/>
      <c r="O29" s="656"/>
      <c r="P29" s="656"/>
      <c r="Q29" s="1111">
        <v>40.130000000000003</v>
      </c>
      <c r="R29" s="719"/>
      <c r="S29" s="718">
        <f t="shared" si="3"/>
        <v>-40.130000000000003</v>
      </c>
      <c r="T29" s="702"/>
      <c r="U29" s="718">
        <f t="shared" si="2"/>
        <v>40.130000000000003</v>
      </c>
      <c r="V29" s="656"/>
      <c r="W29" s="656"/>
      <c r="X29" s="656"/>
      <c r="Y29" s="656"/>
      <c r="Z29" s="656"/>
      <c r="AA29" s="656"/>
      <c r="AB29" s="656"/>
      <c r="AC29" s="656"/>
      <c r="AD29" s="656"/>
      <c r="AE29" s="656"/>
      <c r="AF29" s="656"/>
      <c r="AG29" s="656"/>
      <c r="AH29" s="656"/>
      <c r="AI29" s="656"/>
      <c r="AJ29" s="656"/>
      <c r="AK29" s="656"/>
      <c r="AL29" s="656"/>
      <c r="AM29" s="656"/>
      <c r="AN29" s="656"/>
      <c r="AO29" s="656"/>
      <c r="AP29" s="656"/>
      <c r="AQ29" s="656"/>
      <c r="AR29" s="656"/>
      <c r="AS29" s="656"/>
      <c r="AT29" s="656"/>
      <c r="AU29" s="656"/>
    </row>
    <row r="30" spans="1:47" x14ac:dyDescent="0.2">
      <c r="A30" s="10"/>
      <c r="B30" s="10"/>
      <c r="C30" s="1047"/>
      <c r="D30" s="4"/>
      <c r="E30" s="4"/>
      <c r="F30" s="4"/>
      <c r="G30" s="4"/>
      <c r="H30" s="4"/>
      <c r="I30" s="4"/>
      <c r="J30" s="4"/>
      <c r="K30" s="4"/>
      <c r="L30" s="4"/>
      <c r="M30" s="4"/>
      <c r="O30" s="656"/>
      <c r="P30" s="656"/>
      <c r="Q30" s="1111">
        <v>59.31</v>
      </c>
      <c r="R30" s="719">
        <v>59.18</v>
      </c>
      <c r="S30" s="718">
        <f t="shared" si="3"/>
        <v>-0.13000000000000256</v>
      </c>
      <c r="T30" s="702">
        <v>59.17</v>
      </c>
      <c r="U30" s="718">
        <f t="shared" si="2"/>
        <v>59.300000000000004</v>
      </c>
      <c r="V30" s="656"/>
      <c r="W30" s="656"/>
      <c r="X30" s="656"/>
      <c r="Y30" s="656"/>
      <c r="Z30" s="656"/>
      <c r="AA30" s="656"/>
      <c r="AB30" s="656"/>
      <c r="AC30" s="656"/>
      <c r="AD30" s="656"/>
      <c r="AE30" s="656"/>
      <c r="AF30" s="656"/>
      <c r="AG30" s="656"/>
      <c r="AH30" s="656"/>
      <c r="AI30" s="656"/>
      <c r="AJ30" s="656"/>
      <c r="AK30" s="656"/>
      <c r="AL30" s="656"/>
      <c r="AM30" s="656"/>
      <c r="AN30" s="656"/>
      <c r="AO30" s="656"/>
      <c r="AP30" s="656"/>
      <c r="AQ30" s="656"/>
      <c r="AR30" s="656"/>
      <c r="AS30" s="656"/>
      <c r="AT30" s="656"/>
      <c r="AU30" s="656"/>
    </row>
    <row r="31" spans="1:47" x14ac:dyDescent="0.2">
      <c r="A31" s="10" t="s">
        <v>1377</v>
      </c>
      <c r="B31" s="10"/>
      <c r="C31" s="706" t="s">
        <v>1378</v>
      </c>
      <c r="D31" s="651"/>
      <c r="E31" s="651"/>
      <c r="F31" s="651"/>
      <c r="G31" s="651"/>
      <c r="H31" s="651"/>
      <c r="I31" s="651"/>
      <c r="J31" s="651"/>
      <c r="K31" s="651"/>
      <c r="L31" s="651"/>
      <c r="M31" s="651"/>
      <c r="O31" s="656"/>
      <c r="P31" s="656"/>
      <c r="Q31" s="1111">
        <v>8.2200000000000006</v>
      </c>
      <c r="R31" s="702"/>
      <c r="S31" s="718">
        <f t="shared" si="3"/>
        <v>-8.2200000000000006</v>
      </c>
      <c r="T31" s="702"/>
      <c r="U31" s="718">
        <f t="shared" si="2"/>
        <v>8.2200000000000006</v>
      </c>
      <c r="V31" s="656"/>
      <c r="W31" s="656"/>
      <c r="X31" s="656"/>
      <c r="Y31" s="656"/>
      <c r="Z31" s="656"/>
      <c r="AA31" s="656"/>
      <c r="AB31" s="656"/>
      <c r="AC31" s="656"/>
      <c r="AD31" s="656"/>
      <c r="AE31" s="656"/>
      <c r="AF31" s="656"/>
      <c r="AG31" s="656"/>
      <c r="AH31" s="656"/>
      <c r="AI31" s="656"/>
      <c r="AJ31" s="656"/>
      <c r="AK31" s="656"/>
      <c r="AL31" s="656"/>
      <c r="AM31" s="656"/>
      <c r="AN31" s="656"/>
      <c r="AO31" s="656"/>
      <c r="AP31" s="656"/>
      <c r="AQ31" s="656"/>
      <c r="AR31" s="656"/>
      <c r="AS31" s="656"/>
      <c r="AT31" s="656"/>
      <c r="AU31" s="656"/>
    </row>
    <row r="32" spans="1:47" x14ac:dyDescent="0.2">
      <c r="A32" s="10"/>
      <c r="B32" s="10"/>
      <c r="C32" t="str">
        <f>IF(A4=1,Q71,"")</f>
        <v>This meter is certified for use at 60 kHz only.</v>
      </c>
      <c r="O32" s="656"/>
      <c r="P32" s="656"/>
      <c r="Q32" s="1111">
        <v>101.39</v>
      </c>
      <c r="R32" s="702"/>
      <c r="S32" s="718">
        <f t="shared" si="3"/>
        <v>-101.39</v>
      </c>
      <c r="T32" s="702"/>
      <c r="U32" s="718">
        <f t="shared" si="2"/>
        <v>101.39</v>
      </c>
      <c r="V32" s="656"/>
      <c r="W32" s="656"/>
      <c r="X32" s="656"/>
      <c r="Y32" s="656"/>
      <c r="Z32" s="656"/>
      <c r="AA32" s="656"/>
      <c r="AB32" s="656"/>
      <c r="AC32" s="656"/>
      <c r="AD32" s="656"/>
      <c r="AE32" s="656"/>
      <c r="AF32" s="656"/>
      <c r="AG32" s="656"/>
      <c r="AH32" s="656"/>
      <c r="AI32" s="656"/>
      <c r="AJ32" s="656"/>
      <c r="AK32" s="656"/>
      <c r="AL32" s="656"/>
      <c r="AM32" s="656"/>
      <c r="AN32" s="656"/>
      <c r="AO32" s="656"/>
      <c r="AP32" s="656"/>
      <c r="AQ32" s="656"/>
      <c r="AR32" s="656"/>
      <c r="AS32" s="656"/>
      <c r="AT32" s="656"/>
      <c r="AU32" s="656"/>
    </row>
    <row r="33" spans="1:47" ht="13.5" customHeight="1" x14ac:dyDescent="0.2">
      <c r="A33" s="10"/>
      <c r="B33" s="10"/>
      <c r="C33" t="str">
        <f>IF(AND(A4=1,A44=TRUE),Q70,"")</f>
        <v>A low-range standard in addition to those named above may be necessary to satisfy requirements of BAC5651D, Section 11.2.</v>
      </c>
      <c r="O33" s="656"/>
      <c r="P33" s="656"/>
      <c r="Q33" s="470"/>
      <c r="R33" s="656"/>
      <c r="S33" s="656"/>
      <c r="T33" s="716" t="s">
        <v>1363</v>
      </c>
      <c r="U33" s="656"/>
      <c r="V33" s="656"/>
      <c r="W33" s="656"/>
      <c r="X33" s="656"/>
      <c r="Y33" s="656"/>
      <c r="Z33" s="656"/>
      <c r="AA33" s="656"/>
      <c r="AB33" s="656"/>
      <c r="AC33" s="656"/>
      <c r="AD33" s="656"/>
      <c r="AE33" s="656"/>
      <c r="AF33" s="656"/>
      <c r="AG33" s="656"/>
      <c r="AH33" s="656"/>
      <c r="AI33" s="656"/>
      <c r="AJ33" s="656"/>
      <c r="AK33" s="656"/>
      <c r="AL33" s="656"/>
      <c r="AM33" s="656"/>
      <c r="AN33" s="656"/>
      <c r="AO33" s="656"/>
      <c r="AP33" s="656"/>
      <c r="AQ33" s="656"/>
      <c r="AR33" s="656"/>
      <c r="AS33" s="656"/>
      <c r="AT33" s="656"/>
      <c r="AU33" s="656"/>
    </row>
    <row r="34" spans="1:47" x14ac:dyDescent="0.2">
      <c r="A34" s="10"/>
      <c r="B34" s="10"/>
      <c r="C34" s="470" t="str">
        <f>IF(A4&gt;3,"",IF(A50=TRUE,Q72,IF(A51=TRUE,Q73,"Please check a box to the left to note whether the standards were found within surface roughness tolerance")))</f>
        <v>Please check a box to the left to note whether the standards were found within surface roughness tolerance</v>
      </c>
      <c r="O34" s="656"/>
      <c r="P34" s="656"/>
      <c r="Q34" s="470"/>
      <c r="R34" s="656"/>
      <c r="S34" s="656"/>
      <c r="T34" s="656"/>
      <c r="U34" s="656"/>
      <c r="V34" s="656"/>
      <c r="W34" s="656"/>
      <c r="X34" s="656"/>
      <c r="Y34" s="656"/>
      <c r="Z34" s="656"/>
      <c r="AA34" s="656"/>
      <c r="AB34" s="656"/>
      <c r="AC34" s="656"/>
      <c r="AD34" s="656"/>
      <c r="AE34" s="656"/>
      <c r="AF34" s="656"/>
      <c r="AG34" s="656"/>
      <c r="AH34" s="656"/>
      <c r="AI34" s="656"/>
      <c r="AJ34" s="656"/>
      <c r="AK34" s="656"/>
      <c r="AL34" s="656"/>
      <c r="AM34" s="656"/>
      <c r="AN34" s="656"/>
      <c r="AO34" s="656"/>
      <c r="AP34" s="656"/>
      <c r="AQ34" s="656"/>
      <c r="AR34" s="656"/>
      <c r="AS34" s="656"/>
      <c r="AT34" s="656"/>
      <c r="AU34" s="656"/>
    </row>
    <row r="35" spans="1:47" x14ac:dyDescent="0.2">
      <c r="A35" s="10"/>
      <c r="B35" s="10"/>
      <c r="C35" s="470" t="str">
        <f>IF(A52=TRUE,Q74,"")</f>
        <v/>
      </c>
      <c r="O35" s="656"/>
      <c r="P35" s="656"/>
      <c r="Q35" s="84" t="s">
        <v>1379</v>
      </c>
      <c r="R35" s="656"/>
      <c r="S35" s="656"/>
      <c r="T35" s="656"/>
      <c r="U35" s="656"/>
      <c r="V35" s="656"/>
      <c r="W35" s="656"/>
      <c r="X35" s="656"/>
      <c r="Y35" s="656"/>
      <c r="Z35" s="656"/>
      <c r="AA35" s="656"/>
      <c r="AB35" s="656"/>
      <c r="AC35" s="656"/>
      <c r="AD35" s="656"/>
      <c r="AE35" s="656"/>
      <c r="AF35" s="656"/>
      <c r="AG35" s="656"/>
      <c r="AH35" s="656"/>
      <c r="AI35" s="656"/>
      <c r="AJ35" s="656"/>
      <c r="AK35" s="656"/>
      <c r="AL35" s="656"/>
      <c r="AM35" s="656"/>
      <c r="AN35" s="656"/>
      <c r="AO35" s="656"/>
      <c r="AP35" s="656"/>
      <c r="AQ35" s="656"/>
      <c r="AR35" s="656"/>
      <c r="AS35" s="656"/>
      <c r="AT35" s="656"/>
      <c r="AU35" s="656"/>
    </row>
    <row r="36" spans="1:47" x14ac:dyDescent="0.2">
      <c r="A36" s="10"/>
      <c r="B36" s="10"/>
      <c r="C36" s="470" t="str">
        <f>IF(A45=TRUE,Q78,IF(A46=TRUE,Q76,IF(A47=TRUE,Q77,"")))</f>
        <v/>
      </c>
      <c r="O36" s="656"/>
      <c r="P36" s="656"/>
      <c r="Q36" s="84"/>
      <c r="R36" s="656"/>
      <c r="S36" s="656"/>
      <c r="T36" s="656"/>
      <c r="U36" s="656"/>
      <c r="V36" s="656"/>
      <c r="W36" s="656"/>
      <c r="X36" s="656"/>
      <c r="Y36" s="656"/>
      <c r="Z36" s="656"/>
      <c r="AA36" s="656"/>
      <c r="AB36" s="656"/>
      <c r="AC36" s="656"/>
      <c r="AD36" s="656"/>
      <c r="AE36" s="656"/>
      <c r="AF36" s="656"/>
      <c r="AG36" s="656"/>
      <c r="AH36" s="656"/>
      <c r="AI36" s="656"/>
      <c r="AJ36" s="656"/>
      <c r="AK36" s="656"/>
      <c r="AL36" s="656"/>
      <c r="AM36" s="656"/>
      <c r="AN36" s="656"/>
      <c r="AO36" s="656"/>
      <c r="AP36" s="656"/>
      <c r="AQ36" s="656"/>
      <c r="AR36" s="656"/>
      <c r="AS36" s="656"/>
      <c r="AT36" s="656"/>
      <c r="AU36" s="656"/>
    </row>
    <row r="37" spans="1:47" x14ac:dyDescent="0.2">
      <c r="A37" s="10"/>
      <c r="B37" s="10"/>
      <c r="C37" t="str">
        <f>IF(A48=TRUE,Q79, "")</f>
        <v/>
      </c>
      <c r="O37" s="656"/>
      <c r="P37" s="656"/>
      <c r="Q37" s="84" t="s">
        <v>1380</v>
      </c>
      <c r="R37" s="656"/>
      <c r="S37" s="656"/>
      <c r="T37" s="656"/>
      <c r="U37" s="656"/>
      <c r="V37" s="656"/>
      <c r="W37" s="656"/>
      <c r="X37" s="656"/>
      <c r="Y37" s="656"/>
      <c r="Z37" s="656"/>
      <c r="AA37" s="656"/>
      <c r="AB37" s="656"/>
      <c r="AC37" s="656"/>
      <c r="AD37" s="656"/>
      <c r="AE37" s="656"/>
      <c r="AF37" s="656"/>
      <c r="AG37" s="656"/>
      <c r="AH37" s="656"/>
      <c r="AI37" s="656"/>
      <c r="AJ37" s="656"/>
      <c r="AK37" s="656"/>
      <c r="AL37" s="656"/>
      <c r="AM37" s="656"/>
      <c r="AN37" s="656"/>
      <c r="AO37" s="656"/>
      <c r="AP37" s="656"/>
      <c r="AQ37" s="656"/>
      <c r="AR37" s="656"/>
      <c r="AS37" s="656"/>
      <c r="AT37" s="656"/>
      <c r="AU37" s="656"/>
    </row>
    <row r="38" spans="1:47" x14ac:dyDescent="0.2">
      <c r="A38" s="10"/>
      <c r="B38" s="10"/>
      <c r="C38" t="str">
        <f>IF(A49=TRUE,Q80, IF(A53=TRUE, Q83, IF(A54=TRUE, Q82,"")))</f>
        <v/>
      </c>
      <c r="O38" s="656"/>
      <c r="P38" s="656"/>
      <c r="Q38" s="470" t="s">
        <v>1381</v>
      </c>
      <c r="R38" s="656"/>
      <c r="S38" s="656"/>
      <c r="T38" s="656"/>
      <c r="U38" s="656"/>
      <c r="V38" s="656"/>
      <c r="W38" s="656"/>
      <c r="X38" s="656"/>
      <c r="Y38" s="656"/>
      <c r="Z38" s="656"/>
      <c r="AA38" s="656"/>
      <c r="AB38" s="656"/>
      <c r="AC38" s="656"/>
      <c r="AD38" s="656"/>
      <c r="AE38" s="656"/>
      <c r="AF38" s="656"/>
      <c r="AG38" s="656"/>
      <c r="AH38" s="656"/>
      <c r="AI38" s="656"/>
      <c r="AJ38" s="656"/>
      <c r="AK38" s="656"/>
      <c r="AL38" s="656"/>
      <c r="AM38" s="656"/>
      <c r="AN38" s="656"/>
      <c r="AO38" s="656"/>
      <c r="AP38" s="656"/>
      <c r="AQ38" s="656"/>
      <c r="AR38" s="656"/>
      <c r="AS38" s="656"/>
      <c r="AT38" s="656"/>
      <c r="AU38" s="656"/>
    </row>
    <row r="39" spans="1:47" x14ac:dyDescent="0.2">
      <c r="A39" s="10"/>
      <c r="B39" s="10"/>
      <c r="C39" s="706" t="s">
        <v>1382</v>
      </c>
      <c r="D39" s="651"/>
      <c r="E39" s="651"/>
      <c r="F39" s="651"/>
      <c r="G39" s="651"/>
      <c r="H39" s="651"/>
      <c r="I39" s="651"/>
      <c r="J39" s="651"/>
      <c r="K39" s="651"/>
      <c r="L39" s="651"/>
      <c r="M39" s="651"/>
      <c r="O39" s="656"/>
      <c r="P39" s="656"/>
      <c r="Q39" s="84" t="s">
        <v>1335</v>
      </c>
      <c r="R39" s="656" t="s">
        <v>1383</v>
      </c>
      <c r="S39" s="656"/>
      <c r="T39" s="656"/>
      <c r="U39" s="656"/>
      <c r="V39" s="656"/>
      <c r="W39" s="656"/>
      <c r="X39" s="656"/>
      <c r="Y39" s="656"/>
      <c r="Z39" s="656"/>
      <c r="AA39" s="656"/>
      <c r="AB39" s="656"/>
      <c r="AC39" s="656"/>
      <c r="AD39" s="656"/>
      <c r="AE39" s="656"/>
      <c r="AF39" s="656"/>
      <c r="AG39" s="656"/>
      <c r="AH39" s="656"/>
      <c r="AI39" s="656"/>
      <c r="AJ39" s="656"/>
      <c r="AK39" s="656"/>
      <c r="AL39" s="656"/>
      <c r="AM39" s="656"/>
      <c r="AN39" s="656"/>
      <c r="AO39" s="656"/>
      <c r="AP39" s="656"/>
      <c r="AQ39" s="656"/>
      <c r="AR39" s="656"/>
      <c r="AS39" s="656"/>
      <c r="AT39" s="656"/>
      <c r="AU39" s="656"/>
    </row>
    <row r="40" spans="1:47" x14ac:dyDescent="0.2">
      <c r="A40" s="10"/>
      <c r="B40" s="10"/>
      <c r="C40" t="str">
        <f>IF($A$4=1,R59,IF($A$4=2,R60,IF($A$4=3, R61, IF($A$4=4,R63,IF($A$4=5,R64,IF($A$4=6,R65,"Error"))))))</f>
        <v>List calibration frequency on sticker (e.g. 60 kHz)</v>
      </c>
      <c r="O40" s="656"/>
      <c r="P40" s="656"/>
      <c r="Q40" s="84" t="s">
        <v>1338</v>
      </c>
      <c r="R40" s="656" t="s">
        <v>1384</v>
      </c>
      <c r="S40" s="656"/>
      <c r="T40" s="656"/>
      <c r="U40" s="656"/>
      <c r="V40" s="656"/>
      <c r="W40" s="656"/>
      <c r="X40" s="656"/>
      <c r="Y40" s="656"/>
      <c r="Z40" s="656"/>
      <c r="AA40" s="656"/>
      <c r="AB40" s="656"/>
      <c r="AC40" s="656"/>
      <c r="AD40" s="656"/>
      <c r="AE40" s="656"/>
      <c r="AF40" s="656"/>
      <c r="AG40" s="656"/>
      <c r="AH40" s="656"/>
      <c r="AI40" s="656"/>
      <c r="AJ40" s="656"/>
      <c r="AK40" s="656"/>
      <c r="AL40" s="656"/>
      <c r="AM40" s="656"/>
      <c r="AN40" s="656"/>
      <c r="AO40" s="656"/>
      <c r="AP40" s="656"/>
      <c r="AQ40" s="656"/>
      <c r="AR40" s="656"/>
      <c r="AS40" s="656"/>
      <c r="AT40" s="656"/>
      <c r="AU40" s="656"/>
    </row>
    <row r="41" spans="1:47" x14ac:dyDescent="0.2">
      <c r="A41" s="10"/>
      <c r="B41" s="10"/>
      <c r="C41" t="s">
        <v>1385</v>
      </c>
      <c r="O41" s="656"/>
      <c r="P41" s="656"/>
      <c r="Q41" s="84" t="s">
        <v>1341</v>
      </c>
      <c r="R41" s="656" t="s">
        <v>1384</v>
      </c>
      <c r="S41" s="656"/>
      <c r="T41" s="656"/>
      <c r="U41" s="656"/>
      <c r="V41" s="656"/>
      <c r="W41" s="656"/>
      <c r="X41" s="656"/>
      <c r="Y41" s="656"/>
      <c r="Z41" s="656"/>
      <c r="AA41" s="656"/>
      <c r="AB41" s="656"/>
      <c r="AC41" s="656"/>
      <c r="AD41" s="656"/>
      <c r="AE41" s="656"/>
      <c r="AF41" s="656"/>
      <c r="AG41" s="656"/>
      <c r="AH41" s="656"/>
      <c r="AI41" s="656"/>
      <c r="AJ41" s="656"/>
      <c r="AK41" s="656"/>
      <c r="AL41" s="656"/>
      <c r="AM41" s="656"/>
      <c r="AN41" s="656"/>
      <c r="AO41" s="656"/>
      <c r="AP41" s="656"/>
      <c r="AQ41" s="656"/>
      <c r="AR41" s="656"/>
      <c r="AS41" s="656"/>
      <c r="AT41" s="656"/>
      <c r="AU41" s="656"/>
    </row>
    <row r="42" spans="1:47" x14ac:dyDescent="0.2">
      <c r="A42" s="10"/>
      <c r="B42" s="10"/>
      <c r="C42" t="str">
        <f>IF(A53=TRUE, Q87, IF(A55=TRUE, Q88,""))</f>
        <v/>
      </c>
      <c r="O42" s="656"/>
      <c r="P42" s="656"/>
      <c r="Q42" s="84" t="s">
        <v>1348</v>
      </c>
      <c r="R42" s="656" t="s">
        <v>1386</v>
      </c>
      <c r="S42" s="656"/>
      <c r="T42" s="656"/>
      <c r="U42" s="656"/>
      <c r="V42" s="656"/>
      <c r="W42" s="656"/>
      <c r="X42" s="656"/>
      <c r="Y42" s="656"/>
      <c r="Z42" s="656"/>
      <c r="AA42" s="656"/>
      <c r="AB42" s="656"/>
      <c r="AC42" s="656"/>
      <c r="AD42" s="656"/>
      <c r="AE42" s="656"/>
      <c r="AF42" s="656"/>
      <c r="AG42" s="656"/>
      <c r="AH42" s="656"/>
      <c r="AI42" s="656"/>
      <c r="AJ42" s="656"/>
      <c r="AK42" s="656"/>
      <c r="AL42" s="656"/>
      <c r="AM42" s="656"/>
      <c r="AN42" s="656"/>
      <c r="AO42" s="656"/>
      <c r="AP42" s="656"/>
      <c r="AQ42" s="656"/>
      <c r="AR42" s="656"/>
      <c r="AS42" s="656"/>
      <c r="AT42" s="656"/>
      <c r="AU42" s="656"/>
    </row>
    <row r="43" spans="1:47" x14ac:dyDescent="0.2">
      <c r="A43" s="10"/>
      <c r="B43" s="10"/>
      <c r="C43" s="777" t="str">
        <f>IF(A53=TRUE, "Click here for Guard Banding Instructions","")</f>
        <v/>
      </c>
      <c r="O43" s="656"/>
      <c r="P43" s="656"/>
      <c r="Q43" s="84" t="s">
        <v>1344</v>
      </c>
      <c r="R43" s="656" t="s">
        <v>1383</v>
      </c>
      <c r="S43" s="656"/>
      <c r="T43" s="656"/>
      <c r="U43" s="656"/>
      <c r="V43" s="656"/>
      <c r="W43" s="656"/>
      <c r="X43" s="656"/>
      <c r="Y43" s="656"/>
      <c r="Z43" s="656"/>
      <c r="AA43" s="656"/>
      <c r="AB43" s="656"/>
      <c r="AC43" s="656"/>
      <c r="AD43" s="656"/>
      <c r="AE43" s="656"/>
      <c r="AF43" s="656"/>
      <c r="AG43" s="656"/>
      <c r="AH43" s="656"/>
      <c r="AI43" s="656"/>
      <c r="AJ43" s="656"/>
      <c r="AK43" s="656"/>
      <c r="AL43" s="656"/>
      <c r="AM43" s="656"/>
      <c r="AN43" s="656"/>
      <c r="AO43" s="656"/>
      <c r="AP43" s="656"/>
      <c r="AQ43" s="656"/>
      <c r="AR43" s="656"/>
      <c r="AS43" s="656"/>
      <c r="AT43" s="656"/>
      <c r="AU43" s="656"/>
    </row>
    <row r="44" spans="1:47" x14ac:dyDescent="0.2">
      <c r="A44" s="771" t="b">
        <v>1</v>
      </c>
      <c r="B44" s="10"/>
      <c r="C44" s="776"/>
      <c r="D44" s="4"/>
      <c r="E44" s="4"/>
      <c r="F44" s="4"/>
      <c r="G44" s="4"/>
      <c r="H44" s="4"/>
      <c r="I44" s="4"/>
      <c r="J44" s="4"/>
      <c r="K44" s="4"/>
      <c r="L44" s="4"/>
      <c r="M44" s="4"/>
      <c r="O44" s="656"/>
      <c r="P44" s="656"/>
      <c r="Q44" s="84" t="s">
        <v>1346</v>
      </c>
      <c r="R44" s="656" t="s">
        <v>1384</v>
      </c>
      <c r="S44" s="656"/>
      <c r="T44" s="656"/>
      <c r="U44" s="656"/>
      <c r="V44" s="656"/>
      <c r="W44" s="656"/>
      <c r="X44" s="656"/>
      <c r="Y44" s="656"/>
      <c r="Z44" s="656"/>
      <c r="AA44" s="656"/>
      <c r="AB44" s="656"/>
      <c r="AC44" s="656"/>
      <c r="AD44" s="656"/>
      <c r="AE44" s="656"/>
      <c r="AF44" s="656"/>
      <c r="AG44" s="656"/>
      <c r="AH44" s="656"/>
      <c r="AI44" s="656"/>
      <c r="AJ44" s="656"/>
      <c r="AK44" s="656"/>
      <c r="AL44" s="656"/>
      <c r="AM44" s="656"/>
      <c r="AN44" s="656"/>
      <c r="AO44" s="656"/>
      <c r="AP44" s="656"/>
      <c r="AQ44" s="656"/>
      <c r="AR44" s="656"/>
      <c r="AS44" s="656"/>
      <c r="AT44" s="656"/>
      <c r="AU44" s="656"/>
    </row>
    <row r="45" spans="1:47" x14ac:dyDescent="0.2">
      <c r="A45" s="771" t="b">
        <v>0</v>
      </c>
      <c r="B45" s="10"/>
      <c r="C45" s="706" t="s">
        <v>1387</v>
      </c>
      <c r="D45" s="706"/>
      <c r="E45" s="706"/>
      <c r="F45" s="706"/>
      <c r="G45" s="651"/>
      <c r="H45" s="651"/>
      <c r="I45" s="651"/>
      <c r="J45" s="651"/>
      <c r="K45" s="651"/>
      <c r="L45" s="651"/>
      <c r="M45" s="651"/>
      <c r="O45" s="656"/>
      <c r="P45" s="656"/>
      <c r="Q45" s="84"/>
      <c r="R45" s="656"/>
      <c r="S45" s="656"/>
      <c r="T45" s="656"/>
      <c r="U45" s="656"/>
      <c r="V45" s="656"/>
      <c r="W45" s="656"/>
      <c r="X45" s="656"/>
      <c r="Y45" s="656"/>
      <c r="Z45" s="656"/>
      <c r="AA45" s="656"/>
      <c r="AB45" s="656"/>
      <c r="AC45" s="656"/>
      <c r="AD45" s="656"/>
      <c r="AE45" s="656"/>
      <c r="AF45" s="656"/>
      <c r="AG45" s="656"/>
      <c r="AH45" s="656"/>
      <c r="AI45" s="656"/>
      <c r="AJ45" s="656"/>
      <c r="AK45" s="656"/>
      <c r="AL45" s="656"/>
      <c r="AM45" s="656"/>
      <c r="AN45" s="656"/>
      <c r="AO45" s="656"/>
      <c r="AP45" s="656"/>
      <c r="AQ45" s="656"/>
      <c r="AR45" s="656"/>
      <c r="AS45" s="656"/>
      <c r="AT45" s="656"/>
      <c r="AU45" s="656"/>
    </row>
    <row r="46" spans="1:47" x14ac:dyDescent="0.2">
      <c r="A46" s="771" t="b">
        <v>0</v>
      </c>
      <c r="B46" s="10"/>
      <c r="C46" t="s">
        <v>1388</v>
      </c>
      <c r="M46" s="4"/>
      <c r="O46" s="656"/>
      <c r="P46" s="738"/>
      <c r="Q46" s="84" t="s">
        <v>1389</v>
      </c>
      <c r="R46" s="656"/>
      <c r="S46" s="656"/>
      <c r="T46" s="656"/>
      <c r="U46" s="738"/>
      <c r="V46" s="738"/>
      <c r="W46" s="738"/>
      <c r="X46" s="738"/>
      <c r="Y46" s="738"/>
      <c r="Z46" s="738"/>
      <c r="AA46" s="738"/>
      <c r="AB46" s="738"/>
      <c r="AC46" s="738"/>
      <c r="AD46" s="738"/>
      <c r="AE46" s="738"/>
      <c r="AF46" s="738"/>
      <c r="AG46" s="738"/>
      <c r="AH46" s="656"/>
      <c r="AI46" s="656"/>
      <c r="AJ46" s="656"/>
      <c r="AK46" s="656"/>
      <c r="AL46" s="656"/>
      <c r="AM46" s="656"/>
      <c r="AN46" s="656"/>
      <c r="AO46" s="656"/>
      <c r="AP46" s="656"/>
      <c r="AQ46" s="656"/>
      <c r="AR46" s="656"/>
      <c r="AS46" s="656"/>
      <c r="AT46" s="656"/>
      <c r="AU46" s="656"/>
    </row>
    <row r="47" spans="1:47" ht="13.5" thickBot="1" x14ac:dyDescent="0.25">
      <c r="A47" s="771" t="b">
        <v>0</v>
      </c>
      <c r="B47" s="10"/>
      <c r="C47" t="s">
        <v>1390</v>
      </c>
      <c r="K47" s="4"/>
      <c r="L47" s="4"/>
      <c r="M47" s="4"/>
      <c r="O47" s="656"/>
      <c r="P47" s="738"/>
      <c r="Q47" s="84" t="s">
        <v>1341</v>
      </c>
      <c r="R47" s="656" t="s">
        <v>1391</v>
      </c>
      <c r="S47" s="656"/>
      <c r="T47" s="656"/>
      <c r="U47" s="738"/>
      <c r="V47" s="738"/>
      <c r="W47" s="738"/>
      <c r="X47" s="738"/>
      <c r="Y47" s="738"/>
      <c r="Z47" s="738"/>
      <c r="AA47" s="738"/>
      <c r="AB47" s="738"/>
      <c r="AC47" s="738"/>
      <c r="AD47" s="738"/>
      <c r="AE47" s="738"/>
      <c r="AF47" s="738"/>
      <c r="AG47" s="738"/>
      <c r="AH47" s="656"/>
      <c r="AI47" s="656"/>
      <c r="AJ47" s="656"/>
      <c r="AK47" s="656"/>
      <c r="AL47" s="656"/>
      <c r="AM47" s="656"/>
      <c r="AN47" s="656"/>
      <c r="AO47" s="656"/>
      <c r="AP47" s="656"/>
      <c r="AQ47" s="656"/>
      <c r="AR47" s="656"/>
      <c r="AS47" s="656"/>
      <c r="AT47" s="656"/>
      <c r="AU47" s="656"/>
    </row>
    <row r="48" spans="1:47" ht="13.5" thickBot="1" x14ac:dyDescent="0.25">
      <c r="A48" s="771" t="b">
        <v>0</v>
      </c>
      <c r="B48" s="10"/>
      <c r="C48" s="773" t="s">
        <v>1392</v>
      </c>
      <c r="D48" s="774"/>
      <c r="E48" s="775"/>
      <c r="F48" s="4"/>
      <c r="G48" s="4"/>
      <c r="H48" s="4"/>
      <c r="I48" s="4"/>
      <c r="J48" s="4"/>
      <c r="K48" s="4"/>
      <c r="L48" s="4"/>
      <c r="M48" s="4"/>
      <c r="O48" s="656"/>
      <c r="P48" s="738"/>
      <c r="Q48" s="84"/>
      <c r="R48" s="656"/>
      <c r="S48" s="656"/>
      <c r="T48" s="656"/>
      <c r="U48" s="738"/>
      <c r="V48" s="738"/>
      <c r="W48" s="738"/>
      <c r="X48" s="738"/>
      <c r="Y48" s="738"/>
      <c r="Z48" s="738"/>
      <c r="AA48" s="738"/>
      <c r="AB48" s="738"/>
      <c r="AC48" s="738"/>
      <c r="AD48" s="738"/>
      <c r="AE48" s="738"/>
      <c r="AF48" s="738"/>
      <c r="AG48" s="738"/>
      <c r="AH48" s="656"/>
      <c r="AI48" s="656"/>
      <c r="AJ48" s="656"/>
      <c r="AK48" s="656"/>
      <c r="AL48" s="656"/>
      <c r="AM48" s="656"/>
      <c r="AN48" s="656"/>
      <c r="AO48" s="656"/>
      <c r="AP48" s="656"/>
      <c r="AQ48" s="656"/>
      <c r="AR48" s="656"/>
      <c r="AS48" s="656"/>
      <c r="AT48" s="656"/>
      <c r="AU48" s="656"/>
    </row>
    <row r="49" spans="1:47" x14ac:dyDescent="0.2">
      <c r="A49" s="771" t="b">
        <v>0</v>
      </c>
      <c r="B49" s="10"/>
      <c r="C49" s="31" t="s">
        <v>1393</v>
      </c>
      <c r="D49" s="31" t="s">
        <v>1383</v>
      </c>
      <c r="E49" s="31"/>
      <c r="F49" s="4"/>
      <c r="G49" s="4"/>
      <c r="H49" s="4"/>
      <c r="I49" s="4"/>
      <c r="J49" s="4"/>
      <c r="K49" s="4"/>
      <c r="L49" s="4"/>
      <c r="M49" s="4"/>
      <c r="O49" s="656"/>
      <c r="P49" s="738"/>
      <c r="Q49" s="84" t="s">
        <v>1375</v>
      </c>
      <c r="R49" s="656"/>
      <c r="S49" s="656"/>
      <c r="T49" s="656"/>
      <c r="U49" s="738"/>
      <c r="V49" s="738"/>
      <c r="W49" s="738"/>
      <c r="X49" s="738"/>
      <c r="Y49" s="738"/>
      <c r="Z49" s="738"/>
      <c r="AA49" s="738"/>
      <c r="AB49" s="738"/>
      <c r="AC49" s="738"/>
      <c r="AD49" s="738"/>
      <c r="AE49" s="738"/>
      <c r="AF49" s="738"/>
      <c r="AG49" s="738"/>
      <c r="AH49" s="656"/>
      <c r="AI49" s="656"/>
      <c r="AJ49" s="656"/>
      <c r="AK49" s="656"/>
      <c r="AL49" s="656"/>
      <c r="AM49" s="656"/>
      <c r="AN49" s="656"/>
      <c r="AO49" s="656"/>
      <c r="AP49" s="656"/>
      <c r="AQ49" s="656"/>
      <c r="AR49" s="656"/>
      <c r="AS49" s="656"/>
      <c r="AT49" s="656"/>
      <c r="AU49" s="656"/>
    </row>
    <row r="50" spans="1:47" x14ac:dyDescent="0.2">
      <c r="A50" s="771" t="b">
        <v>0</v>
      </c>
      <c r="B50" s="10"/>
      <c r="C50" s="137" t="s">
        <v>1394</v>
      </c>
      <c r="D50" s="454" t="s">
        <v>1383</v>
      </c>
      <c r="E50" s="5"/>
      <c r="F50" s="884"/>
      <c r="G50" s="884"/>
      <c r="H50" s="884"/>
      <c r="I50" s="884"/>
      <c r="J50" s="4"/>
      <c r="K50" s="4"/>
      <c r="L50" s="4"/>
      <c r="M50" s="4"/>
      <c r="O50" s="656"/>
      <c r="P50" s="738"/>
      <c r="Q50" s="470" t="s">
        <v>1395</v>
      </c>
      <c r="R50" s="656"/>
      <c r="S50" s="656"/>
      <c r="T50" s="656"/>
      <c r="U50" s="738"/>
      <c r="V50" s="738"/>
      <c r="W50" s="738"/>
      <c r="X50" s="738"/>
      <c r="Y50" s="738"/>
      <c r="Z50" s="738"/>
      <c r="AA50" s="738"/>
      <c r="AB50" s="738"/>
      <c r="AC50" s="738"/>
      <c r="AD50" s="738"/>
      <c r="AE50" s="738"/>
      <c r="AF50" s="738"/>
      <c r="AG50" s="738"/>
      <c r="AH50" s="656"/>
      <c r="AI50" s="656"/>
      <c r="AJ50" s="656"/>
      <c r="AK50" s="656"/>
      <c r="AL50" s="656"/>
      <c r="AM50" s="656"/>
      <c r="AN50" s="656"/>
      <c r="AO50" s="656"/>
      <c r="AP50" s="656"/>
      <c r="AQ50" s="656"/>
      <c r="AR50" s="656"/>
      <c r="AS50" s="656"/>
      <c r="AT50" s="656"/>
      <c r="AU50" s="656"/>
    </row>
    <row r="51" spans="1:47" x14ac:dyDescent="0.2">
      <c r="A51" s="771" t="b">
        <v>0</v>
      </c>
      <c r="B51" s="10"/>
      <c r="C51" s="5" t="s">
        <v>1396</v>
      </c>
      <c r="D51" s="454" t="s">
        <v>1383</v>
      </c>
      <c r="E51" s="5"/>
      <c r="F51" s="4"/>
      <c r="G51" s="4"/>
      <c r="H51" s="4"/>
      <c r="I51" s="4"/>
      <c r="J51" s="4"/>
      <c r="K51" s="4"/>
      <c r="L51" s="4"/>
      <c r="M51" s="4"/>
      <c r="O51" s="656"/>
      <c r="P51" s="738"/>
      <c r="Q51" s="84" t="s">
        <v>1335</v>
      </c>
      <c r="R51" s="656" t="s">
        <v>1397</v>
      </c>
      <c r="S51" s="656"/>
      <c r="T51" s="656"/>
      <c r="U51" s="738"/>
      <c r="V51" s="738"/>
      <c r="W51" s="738"/>
      <c r="X51" s="738"/>
      <c r="Y51" s="738"/>
      <c r="Z51" s="738"/>
      <c r="AA51" s="738"/>
      <c r="AB51" s="738"/>
      <c r="AC51" s="738"/>
      <c r="AD51" s="738"/>
      <c r="AE51" s="738"/>
      <c r="AF51" s="738"/>
      <c r="AG51" s="738"/>
      <c r="AH51" s="656"/>
      <c r="AI51" s="656"/>
      <c r="AJ51" s="656"/>
      <c r="AK51" s="656"/>
      <c r="AL51" s="656"/>
      <c r="AM51" s="656"/>
      <c r="AN51" s="656"/>
      <c r="AO51" s="656"/>
      <c r="AP51" s="656"/>
      <c r="AQ51" s="656"/>
      <c r="AR51" s="656"/>
      <c r="AS51" s="656"/>
      <c r="AT51" s="656"/>
      <c r="AU51" s="656"/>
    </row>
    <row r="52" spans="1:47" x14ac:dyDescent="0.2">
      <c r="A52" s="771" t="b">
        <v>0</v>
      </c>
      <c r="B52" s="10"/>
      <c r="C52" s="137" t="s">
        <v>1398</v>
      </c>
      <c r="D52" s="454" t="s">
        <v>1383</v>
      </c>
      <c r="E52" s="5"/>
      <c r="F52" s="4"/>
      <c r="G52" s="4"/>
      <c r="H52" s="4"/>
      <c r="I52" s="4"/>
      <c r="J52" s="4"/>
      <c r="K52" s="4"/>
      <c r="L52" s="4"/>
      <c r="M52" s="4"/>
      <c r="O52" s="656"/>
      <c r="P52" s="738"/>
      <c r="Q52" s="84" t="s">
        <v>1338</v>
      </c>
      <c r="R52" s="656" t="s">
        <v>1399</v>
      </c>
      <c r="S52" s="656"/>
      <c r="T52" s="656"/>
      <c r="U52" s="738"/>
      <c r="V52" s="738"/>
      <c r="W52" s="738"/>
      <c r="X52" s="738"/>
      <c r="Y52" s="738"/>
      <c r="Z52" s="738"/>
      <c r="AA52" s="738"/>
      <c r="AB52" s="738"/>
      <c r="AC52" s="738"/>
      <c r="AD52" s="738"/>
      <c r="AE52" s="738"/>
      <c r="AF52" s="738"/>
      <c r="AG52" s="738"/>
      <c r="AH52" s="656"/>
      <c r="AI52" s="656"/>
      <c r="AJ52" s="656"/>
      <c r="AK52" s="656"/>
      <c r="AL52" s="656"/>
      <c r="AM52" s="656"/>
      <c r="AN52" s="656"/>
      <c r="AO52" s="656"/>
      <c r="AP52" s="656"/>
      <c r="AQ52" s="656"/>
      <c r="AR52" s="656"/>
      <c r="AS52" s="656"/>
      <c r="AT52" s="656"/>
      <c r="AU52" s="656"/>
    </row>
    <row r="53" spans="1:47" x14ac:dyDescent="0.2">
      <c r="A53" s="772" t="b">
        <v>0</v>
      </c>
      <c r="B53" s="10"/>
      <c r="C53" s="5" t="s">
        <v>1400</v>
      </c>
      <c r="D53" s="454" t="s">
        <v>1383</v>
      </c>
      <c r="E53" s="5"/>
      <c r="F53" s="4"/>
      <c r="G53" s="4"/>
      <c r="H53" s="4"/>
      <c r="I53" s="4"/>
      <c r="J53" s="4"/>
      <c r="K53" s="4"/>
      <c r="L53" s="4"/>
      <c r="M53" s="4"/>
      <c r="O53" s="656"/>
      <c r="P53" s="738"/>
      <c r="Q53" s="84" t="s">
        <v>1341</v>
      </c>
      <c r="R53" s="656" t="s">
        <v>1399</v>
      </c>
      <c r="S53" s="656"/>
      <c r="T53" s="656"/>
      <c r="U53" s="738"/>
      <c r="V53" s="738"/>
      <c r="W53" s="738"/>
      <c r="X53" s="738"/>
      <c r="Y53" s="738"/>
      <c r="Z53" s="738"/>
      <c r="AA53" s="738"/>
      <c r="AB53" s="738"/>
      <c r="AC53" s="738"/>
      <c r="AD53" s="738"/>
      <c r="AE53" s="738"/>
      <c r="AF53" s="738"/>
      <c r="AG53" s="738"/>
      <c r="AH53" s="656"/>
      <c r="AI53" s="656"/>
      <c r="AJ53" s="656"/>
      <c r="AK53" s="656"/>
      <c r="AL53" s="656"/>
      <c r="AM53" s="656"/>
      <c r="AN53" s="656"/>
      <c r="AO53" s="656"/>
      <c r="AP53" s="656"/>
      <c r="AQ53" s="656"/>
      <c r="AR53" s="656"/>
      <c r="AS53" s="656"/>
      <c r="AT53" s="656"/>
      <c r="AU53" s="656"/>
    </row>
    <row r="54" spans="1:47" x14ac:dyDescent="0.2">
      <c r="A54" s="772" t="b">
        <v>0</v>
      </c>
      <c r="B54" s="10"/>
      <c r="C54" s="724" t="s">
        <v>1401</v>
      </c>
      <c r="M54" s="4"/>
      <c r="O54" s="656"/>
      <c r="P54" s="738"/>
      <c r="Q54" s="84" t="s">
        <v>1348</v>
      </c>
      <c r="R54" s="656" t="s">
        <v>1402</v>
      </c>
      <c r="S54" s="656"/>
      <c r="T54" s="656"/>
      <c r="U54" s="738"/>
      <c r="V54" s="738"/>
      <c r="W54" s="738"/>
      <c r="X54" s="738"/>
      <c r="Y54" s="738"/>
      <c r="Z54" s="738"/>
      <c r="AA54" s="738"/>
      <c r="AB54" s="738"/>
      <c r="AC54" s="738"/>
      <c r="AD54" s="738"/>
      <c r="AE54" s="738"/>
      <c r="AF54" s="738"/>
      <c r="AG54" s="738"/>
      <c r="AH54" s="656"/>
      <c r="AI54" s="656"/>
      <c r="AJ54" s="656"/>
      <c r="AK54" s="656"/>
      <c r="AL54" s="656"/>
      <c r="AM54" s="656"/>
      <c r="AN54" s="656"/>
      <c r="AO54" s="656"/>
      <c r="AP54" s="656"/>
      <c r="AQ54" s="656"/>
      <c r="AR54" s="656"/>
      <c r="AS54" s="656"/>
      <c r="AT54" s="656"/>
      <c r="AU54" s="656"/>
    </row>
    <row r="55" spans="1:47" x14ac:dyDescent="0.2">
      <c r="A55" s="772" t="b">
        <v>0</v>
      </c>
      <c r="B55" s="10"/>
      <c r="O55" s="656"/>
      <c r="P55" s="738"/>
      <c r="Q55" s="84" t="s">
        <v>1344</v>
      </c>
      <c r="R55" s="656" t="s">
        <v>1403</v>
      </c>
      <c r="S55" s="656"/>
      <c r="T55" s="656"/>
      <c r="U55" s="738"/>
      <c r="V55" s="738"/>
      <c r="W55" s="738"/>
      <c r="X55" s="738"/>
      <c r="Y55" s="738"/>
      <c r="Z55" s="738"/>
      <c r="AA55" s="738"/>
      <c r="AB55" s="738"/>
      <c r="AC55" s="738"/>
      <c r="AD55" s="738"/>
      <c r="AE55" s="738"/>
      <c r="AF55" s="738"/>
      <c r="AG55" s="738"/>
      <c r="AH55" s="656"/>
      <c r="AI55" s="656"/>
      <c r="AJ55" s="656"/>
      <c r="AK55" s="656"/>
      <c r="AL55" s="656"/>
      <c r="AM55" s="656"/>
      <c r="AN55" s="656"/>
      <c r="AO55" s="656"/>
      <c r="AP55" s="656"/>
      <c r="AQ55" s="656"/>
      <c r="AR55" s="656"/>
      <c r="AS55" s="656"/>
      <c r="AT55" s="656"/>
      <c r="AU55" s="656"/>
    </row>
    <row r="56" spans="1:47" x14ac:dyDescent="0.2">
      <c r="O56" s="656"/>
      <c r="P56" s="738"/>
      <c r="Q56" s="84" t="s">
        <v>1346</v>
      </c>
      <c r="R56" s="656" t="s">
        <v>1404</v>
      </c>
      <c r="S56" s="656"/>
      <c r="T56" s="656"/>
      <c r="U56" s="738"/>
      <c r="V56" s="738"/>
      <c r="W56" s="738"/>
      <c r="X56" s="738"/>
      <c r="Y56" s="738"/>
      <c r="Z56" s="738"/>
      <c r="AA56" s="738"/>
      <c r="AB56" s="738"/>
      <c r="AC56" s="738"/>
      <c r="AD56" s="738"/>
      <c r="AE56" s="738"/>
      <c r="AF56" s="738"/>
      <c r="AG56" s="738"/>
      <c r="AH56" s="656"/>
      <c r="AI56" s="656"/>
      <c r="AJ56" s="656"/>
      <c r="AK56" s="656"/>
      <c r="AL56" s="656"/>
      <c r="AM56" s="656"/>
      <c r="AN56" s="656"/>
      <c r="AO56" s="656"/>
      <c r="AP56" s="656"/>
      <c r="AQ56" s="656"/>
      <c r="AR56" s="656"/>
      <c r="AS56" s="656"/>
      <c r="AT56" s="656"/>
      <c r="AU56" s="656"/>
    </row>
    <row r="57" spans="1:47" x14ac:dyDescent="0.2">
      <c r="A57" t="s">
        <v>1405</v>
      </c>
      <c r="O57" s="656"/>
      <c r="P57" s="738"/>
      <c r="Q57" s="470"/>
      <c r="R57" s="656"/>
      <c r="S57" s="656"/>
      <c r="T57" s="656"/>
      <c r="U57" s="738"/>
      <c r="V57" s="738"/>
      <c r="W57" s="738"/>
      <c r="X57" s="738"/>
      <c r="Y57" s="738"/>
      <c r="Z57" s="738"/>
      <c r="AA57" s="738"/>
      <c r="AB57" s="738"/>
      <c r="AC57" s="738"/>
      <c r="AD57" s="738"/>
      <c r="AE57" s="738"/>
      <c r="AF57" s="738"/>
      <c r="AG57" s="738"/>
      <c r="AH57" s="656"/>
      <c r="AI57" s="656"/>
      <c r="AJ57" s="656"/>
      <c r="AK57" s="656"/>
      <c r="AL57" s="656"/>
      <c r="AM57" s="656"/>
      <c r="AN57" s="656"/>
      <c r="AO57" s="656"/>
      <c r="AP57" s="656"/>
      <c r="AQ57" s="656"/>
      <c r="AR57" s="656"/>
      <c r="AS57" s="656"/>
      <c r="AT57" s="656"/>
      <c r="AU57" s="656"/>
    </row>
    <row r="58" spans="1:47" ht="13.5" thickBot="1" x14ac:dyDescent="0.25">
      <c r="O58" s="656"/>
      <c r="P58" s="738"/>
      <c r="Q58" s="470" t="s">
        <v>1406</v>
      </c>
      <c r="R58" s="656"/>
      <c r="S58" s="656"/>
      <c r="T58" s="656"/>
      <c r="U58" s="738"/>
      <c r="V58" s="738"/>
      <c r="W58" s="738"/>
      <c r="X58" s="738"/>
      <c r="Y58" s="738"/>
      <c r="Z58" s="738"/>
      <c r="AA58" s="738"/>
      <c r="AB58" s="738"/>
      <c r="AC58" s="738"/>
      <c r="AD58" s="738"/>
      <c r="AE58" s="738"/>
      <c r="AF58" s="738"/>
      <c r="AG58" s="738"/>
      <c r="AH58" s="656"/>
      <c r="AI58" s="656"/>
      <c r="AJ58" s="656"/>
      <c r="AK58" s="656"/>
      <c r="AL58" s="656"/>
      <c r="AM58" s="656"/>
      <c r="AN58" s="656"/>
      <c r="AO58" s="656"/>
      <c r="AP58" s="656"/>
      <c r="AQ58" s="656"/>
      <c r="AR58" s="656"/>
      <c r="AS58" s="656"/>
      <c r="AT58" s="656"/>
      <c r="AU58" s="656"/>
    </row>
    <row r="59" spans="1:47" x14ac:dyDescent="0.2">
      <c r="C59" s="1348" t="s">
        <v>1407</v>
      </c>
      <c r="D59" s="1349"/>
      <c r="E59" s="1349"/>
      <c r="F59" s="1349"/>
      <c r="G59" s="1349"/>
      <c r="H59" s="1349"/>
      <c r="I59" s="1350"/>
      <c r="J59" s="84"/>
      <c r="O59" s="656"/>
      <c r="P59" s="738"/>
      <c r="Q59" s="84" t="s">
        <v>1335</v>
      </c>
      <c r="R59" s="656" t="s">
        <v>1408</v>
      </c>
      <c r="S59" s="656"/>
      <c r="T59" s="656"/>
      <c r="U59" s="738"/>
      <c r="V59" s="738"/>
      <c r="W59" s="738"/>
      <c r="X59" s="738"/>
      <c r="Y59" s="738"/>
      <c r="Z59" s="738"/>
      <c r="AA59" s="738"/>
      <c r="AB59" s="738"/>
      <c r="AC59" s="738"/>
      <c r="AD59" s="738"/>
      <c r="AE59" s="738"/>
      <c r="AF59" s="738"/>
      <c r="AG59" s="738"/>
      <c r="AH59" s="656"/>
      <c r="AI59" s="656"/>
      <c r="AJ59" s="656"/>
      <c r="AK59" s="656"/>
      <c r="AL59" s="656"/>
      <c r="AM59" s="656"/>
      <c r="AN59" s="656"/>
      <c r="AO59" s="656"/>
      <c r="AP59" s="656"/>
      <c r="AQ59" s="656"/>
      <c r="AR59" s="656"/>
      <c r="AS59" s="656"/>
      <c r="AT59" s="656"/>
      <c r="AU59" s="656"/>
    </row>
    <row r="60" spans="1:47" x14ac:dyDescent="0.2">
      <c r="C60" s="837" t="s">
        <v>1409</v>
      </c>
      <c r="D60" s="32">
        <v>39.74</v>
      </c>
      <c r="I60" s="168"/>
      <c r="O60" s="656"/>
      <c r="P60" s="738"/>
      <c r="Q60" s="84" t="s">
        <v>1338</v>
      </c>
      <c r="R60" s="656" t="s">
        <v>1410</v>
      </c>
      <c r="S60" s="656"/>
      <c r="T60" s="656"/>
      <c r="U60" s="738"/>
      <c r="V60" s="738"/>
      <c r="W60" s="738"/>
      <c r="X60" s="738"/>
      <c r="Y60" s="738"/>
      <c r="Z60" s="738"/>
      <c r="AA60" s="738"/>
      <c r="AB60" s="738"/>
      <c r="AC60" s="738"/>
      <c r="AD60" s="738"/>
      <c r="AE60" s="738"/>
      <c r="AF60" s="738"/>
      <c r="AG60" s="738"/>
      <c r="AH60" s="656"/>
      <c r="AI60" s="656"/>
      <c r="AJ60" s="656"/>
      <c r="AK60" s="656"/>
      <c r="AL60" s="656"/>
      <c r="AM60" s="656"/>
      <c r="AN60" s="656"/>
      <c r="AO60" s="656"/>
      <c r="AP60" s="656"/>
      <c r="AQ60" s="656"/>
      <c r="AR60" s="656"/>
      <c r="AS60" s="656"/>
      <c r="AT60" s="656"/>
      <c r="AU60" s="656"/>
    </row>
    <row r="61" spans="1:47" x14ac:dyDescent="0.2">
      <c r="C61" s="833" t="s">
        <v>1411</v>
      </c>
      <c r="D61" s="2">
        <v>60.75</v>
      </c>
      <c r="I61" s="168"/>
      <c r="O61" s="656"/>
      <c r="P61" s="738"/>
      <c r="Q61" s="84" t="s">
        <v>1341</v>
      </c>
      <c r="R61" s="656" t="s">
        <v>1412</v>
      </c>
      <c r="S61" s="656"/>
      <c r="T61" s="656"/>
      <c r="U61" s="738"/>
      <c r="V61" s="738"/>
      <c r="W61" s="738"/>
      <c r="X61" s="738"/>
      <c r="Y61" s="738"/>
      <c r="Z61" s="738"/>
      <c r="AA61" s="738"/>
      <c r="AB61" s="738"/>
      <c r="AC61" s="738"/>
      <c r="AD61" s="738"/>
      <c r="AE61" s="738"/>
      <c r="AF61" s="738"/>
      <c r="AG61" s="738"/>
      <c r="AH61" s="656"/>
      <c r="AI61" s="656"/>
      <c r="AJ61" s="656"/>
      <c r="AK61" s="656"/>
      <c r="AL61" s="656"/>
      <c r="AM61" s="656"/>
      <c r="AN61" s="656"/>
      <c r="AO61" s="656"/>
      <c r="AP61" s="656"/>
      <c r="AQ61" s="656"/>
      <c r="AR61" s="656"/>
      <c r="AS61" s="656"/>
      <c r="AT61" s="656"/>
      <c r="AU61" s="656"/>
    </row>
    <row r="62" spans="1:47" x14ac:dyDescent="0.2">
      <c r="C62" s="835"/>
      <c r="D62" s="838" t="s">
        <v>760</v>
      </c>
      <c r="E62" s="838" t="s">
        <v>761</v>
      </c>
      <c r="F62" s="838" t="s">
        <v>762</v>
      </c>
      <c r="G62" s="838" t="s">
        <v>763</v>
      </c>
      <c r="H62" s="838" t="s">
        <v>764</v>
      </c>
      <c r="I62" s="839" t="s">
        <v>601</v>
      </c>
      <c r="O62" s="656"/>
      <c r="P62" s="738"/>
      <c r="Q62" s="84"/>
      <c r="R62" s="656"/>
      <c r="S62" s="656"/>
      <c r="T62" s="656"/>
      <c r="U62" s="738"/>
      <c r="V62" s="738"/>
      <c r="W62" s="738"/>
      <c r="X62" s="738"/>
      <c r="Y62" s="738"/>
      <c r="Z62" s="738"/>
      <c r="AA62" s="738"/>
      <c r="AB62" s="738"/>
      <c r="AC62" s="738"/>
      <c r="AD62" s="738"/>
      <c r="AE62" s="738"/>
      <c r="AF62" s="738"/>
      <c r="AG62" s="738"/>
      <c r="AH62" s="656"/>
      <c r="AI62" s="656"/>
      <c r="AJ62" s="656"/>
      <c r="AK62" s="656"/>
      <c r="AL62" s="656"/>
      <c r="AM62" s="656"/>
      <c r="AN62" s="656"/>
      <c r="AO62" s="656"/>
      <c r="AP62" s="656"/>
      <c r="AQ62" s="656"/>
      <c r="AR62" s="656"/>
      <c r="AS62" s="656"/>
      <c r="AT62" s="656"/>
      <c r="AU62" s="656"/>
    </row>
    <row r="63" spans="1:47" x14ac:dyDescent="0.2">
      <c r="C63" s="833" t="s">
        <v>1413</v>
      </c>
      <c r="D63" s="2">
        <v>39.71</v>
      </c>
      <c r="E63" s="2">
        <v>39.700000000000003</v>
      </c>
      <c r="F63" s="2">
        <v>39.75</v>
      </c>
      <c r="G63" s="2">
        <v>39.35</v>
      </c>
      <c r="H63" s="2">
        <v>39.74</v>
      </c>
      <c r="I63" s="79">
        <f>AVERAGE(D63:H63)</f>
        <v>39.65</v>
      </c>
      <c r="O63" s="656"/>
      <c r="P63" s="738"/>
      <c r="Q63" s="84" t="s">
        <v>1348</v>
      </c>
      <c r="R63" s="656" t="s">
        <v>1414</v>
      </c>
      <c r="S63" s="656"/>
      <c r="T63" s="656"/>
      <c r="U63" s="738"/>
      <c r="V63" s="738"/>
      <c r="W63" s="738"/>
      <c r="X63" s="738"/>
      <c r="Y63" s="738"/>
      <c r="Z63" s="738"/>
      <c r="AA63" s="738"/>
      <c r="AB63" s="738"/>
      <c r="AC63" s="738"/>
      <c r="AD63" s="738"/>
      <c r="AE63" s="738"/>
      <c r="AF63" s="738"/>
      <c r="AG63" s="738"/>
      <c r="AH63" s="656"/>
      <c r="AI63" s="656"/>
      <c r="AJ63" s="656"/>
      <c r="AK63" s="656"/>
      <c r="AL63" s="656"/>
      <c r="AM63" s="656"/>
      <c r="AN63" s="656"/>
      <c r="AO63" s="656"/>
      <c r="AP63" s="656"/>
      <c r="AQ63" s="656"/>
      <c r="AR63" s="656"/>
      <c r="AS63" s="656"/>
      <c r="AT63" s="656"/>
      <c r="AU63" s="656"/>
    </row>
    <row r="64" spans="1:47" x14ac:dyDescent="0.2">
      <c r="C64" s="833" t="s">
        <v>1415</v>
      </c>
      <c r="D64" s="2">
        <v>60.69</v>
      </c>
      <c r="E64" s="2">
        <v>60.73</v>
      </c>
      <c r="F64" s="2">
        <v>60.74</v>
      </c>
      <c r="G64" s="2">
        <v>60.68</v>
      </c>
      <c r="H64" s="2">
        <v>60.76</v>
      </c>
      <c r="I64" s="79">
        <f>AVERAGE(D64:H64)</f>
        <v>60.720000000000006</v>
      </c>
      <c r="O64" s="656"/>
      <c r="P64" s="738"/>
      <c r="Q64" s="84" t="s">
        <v>1344</v>
      </c>
      <c r="R64" s="656" t="s">
        <v>1416</v>
      </c>
      <c r="S64" s="656"/>
      <c r="T64" s="656"/>
      <c r="U64" s="738"/>
      <c r="V64" s="738"/>
      <c r="W64" s="738"/>
      <c r="X64" s="738"/>
      <c r="Y64" s="738"/>
      <c r="Z64" s="738"/>
      <c r="AA64" s="738"/>
      <c r="AB64" s="738"/>
      <c r="AC64" s="738"/>
      <c r="AD64" s="738"/>
      <c r="AE64" s="738"/>
      <c r="AF64" s="738"/>
      <c r="AG64" s="738"/>
      <c r="AH64" s="656"/>
      <c r="AI64" s="656"/>
      <c r="AJ64" s="656"/>
      <c r="AK64" s="656"/>
      <c r="AL64" s="656"/>
      <c r="AM64" s="656"/>
      <c r="AN64" s="656"/>
      <c r="AO64" s="656"/>
      <c r="AP64" s="656"/>
      <c r="AQ64" s="656"/>
      <c r="AR64" s="656"/>
      <c r="AS64" s="656"/>
      <c r="AT64" s="656"/>
      <c r="AU64" s="656"/>
    </row>
    <row r="65" spans="3:47" ht="13.5" thickBot="1" x14ac:dyDescent="0.25">
      <c r="C65" s="836" t="s">
        <v>1417</v>
      </c>
      <c r="D65" s="8">
        <v>58.53</v>
      </c>
      <c r="E65" s="8">
        <v>58.51</v>
      </c>
      <c r="F65" s="8">
        <v>58.5</v>
      </c>
      <c r="G65" s="8">
        <v>58.53</v>
      </c>
      <c r="H65" s="8">
        <v>58.47</v>
      </c>
      <c r="I65" s="81">
        <f>AVERAGE(D65:H65)</f>
        <v>58.507999999999996</v>
      </c>
      <c r="O65" s="656"/>
      <c r="P65" s="738"/>
      <c r="Q65" s="84" t="s">
        <v>1346</v>
      </c>
      <c r="R65" s="656" t="s">
        <v>1414</v>
      </c>
      <c r="S65" s="656"/>
      <c r="T65" s="656"/>
      <c r="U65" s="738"/>
      <c r="V65" s="738"/>
      <c r="W65" s="738"/>
      <c r="X65" s="738"/>
      <c r="Y65" s="738"/>
      <c r="Z65" s="738"/>
      <c r="AA65" s="738"/>
      <c r="AB65" s="738"/>
      <c r="AC65" s="738"/>
      <c r="AD65" s="738"/>
      <c r="AE65" s="738"/>
      <c r="AF65" s="738"/>
      <c r="AG65" s="738"/>
      <c r="AH65" s="656"/>
      <c r="AI65" s="656"/>
      <c r="AJ65" s="656"/>
      <c r="AK65" s="656"/>
      <c r="AL65" s="656"/>
      <c r="AM65" s="656"/>
      <c r="AN65" s="656"/>
      <c r="AO65" s="656"/>
      <c r="AP65" s="656"/>
      <c r="AQ65" s="656"/>
      <c r="AR65" s="656"/>
      <c r="AS65" s="656"/>
      <c r="AT65" s="656"/>
      <c r="AU65" s="656"/>
    </row>
    <row r="66" spans="3:47" x14ac:dyDescent="0.2">
      <c r="C66" s="834" t="s">
        <v>1418</v>
      </c>
      <c r="D66" s="105">
        <f>((D61-D60)/(I64-I63))*(I65-I63)+D60</f>
        <v>58.544299003322251</v>
      </c>
      <c r="O66" s="656"/>
      <c r="P66" s="738"/>
      <c r="Q66" s="84" t="s">
        <v>1419</v>
      </c>
      <c r="R66" s="656" t="s">
        <v>1385</v>
      </c>
      <c r="S66" s="656"/>
      <c r="T66" s="656"/>
      <c r="U66" s="738"/>
      <c r="V66" s="738"/>
      <c r="W66" s="738"/>
      <c r="X66" s="738"/>
      <c r="Y66" s="738"/>
      <c r="Z66" s="738"/>
      <c r="AA66" s="738"/>
      <c r="AB66" s="738"/>
      <c r="AC66" s="738"/>
      <c r="AD66" s="738"/>
      <c r="AE66" s="738"/>
      <c r="AF66" s="738"/>
      <c r="AG66" s="738"/>
      <c r="AH66" s="656"/>
      <c r="AI66" s="656"/>
      <c r="AJ66" s="656"/>
      <c r="AK66" s="656"/>
      <c r="AL66" s="656"/>
      <c r="AM66" s="656"/>
      <c r="AN66" s="656"/>
      <c r="AO66" s="656"/>
      <c r="AP66" s="656"/>
      <c r="AQ66" s="656"/>
      <c r="AR66" s="656"/>
      <c r="AS66" s="656"/>
      <c r="AT66" s="656"/>
      <c r="AU66" s="656"/>
    </row>
    <row r="67" spans="3:47" x14ac:dyDescent="0.2">
      <c r="C67" s="714" t="s">
        <v>1363</v>
      </c>
      <c r="O67" s="656"/>
      <c r="P67" s="738"/>
      <c r="Q67" s="470"/>
      <c r="R67" s="656"/>
      <c r="S67" s="656"/>
      <c r="T67" s="656"/>
      <c r="U67" s="738"/>
      <c r="V67" s="738"/>
      <c r="W67" s="738"/>
      <c r="X67" s="738"/>
      <c r="Y67" s="738"/>
      <c r="Z67" s="738"/>
      <c r="AA67" s="738"/>
      <c r="AB67" s="738"/>
      <c r="AC67" s="738"/>
      <c r="AD67" s="738"/>
      <c r="AE67" s="738"/>
      <c r="AF67" s="738"/>
      <c r="AG67" s="738"/>
      <c r="AH67" s="656"/>
      <c r="AI67" s="656"/>
      <c r="AJ67" s="656"/>
      <c r="AK67" s="656"/>
      <c r="AL67" s="656"/>
      <c r="AM67" s="656"/>
      <c r="AN67" s="656"/>
      <c r="AO67" s="656"/>
      <c r="AP67" s="656"/>
      <c r="AQ67" s="656"/>
      <c r="AR67" s="656"/>
      <c r="AS67" s="656"/>
      <c r="AT67" s="656"/>
      <c r="AU67" s="656"/>
    </row>
    <row r="68" spans="3:47" x14ac:dyDescent="0.2">
      <c r="O68" s="656"/>
      <c r="P68" s="738"/>
      <c r="Q68" s="84" t="s">
        <v>1420</v>
      </c>
      <c r="R68" s="715"/>
      <c r="S68" s="715"/>
      <c r="T68" s="715"/>
      <c r="U68" s="738"/>
      <c r="V68" s="738"/>
      <c r="W68" s="738"/>
      <c r="X68" s="738"/>
      <c r="Y68" s="738"/>
      <c r="Z68" s="738"/>
      <c r="AA68" s="738"/>
      <c r="AB68" s="738"/>
      <c r="AC68" s="738"/>
      <c r="AD68" s="738"/>
      <c r="AE68" s="738"/>
      <c r="AF68" s="738"/>
      <c r="AG68" s="738"/>
      <c r="AH68" s="656"/>
      <c r="AI68" s="656"/>
      <c r="AJ68" s="656"/>
      <c r="AK68" s="656"/>
      <c r="AL68" s="656"/>
      <c r="AM68" s="656"/>
      <c r="AN68" s="656"/>
      <c r="AO68" s="656"/>
      <c r="AP68" s="656"/>
      <c r="AQ68" s="656"/>
      <c r="AR68" s="656"/>
      <c r="AS68" s="656"/>
      <c r="AT68" s="656"/>
      <c r="AU68" s="656"/>
    </row>
    <row r="69" spans="3:47" x14ac:dyDescent="0.2">
      <c r="O69" s="656"/>
      <c r="P69" s="738"/>
      <c r="Q69" s="470" t="s">
        <v>1421</v>
      </c>
      <c r="R69" s="656"/>
      <c r="S69" s="656"/>
      <c r="T69" s="656"/>
      <c r="U69" s="738"/>
      <c r="V69" s="738"/>
      <c r="W69" s="738"/>
      <c r="X69" s="738"/>
      <c r="Y69" s="738"/>
      <c r="Z69" s="738"/>
      <c r="AA69" s="738"/>
      <c r="AB69" s="738"/>
      <c r="AC69" s="738"/>
      <c r="AD69" s="738"/>
      <c r="AE69" s="738"/>
      <c r="AF69" s="738"/>
      <c r="AG69" s="738"/>
      <c r="AH69" s="656"/>
      <c r="AI69" s="656"/>
      <c r="AJ69" s="656"/>
      <c r="AK69" s="656"/>
      <c r="AL69" s="656"/>
      <c r="AM69" s="656"/>
      <c r="AN69" s="656"/>
      <c r="AO69" s="656"/>
      <c r="AP69" s="656"/>
      <c r="AQ69" s="656"/>
      <c r="AR69" s="656"/>
      <c r="AS69" s="656"/>
      <c r="AT69" s="656"/>
      <c r="AU69" s="656"/>
    </row>
    <row r="70" spans="3:47" ht="15.75" x14ac:dyDescent="0.25">
      <c r="O70" s="656"/>
      <c r="P70" s="738"/>
      <c r="Q70" s="765" t="s">
        <v>1422</v>
      </c>
      <c r="R70" s="656"/>
      <c r="S70" s="656"/>
      <c r="T70" s="656"/>
      <c r="U70" s="738"/>
      <c r="V70" s="738"/>
      <c r="W70" s="738"/>
      <c r="X70" s="738"/>
      <c r="Y70" s="738"/>
      <c r="Z70" s="738"/>
      <c r="AA70" s="738"/>
      <c r="AB70" s="738"/>
      <c r="AC70" s="738"/>
      <c r="AD70" s="738"/>
      <c r="AE70" s="738"/>
      <c r="AF70" s="738"/>
      <c r="AG70" s="738"/>
      <c r="AH70" s="656"/>
      <c r="AI70" s="656"/>
      <c r="AJ70" s="656"/>
      <c r="AK70" s="656"/>
      <c r="AL70" s="656"/>
      <c r="AM70" s="656"/>
      <c r="AN70" s="656"/>
      <c r="AO70" s="656"/>
      <c r="AP70" s="656"/>
      <c r="AQ70" s="656"/>
      <c r="AR70" s="656"/>
      <c r="AS70" s="656"/>
      <c r="AT70" s="656"/>
      <c r="AU70" s="656"/>
    </row>
    <row r="71" spans="3:47" ht="15.75" x14ac:dyDescent="0.25">
      <c r="O71" s="656"/>
      <c r="P71" s="738"/>
      <c r="Q71" s="765" t="s">
        <v>1423</v>
      </c>
      <c r="R71" s="656"/>
      <c r="S71" s="656"/>
      <c r="T71" s="656"/>
      <c r="U71" s="738"/>
      <c r="V71" s="738"/>
      <c r="W71" s="738"/>
      <c r="X71" s="738"/>
      <c r="Y71" s="738"/>
      <c r="Z71" s="738"/>
      <c r="AA71" s="738"/>
      <c r="AB71" s="738"/>
      <c r="AC71" s="738"/>
      <c r="AD71" s="738"/>
      <c r="AE71" s="738"/>
      <c r="AF71" s="738"/>
      <c r="AG71" s="738"/>
      <c r="AH71" s="656"/>
      <c r="AI71" s="656"/>
      <c r="AJ71" s="656"/>
      <c r="AK71" s="656"/>
      <c r="AL71" s="656"/>
      <c r="AM71" s="656"/>
      <c r="AN71" s="656"/>
      <c r="AO71" s="656"/>
      <c r="AP71" s="656"/>
      <c r="AQ71" s="656"/>
      <c r="AR71" s="656"/>
      <c r="AS71" s="656"/>
      <c r="AT71" s="656"/>
      <c r="AU71" s="656"/>
    </row>
    <row r="72" spans="3:47" ht="15.75" x14ac:dyDescent="0.25">
      <c r="O72" s="656"/>
      <c r="P72" s="738"/>
      <c r="Q72" s="766" t="s">
        <v>1424</v>
      </c>
      <c r="R72" s="656"/>
      <c r="S72" s="656"/>
      <c r="T72" s="656"/>
      <c r="U72" s="738"/>
      <c r="V72" s="738"/>
      <c r="W72" s="738"/>
      <c r="X72" s="738"/>
      <c r="Y72" s="738"/>
      <c r="Z72" s="738"/>
      <c r="AA72" s="738"/>
      <c r="AB72" s="738"/>
      <c r="AC72" s="738"/>
      <c r="AD72" s="738"/>
      <c r="AE72" s="738"/>
      <c r="AF72" s="738"/>
      <c r="AG72" s="738"/>
      <c r="AH72" s="656"/>
      <c r="AI72" s="656"/>
      <c r="AJ72" s="656"/>
      <c r="AK72" s="656"/>
      <c r="AL72" s="656"/>
      <c r="AM72" s="656"/>
      <c r="AN72" s="656"/>
      <c r="AO72" s="656"/>
      <c r="AP72" s="656"/>
      <c r="AQ72" s="656"/>
      <c r="AR72" s="656"/>
      <c r="AS72" s="656"/>
      <c r="AT72" s="656"/>
      <c r="AU72" s="656"/>
    </row>
    <row r="73" spans="3:47" ht="15.75" x14ac:dyDescent="0.25">
      <c r="O73" s="656"/>
      <c r="P73" s="738"/>
      <c r="Q73" s="767" t="s">
        <v>1425</v>
      </c>
      <c r="R73" s="656"/>
      <c r="S73" s="656"/>
      <c r="T73" s="656"/>
      <c r="U73" s="738"/>
      <c r="V73" s="738"/>
      <c r="W73" s="738"/>
      <c r="X73" s="738"/>
      <c r="Y73" s="738"/>
      <c r="Z73" s="738"/>
      <c r="AA73" s="738"/>
      <c r="AB73" s="738"/>
      <c r="AC73" s="738"/>
      <c r="AD73" s="738"/>
      <c r="AE73" s="738"/>
      <c r="AF73" s="738"/>
      <c r="AG73" s="738"/>
      <c r="AH73" s="656"/>
      <c r="AI73" s="656"/>
      <c r="AJ73" s="656"/>
      <c r="AK73" s="656"/>
      <c r="AL73" s="656"/>
      <c r="AM73" s="656"/>
      <c r="AN73" s="656"/>
      <c r="AO73" s="656"/>
      <c r="AP73" s="656"/>
      <c r="AQ73" s="656"/>
      <c r="AR73" s="656"/>
      <c r="AS73" s="656"/>
      <c r="AT73" s="656"/>
      <c r="AU73" s="656"/>
    </row>
    <row r="74" spans="3:47" ht="15.75" x14ac:dyDescent="0.25">
      <c r="O74" s="656"/>
      <c r="P74" s="738"/>
      <c r="Q74" s="765" t="s">
        <v>1426</v>
      </c>
      <c r="R74" s="656"/>
      <c r="S74" s="656"/>
      <c r="T74" s="656"/>
      <c r="U74" s="738"/>
      <c r="V74" s="738"/>
      <c r="W74" s="738"/>
      <c r="X74" s="738"/>
      <c r="Y74" s="738"/>
      <c r="Z74" s="738"/>
      <c r="AA74" s="738"/>
      <c r="AB74" s="738"/>
      <c r="AC74" s="738"/>
      <c r="AD74" s="738"/>
      <c r="AE74" s="738"/>
      <c r="AF74" s="738"/>
      <c r="AG74" s="738"/>
      <c r="AH74" s="656"/>
      <c r="AI74" s="656"/>
      <c r="AJ74" s="656"/>
      <c r="AK74" s="656"/>
      <c r="AL74" s="656"/>
      <c r="AM74" s="656"/>
      <c r="AN74" s="656"/>
      <c r="AO74" s="656"/>
      <c r="AP74" s="656"/>
      <c r="AQ74" s="656"/>
      <c r="AR74" s="656"/>
      <c r="AS74" s="656"/>
      <c r="AT74" s="656"/>
      <c r="AU74" s="656"/>
    </row>
    <row r="75" spans="3:47" x14ac:dyDescent="0.2">
      <c r="O75" s="656"/>
      <c r="P75" s="738"/>
      <c r="Q75" s="1347" t="s">
        <v>1427</v>
      </c>
      <c r="R75" s="1347"/>
      <c r="S75" s="1347"/>
      <c r="T75" s="1347"/>
      <c r="U75" s="738"/>
      <c r="V75" s="738"/>
      <c r="W75" s="738"/>
      <c r="X75" s="738"/>
      <c r="Y75" s="738"/>
      <c r="Z75" s="738"/>
      <c r="AA75" s="738"/>
      <c r="AB75" s="738"/>
      <c r="AC75" s="738"/>
      <c r="AD75" s="738"/>
      <c r="AE75" s="738"/>
      <c r="AF75" s="738"/>
      <c r="AG75" s="738"/>
      <c r="AH75" s="656"/>
      <c r="AI75" s="656"/>
      <c r="AJ75" s="656"/>
      <c r="AK75" s="656"/>
      <c r="AL75" s="656"/>
      <c r="AM75" s="656"/>
      <c r="AN75" s="656"/>
      <c r="AO75" s="656"/>
      <c r="AP75" s="656"/>
      <c r="AQ75" s="656"/>
      <c r="AR75" s="656"/>
      <c r="AS75" s="656"/>
      <c r="AT75" s="656"/>
      <c r="AU75" s="656"/>
    </row>
    <row r="76" spans="3:47" x14ac:dyDescent="0.2">
      <c r="O76" s="656"/>
      <c r="P76" s="738"/>
      <c r="Q76" s="470" t="s">
        <v>1428</v>
      </c>
      <c r="R76" s="656"/>
      <c r="S76" s="656"/>
      <c r="T76" s="656"/>
      <c r="U76" s="738"/>
      <c r="V76" s="738"/>
      <c r="W76" s="738"/>
      <c r="X76" s="738"/>
      <c r="Y76" s="738"/>
      <c r="Z76" s="738"/>
      <c r="AA76" s="738"/>
      <c r="AB76" s="738"/>
      <c r="AC76" s="738"/>
      <c r="AD76" s="738"/>
      <c r="AE76" s="738"/>
      <c r="AF76" s="738"/>
      <c r="AG76" s="738"/>
      <c r="AH76" s="656"/>
      <c r="AI76" s="656"/>
      <c r="AJ76" s="656"/>
      <c r="AK76" s="656"/>
      <c r="AL76" s="656"/>
      <c r="AM76" s="656"/>
      <c r="AN76" s="656"/>
      <c r="AO76" s="656"/>
      <c r="AP76" s="656"/>
      <c r="AQ76" s="656"/>
      <c r="AR76" s="656"/>
      <c r="AS76" s="656"/>
      <c r="AT76" s="656"/>
      <c r="AU76" s="656"/>
    </row>
    <row r="77" spans="3:47" x14ac:dyDescent="0.2">
      <c r="O77" s="656"/>
      <c r="P77" s="738"/>
      <c r="Q77" s="470" t="s">
        <v>1429</v>
      </c>
      <c r="R77" s="656"/>
      <c r="S77" s="656"/>
      <c r="T77" s="656"/>
      <c r="U77" s="738"/>
      <c r="V77" s="738"/>
      <c r="W77" s="738"/>
      <c r="X77" s="738"/>
      <c r="Y77" s="738"/>
      <c r="Z77" s="738"/>
      <c r="AA77" s="738"/>
      <c r="AB77" s="738"/>
      <c r="AC77" s="738"/>
      <c r="AD77" s="738"/>
      <c r="AE77" s="738"/>
      <c r="AF77" s="738"/>
      <c r="AG77" s="738"/>
      <c r="AH77" s="656"/>
      <c r="AI77" s="656"/>
      <c r="AJ77" s="656"/>
      <c r="AK77" s="656"/>
      <c r="AL77" s="656"/>
      <c r="AM77" s="656"/>
      <c r="AN77" s="656"/>
      <c r="AO77" s="656"/>
      <c r="AP77" s="656"/>
      <c r="AQ77" s="656"/>
      <c r="AR77" s="656"/>
      <c r="AS77" s="656"/>
      <c r="AT77" s="656"/>
      <c r="AU77" s="656"/>
    </row>
    <row r="78" spans="3:47" x14ac:dyDescent="0.2">
      <c r="O78" s="656"/>
      <c r="P78" s="738"/>
      <c r="Q78" s="470" t="s">
        <v>1430</v>
      </c>
      <c r="R78" s="656"/>
      <c r="S78" s="656"/>
      <c r="T78" s="656"/>
      <c r="U78" s="738"/>
      <c r="V78" s="738"/>
      <c r="W78" s="738"/>
      <c r="X78" s="738"/>
      <c r="Y78" s="738"/>
      <c r="Z78" s="738"/>
      <c r="AA78" s="738"/>
      <c r="AB78" s="738"/>
      <c r="AC78" s="738"/>
      <c r="AD78" s="738"/>
      <c r="AE78" s="738"/>
      <c r="AF78" s="738"/>
      <c r="AG78" s="738"/>
      <c r="AH78" s="656"/>
      <c r="AI78" s="656"/>
      <c r="AJ78" s="656"/>
      <c r="AK78" s="656"/>
      <c r="AL78" s="656"/>
      <c r="AM78" s="656"/>
      <c r="AN78" s="656"/>
      <c r="AO78" s="656"/>
      <c r="AP78" s="656"/>
      <c r="AQ78" s="656"/>
      <c r="AR78" s="656"/>
      <c r="AS78" s="656"/>
      <c r="AT78" s="656"/>
      <c r="AU78" s="656"/>
    </row>
    <row r="79" spans="3:47" x14ac:dyDescent="0.2">
      <c r="O79" s="656"/>
      <c r="P79" s="738"/>
      <c r="Q79" s="470"/>
      <c r="R79" s="656"/>
      <c r="S79" s="656"/>
      <c r="T79" s="656"/>
      <c r="U79" s="738"/>
      <c r="V79" s="738"/>
      <c r="W79" s="738"/>
      <c r="X79" s="738"/>
      <c r="Y79" s="738"/>
      <c r="Z79" s="738"/>
      <c r="AA79" s="738"/>
      <c r="AB79" s="738"/>
      <c r="AC79" s="738"/>
      <c r="AD79" s="738"/>
      <c r="AE79" s="738"/>
      <c r="AF79" s="738"/>
      <c r="AG79" s="738"/>
      <c r="AH79" s="656"/>
      <c r="AI79" s="656"/>
      <c r="AJ79" s="656"/>
      <c r="AK79" s="656"/>
      <c r="AL79" s="656"/>
      <c r="AM79" s="656"/>
      <c r="AN79" s="656"/>
      <c r="AO79" s="656"/>
      <c r="AP79" s="656"/>
      <c r="AQ79" s="656"/>
      <c r="AR79" s="656"/>
      <c r="AS79" s="656"/>
      <c r="AT79" s="656"/>
      <c r="AU79" s="656"/>
    </row>
    <row r="80" spans="3:47" x14ac:dyDescent="0.2">
      <c r="O80" s="656"/>
      <c r="P80" s="738"/>
      <c r="Q80" s="470" t="s">
        <v>1431</v>
      </c>
      <c r="R80" s="656"/>
      <c r="S80" s="656"/>
      <c r="T80" s="656"/>
      <c r="U80" s="738"/>
      <c r="V80" s="738"/>
      <c r="W80" s="738"/>
      <c r="X80" s="738"/>
      <c r="Y80" s="738"/>
      <c r="Z80" s="738"/>
      <c r="AA80" s="738"/>
      <c r="AB80" s="738"/>
      <c r="AC80" s="738"/>
      <c r="AD80" s="738"/>
      <c r="AE80" s="738"/>
      <c r="AF80" s="738"/>
      <c r="AG80" s="738"/>
      <c r="AH80" s="656"/>
      <c r="AI80" s="656"/>
      <c r="AJ80" s="656"/>
      <c r="AK80" s="656"/>
      <c r="AL80" s="656"/>
      <c r="AM80" s="656"/>
      <c r="AN80" s="656"/>
      <c r="AO80" s="656"/>
      <c r="AP80" s="656"/>
      <c r="AQ80" s="656"/>
      <c r="AR80" s="656"/>
      <c r="AS80" s="656"/>
      <c r="AT80" s="656"/>
      <c r="AU80" s="656"/>
    </row>
    <row r="81" spans="15:47" x14ac:dyDescent="0.2">
      <c r="O81" s="656"/>
      <c r="P81" s="738"/>
      <c r="Q81" s="470" t="s">
        <v>1432</v>
      </c>
      <c r="R81" s="656"/>
      <c r="S81" s="656"/>
      <c r="T81" s="656"/>
      <c r="U81" s="738"/>
      <c r="V81" s="738"/>
      <c r="W81" s="738"/>
      <c r="X81" s="738"/>
      <c r="Y81" s="738"/>
      <c r="Z81" s="738"/>
      <c r="AA81" s="738"/>
      <c r="AB81" s="738"/>
      <c r="AC81" s="738"/>
      <c r="AD81" s="738"/>
      <c r="AE81" s="738"/>
      <c r="AF81" s="738"/>
      <c r="AG81" s="738"/>
      <c r="AH81" s="656"/>
      <c r="AI81" s="656"/>
      <c r="AJ81" s="656"/>
      <c r="AK81" s="656"/>
      <c r="AL81" s="656"/>
      <c r="AM81" s="656"/>
      <c r="AN81" s="656"/>
      <c r="AO81" s="656"/>
      <c r="AP81" s="656"/>
      <c r="AQ81" s="656"/>
      <c r="AR81" s="656"/>
      <c r="AS81" s="656"/>
      <c r="AT81" s="656"/>
      <c r="AU81" s="656"/>
    </row>
    <row r="82" spans="15:47" ht="12" customHeight="1" x14ac:dyDescent="0.2">
      <c r="O82" s="656"/>
      <c r="P82" s="738"/>
      <c r="Q82" s="470" t="s">
        <v>1433</v>
      </c>
      <c r="R82" s="656"/>
      <c r="S82" s="656"/>
      <c r="T82" s="656"/>
      <c r="U82" s="738"/>
      <c r="V82" s="738"/>
      <c r="W82" s="738"/>
      <c r="X82" s="738"/>
      <c r="Y82" s="738"/>
      <c r="Z82" s="738"/>
      <c r="AA82" s="738"/>
      <c r="AB82" s="738"/>
      <c r="AC82" s="738"/>
      <c r="AD82" s="738"/>
      <c r="AE82" s="738"/>
      <c r="AF82" s="738"/>
      <c r="AG82" s="738"/>
      <c r="AH82" s="656"/>
      <c r="AI82" s="656"/>
      <c r="AJ82" s="656"/>
      <c r="AK82" s="656"/>
      <c r="AL82" s="656"/>
      <c r="AM82" s="656"/>
      <c r="AN82" s="656"/>
      <c r="AO82" s="656"/>
      <c r="AP82" s="656"/>
      <c r="AQ82" s="656"/>
      <c r="AR82" s="656"/>
      <c r="AS82" s="656"/>
      <c r="AT82" s="656"/>
      <c r="AU82" s="656"/>
    </row>
    <row r="83" spans="15:47" ht="12" customHeight="1" x14ac:dyDescent="0.2">
      <c r="O83" s="656"/>
      <c r="P83" s="738"/>
      <c r="Q83" s="470" t="s">
        <v>1434</v>
      </c>
      <c r="R83" s="656"/>
      <c r="S83" s="656"/>
      <c r="T83" s="656"/>
      <c r="U83" s="738"/>
      <c r="V83" s="738"/>
      <c r="W83" s="738"/>
      <c r="X83" s="738"/>
      <c r="Y83" s="738"/>
      <c r="Z83" s="738"/>
      <c r="AA83" s="738"/>
      <c r="AB83" s="738"/>
      <c r="AC83" s="738"/>
      <c r="AD83" s="738"/>
      <c r="AE83" s="738"/>
      <c r="AF83" s="738"/>
      <c r="AG83" s="738"/>
      <c r="AH83" s="656"/>
      <c r="AI83" s="656"/>
      <c r="AJ83" s="656"/>
      <c r="AK83" s="656"/>
      <c r="AL83" s="656"/>
      <c r="AM83" s="656"/>
      <c r="AN83" s="656"/>
      <c r="AO83" s="656"/>
      <c r="AP83" s="656"/>
      <c r="AQ83" s="656"/>
      <c r="AR83" s="656"/>
      <c r="AS83" s="656"/>
      <c r="AT83" s="656"/>
      <c r="AU83" s="656"/>
    </row>
    <row r="84" spans="15:47" x14ac:dyDescent="0.2">
      <c r="O84" s="656"/>
      <c r="P84" s="738"/>
      <c r="Q84" s="1347" t="s">
        <v>1435</v>
      </c>
      <c r="R84" s="1347"/>
      <c r="S84" s="1347"/>
      <c r="T84" s="1347"/>
      <c r="U84" s="738"/>
      <c r="V84" s="738"/>
      <c r="W84" s="738"/>
      <c r="X84" s="738"/>
      <c r="Y84" s="738"/>
      <c r="Z84" s="738"/>
      <c r="AA84" s="738"/>
      <c r="AB84" s="738"/>
      <c r="AC84" s="738"/>
      <c r="AD84" s="738"/>
      <c r="AE84" s="738"/>
      <c r="AF84" s="738"/>
      <c r="AG84" s="738"/>
      <c r="AH84" s="656"/>
      <c r="AI84" s="656"/>
      <c r="AJ84" s="656"/>
      <c r="AK84" s="656"/>
      <c r="AL84" s="656"/>
      <c r="AM84" s="656"/>
      <c r="AN84" s="656"/>
      <c r="AO84" s="656"/>
      <c r="AP84" s="656"/>
      <c r="AQ84" s="656"/>
      <c r="AR84" s="656"/>
      <c r="AS84" s="656"/>
      <c r="AT84" s="656"/>
      <c r="AU84" s="656"/>
    </row>
    <row r="85" spans="15:47" x14ac:dyDescent="0.2">
      <c r="O85" s="656"/>
      <c r="P85" s="738"/>
      <c r="Q85" s="470" t="s">
        <v>1436</v>
      </c>
      <c r="R85" s="656"/>
      <c r="S85" s="656"/>
      <c r="T85" s="656"/>
      <c r="U85" s="738"/>
      <c r="V85" s="738"/>
      <c r="W85" s="738"/>
      <c r="X85" s="738"/>
      <c r="Y85" s="738"/>
      <c r="Z85" s="738"/>
      <c r="AA85" s="738"/>
      <c r="AB85" s="738"/>
      <c r="AC85" s="738"/>
      <c r="AD85" s="738"/>
      <c r="AE85" s="738"/>
      <c r="AF85" s="738"/>
      <c r="AG85" s="738"/>
      <c r="AH85" s="656"/>
      <c r="AI85" s="656"/>
      <c r="AJ85" s="656"/>
      <c r="AK85" s="656"/>
      <c r="AL85" s="656"/>
      <c r="AM85" s="656"/>
      <c r="AN85" s="656"/>
      <c r="AO85" s="656"/>
      <c r="AP85" s="656"/>
      <c r="AQ85" s="656"/>
      <c r="AR85" s="656"/>
      <c r="AS85" s="656"/>
      <c r="AT85" s="656"/>
      <c r="AU85" s="656"/>
    </row>
    <row r="86" spans="15:47" x14ac:dyDescent="0.2">
      <c r="O86" s="656"/>
      <c r="P86" s="738"/>
      <c r="Q86" s="470" t="s">
        <v>1437</v>
      </c>
      <c r="R86" s="656"/>
      <c r="S86" s="656"/>
      <c r="T86" s="656"/>
      <c r="U86" s="738"/>
      <c r="V86" s="738"/>
      <c r="W86" s="738"/>
      <c r="X86" s="738"/>
      <c r="Y86" s="738"/>
      <c r="Z86" s="738"/>
      <c r="AA86" s="738"/>
      <c r="AB86" s="738"/>
      <c r="AC86" s="738"/>
      <c r="AD86" s="738"/>
      <c r="AE86" s="738"/>
      <c r="AF86" s="738"/>
      <c r="AG86" s="738"/>
      <c r="AH86" s="656"/>
      <c r="AI86" s="656"/>
      <c r="AJ86" s="656"/>
      <c r="AK86" s="656"/>
      <c r="AL86" s="656"/>
      <c r="AM86" s="656"/>
      <c r="AN86" s="656"/>
      <c r="AO86" s="656"/>
      <c r="AP86" s="656"/>
      <c r="AQ86" s="656"/>
      <c r="AR86" s="656"/>
      <c r="AS86" s="656"/>
      <c r="AT86" s="656"/>
      <c r="AU86" s="656"/>
    </row>
    <row r="87" spans="15:47" x14ac:dyDescent="0.2">
      <c r="O87" s="656"/>
      <c r="P87" s="738"/>
      <c r="Q87" s="470" t="s">
        <v>1438</v>
      </c>
      <c r="R87" s="656"/>
      <c r="S87" s="656"/>
      <c r="T87" s="656"/>
      <c r="U87" s="738"/>
      <c r="V87" s="738"/>
      <c r="W87" s="738"/>
      <c r="X87" s="738"/>
      <c r="Y87" s="738"/>
      <c r="Z87" s="738"/>
      <c r="AA87" s="738"/>
      <c r="AB87" s="738"/>
      <c r="AC87" s="738"/>
      <c r="AD87" s="738"/>
      <c r="AE87" s="738"/>
      <c r="AF87" s="738"/>
      <c r="AG87" s="738"/>
      <c r="AH87" s="656"/>
      <c r="AI87" s="656"/>
      <c r="AJ87" s="656"/>
      <c r="AK87" s="656"/>
      <c r="AL87" s="656"/>
      <c r="AM87" s="656"/>
      <c r="AN87" s="656"/>
      <c r="AO87" s="656"/>
      <c r="AP87" s="656"/>
      <c r="AQ87" s="656"/>
      <c r="AR87" s="656"/>
      <c r="AS87" s="656"/>
      <c r="AT87" s="656"/>
      <c r="AU87" s="656"/>
    </row>
    <row r="88" spans="15:47" x14ac:dyDescent="0.2">
      <c r="O88" s="656"/>
      <c r="P88" s="738"/>
      <c r="Q88" s="470" t="s">
        <v>1439</v>
      </c>
      <c r="R88" s="656"/>
      <c r="S88" s="656"/>
      <c r="T88" s="656"/>
      <c r="U88" s="738"/>
      <c r="V88" s="738"/>
      <c r="W88" s="738"/>
      <c r="X88" s="738"/>
      <c r="Y88" s="738"/>
      <c r="Z88" s="738"/>
      <c r="AA88" s="738"/>
      <c r="AB88" s="738"/>
      <c r="AC88" s="738"/>
      <c r="AD88" s="738"/>
      <c r="AE88" s="738"/>
      <c r="AF88" s="738"/>
      <c r="AG88" s="738"/>
      <c r="AH88" s="656"/>
      <c r="AI88" s="656"/>
      <c r="AJ88" s="656"/>
      <c r="AK88" s="656"/>
      <c r="AL88" s="656"/>
      <c r="AM88" s="656"/>
      <c r="AN88" s="656"/>
      <c r="AO88" s="656"/>
      <c r="AP88" s="656"/>
      <c r="AQ88" s="656"/>
      <c r="AR88" s="656"/>
      <c r="AS88" s="656"/>
      <c r="AT88" s="656"/>
      <c r="AU88" s="656"/>
    </row>
    <row r="89" spans="15:47" x14ac:dyDescent="0.2">
      <c r="O89" s="656"/>
      <c r="P89" s="738"/>
      <c r="Q89" s="1351" t="s">
        <v>1392</v>
      </c>
      <c r="R89" s="1351"/>
      <c r="S89" s="656"/>
      <c r="T89" s="656"/>
      <c r="U89" s="738"/>
      <c r="V89" s="738"/>
      <c r="W89" s="738"/>
      <c r="X89" s="738"/>
      <c r="Y89" s="738"/>
      <c r="Z89" s="738"/>
      <c r="AA89" s="738"/>
      <c r="AB89" s="738"/>
      <c r="AC89" s="738"/>
      <c r="AD89" s="738"/>
      <c r="AE89" s="738"/>
      <c r="AF89" s="738"/>
      <c r="AG89" s="738"/>
      <c r="AH89" s="656"/>
      <c r="AI89" s="656"/>
      <c r="AJ89" s="656"/>
      <c r="AK89" s="656"/>
      <c r="AL89" s="656"/>
      <c r="AM89" s="656"/>
      <c r="AN89" s="656"/>
      <c r="AO89" s="656"/>
      <c r="AP89" s="656"/>
      <c r="AQ89" s="656"/>
      <c r="AR89" s="656"/>
      <c r="AS89" s="656"/>
      <c r="AT89" s="656"/>
      <c r="AU89" s="656"/>
    </row>
    <row r="90" spans="15:47" x14ac:dyDescent="0.2">
      <c r="O90" s="656"/>
      <c r="P90" s="738"/>
      <c r="Q90" s="470" t="s">
        <v>1393</v>
      </c>
      <c r="R90" s="656" t="s">
        <v>1383</v>
      </c>
      <c r="S90" s="656"/>
      <c r="T90" s="656"/>
      <c r="U90" s="738"/>
      <c r="V90" s="738"/>
      <c r="W90" s="738"/>
      <c r="X90" s="738"/>
      <c r="Y90" s="738"/>
      <c r="Z90" s="738"/>
      <c r="AA90" s="738"/>
      <c r="AB90" s="738"/>
      <c r="AC90" s="738"/>
      <c r="AD90" s="738"/>
      <c r="AE90" s="738"/>
      <c r="AF90" s="738"/>
      <c r="AG90" s="738"/>
      <c r="AH90" s="656"/>
      <c r="AI90" s="656"/>
      <c r="AJ90" s="656"/>
      <c r="AK90" s="656"/>
      <c r="AL90" s="656"/>
      <c r="AM90" s="656"/>
      <c r="AN90" s="656"/>
      <c r="AO90" s="656"/>
      <c r="AP90" s="656"/>
      <c r="AQ90" s="656"/>
      <c r="AR90" s="656"/>
      <c r="AS90" s="656"/>
      <c r="AT90" s="656"/>
      <c r="AU90" s="656"/>
    </row>
    <row r="91" spans="15:47" x14ac:dyDescent="0.2">
      <c r="O91" s="656"/>
      <c r="P91" s="738"/>
      <c r="Q91" s="470" t="s">
        <v>1394</v>
      </c>
      <c r="R91" s="656" t="s">
        <v>1440</v>
      </c>
      <c r="S91" s="656"/>
      <c r="T91" s="656"/>
      <c r="U91" s="738"/>
      <c r="V91" s="738"/>
      <c r="W91" s="738"/>
      <c r="X91" s="738"/>
      <c r="Y91" s="738"/>
      <c r="Z91" s="738"/>
      <c r="AA91" s="738"/>
      <c r="AB91" s="738"/>
      <c r="AC91" s="738"/>
      <c r="AD91" s="738"/>
      <c r="AE91" s="738"/>
      <c r="AF91" s="738"/>
      <c r="AG91" s="738"/>
      <c r="AH91" s="656"/>
      <c r="AI91" s="656"/>
      <c r="AJ91" s="656"/>
      <c r="AK91" s="656"/>
      <c r="AL91" s="656"/>
      <c r="AM91" s="656"/>
      <c r="AN91" s="656"/>
      <c r="AO91" s="656"/>
      <c r="AP91" s="656"/>
      <c r="AQ91" s="656"/>
      <c r="AR91" s="656"/>
      <c r="AS91" s="656"/>
      <c r="AT91" s="656"/>
      <c r="AU91" s="656"/>
    </row>
    <row r="92" spans="15:47" x14ac:dyDescent="0.2">
      <c r="O92" s="656"/>
      <c r="P92" s="738"/>
      <c r="Q92" s="470" t="s">
        <v>1396</v>
      </c>
      <c r="R92" s="656" t="s">
        <v>1383</v>
      </c>
      <c r="S92" s="656"/>
      <c r="T92" s="656"/>
      <c r="U92" s="738"/>
      <c r="V92" s="738"/>
      <c r="W92" s="738"/>
      <c r="X92" s="738"/>
      <c r="Y92" s="738"/>
      <c r="Z92" s="738"/>
      <c r="AA92" s="738"/>
      <c r="AB92" s="738"/>
      <c r="AC92" s="738"/>
      <c r="AD92" s="738"/>
      <c r="AE92" s="738"/>
      <c r="AF92" s="738"/>
      <c r="AG92" s="738"/>
      <c r="AH92" s="656"/>
      <c r="AI92" s="656"/>
      <c r="AJ92" s="656"/>
      <c r="AK92" s="656"/>
      <c r="AL92" s="656"/>
      <c r="AM92" s="656"/>
      <c r="AN92" s="656"/>
      <c r="AO92" s="656"/>
      <c r="AP92" s="656"/>
      <c r="AQ92" s="656"/>
      <c r="AR92" s="656"/>
      <c r="AS92" s="656"/>
      <c r="AT92" s="656"/>
      <c r="AU92" s="656"/>
    </row>
    <row r="93" spans="15:47" x14ac:dyDescent="0.2">
      <c r="O93" s="656"/>
      <c r="P93" s="738"/>
      <c r="Q93" s="470" t="s">
        <v>1398</v>
      </c>
      <c r="R93" s="656" t="s">
        <v>1383</v>
      </c>
      <c r="S93" s="656"/>
      <c r="T93" s="656"/>
      <c r="U93" s="738"/>
      <c r="V93" s="738"/>
      <c r="W93" s="738"/>
      <c r="X93" s="738"/>
      <c r="Y93" s="738"/>
      <c r="Z93" s="738"/>
      <c r="AA93" s="738"/>
      <c r="AB93" s="738"/>
      <c r="AC93" s="738"/>
      <c r="AD93" s="738"/>
      <c r="AE93" s="738"/>
      <c r="AF93" s="738"/>
      <c r="AG93" s="738"/>
      <c r="AH93" s="656"/>
      <c r="AI93" s="656"/>
      <c r="AJ93" s="656"/>
      <c r="AK93" s="656"/>
      <c r="AL93" s="656"/>
      <c r="AM93" s="656"/>
      <c r="AN93" s="656"/>
      <c r="AO93" s="656"/>
      <c r="AP93" s="656"/>
      <c r="AQ93" s="656"/>
      <c r="AR93" s="656"/>
      <c r="AS93" s="656"/>
    </row>
    <row r="94" spans="15:47" x14ac:dyDescent="0.2">
      <c r="O94" s="656"/>
      <c r="P94" s="738"/>
      <c r="Q94" s="470" t="s">
        <v>1400</v>
      </c>
      <c r="R94" s="656" t="s">
        <v>1383</v>
      </c>
      <c r="S94" s="656"/>
      <c r="T94" s="656"/>
      <c r="U94" s="738"/>
      <c r="V94" s="738"/>
      <c r="W94" s="738"/>
      <c r="X94" s="738"/>
      <c r="Y94" s="738"/>
      <c r="Z94" s="738"/>
      <c r="AA94" s="738"/>
      <c r="AB94" s="738"/>
      <c r="AC94" s="738"/>
      <c r="AD94" s="738"/>
      <c r="AE94" s="738"/>
      <c r="AF94" s="738"/>
      <c r="AG94" s="738"/>
      <c r="AH94" s="656"/>
      <c r="AI94" s="656"/>
      <c r="AJ94" s="656"/>
      <c r="AK94" s="656"/>
      <c r="AL94" s="656"/>
      <c r="AM94" s="656"/>
      <c r="AN94" s="656"/>
      <c r="AO94" s="656"/>
      <c r="AP94" s="656"/>
      <c r="AQ94" s="656"/>
      <c r="AR94" s="656"/>
      <c r="AS94" s="656"/>
    </row>
    <row r="95" spans="15:47" x14ac:dyDescent="0.2">
      <c r="O95" s="470"/>
      <c r="P95" s="738"/>
      <c r="Q95" s="470" t="s">
        <v>1441</v>
      </c>
      <c r="R95" s="656"/>
      <c r="S95" s="656"/>
      <c r="T95" s="656"/>
      <c r="U95" s="738"/>
      <c r="V95" s="738"/>
      <c r="W95" s="738"/>
      <c r="X95" s="738"/>
      <c r="Y95" s="738"/>
      <c r="Z95" s="738"/>
      <c r="AA95" s="738"/>
      <c r="AB95" s="738"/>
      <c r="AC95" s="738"/>
      <c r="AD95" s="738"/>
      <c r="AE95" s="738"/>
      <c r="AF95" s="738"/>
      <c r="AG95" s="738"/>
      <c r="AH95" s="470"/>
      <c r="AI95" s="470"/>
      <c r="AJ95" s="470"/>
      <c r="AK95" s="470"/>
      <c r="AL95" s="470"/>
      <c r="AM95" s="470"/>
      <c r="AN95" s="470"/>
      <c r="AO95" s="470"/>
      <c r="AP95" s="470"/>
      <c r="AQ95" s="470"/>
      <c r="AR95" s="470"/>
      <c r="AS95" s="470"/>
    </row>
    <row r="96" spans="15:47" x14ac:dyDescent="0.2">
      <c r="O96" s="470"/>
      <c r="P96" s="738"/>
      <c r="Q96" s="470"/>
      <c r="R96" s="656"/>
      <c r="S96" s="656"/>
      <c r="T96" s="656"/>
      <c r="U96" s="738"/>
      <c r="V96" s="738"/>
      <c r="W96" s="738"/>
      <c r="X96" s="738"/>
      <c r="Y96" s="738"/>
      <c r="Z96" s="738"/>
      <c r="AA96" s="738"/>
      <c r="AB96" s="738"/>
      <c r="AC96" s="738"/>
      <c r="AD96" s="738"/>
      <c r="AE96" s="738"/>
      <c r="AF96" s="738"/>
      <c r="AG96" s="738"/>
      <c r="AH96" s="470"/>
      <c r="AI96" s="470"/>
      <c r="AJ96" s="470"/>
      <c r="AK96" s="470"/>
      <c r="AL96" s="470"/>
      <c r="AM96" s="470"/>
      <c r="AN96" s="470"/>
      <c r="AO96" s="470"/>
      <c r="AP96" s="470"/>
      <c r="AQ96" s="470"/>
      <c r="AR96" s="470"/>
      <c r="AS96" s="470"/>
    </row>
    <row r="97" spans="15:45" x14ac:dyDescent="0.2">
      <c r="O97" s="470"/>
      <c r="P97" s="738"/>
      <c r="Q97" s="470"/>
      <c r="R97" s="656"/>
      <c r="S97" s="656"/>
      <c r="T97" s="656"/>
      <c r="U97" s="738"/>
      <c r="V97" s="738"/>
      <c r="W97" s="738"/>
      <c r="X97" s="738"/>
      <c r="Y97" s="738"/>
      <c r="Z97" s="738"/>
      <c r="AA97" s="738"/>
      <c r="AB97" s="738"/>
      <c r="AC97" s="738"/>
      <c r="AD97" s="738"/>
      <c r="AE97" s="738"/>
      <c r="AF97" s="738"/>
      <c r="AG97" s="738"/>
      <c r="AH97" s="470"/>
      <c r="AI97" s="470"/>
      <c r="AJ97" s="470"/>
      <c r="AK97" s="470"/>
      <c r="AL97" s="470"/>
      <c r="AM97" s="470"/>
      <c r="AN97" s="470"/>
      <c r="AO97" s="470"/>
      <c r="AP97" s="470"/>
      <c r="AQ97" s="470"/>
      <c r="AR97" s="470"/>
      <c r="AS97" s="470"/>
    </row>
    <row r="98" spans="15:45" x14ac:dyDescent="0.2">
      <c r="O98" s="470"/>
      <c r="P98" s="738"/>
      <c r="Q98" s="470"/>
      <c r="R98" s="656"/>
      <c r="S98" s="656"/>
      <c r="T98" s="656"/>
      <c r="U98" s="738"/>
      <c r="V98" s="738"/>
      <c r="W98" s="738"/>
      <c r="X98" s="738"/>
      <c r="Y98" s="738"/>
      <c r="Z98" s="738"/>
      <c r="AA98" s="738"/>
      <c r="AB98" s="738"/>
      <c r="AC98" s="738"/>
      <c r="AD98" s="738"/>
      <c r="AE98" s="738"/>
      <c r="AF98" s="738"/>
      <c r="AG98" s="738"/>
      <c r="AH98" s="470"/>
      <c r="AI98" s="470"/>
      <c r="AJ98" s="470"/>
      <c r="AK98" s="470"/>
      <c r="AL98" s="470"/>
      <c r="AM98" s="470"/>
      <c r="AN98" s="470"/>
      <c r="AO98" s="470"/>
      <c r="AP98" s="470"/>
      <c r="AQ98" s="470"/>
      <c r="AR98" s="470"/>
      <c r="AS98" s="470"/>
    </row>
    <row r="99" spans="15:45" x14ac:dyDescent="0.2">
      <c r="O99" s="470"/>
      <c r="P99" s="738"/>
      <c r="Q99" s="470"/>
      <c r="R99" s="656"/>
      <c r="S99" s="656"/>
      <c r="T99" s="656"/>
      <c r="U99" s="738"/>
      <c r="V99" s="738"/>
      <c r="W99" s="738"/>
      <c r="X99" s="738"/>
      <c r="Y99" s="738"/>
      <c r="Z99" s="738"/>
      <c r="AA99" s="738"/>
      <c r="AB99" s="738"/>
      <c r="AC99" s="738"/>
      <c r="AD99" s="738"/>
      <c r="AE99" s="738"/>
      <c r="AF99" s="738"/>
      <c r="AG99" s="738"/>
      <c r="AH99" s="470"/>
      <c r="AI99" s="470"/>
      <c r="AJ99" s="470"/>
      <c r="AK99" s="470"/>
      <c r="AL99" s="470"/>
      <c r="AM99" s="470"/>
      <c r="AN99" s="470"/>
      <c r="AO99" s="470"/>
      <c r="AP99" s="470"/>
      <c r="AQ99" s="470"/>
      <c r="AR99" s="470"/>
      <c r="AS99" s="470"/>
    </row>
    <row r="100" spans="15:45" x14ac:dyDescent="0.2">
      <c r="P100" s="738"/>
      <c r="Q100" s="470"/>
      <c r="R100" s="656"/>
      <c r="S100" s="656"/>
      <c r="T100" s="656"/>
      <c r="U100" s="738"/>
      <c r="V100" s="738"/>
      <c r="W100" s="738"/>
      <c r="X100" s="738"/>
      <c r="Y100" s="738"/>
      <c r="Z100" s="738"/>
      <c r="AA100" s="738"/>
      <c r="AB100" s="738"/>
      <c r="AC100" s="738"/>
      <c r="AD100" s="738"/>
      <c r="AE100" s="738"/>
      <c r="AF100" s="738"/>
      <c r="AG100" s="738"/>
    </row>
    <row r="101" spans="15:45" x14ac:dyDescent="0.2">
      <c r="P101" s="738"/>
      <c r="Q101" s="470"/>
      <c r="R101" s="656"/>
      <c r="S101" s="656"/>
      <c r="T101" s="656"/>
      <c r="U101" s="738"/>
      <c r="V101" s="738"/>
      <c r="W101" s="738"/>
      <c r="X101" s="738"/>
      <c r="Y101" s="738"/>
      <c r="Z101" s="738"/>
      <c r="AA101" s="738"/>
      <c r="AB101" s="738"/>
      <c r="AC101" s="738"/>
      <c r="AD101" s="738"/>
      <c r="AE101" s="738"/>
      <c r="AF101" s="738"/>
      <c r="AG101" s="738"/>
    </row>
    <row r="102" spans="15:45" x14ac:dyDescent="0.2">
      <c r="P102" s="738"/>
      <c r="Q102" s="470"/>
      <c r="R102" s="656"/>
      <c r="S102" s="656"/>
      <c r="T102" s="656"/>
      <c r="U102" s="738"/>
      <c r="V102" s="738"/>
      <c r="W102" s="738"/>
      <c r="X102" s="738"/>
      <c r="Y102" s="738"/>
      <c r="Z102" s="738"/>
      <c r="AA102" s="738"/>
      <c r="AB102" s="738"/>
      <c r="AC102" s="738"/>
      <c r="AD102" s="738"/>
      <c r="AE102" s="738"/>
      <c r="AF102" s="738"/>
      <c r="AG102" s="738"/>
    </row>
    <row r="103" spans="15:45" x14ac:dyDescent="0.2">
      <c r="P103" s="738"/>
      <c r="Q103" s="470"/>
      <c r="R103" s="656"/>
      <c r="S103" s="656"/>
      <c r="T103" s="656"/>
      <c r="U103" s="738"/>
      <c r="V103" s="738"/>
      <c r="W103" s="738"/>
      <c r="X103" s="738"/>
      <c r="Y103" s="738"/>
      <c r="Z103" s="738"/>
      <c r="AA103" s="738"/>
      <c r="AB103" s="738"/>
      <c r="AC103" s="738"/>
      <c r="AD103" s="738"/>
      <c r="AE103" s="738"/>
      <c r="AF103" s="738"/>
      <c r="AG103" s="738"/>
    </row>
    <row r="104" spans="15:45" x14ac:dyDescent="0.2">
      <c r="P104" s="738"/>
      <c r="Q104" s="470"/>
      <c r="R104" s="656"/>
      <c r="S104" s="656"/>
      <c r="T104" s="656"/>
      <c r="U104" s="738"/>
      <c r="V104" s="738"/>
      <c r="W104" s="738"/>
      <c r="X104" s="738"/>
      <c r="Y104" s="738"/>
      <c r="Z104" s="738"/>
      <c r="AA104" s="738"/>
      <c r="AB104" s="738"/>
      <c r="AC104" s="738"/>
      <c r="AD104" s="738"/>
      <c r="AE104" s="738"/>
      <c r="AF104" s="738"/>
      <c r="AG104" s="738"/>
    </row>
    <row r="105" spans="15:45" x14ac:dyDescent="0.2">
      <c r="P105" s="738"/>
      <c r="Q105" s="470"/>
      <c r="R105" s="656"/>
      <c r="S105" s="656"/>
      <c r="T105" s="656"/>
      <c r="U105" s="738"/>
      <c r="V105" s="738"/>
      <c r="W105" s="738"/>
      <c r="X105" s="738"/>
      <c r="Y105" s="738"/>
      <c r="Z105" s="738"/>
      <c r="AA105" s="738"/>
      <c r="AB105" s="738"/>
      <c r="AC105" s="738"/>
      <c r="AD105" s="738"/>
      <c r="AE105" s="738"/>
      <c r="AF105" s="738"/>
      <c r="AG105" s="738"/>
    </row>
    <row r="106" spans="15:45" x14ac:dyDescent="0.2">
      <c r="P106" s="738"/>
      <c r="Q106" s="470"/>
      <c r="R106" s="656"/>
      <c r="S106" s="656"/>
      <c r="T106" s="656"/>
      <c r="U106" s="738"/>
      <c r="V106" s="738"/>
      <c r="W106" s="738"/>
      <c r="X106" s="738"/>
      <c r="Y106" s="738"/>
      <c r="Z106" s="738"/>
      <c r="AA106" s="738"/>
      <c r="AB106" s="738"/>
      <c r="AC106" s="738"/>
      <c r="AD106" s="738"/>
      <c r="AE106" s="738"/>
      <c r="AF106" s="738"/>
      <c r="AG106" s="738"/>
    </row>
    <row r="107" spans="15:45" x14ac:dyDescent="0.2">
      <c r="P107" s="738"/>
      <c r="Q107" s="470"/>
      <c r="R107" s="656"/>
      <c r="S107" s="656"/>
      <c r="T107" s="656"/>
      <c r="U107" s="738"/>
      <c r="V107" s="738"/>
      <c r="W107" s="738"/>
      <c r="X107" s="738"/>
      <c r="Y107" s="738"/>
      <c r="Z107" s="738"/>
      <c r="AA107" s="738"/>
      <c r="AB107" s="738"/>
      <c r="AC107" s="738"/>
      <c r="AD107" s="738"/>
      <c r="AE107" s="738"/>
      <c r="AF107" s="738"/>
      <c r="AG107" s="738"/>
    </row>
    <row r="108" spans="15:45" x14ac:dyDescent="0.2">
      <c r="P108" s="738"/>
      <c r="Q108" s="470"/>
      <c r="R108" s="656"/>
      <c r="S108" s="656"/>
      <c r="T108" s="656"/>
      <c r="U108" s="738"/>
      <c r="V108" s="738"/>
      <c r="W108" s="738"/>
      <c r="X108" s="738"/>
      <c r="Y108" s="738"/>
      <c r="Z108" s="738"/>
      <c r="AA108" s="738"/>
      <c r="AB108" s="738"/>
      <c r="AC108" s="738"/>
      <c r="AD108" s="738"/>
      <c r="AE108" s="738"/>
      <c r="AF108" s="738"/>
      <c r="AG108" s="738"/>
    </row>
    <row r="109" spans="15:45" x14ac:dyDescent="0.2">
      <c r="P109" s="738"/>
      <c r="Q109" s="470"/>
      <c r="R109" s="656"/>
      <c r="S109" s="656"/>
      <c r="T109" s="656"/>
      <c r="U109" s="738"/>
      <c r="V109" s="738"/>
      <c r="W109" s="738"/>
      <c r="X109" s="738"/>
      <c r="Y109" s="738"/>
      <c r="Z109" s="738"/>
      <c r="AA109" s="738"/>
      <c r="AB109" s="738"/>
      <c r="AC109" s="738"/>
      <c r="AD109" s="738"/>
      <c r="AE109" s="738"/>
      <c r="AF109" s="738"/>
      <c r="AG109" s="738"/>
    </row>
    <row r="110" spans="15:45" x14ac:dyDescent="0.2">
      <c r="P110" s="738"/>
      <c r="Q110" s="470"/>
      <c r="R110" s="656"/>
      <c r="S110" s="656"/>
      <c r="T110" s="656"/>
      <c r="U110" s="738"/>
      <c r="V110" s="738"/>
      <c r="W110" s="738"/>
      <c r="X110" s="738"/>
      <c r="Y110" s="738"/>
      <c r="Z110" s="738"/>
      <c r="AA110" s="738"/>
      <c r="AB110" s="738"/>
      <c r="AC110" s="738"/>
      <c r="AD110" s="738"/>
      <c r="AE110" s="738"/>
      <c r="AF110" s="738"/>
      <c r="AG110" s="738"/>
    </row>
    <row r="111" spans="15:45" x14ac:dyDescent="0.2">
      <c r="P111" s="738"/>
      <c r="Q111" s="470"/>
      <c r="R111" s="656"/>
      <c r="S111" s="656"/>
      <c r="T111" s="656"/>
      <c r="U111" s="738"/>
      <c r="V111" s="738"/>
      <c r="W111" s="738"/>
      <c r="X111" s="738"/>
      <c r="Y111" s="738"/>
      <c r="Z111" s="738"/>
      <c r="AA111" s="738"/>
      <c r="AB111" s="738"/>
      <c r="AC111" s="738"/>
      <c r="AD111" s="738"/>
      <c r="AE111" s="738"/>
      <c r="AF111" s="738"/>
      <c r="AG111" s="738"/>
    </row>
    <row r="112" spans="15:45" x14ac:dyDescent="0.2">
      <c r="P112" s="738"/>
      <c r="Q112" s="470"/>
      <c r="R112" s="656"/>
      <c r="S112" s="656"/>
      <c r="T112" s="656"/>
      <c r="U112" s="738"/>
      <c r="V112" s="738"/>
      <c r="W112" s="738"/>
      <c r="X112" s="738"/>
      <c r="Y112" s="738"/>
      <c r="Z112" s="738"/>
      <c r="AA112" s="738"/>
      <c r="AB112" s="738"/>
      <c r="AC112" s="738"/>
      <c r="AD112" s="738"/>
      <c r="AE112" s="738"/>
      <c r="AF112" s="738"/>
      <c r="AG112" s="738"/>
    </row>
    <row r="113" spans="16:33" x14ac:dyDescent="0.2">
      <c r="P113" s="738"/>
      <c r="Q113" s="470"/>
      <c r="R113" s="656"/>
      <c r="S113" s="656"/>
      <c r="T113" s="656"/>
      <c r="U113" s="738"/>
      <c r="V113" s="738"/>
      <c r="W113" s="738"/>
      <c r="X113" s="738"/>
      <c r="Y113" s="738"/>
      <c r="Z113" s="738"/>
      <c r="AA113" s="738"/>
      <c r="AB113" s="738"/>
      <c r="AC113" s="738"/>
      <c r="AD113" s="738"/>
      <c r="AE113" s="738"/>
      <c r="AF113" s="738"/>
      <c r="AG113" s="738"/>
    </row>
    <row r="114" spans="16:33" x14ac:dyDescent="0.2">
      <c r="P114" s="738"/>
      <c r="Q114" s="470"/>
      <c r="R114" s="656"/>
      <c r="S114" s="656"/>
      <c r="T114" s="656"/>
      <c r="U114" s="738"/>
      <c r="V114" s="738"/>
      <c r="W114" s="738"/>
      <c r="X114" s="738"/>
      <c r="Y114" s="738"/>
      <c r="Z114" s="738"/>
      <c r="AA114" s="738"/>
      <c r="AB114" s="738"/>
      <c r="AC114" s="738"/>
      <c r="AD114" s="738"/>
      <c r="AE114" s="738"/>
      <c r="AF114" s="738"/>
      <c r="AG114" s="738"/>
    </row>
    <row r="115" spans="16:33" x14ac:dyDescent="0.2">
      <c r="P115" s="738"/>
      <c r="Q115" s="470"/>
      <c r="R115" s="656"/>
      <c r="S115" s="656"/>
      <c r="T115" s="656"/>
      <c r="U115" s="738"/>
      <c r="V115" s="738"/>
      <c r="W115" s="738"/>
      <c r="X115" s="738"/>
      <c r="Y115" s="738"/>
      <c r="Z115" s="738"/>
      <c r="AA115" s="738"/>
      <c r="AB115" s="738"/>
      <c r="AC115" s="738"/>
      <c r="AD115" s="738"/>
      <c r="AE115" s="738"/>
      <c r="AF115" s="738"/>
      <c r="AG115" s="738"/>
    </row>
    <row r="116" spans="16:33" x14ac:dyDescent="0.2">
      <c r="P116" s="738"/>
      <c r="Q116" s="470"/>
      <c r="R116" s="656"/>
      <c r="S116" s="656"/>
      <c r="T116" s="656"/>
      <c r="U116" s="738"/>
      <c r="V116" s="738"/>
      <c r="W116" s="738"/>
      <c r="X116" s="738"/>
      <c r="Y116" s="738"/>
      <c r="Z116" s="738"/>
      <c r="AA116" s="738"/>
      <c r="AB116" s="738"/>
      <c r="AC116" s="738"/>
      <c r="AD116" s="738"/>
      <c r="AE116" s="738"/>
      <c r="AF116" s="738"/>
      <c r="AG116" s="738"/>
    </row>
    <row r="117" spans="16:33" x14ac:dyDescent="0.2">
      <c r="P117" s="738"/>
      <c r="Q117" s="470"/>
      <c r="R117" s="656"/>
      <c r="S117" s="738"/>
      <c r="T117" s="738"/>
      <c r="U117" s="738"/>
      <c r="V117" s="738"/>
      <c r="W117" s="738"/>
      <c r="X117" s="738"/>
      <c r="Y117" s="738"/>
      <c r="Z117" s="738"/>
      <c r="AA117" s="738"/>
      <c r="AB117" s="738"/>
      <c r="AC117" s="738"/>
      <c r="AD117" s="738"/>
      <c r="AE117" s="738"/>
      <c r="AF117" s="738"/>
      <c r="AG117" s="738"/>
    </row>
    <row r="118" spans="16:33" x14ac:dyDescent="0.2">
      <c r="P118" s="738"/>
      <c r="Q118" s="470"/>
      <c r="R118" s="656"/>
      <c r="S118" s="738"/>
      <c r="T118" s="738"/>
      <c r="U118" s="738"/>
      <c r="V118" s="738"/>
      <c r="W118" s="738"/>
      <c r="X118" s="738"/>
      <c r="Y118" s="738"/>
      <c r="Z118" s="738"/>
      <c r="AA118" s="738"/>
      <c r="AB118" s="738"/>
      <c r="AC118" s="738"/>
      <c r="AD118" s="738"/>
      <c r="AE118" s="738"/>
      <c r="AF118" s="738"/>
      <c r="AG118" s="738"/>
    </row>
    <row r="119" spans="16:33" x14ac:dyDescent="0.2">
      <c r="P119" s="738"/>
      <c r="Q119" s="470"/>
      <c r="R119" s="738"/>
      <c r="S119" s="738"/>
      <c r="T119" s="738"/>
      <c r="U119" s="738"/>
      <c r="V119" s="738"/>
      <c r="W119" s="738"/>
      <c r="X119" s="738"/>
      <c r="Y119" s="738"/>
      <c r="Z119" s="738"/>
      <c r="AA119" s="738"/>
      <c r="AB119" s="738"/>
      <c r="AC119" s="738"/>
      <c r="AD119" s="738"/>
      <c r="AE119" s="738"/>
      <c r="AF119" s="738"/>
      <c r="AG119" s="738"/>
    </row>
    <row r="120" spans="16:33" x14ac:dyDescent="0.2">
      <c r="P120" s="738"/>
      <c r="Q120" s="470"/>
      <c r="R120" s="738"/>
      <c r="S120" s="738"/>
      <c r="T120" s="738"/>
      <c r="U120" s="738"/>
      <c r="V120" s="738"/>
      <c r="W120" s="738"/>
      <c r="X120" s="738"/>
      <c r="Y120" s="738"/>
      <c r="Z120" s="738"/>
      <c r="AA120" s="738"/>
      <c r="AB120" s="738"/>
      <c r="AC120" s="738"/>
      <c r="AD120" s="738"/>
      <c r="AE120" s="738"/>
      <c r="AF120" s="738"/>
      <c r="AG120" s="738"/>
    </row>
    <row r="121" spans="16:33" x14ac:dyDescent="0.2">
      <c r="P121" s="738"/>
      <c r="Q121" s="470"/>
      <c r="R121" s="738"/>
      <c r="S121" s="738"/>
      <c r="T121" s="738"/>
      <c r="U121" s="738"/>
      <c r="V121" s="738"/>
      <c r="W121" s="738"/>
      <c r="X121" s="738"/>
      <c r="Y121" s="738"/>
      <c r="Z121" s="738"/>
      <c r="AA121" s="738"/>
      <c r="AB121" s="738"/>
      <c r="AC121" s="738"/>
      <c r="AD121" s="738"/>
      <c r="AE121" s="738"/>
      <c r="AF121" s="738"/>
      <c r="AG121" s="738"/>
    </row>
    <row r="122" spans="16:33" x14ac:dyDescent="0.2">
      <c r="P122" s="738"/>
      <c r="Q122" s="470"/>
      <c r="R122" s="738"/>
      <c r="S122" s="738"/>
      <c r="T122" s="738"/>
      <c r="U122" s="738"/>
      <c r="V122" s="738"/>
      <c r="W122" s="738"/>
      <c r="X122" s="738"/>
      <c r="Y122" s="738"/>
      <c r="Z122" s="738"/>
      <c r="AA122" s="738"/>
      <c r="AB122" s="738"/>
      <c r="AC122" s="738"/>
      <c r="AD122" s="738"/>
      <c r="AE122" s="738"/>
      <c r="AF122" s="738"/>
      <c r="AG122" s="738"/>
    </row>
    <row r="123" spans="16:33" x14ac:dyDescent="0.2">
      <c r="P123" s="738"/>
      <c r="Q123" s="470"/>
      <c r="R123" s="738"/>
      <c r="S123" s="738"/>
      <c r="T123" s="738"/>
      <c r="U123" s="738"/>
      <c r="V123" s="738"/>
      <c r="W123" s="738"/>
      <c r="X123" s="738"/>
      <c r="Y123" s="738"/>
      <c r="Z123" s="738"/>
      <c r="AA123" s="738"/>
      <c r="AB123" s="738"/>
      <c r="AC123" s="738"/>
      <c r="AD123" s="738"/>
      <c r="AE123" s="738"/>
      <c r="AF123" s="738"/>
      <c r="AG123" s="738"/>
    </row>
    <row r="124" spans="16:33" x14ac:dyDescent="0.2">
      <c r="P124" s="738"/>
      <c r="Q124" s="470"/>
      <c r="R124" s="738"/>
      <c r="S124" s="738"/>
      <c r="T124" s="738"/>
      <c r="U124" s="738"/>
      <c r="V124" s="738"/>
      <c r="W124" s="738"/>
      <c r="X124" s="738"/>
      <c r="Y124" s="738"/>
      <c r="Z124" s="738"/>
      <c r="AA124" s="738"/>
      <c r="AB124" s="738"/>
      <c r="AC124" s="738"/>
      <c r="AD124" s="738"/>
      <c r="AE124" s="738"/>
      <c r="AF124" s="738"/>
      <c r="AG124" s="738"/>
    </row>
    <row r="125" spans="16:33" x14ac:dyDescent="0.2">
      <c r="P125" s="738"/>
      <c r="Q125" s="470"/>
      <c r="R125" s="738"/>
      <c r="S125" s="738"/>
      <c r="T125" s="738"/>
      <c r="U125" s="738"/>
      <c r="V125" s="738"/>
      <c r="W125" s="738"/>
      <c r="X125" s="738"/>
      <c r="Y125" s="738"/>
      <c r="Z125" s="738"/>
      <c r="AA125" s="738"/>
      <c r="AB125" s="738"/>
      <c r="AC125" s="738"/>
      <c r="AD125" s="738"/>
      <c r="AE125" s="738"/>
      <c r="AF125" s="738"/>
      <c r="AG125" s="738"/>
    </row>
    <row r="126" spans="16:33" x14ac:dyDescent="0.2">
      <c r="P126" s="738"/>
      <c r="Q126" s="470"/>
      <c r="R126" s="738"/>
      <c r="S126" s="738"/>
      <c r="T126" s="738"/>
      <c r="U126" s="738"/>
      <c r="V126" s="738"/>
      <c r="W126" s="738"/>
      <c r="X126" s="738"/>
      <c r="Y126" s="738"/>
      <c r="Z126" s="738"/>
      <c r="AA126" s="738"/>
      <c r="AB126" s="738"/>
      <c r="AC126" s="738"/>
      <c r="AD126" s="738"/>
      <c r="AE126" s="738"/>
      <c r="AF126" s="738"/>
      <c r="AG126" s="738"/>
    </row>
    <row r="127" spans="16:33" x14ac:dyDescent="0.2">
      <c r="P127" s="738"/>
      <c r="Q127" s="470"/>
      <c r="R127" s="738"/>
      <c r="S127" s="738"/>
      <c r="T127" s="738"/>
      <c r="U127" s="738"/>
      <c r="V127" s="738"/>
      <c r="W127" s="738"/>
      <c r="X127" s="738"/>
      <c r="Y127" s="738"/>
      <c r="Z127" s="738"/>
      <c r="AA127" s="738"/>
      <c r="AB127" s="738"/>
      <c r="AC127" s="738"/>
      <c r="AD127" s="738"/>
      <c r="AE127" s="738"/>
      <c r="AF127" s="738"/>
      <c r="AG127" s="738"/>
    </row>
    <row r="128" spans="16:33" x14ac:dyDescent="0.2">
      <c r="P128" s="738"/>
      <c r="Q128" s="470"/>
      <c r="R128" s="738"/>
      <c r="S128" s="738"/>
      <c r="T128" s="738"/>
      <c r="U128" s="738"/>
      <c r="V128" s="738"/>
      <c r="W128" s="738"/>
      <c r="X128" s="738"/>
      <c r="Y128" s="738"/>
      <c r="Z128" s="738"/>
      <c r="AA128" s="738"/>
      <c r="AB128" s="738"/>
      <c r="AC128" s="738"/>
      <c r="AD128" s="738"/>
      <c r="AE128" s="738"/>
      <c r="AF128" s="738"/>
      <c r="AG128" s="738"/>
    </row>
    <row r="129" spans="16:33" x14ac:dyDescent="0.2">
      <c r="P129" s="738"/>
      <c r="Q129" s="470"/>
      <c r="R129" s="738"/>
      <c r="S129" s="738"/>
      <c r="T129" s="738"/>
      <c r="U129" s="738"/>
      <c r="V129" s="738"/>
      <c r="W129" s="738"/>
      <c r="X129" s="738"/>
      <c r="Y129" s="738"/>
      <c r="Z129" s="738"/>
      <c r="AA129" s="738"/>
      <c r="AB129" s="738"/>
      <c r="AC129" s="738"/>
      <c r="AD129" s="738"/>
      <c r="AE129" s="738"/>
      <c r="AF129" s="738"/>
      <c r="AG129" s="738"/>
    </row>
    <row r="130" spans="16:33" x14ac:dyDescent="0.2">
      <c r="P130" s="738"/>
      <c r="Q130" s="470"/>
      <c r="R130" s="738"/>
      <c r="S130" s="738"/>
      <c r="T130" s="738"/>
      <c r="U130" s="738"/>
      <c r="V130" s="738"/>
      <c r="W130" s="738"/>
      <c r="X130" s="738"/>
      <c r="Y130" s="738"/>
      <c r="Z130" s="738"/>
      <c r="AA130" s="738"/>
      <c r="AB130" s="738"/>
      <c r="AC130" s="738"/>
      <c r="AD130" s="738"/>
      <c r="AE130" s="738"/>
      <c r="AF130" s="738"/>
      <c r="AG130" s="738"/>
    </row>
    <row r="131" spans="16:33" x14ac:dyDescent="0.2">
      <c r="P131" s="738"/>
      <c r="Q131" s="470"/>
      <c r="R131" s="738"/>
      <c r="S131" s="738"/>
      <c r="T131" s="738"/>
      <c r="U131" s="738"/>
      <c r="V131" s="738"/>
      <c r="W131" s="738"/>
      <c r="X131" s="738"/>
      <c r="Y131" s="738"/>
      <c r="Z131" s="738"/>
      <c r="AA131" s="738"/>
      <c r="AB131" s="738"/>
      <c r="AC131" s="738"/>
      <c r="AD131" s="738"/>
      <c r="AE131" s="738"/>
      <c r="AF131" s="738"/>
      <c r="AG131" s="738"/>
    </row>
    <row r="132" spans="16:33" x14ac:dyDescent="0.2">
      <c r="P132" s="738"/>
      <c r="Q132" s="470"/>
      <c r="R132" s="738"/>
      <c r="S132" s="738"/>
      <c r="T132" s="738"/>
      <c r="U132" s="738"/>
      <c r="V132" s="738"/>
      <c r="W132" s="738"/>
      <c r="X132" s="738"/>
      <c r="Y132" s="738"/>
      <c r="Z132" s="738"/>
      <c r="AA132" s="738"/>
      <c r="AB132" s="738"/>
      <c r="AC132" s="738"/>
      <c r="AD132" s="738"/>
      <c r="AE132" s="738"/>
      <c r="AF132" s="738"/>
      <c r="AG132" s="738"/>
    </row>
    <row r="133" spans="16:33" x14ac:dyDescent="0.2">
      <c r="P133" s="738"/>
      <c r="Q133" s="470"/>
      <c r="R133" s="738"/>
      <c r="S133" s="738"/>
      <c r="T133" s="738"/>
      <c r="U133" s="738"/>
      <c r="V133" s="738"/>
      <c r="W133" s="738"/>
      <c r="X133" s="738"/>
      <c r="Y133" s="738"/>
      <c r="Z133" s="738"/>
      <c r="AA133" s="738"/>
      <c r="AB133" s="738"/>
      <c r="AC133" s="738"/>
      <c r="AD133" s="738"/>
      <c r="AE133" s="738"/>
      <c r="AF133" s="738"/>
      <c r="AG133" s="738"/>
    </row>
    <row r="134" spans="16:33" x14ac:dyDescent="0.2">
      <c r="P134" s="738"/>
      <c r="Q134" s="470"/>
      <c r="R134" s="738"/>
      <c r="S134" s="738"/>
      <c r="T134" s="738"/>
      <c r="U134" s="738"/>
      <c r="V134" s="738"/>
      <c r="W134" s="738"/>
      <c r="X134" s="738"/>
      <c r="Y134" s="738"/>
      <c r="Z134" s="738"/>
      <c r="AA134" s="738"/>
      <c r="AB134" s="738"/>
      <c r="AC134" s="738"/>
      <c r="AD134" s="738"/>
      <c r="AE134" s="738"/>
      <c r="AF134" s="738"/>
      <c r="AG134" s="738"/>
    </row>
    <row r="135" spans="16:33" x14ac:dyDescent="0.2">
      <c r="P135" s="738"/>
      <c r="Q135" s="470"/>
      <c r="R135" s="738"/>
      <c r="S135" s="738"/>
      <c r="T135" s="738"/>
      <c r="U135" s="738"/>
      <c r="V135" s="738"/>
      <c r="W135" s="738"/>
      <c r="X135" s="738"/>
      <c r="Y135" s="738"/>
      <c r="Z135" s="738"/>
      <c r="AA135" s="738"/>
      <c r="AB135" s="738"/>
      <c r="AC135" s="738"/>
      <c r="AD135" s="738"/>
      <c r="AE135" s="738"/>
      <c r="AF135" s="738"/>
      <c r="AG135" s="738"/>
    </row>
    <row r="136" spans="16:33" x14ac:dyDescent="0.2">
      <c r="P136" s="738"/>
      <c r="Q136" s="470"/>
      <c r="R136" s="738"/>
      <c r="S136" s="738"/>
      <c r="T136" s="738"/>
      <c r="U136" s="738"/>
      <c r="V136" s="738"/>
      <c r="W136" s="738"/>
      <c r="X136" s="738"/>
      <c r="Y136" s="738"/>
      <c r="Z136" s="738"/>
      <c r="AA136" s="738"/>
      <c r="AB136" s="738"/>
      <c r="AC136" s="738"/>
      <c r="AD136" s="738"/>
      <c r="AE136" s="738"/>
      <c r="AF136" s="738"/>
      <c r="AG136" s="738"/>
    </row>
    <row r="137" spans="16:33" x14ac:dyDescent="0.2">
      <c r="P137" s="738"/>
      <c r="Q137" s="470"/>
      <c r="R137" s="738"/>
      <c r="S137" s="738"/>
      <c r="T137" s="738"/>
      <c r="U137" s="738"/>
      <c r="V137" s="738"/>
      <c r="W137" s="738"/>
      <c r="X137" s="738"/>
      <c r="Y137" s="738"/>
      <c r="Z137" s="738"/>
      <c r="AA137" s="738"/>
      <c r="AB137" s="738"/>
      <c r="AC137" s="738"/>
      <c r="AD137" s="738"/>
      <c r="AE137" s="738"/>
      <c r="AF137" s="738"/>
      <c r="AG137" s="738"/>
    </row>
    <row r="138" spans="16:33" x14ac:dyDescent="0.2">
      <c r="P138" s="738"/>
      <c r="Q138" s="470"/>
      <c r="R138" s="738"/>
      <c r="S138" s="738"/>
      <c r="T138" s="738"/>
      <c r="U138" s="738"/>
      <c r="V138" s="738"/>
      <c r="W138" s="738"/>
      <c r="X138" s="738"/>
      <c r="Y138" s="738"/>
      <c r="Z138" s="738"/>
      <c r="AA138" s="738"/>
      <c r="AB138" s="738"/>
      <c r="AC138" s="738"/>
      <c r="AD138" s="738"/>
      <c r="AE138" s="738"/>
      <c r="AF138" s="738"/>
      <c r="AG138" s="738"/>
    </row>
    <row r="139" spans="16:33" x14ac:dyDescent="0.2">
      <c r="P139" s="738"/>
      <c r="Q139" s="470"/>
      <c r="R139" s="738"/>
      <c r="S139" s="738"/>
      <c r="T139" s="738"/>
      <c r="U139" s="738"/>
      <c r="V139" s="738"/>
      <c r="W139" s="738"/>
      <c r="X139" s="738"/>
      <c r="Y139" s="738"/>
      <c r="Z139" s="738"/>
      <c r="AA139" s="738"/>
      <c r="AB139" s="738"/>
      <c r="AC139" s="738"/>
      <c r="AD139" s="738"/>
      <c r="AE139" s="738"/>
      <c r="AF139" s="738"/>
      <c r="AG139" s="738"/>
    </row>
    <row r="140" spans="16:33" x14ac:dyDescent="0.2">
      <c r="P140" s="738"/>
      <c r="Q140" s="470"/>
      <c r="R140" s="738"/>
      <c r="S140" s="738"/>
      <c r="T140" s="738"/>
      <c r="U140" s="738"/>
      <c r="V140" s="738"/>
      <c r="W140" s="738"/>
      <c r="X140" s="738"/>
      <c r="Y140" s="738"/>
      <c r="Z140" s="738"/>
      <c r="AA140" s="738"/>
      <c r="AB140" s="738"/>
      <c r="AC140" s="738"/>
      <c r="AD140" s="738"/>
      <c r="AE140" s="738"/>
      <c r="AF140" s="738"/>
      <c r="AG140" s="738"/>
    </row>
    <row r="141" spans="16:33" x14ac:dyDescent="0.2">
      <c r="P141" s="738"/>
      <c r="Q141" s="470"/>
      <c r="R141" s="738"/>
      <c r="S141" s="738"/>
      <c r="T141" s="738"/>
      <c r="U141" s="738"/>
      <c r="V141" s="738"/>
      <c r="W141" s="738"/>
      <c r="X141" s="738"/>
      <c r="Y141" s="738"/>
      <c r="Z141" s="738"/>
      <c r="AA141" s="738"/>
      <c r="AB141" s="738"/>
      <c r="AC141" s="738"/>
      <c r="AD141" s="738"/>
      <c r="AE141" s="738"/>
      <c r="AF141" s="738"/>
      <c r="AG141" s="738"/>
    </row>
    <row r="142" spans="16:33" x14ac:dyDescent="0.2">
      <c r="P142" s="738"/>
      <c r="Q142" s="470"/>
      <c r="R142" s="738"/>
      <c r="S142" s="738"/>
      <c r="T142" s="738"/>
      <c r="U142" s="738"/>
      <c r="V142" s="738"/>
      <c r="W142" s="738"/>
      <c r="X142" s="738"/>
      <c r="Y142" s="738"/>
      <c r="Z142" s="738"/>
      <c r="AA142" s="738"/>
      <c r="AB142" s="738"/>
      <c r="AC142" s="738"/>
      <c r="AD142" s="738"/>
      <c r="AE142" s="738"/>
      <c r="AF142" s="738"/>
      <c r="AG142" s="738"/>
    </row>
    <row r="143" spans="16:33" x14ac:dyDescent="0.2">
      <c r="P143" s="738"/>
      <c r="Q143" s="470"/>
      <c r="R143" s="738"/>
      <c r="S143" s="738"/>
      <c r="T143" s="738"/>
      <c r="U143" s="738"/>
      <c r="V143" s="738"/>
      <c r="W143" s="738"/>
      <c r="X143" s="738"/>
      <c r="Y143" s="738"/>
      <c r="Z143" s="738"/>
      <c r="AA143" s="738"/>
      <c r="AB143" s="738"/>
      <c r="AC143" s="738"/>
      <c r="AD143" s="738"/>
      <c r="AE143" s="738"/>
      <c r="AF143" s="738"/>
      <c r="AG143" s="738"/>
    </row>
    <row r="144" spans="16:33" x14ac:dyDescent="0.2">
      <c r="P144" s="738"/>
      <c r="Q144" s="470"/>
      <c r="R144" s="738"/>
      <c r="S144" s="738"/>
      <c r="T144" s="738"/>
      <c r="U144" s="738"/>
      <c r="V144" s="738"/>
      <c r="W144" s="738"/>
      <c r="X144" s="738"/>
      <c r="Y144" s="738"/>
      <c r="Z144" s="738"/>
      <c r="AA144" s="738"/>
      <c r="AB144" s="738"/>
      <c r="AC144" s="738"/>
      <c r="AD144" s="738"/>
      <c r="AE144" s="738"/>
      <c r="AF144" s="738"/>
      <c r="AG144" s="738"/>
    </row>
    <row r="145" spans="16:33" x14ac:dyDescent="0.2">
      <c r="P145" s="738"/>
      <c r="Q145" s="470"/>
      <c r="R145" s="738"/>
      <c r="S145" s="738"/>
      <c r="T145" s="738"/>
      <c r="U145" s="738"/>
      <c r="V145" s="738"/>
      <c r="W145" s="738"/>
      <c r="X145" s="738"/>
      <c r="Y145" s="738"/>
      <c r="Z145" s="738"/>
      <c r="AA145" s="738"/>
      <c r="AB145" s="738"/>
      <c r="AC145" s="738"/>
      <c r="AD145" s="738"/>
      <c r="AE145" s="738"/>
      <c r="AF145" s="738"/>
      <c r="AG145" s="738"/>
    </row>
    <row r="146" spans="16:33" x14ac:dyDescent="0.2">
      <c r="P146" s="738"/>
      <c r="Q146" s="470"/>
      <c r="R146" s="738"/>
      <c r="S146" s="738"/>
      <c r="T146" s="738"/>
      <c r="U146" s="738"/>
      <c r="V146" s="738"/>
      <c r="W146" s="738"/>
      <c r="X146" s="738"/>
      <c r="Y146" s="738"/>
      <c r="Z146" s="738"/>
      <c r="AA146" s="738"/>
      <c r="AB146" s="738"/>
      <c r="AC146" s="738"/>
      <c r="AD146" s="738"/>
      <c r="AE146" s="738"/>
      <c r="AF146" s="738"/>
      <c r="AG146" s="738"/>
    </row>
    <row r="147" spans="16:33" x14ac:dyDescent="0.2">
      <c r="P147" s="738"/>
      <c r="Q147" s="470"/>
      <c r="R147" s="738"/>
      <c r="S147" s="738"/>
      <c r="T147" s="738"/>
      <c r="U147" s="738"/>
      <c r="V147" s="738"/>
      <c r="W147" s="738"/>
      <c r="X147" s="738"/>
      <c r="Y147" s="738"/>
      <c r="Z147" s="738"/>
      <c r="AA147" s="738"/>
      <c r="AB147" s="738"/>
      <c r="AC147" s="738"/>
      <c r="AD147" s="738"/>
      <c r="AE147" s="738"/>
      <c r="AF147" s="738"/>
      <c r="AG147" s="738"/>
    </row>
    <row r="148" spans="16:33" x14ac:dyDescent="0.2">
      <c r="P148" s="738"/>
      <c r="Q148" s="470"/>
      <c r="R148" s="738"/>
      <c r="S148" s="738"/>
      <c r="T148" s="738"/>
      <c r="U148" s="738"/>
      <c r="V148" s="738"/>
      <c r="W148" s="738"/>
      <c r="X148" s="738"/>
      <c r="Y148" s="738"/>
      <c r="Z148" s="738"/>
      <c r="AA148" s="738"/>
      <c r="AB148" s="738"/>
      <c r="AC148" s="738"/>
      <c r="AD148" s="738"/>
      <c r="AE148" s="738"/>
      <c r="AF148" s="738"/>
      <c r="AG148" s="738"/>
    </row>
    <row r="149" spans="16:33" x14ac:dyDescent="0.2">
      <c r="P149" s="738"/>
      <c r="Q149" s="470"/>
      <c r="R149" s="738"/>
      <c r="S149" s="738"/>
      <c r="T149" s="738"/>
      <c r="U149" s="738"/>
      <c r="V149" s="738"/>
      <c r="W149" s="738"/>
      <c r="X149" s="738"/>
      <c r="Y149" s="738"/>
      <c r="Z149" s="738"/>
      <c r="AA149" s="738"/>
      <c r="AB149" s="738"/>
      <c r="AC149" s="738"/>
      <c r="AD149" s="738"/>
      <c r="AE149" s="738"/>
      <c r="AF149" s="738"/>
      <c r="AG149" s="738"/>
    </row>
    <row r="150" spans="16:33" x14ac:dyDescent="0.2">
      <c r="P150" s="738"/>
      <c r="Q150" s="470"/>
      <c r="R150" s="738"/>
      <c r="S150" s="738"/>
      <c r="T150" s="738"/>
      <c r="U150" s="738"/>
      <c r="V150" s="738"/>
      <c r="W150" s="738"/>
      <c r="X150" s="738"/>
      <c r="Y150" s="738"/>
      <c r="Z150" s="738"/>
      <c r="AA150" s="738"/>
      <c r="AB150" s="738"/>
      <c r="AC150" s="738"/>
      <c r="AD150" s="738"/>
      <c r="AE150" s="738"/>
      <c r="AF150" s="738"/>
      <c r="AG150" s="738"/>
    </row>
    <row r="151" spans="16:33" x14ac:dyDescent="0.2">
      <c r="P151" s="738"/>
      <c r="Q151" s="470"/>
      <c r="R151" s="738"/>
      <c r="S151" s="738"/>
      <c r="T151" s="738"/>
      <c r="U151" s="738"/>
      <c r="V151" s="738"/>
      <c r="W151" s="738"/>
      <c r="X151" s="738"/>
      <c r="Y151" s="738"/>
      <c r="Z151" s="738"/>
      <c r="AA151" s="738"/>
      <c r="AB151" s="738"/>
      <c r="AC151" s="738"/>
      <c r="AD151" s="738"/>
      <c r="AE151" s="738"/>
      <c r="AF151" s="738"/>
      <c r="AG151" s="738"/>
    </row>
    <row r="152" spans="16:33" x14ac:dyDescent="0.2">
      <c r="P152" s="738"/>
      <c r="Q152" s="470"/>
      <c r="R152" s="738"/>
      <c r="S152" s="738"/>
      <c r="T152" s="738"/>
      <c r="U152" s="738"/>
      <c r="V152" s="738"/>
      <c r="W152" s="738"/>
      <c r="X152" s="738"/>
      <c r="Y152" s="738"/>
      <c r="Z152" s="738"/>
      <c r="AA152" s="738"/>
      <c r="AB152" s="738"/>
      <c r="AC152" s="738"/>
      <c r="AD152" s="738"/>
      <c r="AE152" s="738"/>
      <c r="AF152" s="738"/>
      <c r="AG152" s="738"/>
    </row>
    <row r="153" spans="16:33" x14ac:dyDescent="0.2">
      <c r="P153" s="738"/>
      <c r="Q153" s="470"/>
      <c r="R153" s="738"/>
      <c r="S153" s="738"/>
      <c r="T153" s="738"/>
      <c r="U153" s="738"/>
      <c r="V153" s="738"/>
      <c r="W153" s="738"/>
      <c r="X153" s="738"/>
      <c r="Y153" s="738"/>
      <c r="Z153" s="738"/>
      <c r="AA153" s="738"/>
      <c r="AB153" s="738"/>
      <c r="AC153" s="738"/>
      <c r="AD153" s="738"/>
      <c r="AE153" s="738"/>
      <c r="AF153" s="738"/>
      <c r="AG153" s="738"/>
    </row>
    <row r="154" spans="16:33" x14ac:dyDescent="0.2">
      <c r="P154" s="738"/>
      <c r="Q154" s="470"/>
      <c r="R154" s="738"/>
      <c r="S154" s="738"/>
      <c r="T154" s="738"/>
      <c r="U154" s="738"/>
      <c r="V154" s="738"/>
      <c r="W154" s="738"/>
      <c r="X154" s="738"/>
      <c r="Y154" s="738"/>
      <c r="Z154" s="738"/>
      <c r="AA154" s="738"/>
      <c r="AB154" s="738"/>
      <c r="AC154" s="738"/>
      <c r="AD154" s="738"/>
      <c r="AE154" s="738"/>
      <c r="AF154" s="738"/>
      <c r="AG154" s="738"/>
    </row>
    <row r="155" spans="16:33" x14ac:dyDescent="0.2">
      <c r="P155" s="738"/>
      <c r="Q155" s="470"/>
      <c r="R155" s="738"/>
      <c r="S155" s="738"/>
      <c r="T155" s="738"/>
      <c r="U155" s="738"/>
      <c r="V155" s="738"/>
      <c r="W155" s="738"/>
      <c r="X155" s="738"/>
      <c r="Y155" s="738"/>
      <c r="Z155" s="738"/>
      <c r="AA155" s="738"/>
      <c r="AB155" s="738"/>
      <c r="AC155" s="738"/>
      <c r="AD155" s="738"/>
      <c r="AE155" s="738"/>
      <c r="AF155" s="738"/>
      <c r="AG155" s="738"/>
    </row>
    <row r="156" spans="16:33" x14ac:dyDescent="0.2">
      <c r="P156" s="738"/>
      <c r="Q156" s="470"/>
      <c r="R156" s="738"/>
      <c r="S156" s="738"/>
      <c r="T156" s="738"/>
      <c r="U156" s="738"/>
      <c r="V156" s="738"/>
      <c r="W156" s="738"/>
      <c r="X156" s="738"/>
      <c r="Y156" s="738"/>
      <c r="Z156" s="738"/>
      <c r="AA156" s="738"/>
      <c r="AB156" s="738"/>
      <c r="AC156" s="738"/>
      <c r="AD156" s="738"/>
      <c r="AE156" s="738"/>
      <c r="AF156" s="738"/>
      <c r="AG156" s="738"/>
    </row>
    <row r="157" spans="16:33" x14ac:dyDescent="0.2">
      <c r="P157" s="738"/>
      <c r="Q157" s="470"/>
      <c r="R157" s="738"/>
      <c r="S157" s="738"/>
      <c r="T157" s="738"/>
      <c r="U157" s="738"/>
      <c r="V157" s="738"/>
      <c r="W157" s="738"/>
      <c r="X157" s="738"/>
      <c r="Y157" s="738"/>
      <c r="Z157" s="738"/>
      <c r="AA157" s="738"/>
      <c r="AB157" s="738"/>
      <c r="AC157" s="738"/>
      <c r="AD157" s="738"/>
      <c r="AE157" s="738"/>
      <c r="AF157" s="738"/>
      <c r="AG157" s="738"/>
    </row>
    <row r="158" spans="16:33" x14ac:dyDescent="0.2">
      <c r="P158" s="738"/>
      <c r="Q158" s="470"/>
      <c r="R158" s="738"/>
      <c r="S158" s="738"/>
      <c r="T158" s="738"/>
      <c r="U158" s="738"/>
      <c r="V158" s="738"/>
      <c r="W158" s="738"/>
      <c r="X158" s="738"/>
      <c r="Y158" s="738"/>
      <c r="Z158" s="738"/>
      <c r="AA158" s="738"/>
      <c r="AB158" s="738"/>
      <c r="AC158" s="738"/>
      <c r="AD158" s="738"/>
      <c r="AE158" s="738"/>
      <c r="AF158" s="738"/>
      <c r="AG158" s="738"/>
    </row>
    <row r="159" spans="16:33" x14ac:dyDescent="0.2">
      <c r="P159" s="738"/>
      <c r="Q159" s="470"/>
      <c r="R159" s="738"/>
      <c r="S159" s="738"/>
      <c r="T159" s="738"/>
      <c r="U159" s="738"/>
      <c r="V159" s="738"/>
      <c r="W159" s="738"/>
      <c r="X159" s="738"/>
      <c r="Y159" s="738"/>
      <c r="Z159" s="738"/>
      <c r="AA159" s="738"/>
      <c r="AB159" s="738"/>
      <c r="AC159" s="738"/>
      <c r="AD159" s="738"/>
      <c r="AE159" s="738"/>
      <c r="AF159" s="738"/>
      <c r="AG159" s="738"/>
    </row>
    <row r="160" spans="16:33" x14ac:dyDescent="0.2">
      <c r="P160" s="738"/>
      <c r="Q160" s="470"/>
      <c r="R160" s="738"/>
      <c r="S160" s="738"/>
      <c r="T160" s="738"/>
      <c r="U160" s="738"/>
      <c r="V160" s="738"/>
      <c r="W160" s="738"/>
      <c r="X160" s="738"/>
      <c r="Y160" s="738"/>
      <c r="Z160" s="738"/>
      <c r="AA160" s="738"/>
      <c r="AB160" s="738"/>
      <c r="AC160" s="738"/>
      <c r="AD160" s="738"/>
      <c r="AE160" s="738"/>
      <c r="AF160" s="738"/>
      <c r="AG160" s="738"/>
    </row>
    <row r="161" spans="16:33" x14ac:dyDescent="0.2">
      <c r="P161" s="738"/>
      <c r="Q161" s="470"/>
      <c r="R161" s="738"/>
      <c r="S161" s="738"/>
      <c r="T161" s="738"/>
      <c r="U161" s="738"/>
      <c r="V161" s="738"/>
      <c r="W161" s="738"/>
      <c r="X161" s="738"/>
      <c r="Y161" s="738"/>
      <c r="Z161" s="738"/>
      <c r="AA161" s="738"/>
      <c r="AB161" s="738"/>
      <c r="AC161" s="738"/>
      <c r="AD161" s="738"/>
      <c r="AE161" s="738"/>
      <c r="AF161" s="738"/>
      <c r="AG161" s="738"/>
    </row>
    <row r="162" spans="16:33" x14ac:dyDescent="0.2">
      <c r="P162" s="738"/>
      <c r="Q162" s="470"/>
      <c r="R162" s="738"/>
      <c r="S162" s="738"/>
      <c r="T162" s="738"/>
      <c r="U162" s="738"/>
      <c r="V162" s="738"/>
      <c r="W162" s="738"/>
      <c r="X162" s="738"/>
      <c r="Y162" s="738"/>
      <c r="Z162" s="738"/>
      <c r="AA162" s="738"/>
      <c r="AB162" s="738"/>
      <c r="AC162" s="738"/>
      <c r="AD162" s="738"/>
      <c r="AE162" s="738"/>
      <c r="AF162" s="738"/>
      <c r="AG162" s="738"/>
    </row>
    <row r="163" spans="16:33" x14ac:dyDescent="0.2">
      <c r="P163" s="738"/>
      <c r="Q163" s="470"/>
      <c r="R163" s="738"/>
      <c r="S163" s="738"/>
      <c r="T163" s="738"/>
      <c r="U163" s="738"/>
      <c r="V163" s="738"/>
      <c r="W163" s="738"/>
      <c r="X163" s="738"/>
      <c r="Y163" s="738"/>
      <c r="Z163" s="738"/>
      <c r="AA163" s="738"/>
      <c r="AB163" s="738"/>
      <c r="AC163" s="738"/>
      <c r="AD163" s="738"/>
      <c r="AE163" s="738"/>
      <c r="AF163" s="738"/>
      <c r="AG163" s="738"/>
    </row>
    <row r="164" spans="16:33" x14ac:dyDescent="0.2">
      <c r="P164" s="738"/>
      <c r="Q164" s="470"/>
      <c r="R164" s="738"/>
      <c r="S164" s="738"/>
      <c r="T164" s="738"/>
      <c r="U164" s="738"/>
      <c r="V164" s="738"/>
      <c r="W164" s="738"/>
      <c r="X164" s="738"/>
      <c r="Y164" s="738"/>
      <c r="Z164" s="738"/>
      <c r="AA164" s="738"/>
      <c r="AB164" s="738"/>
      <c r="AC164" s="738"/>
      <c r="AD164" s="738"/>
      <c r="AE164" s="738"/>
      <c r="AF164" s="738"/>
      <c r="AG164" s="738"/>
    </row>
    <row r="165" spans="16:33" x14ac:dyDescent="0.2">
      <c r="P165" s="738"/>
      <c r="Q165" s="470"/>
      <c r="R165" s="738"/>
      <c r="S165" s="738"/>
      <c r="T165" s="738"/>
      <c r="U165" s="738"/>
      <c r="V165" s="738"/>
      <c r="W165" s="738"/>
      <c r="X165" s="738"/>
      <c r="Y165" s="738"/>
      <c r="Z165" s="738"/>
      <c r="AA165" s="738"/>
      <c r="AB165" s="738"/>
      <c r="AC165" s="738"/>
      <c r="AD165" s="738"/>
      <c r="AE165" s="738"/>
      <c r="AF165" s="738"/>
      <c r="AG165" s="738"/>
    </row>
    <row r="166" spans="16:33" x14ac:dyDescent="0.2">
      <c r="P166" s="738"/>
      <c r="Q166" s="470"/>
      <c r="R166" s="738"/>
      <c r="S166" s="738"/>
      <c r="T166" s="738"/>
      <c r="U166" s="738"/>
      <c r="V166" s="738"/>
      <c r="W166" s="738"/>
      <c r="X166" s="738"/>
      <c r="Y166" s="738"/>
      <c r="Z166" s="738"/>
      <c r="AA166" s="738"/>
      <c r="AB166" s="738"/>
      <c r="AC166" s="738"/>
      <c r="AD166" s="738"/>
      <c r="AE166" s="738"/>
      <c r="AF166" s="738"/>
      <c r="AG166" s="738"/>
    </row>
    <row r="167" spans="16:33" x14ac:dyDescent="0.2">
      <c r="P167" s="738"/>
      <c r="Q167" s="470"/>
      <c r="R167" s="738"/>
      <c r="S167" s="738"/>
      <c r="T167" s="738"/>
      <c r="U167" s="738"/>
      <c r="V167" s="738"/>
      <c r="W167" s="738"/>
      <c r="X167" s="738"/>
      <c r="Y167" s="738"/>
      <c r="Z167" s="738"/>
      <c r="AA167" s="738"/>
      <c r="AB167" s="738"/>
      <c r="AC167" s="738"/>
      <c r="AD167" s="738"/>
      <c r="AE167" s="738"/>
      <c r="AF167" s="738"/>
      <c r="AG167" s="738"/>
    </row>
    <row r="168" spans="16:33" x14ac:dyDescent="0.2">
      <c r="P168" s="738"/>
      <c r="Q168" s="470"/>
      <c r="R168" s="738"/>
      <c r="S168" s="738"/>
      <c r="T168" s="738"/>
      <c r="U168" s="738"/>
      <c r="V168" s="738"/>
      <c r="W168" s="738"/>
      <c r="X168" s="738"/>
      <c r="Y168" s="738"/>
      <c r="Z168" s="738"/>
      <c r="AA168" s="738"/>
      <c r="AB168" s="738"/>
      <c r="AC168" s="738"/>
      <c r="AD168" s="738"/>
      <c r="AE168" s="738"/>
      <c r="AF168" s="738"/>
      <c r="AG168" s="738"/>
    </row>
    <row r="169" spans="16:33" x14ac:dyDescent="0.2">
      <c r="P169" s="738"/>
      <c r="Q169" s="470"/>
      <c r="R169" s="738"/>
      <c r="S169" s="738"/>
      <c r="T169" s="738"/>
      <c r="U169" s="738"/>
      <c r="V169" s="738"/>
      <c r="W169" s="738"/>
      <c r="X169" s="738"/>
      <c r="Y169" s="738"/>
      <c r="Z169" s="738"/>
      <c r="AA169" s="738"/>
      <c r="AB169" s="738"/>
      <c r="AC169" s="738"/>
      <c r="AD169" s="738"/>
      <c r="AE169" s="738"/>
      <c r="AF169" s="738"/>
      <c r="AG169" s="738"/>
    </row>
    <row r="170" spans="16:33" x14ac:dyDescent="0.2">
      <c r="P170" s="738"/>
      <c r="Q170" s="470"/>
      <c r="R170" s="738"/>
      <c r="S170" s="738"/>
      <c r="T170" s="738"/>
      <c r="U170" s="738"/>
      <c r="V170" s="738"/>
      <c r="W170" s="738"/>
      <c r="X170" s="738"/>
      <c r="Y170" s="738"/>
      <c r="Z170" s="738"/>
      <c r="AA170" s="738"/>
      <c r="AB170" s="738"/>
      <c r="AC170" s="738"/>
      <c r="AD170" s="738"/>
      <c r="AE170" s="738"/>
      <c r="AF170" s="738"/>
      <c r="AG170" s="738"/>
    </row>
    <row r="171" spans="16:33" x14ac:dyDescent="0.2">
      <c r="P171" s="738"/>
      <c r="Q171" s="470"/>
      <c r="R171" s="738"/>
      <c r="S171" s="738"/>
      <c r="T171" s="738"/>
      <c r="U171" s="738"/>
      <c r="V171" s="738"/>
      <c r="W171" s="738"/>
      <c r="X171" s="738"/>
      <c r="Y171" s="738"/>
      <c r="Z171" s="738"/>
      <c r="AA171" s="738"/>
      <c r="AB171" s="738"/>
      <c r="AC171" s="738"/>
      <c r="AD171" s="738"/>
      <c r="AE171" s="738"/>
      <c r="AF171" s="738"/>
      <c r="AG171" s="738"/>
    </row>
    <row r="172" spans="16:33" x14ac:dyDescent="0.2">
      <c r="P172" s="738"/>
      <c r="Q172" s="470"/>
      <c r="R172" s="738"/>
      <c r="S172" s="738"/>
      <c r="T172" s="738"/>
      <c r="U172" s="738"/>
      <c r="V172" s="738"/>
      <c r="W172" s="738"/>
      <c r="X172" s="738"/>
      <c r="Y172" s="738"/>
      <c r="Z172" s="738"/>
      <c r="AA172" s="738"/>
      <c r="AB172" s="738"/>
      <c r="AC172" s="738"/>
      <c r="AD172" s="738"/>
      <c r="AE172" s="738"/>
      <c r="AF172" s="738"/>
      <c r="AG172" s="738"/>
    </row>
    <row r="173" spans="16:33" x14ac:dyDescent="0.2">
      <c r="P173" s="738"/>
      <c r="Q173" s="470"/>
      <c r="R173" s="738"/>
      <c r="S173" s="738"/>
      <c r="T173" s="738"/>
      <c r="U173" s="738"/>
      <c r="V173" s="738"/>
      <c r="W173" s="738"/>
      <c r="X173" s="738"/>
      <c r="Y173" s="738"/>
      <c r="Z173" s="738"/>
      <c r="AA173" s="738"/>
      <c r="AB173" s="738"/>
      <c r="AC173" s="738"/>
      <c r="AD173" s="738"/>
      <c r="AE173" s="738"/>
      <c r="AF173" s="738"/>
      <c r="AG173" s="738"/>
    </row>
    <row r="174" spans="16:33" x14ac:dyDescent="0.2">
      <c r="P174" s="738"/>
      <c r="Q174" s="470"/>
      <c r="R174" s="738"/>
      <c r="S174" s="738"/>
      <c r="T174" s="738"/>
      <c r="U174" s="738"/>
      <c r="V174" s="738"/>
      <c r="W174" s="738"/>
      <c r="X174" s="738"/>
      <c r="Y174" s="738"/>
      <c r="Z174" s="738"/>
      <c r="AA174" s="738"/>
      <c r="AB174" s="738"/>
      <c r="AC174" s="738"/>
      <c r="AD174" s="738"/>
      <c r="AE174" s="738"/>
      <c r="AF174" s="738"/>
      <c r="AG174" s="738"/>
    </row>
    <row r="175" spans="16:33" x14ac:dyDescent="0.2">
      <c r="P175" s="738"/>
      <c r="Q175" s="470"/>
      <c r="R175" s="738"/>
      <c r="S175" s="738"/>
      <c r="T175" s="738"/>
      <c r="U175" s="738"/>
      <c r="V175" s="738"/>
      <c r="W175" s="738"/>
      <c r="X175" s="738"/>
      <c r="Y175" s="738"/>
      <c r="Z175" s="738"/>
      <c r="AA175" s="738"/>
      <c r="AB175" s="738"/>
      <c r="AC175" s="738"/>
      <c r="AD175" s="738"/>
      <c r="AE175" s="738"/>
      <c r="AF175" s="738"/>
      <c r="AG175" s="738"/>
    </row>
    <row r="176" spans="16:33" x14ac:dyDescent="0.2">
      <c r="P176" s="738"/>
      <c r="Q176" s="470"/>
      <c r="R176" s="738"/>
      <c r="S176" s="738"/>
      <c r="T176" s="738"/>
      <c r="U176" s="738"/>
      <c r="V176" s="738"/>
      <c r="W176" s="738"/>
      <c r="X176" s="738"/>
      <c r="Y176" s="738"/>
      <c r="Z176" s="738"/>
      <c r="AA176" s="738"/>
      <c r="AB176" s="738"/>
      <c r="AC176" s="738"/>
      <c r="AD176" s="738"/>
      <c r="AE176" s="738"/>
      <c r="AF176" s="738"/>
      <c r="AG176" s="738"/>
    </row>
    <row r="177" spans="16:33" x14ac:dyDescent="0.2">
      <c r="P177" s="738"/>
      <c r="Q177" s="470"/>
      <c r="R177" s="738"/>
      <c r="S177" s="738"/>
      <c r="T177" s="738"/>
      <c r="U177" s="738"/>
      <c r="V177" s="738"/>
      <c r="W177" s="738"/>
      <c r="X177" s="738"/>
      <c r="Y177" s="738"/>
      <c r="Z177" s="738"/>
      <c r="AA177" s="738"/>
      <c r="AB177" s="738"/>
      <c r="AC177" s="738"/>
      <c r="AD177" s="738"/>
      <c r="AE177" s="738"/>
      <c r="AF177" s="738"/>
      <c r="AG177" s="738"/>
    </row>
    <row r="178" spans="16:33" x14ac:dyDescent="0.2">
      <c r="P178" s="738"/>
      <c r="Q178" s="470"/>
      <c r="R178" s="738"/>
      <c r="S178" s="738"/>
      <c r="T178" s="738"/>
      <c r="U178" s="738"/>
      <c r="V178" s="738"/>
      <c r="W178" s="738"/>
      <c r="X178" s="738"/>
      <c r="Y178" s="738"/>
      <c r="Z178" s="738"/>
      <c r="AA178" s="738"/>
      <c r="AB178" s="738"/>
      <c r="AC178" s="738"/>
      <c r="AD178" s="738"/>
      <c r="AE178" s="738"/>
      <c r="AF178" s="738"/>
      <c r="AG178" s="738"/>
    </row>
    <row r="179" spans="16:33" x14ac:dyDescent="0.2">
      <c r="P179" s="738"/>
      <c r="Q179" s="470"/>
      <c r="R179" s="738"/>
      <c r="S179" s="738"/>
      <c r="T179" s="738"/>
      <c r="U179" s="738"/>
      <c r="V179" s="738"/>
      <c r="W179" s="738"/>
      <c r="X179" s="738"/>
      <c r="Y179" s="738"/>
      <c r="Z179" s="738"/>
      <c r="AA179" s="738"/>
      <c r="AB179" s="738"/>
      <c r="AC179" s="738"/>
      <c r="AD179" s="738"/>
      <c r="AE179" s="738"/>
      <c r="AF179" s="738"/>
      <c r="AG179" s="738"/>
    </row>
    <row r="180" spans="16:33" x14ac:dyDescent="0.2">
      <c r="P180" s="738"/>
      <c r="Q180" s="470"/>
      <c r="R180" s="738"/>
      <c r="S180" s="738"/>
      <c r="T180" s="738"/>
      <c r="U180" s="738"/>
      <c r="V180" s="738"/>
      <c r="W180" s="738"/>
      <c r="X180" s="738"/>
      <c r="Y180" s="738"/>
      <c r="Z180" s="738"/>
      <c r="AA180" s="738"/>
      <c r="AB180" s="738"/>
      <c r="AC180" s="738"/>
      <c r="AD180" s="738"/>
      <c r="AE180" s="738"/>
      <c r="AF180" s="738"/>
      <c r="AG180" s="738"/>
    </row>
    <row r="181" spans="16:33" x14ac:dyDescent="0.2">
      <c r="P181" s="738"/>
      <c r="Q181" s="470"/>
      <c r="R181" s="738"/>
      <c r="S181" s="738"/>
      <c r="T181" s="738"/>
      <c r="U181" s="738"/>
      <c r="V181" s="738"/>
      <c r="W181" s="738"/>
      <c r="X181" s="738"/>
      <c r="Y181" s="738"/>
      <c r="Z181" s="738"/>
      <c r="AA181" s="738"/>
      <c r="AB181" s="738"/>
      <c r="AC181" s="738"/>
      <c r="AD181" s="738"/>
      <c r="AE181" s="738"/>
      <c r="AF181" s="738"/>
      <c r="AG181" s="738"/>
    </row>
    <row r="182" spans="16:33" x14ac:dyDescent="0.2">
      <c r="P182" s="738"/>
      <c r="Q182" s="470"/>
      <c r="R182" s="738"/>
      <c r="S182" s="738"/>
      <c r="T182" s="738"/>
      <c r="U182" s="738"/>
      <c r="V182" s="738"/>
      <c r="W182" s="738"/>
      <c r="X182" s="738"/>
      <c r="Y182" s="738"/>
      <c r="Z182" s="738"/>
      <c r="AA182" s="738"/>
      <c r="AB182" s="738"/>
      <c r="AC182" s="738"/>
      <c r="AD182" s="738"/>
      <c r="AE182" s="738"/>
      <c r="AF182" s="738"/>
      <c r="AG182" s="738"/>
    </row>
    <row r="183" spans="16:33" x14ac:dyDescent="0.2">
      <c r="P183" s="738"/>
      <c r="Q183" s="470"/>
      <c r="R183" s="738"/>
      <c r="S183" s="738"/>
      <c r="T183" s="738"/>
      <c r="U183" s="738"/>
      <c r="V183" s="738"/>
      <c r="W183" s="738"/>
      <c r="X183" s="738"/>
      <c r="Y183" s="738"/>
      <c r="Z183" s="738"/>
      <c r="AA183" s="738"/>
      <c r="AB183" s="738"/>
      <c r="AC183" s="738"/>
      <c r="AD183" s="738"/>
      <c r="AE183" s="738"/>
      <c r="AF183" s="738"/>
      <c r="AG183" s="738"/>
    </row>
    <row r="184" spans="16:33" x14ac:dyDescent="0.2">
      <c r="P184" s="738"/>
      <c r="Q184" s="470"/>
      <c r="R184" s="738"/>
      <c r="S184" s="738"/>
      <c r="T184" s="738"/>
      <c r="U184" s="738"/>
      <c r="V184" s="738"/>
      <c r="W184" s="738"/>
      <c r="X184" s="738"/>
      <c r="Y184" s="738"/>
      <c r="Z184" s="738"/>
      <c r="AA184" s="738"/>
      <c r="AB184" s="738"/>
      <c r="AC184" s="738"/>
      <c r="AD184" s="738"/>
      <c r="AE184" s="738"/>
      <c r="AF184" s="738"/>
      <c r="AG184" s="738"/>
    </row>
    <row r="185" spans="16:33" x14ac:dyDescent="0.2">
      <c r="P185" s="738"/>
      <c r="Q185" s="470"/>
      <c r="R185" s="738"/>
      <c r="S185" s="738"/>
      <c r="T185" s="738"/>
      <c r="U185" s="738"/>
      <c r="V185" s="738"/>
      <c r="W185" s="738"/>
      <c r="X185" s="738"/>
      <c r="Y185" s="738"/>
      <c r="Z185" s="738"/>
      <c r="AA185" s="738"/>
      <c r="AB185" s="738"/>
      <c r="AC185" s="738"/>
      <c r="AD185" s="738"/>
      <c r="AE185" s="738"/>
      <c r="AF185" s="738"/>
      <c r="AG185" s="738"/>
    </row>
    <row r="186" spans="16:33" x14ac:dyDescent="0.2">
      <c r="P186" s="738"/>
      <c r="Q186" s="470"/>
      <c r="R186" s="738"/>
      <c r="S186" s="738"/>
      <c r="T186" s="738"/>
      <c r="U186" s="738"/>
      <c r="V186" s="738"/>
      <c r="W186" s="738"/>
      <c r="X186" s="738"/>
      <c r="Y186" s="738"/>
      <c r="Z186" s="738"/>
      <c r="AA186" s="738"/>
      <c r="AB186" s="738"/>
      <c r="AC186" s="738"/>
      <c r="AD186" s="738"/>
      <c r="AE186" s="738"/>
      <c r="AF186" s="738"/>
      <c r="AG186" s="738"/>
    </row>
    <row r="187" spans="16:33" x14ac:dyDescent="0.2">
      <c r="P187" s="738"/>
      <c r="Q187" s="470"/>
      <c r="R187" s="738"/>
      <c r="S187" s="738"/>
      <c r="T187" s="738"/>
      <c r="U187" s="738"/>
      <c r="V187" s="738"/>
      <c r="W187" s="738"/>
      <c r="X187" s="738"/>
      <c r="Y187" s="738"/>
      <c r="Z187" s="738"/>
      <c r="AA187" s="738"/>
      <c r="AB187" s="738"/>
      <c r="AC187" s="738"/>
      <c r="AD187" s="738"/>
      <c r="AE187" s="738"/>
      <c r="AF187" s="738"/>
      <c r="AG187" s="738"/>
    </row>
    <row r="188" spans="16:33" x14ac:dyDescent="0.2">
      <c r="P188" s="738"/>
      <c r="Q188" s="470"/>
      <c r="R188" s="738"/>
      <c r="S188" s="738"/>
      <c r="T188" s="738"/>
      <c r="U188" s="738"/>
      <c r="V188" s="738"/>
      <c r="W188" s="738"/>
      <c r="X188" s="738"/>
      <c r="Y188" s="738"/>
      <c r="Z188" s="738"/>
      <c r="AA188" s="738"/>
      <c r="AB188" s="738"/>
      <c r="AC188" s="738"/>
      <c r="AD188" s="738"/>
      <c r="AE188" s="738"/>
      <c r="AF188" s="738"/>
      <c r="AG188" s="738"/>
    </row>
    <row r="189" spans="16:33" x14ac:dyDescent="0.2">
      <c r="P189" s="738"/>
      <c r="Q189" s="470"/>
      <c r="R189" s="738"/>
      <c r="S189" s="738"/>
      <c r="T189" s="738"/>
      <c r="U189" s="738"/>
      <c r="V189" s="738"/>
      <c r="W189" s="738"/>
      <c r="X189" s="738"/>
      <c r="Y189" s="738"/>
      <c r="Z189" s="738"/>
      <c r="AA189" s="738"/>
      <c r="AB189" s="738"/>
      <c r="AC189" s="738"/>
      <c r="AD189" s="738"/>
      <c r="AE189" s="738"/>
      <c r="AF189" s="738"/>
      <c r="AG189" s="738"/>
    </row>
    <row r="190" spans="16:33" x14ac:dyDescent="0.2">
      <c r="P190" s="738"/>
      <c r="Q190" s="470"/>
      <c r="R190" s="738"/>
      <c r="S190" s="738"/>
      <c r="T190" s="738"/>
      <c r="U190" s="738"/>
      <c r="V190" s="738"/>
      <c r="W190" s="738"/>
      <c r="X190" s="738"/>
      <c r="Y190" s="738"/>
      <c r="Z190" s="738"/>
      <c r="AA190" s="738"/>
      <c r="AB190" s="738"/>
      <c r="AC190" s="738"/>
      <c r="AD190" s="738"/>
      <c r="AE190" s="738"/>
      <c r="AF190" s="738"/>
      <c r="AG190" s="738"/>
    </row>
    <row r="191" spans="16:33" x14ac:dyDescent="0.2">
      <c r="P191" s="738"/>
      <c r="Q191" s="470"/>
      <c r="R191" s="738"/>
      <c r="S191" s="738"/>
      <c r="T191" s="738"/>
      <c r="U191" s="738"/>
      <c r="V191" s="738"/>
      <c r="W191" s="738"/>
      <c r="X191" s="738"/>
      <c r="Y191" s="738"/>
      <c r="Z191" s="738"/>
      <c r="AA191" s="738"/>
      <c r="AB191" s="738"/>
      <c r="AC191" s="738"/>
      <c r="AD191" s="738"/>
      <c r="AE191" s="738"/>
      <c r="AF191" s="738"/>
      <c r="AG191" s="738"/>
    </row>
    <row r="192" spans="16:33" x14ac:dyDescent="0.2">
      <c r="P192" s="738"/>
      <c r="Q192" s="470"/>
      <c r="R192" s="738"/>
      <c r="S192" s="738"/>
      <c r="T192" s="738"/>
      <c r="U192" s="738"/>
      <c r="V192" s="738"/>
      <c r="W192" s="738"/>
      <c r="X192" s="738"/>
      <c r="Y192" s="738"/>
      <c r="Z192" s="738"/>
      <c r="AA192" s="738"/>
      <c r="AB192" s="738"/>
      <c r="AC192" s="738"/>
      <c r="AD192" s="738"/>
      <c r="AE192" s="738"/>
      <c r="AF192" s="738"/>
      <c r="AG192" s="738"/>
    </row>
    <row r="193" spans="16:33" x14ac:dyDescent="0.2">
      <c r="P193" s="738"/>
      <c r="Q193" s="470"/>
      <c r="R193" s="738"/>
      <c r="S193" s="738"/>
      <c r="T193" s="738"/>
      <c r="U193" s="738"/>
      <c r="V193" s="738"/>
      <c r="W193" s="738"/>
      <c r="X193" s="738"/>
      <c r="Y193" s="738"/>
      <c r="Z193" s="738"/>
      <c r="AA193" s="738"/>
      <c r="AB193" s="738"/>
      <c r="AC193" s="738"/>
      <c r="AD193" s="738"/>
      <c r="AE193" s="738"/>
      <c r="AF193" s="738"/>
      <c r="AG193" s="738"/>
    </row>
    <row r="194" spans="16:33" x14ac:dyDescent="0.2">
      <c r="P194" s="738"/>
      <c r="Q194" s="470"/>
      <c r="R194" s="738"/>
      <c r="S194" s="738"/>
      <c r="T194" s="738"/>
      <c r="U194" s="738"/>
      <c r="V194" s="738"/>
      <c r="W194" s="738"/>
      <c r="X194" s="738"/>
      <c r="Y194" s="738"/>
      <c r="Z194" s="738"/>
      <c r="AA194" s="738"/>
      <c r="AB194" s="738"/>
      <c r="AC194" s="738"/>
      <c r="AD194" s="738"/>
      <c r="AE194" s="738"/>
      <c r="AF194" s="738"/>
      <c r="AG194" s="738"/>
    </row>
    <row r="195" spans="16:33" x14ac:dyDescent="0.2">
      <c r="P195" s="738"/>
      <c r="Q195" s="470"/>
      <c r="R195" s="738"/>
      <c r="S195" s="738"/>
      <c r="T195" s="738"/>
      <c r="U195" s="738"/>
      <c r="V195" s="738"/>
      <c r="W195" s="738"/>
      <c r="X195" s="738"/>
      <c r="Y195" s="738"/>
      <c r="Z195" s="738"/>
      <c r="AA195" s="738"/>
      <c r="AB195" s="738"/>
      <c r="AC195" s="738"/>
      <c r="AD195" s="738"/>
      <c r="AE195" s="738"/>
      <c r="AF195" s="738"/>
      <c r="AG195" s="738"/>
    </row>
    <row r="196" spans="16:33" x14ac:dyDescent="0.2">
      <c r="P196" s="738"/>
      <c r="Q196" s="470"/>
      <c r="R196" s="738"/>
      <c r="S196" s="738"/>
      <c r="T196" s="738"/>
      <c r="U196" s="738"/>
      <c r="V196" s="738"/>
      <c r="W196" s="738"/>
      <c r="X196" s="738"/>
      <c r="Y196" s="738"/>
      <c r="Z196" s="738"/>
      <c r="AA196" s="738"/>
      <c r="AB196" s="738"/>
      <c r="AC196" s="738"/>
      <c r="AD196" s="738"/>
      <c r="AE196" s="738"/>
      <c r="AF196" s="738"/>
      <c r="AG196" s="738"/>
    </row>
    <row r="197" spans="16:33" x14ac:dyDescent="0.2">
      <c r="P197" s="738"/>
      <c r="Q197" s="470"/>
      <c r="R197" s="738"/>
      <c r="S197" s="738"/>
      <c r="T197" s="738"/>
      <c r="U197" s="738"/>
      <c r="V197" s="738"/>
      <c r="W197" s="738"/>
      <c r="X197" s="738"/>
      <c r="Y197" s="738"/>
      <c r="Z197" s="738"/>
      <c r="AA197" s="738"/>
      <c r="AB197" s="738"/>
      <c r="AC197" s="738"/>
      <c r="AD197" s="738"/>
      <c r="AE197" s="738"/>
      <c r="AF197" s="738"/>
      <c r="AG197" s="738"/>
    </row>
    <row r="198" spans="16:33" x14ac:dyDescent="0.2">
      <c r="P198" s="738"/>
      <c r="Q198" s="470"/>
      <c r="R198" s="738"/>
      <c r="S198" s="738"/>
      <c r="T198" s="738"/>
      <c r="U198" s="738"/>
      <c r="V198" s="738"/>
      <c r="W198" s="738"/>
      <c r="X198" s="738"/>
      <c r="Y198" s="738"/>
      <c r="Z198" s="738"/>
      <c r="AA198" s="738"/>
      <c r="AB198" s="738"/>
      <c r="AC198" s="738"/>
      <c r="AD198" s="738"/>
      <c r="AE198" s="738"/>
      <c r="AF198" s="738"/>
      <c r="AG198" s="738"/>
    </row>
    <row r="199" spans="16:33" x14ac:dyDescent="0.2">
      <c r="P199" s="738"/>
      <c r="Q199" s="470"/>
      <c r="R199" s="738"/>
      <c r="S199" s="738"/>
      <c r="T199" s="738"/>
      <c r="U199" s="738"/>
      <c r="V199" s="738"/>
      <c r="W199" s="738"/>
      <c r="X199" s="738"/>
      <c r="Y199" s="738"/>
      <c r="Z199" s="738"/>
      <c r="AA199" s="738"/>
      <c r="AB199" s="738"/>
      <c r="AC199" s="738"/>
      <c r="AD199" s="738"/>
      <c r="AE199" s="738"/>
      <c r="AF199" s="738"/>
      <c r="AG199" s="738"/>
    </row>
    <row r="200" spans="16:33" x14ac:dyDescent="0.2">
      <c r="P200" s="738"/>
      <c r="Q200" s="470"/>
      <c r="R200" s="738"/>
      <c r="S200" s="738"/>
      <c r="T200" s="738"/>
      <c r="U200" s="738"/>
      <c r="V200" s="738"/>
      <c r="W200" s="738"/>
      <c r="X200" s="738"/>
      <c r="Y200" s="738"/>
      <c r="Z200" s="738"/>
      <c r="AA200" s="738"/>
      <c r="AB200" s="738"/>
      <c r="AC200" s="738"/>
      <c r="AD200" s="738"/>
      <c r="AE200" s="738"/>
      <c r="AF200" s="738"/>
      <c r="AG200" s="738"/>
    </row>
    <row r="201" spans="16:33" x14ac:dyDescent="0.2">
      <c r="P201" s="738"/>
      <c r="Q201" s="470"/>
      <c r="R201" s="738"/>
      <c r="S201" s="738"/>
      <c r="T201" s="738"/>
      <c r="U201" s="738"/>
      <c r="V201" s="738"/>
      <c r="W201" s="738"/>
      <c r="X201" s="738"/>
      <c r="Y201" s="738"/>
      <c r="Z201" s="738"/>
      <c r="AA201" s="738"/>
      <c r="AB201" s="738"/>
      <c r="AC201" s="738"/>
      <c r="AD201" s="738"/>
      <c r="AE201" s="738"/>
      <c r="AF201" s="738"/>
      <c r="AG201" s="738"/>
    </row>
    <row r="202" spans="16:33" x14ac:dyDescent="0.2">
      <c r="P202" s="738"/>
      <c r="Q202" s="470"/>
      <c r="R202" s="738"/>
      <c r="S202" s="738"/>
      <c r="T202" s="738"/>
      <c r="U202" s="738"/>
      <c r="V202" s="738"/>
      <c r="W202" s="738"/>
      <c r="X202" s="738"/>
      <c r="Y202" s="738"/>
      <c r="Z202" s="738"/>
      <c r="AA202" s="738"/>
      <c r="AB202" s="738"/>
      <c r="AC202" s="738"/>
      <c r="AD202" s="738"/>
      <c r="AE202" s="738"/>
      <c r="AF202" s="738"/>
      <c r="AG202" s="738"/>
    </row>
    <row r="203" spans="16:33" x14ac:dyDescent="0.2">
      <c r="P203" s="738"/>
      <c r="Q203" s="470"/>
      <c r="R203" s="738"/>
      <c r="S203" s="738"/>
      <c r="T203" s="738"/>
      <c r="U203" s="738"/>
      <c r="V203" s="738"/>
      <c r="W203" s="738"/>
      <c r="X203" s="738"/>
      <c r="Y203" s="738"/>
      <c r="Z203" s="738"/>
      <c r="AA203" s="738"/>
      <c r="AB203" s="738"/>
      <c r="AC203" s="738"/>
      <c r="AD203" s="738"/>
      <c r="AE203" s="738"/>
      <c r="AF203" s="738"/>
      <c r="AG203" s="738"/>
    </row>
    <row r="204" spans="16:33" x14ac:dyDescent="0.2">
      <c r="P204" s="738"/>
      <c r="Q204" s="470"/>
      <c r="R204" s="738"/>
      <c r="S204" s="738"/>
      <c r="T204" s="738"/>
      <c r="U204" s="738"/>
      <c r="V204" s="738"/>
      <c r="W204" s="738"/>
      <c r="X204" s="738"/>
      <c r="Y204" s="738"/>
      <c r="Z204" s="738"/>
      <c r="AA204" s="738"/>
      <c r="AB204" s="738"/>
      <c r="AC204" s="738"/>
      <c r="AD204" s="738"/>
      <c r="AE204" s="738"/>
      <c r="AF204" s="738"/>
      <c r="AG204" s="738"/>
    </row>
    <row r="205" spans="16:33" x14ac:dyDescent="0.2">
      <c r="P205" s="738"/>
      <c r="Q205" s="470"/>
      <c r="R205" s="738"/>
      <c r="S205" s="738"/>
      <c r="T205" s="738"/>
      <c r="U205" s="738"/>
      <c r="V205" s="738"/>
      <c r="W205" s="738"/>
      <c r="X205" s="738"/>
      <c r="Y205" s="738"/>
      <c r="Z205" s="738"/>
      <c r="AA205" s="738"/>
      <c r="AB205" s="738"/>
      <c r="AC205" s="738"/>
      <c r="AD205" s="738"/>
      <c r="AE205" s="738"/>
      <c r="AF205" s="738"/>
      <c r="AG205" s="738"/>
    </row>
    <row r="206" spans="16:33" x14ac:dyDescent="0.2">
      <c r="P206" s="738"/>
      <c r="Q206" s="470"/>
      <c r="R206" s="738"/>
      <c r="S206" s="738"/>
      <c r="T206" s="738"/>
      <c r="U206" s="738"/>
      <c r="V206" s="738"/>
      <c r="W206" s="738"/>
      <c r="X206" s="738"/>
      <c r="Y206" s="738"/>
      <c r="Z206" s="738"/>
      <c r="AA206" s="738"/>
      <c r="AB206" s="738"/>
      <c r="AC206" s="738"/>
      <c r="AD206" s="738"/>
      <c r="AE206" s="738"/>
      <c r="AF206" s="738"/>
      <c r="AG206" s="738"/>
    </row>
    <row r="207" spans="16:33" x14ac:dyDescent="0.2">
      <c r="P207" s="738"/>
      <c r="Q207" s="470"/>
      <c r="R207" s="738"/>
      <c r="S207" s="738"/>
      <c r="T207" s="738"/>
      <c r="U207" s="738"/>
      <c r="V207" s="738"/>
      <c r="W207" s="738"/>
      <c r="X207" s="738"/>
      <c r="Y207" s="738"/>
      <c r="Z207" s="738"/>
      <c r="AA207" s="738"/>
      <c r="AB207" s="738"/>
      <c r="AC207" s="738"/>
      <c r="AD207" s="738"/>
      <c r="AE207" s="738"/>
      <c r="AF207" s="738"/>
      <c r="AG207" s="738"/>
    </row>
    <row r="208" spans="16:33" x14ac:dyDescent="0.2">
      <c r="P208" s="738"/>
      <c r="Q208" s="470"/>
      <c r="R208" s="738"/>
      <c r="S208" s="738"/>
      <c r="T208" s="738"/>
      <c r="U208" s="738"/>
      <c r="V208" s="738"/>
      <c r="W208" s="738"/>
      <c r="X208" s="738"/>
      <c r="Y208" s="738"/>
      <c r="Z208" s="738"/>
      <c r="AA208" s="738"/>
      <c r="AB208" s="738"/>
      <c r="AC208" s="738"/>
      <c r="AD208" s="738"/>
      <c r="AE208" s="738"/>
      <c r="AF208" s="738"/>
      <c r="AG208" s="738"/>
    </row>
    <row r="209" spans="16:33" x14ac:dyDescent="0.2">
      <c r="P209" s="738"/>
      <c r="Q209" s="470"/>
      <c r="R209" s="738"/>
      <c r="S209" s="738"/>
      <c r="T209" s="738"/>
      <c r="U209" s="738"/>
      <c r="V209" s="738"/>
      <c r="W209" s="738"/>
      <c r="X209" s="738"/>
      <c r="Y209" s="738"/>
      <c r="Z209" s="738"/>
      <c r="AA209" s="738"/>
      <c r="AB209" s="738"/>
      <c r="AC209" s="738"/>
      <c r="AD209" s="738"/>
      <c r="AE209" s="738"/>
      <c r="AF209" s="738"/>
      <c r="AG209" s="738"/>
    </row>
    <row r="210" spans="16:33" x14ac:dyDescent="0.2">
      <c r="P210" s="738"/>
      <c r="Q210" s="470"/>
      <c r="R210" s="738"/>
      <c r="S210" s="738"/>
      <c r="T210" s="738"/>
      <c r="U210" s="738"/>
      <c r="V210" s="738"/>
      <c r="W210" s="738"/>
      <c r="X210" s="738"/>
      <c r="Y210" s="738"/>
      <c r="Z210" s="738"/>
      <c r="AA210" s="738"/>
      <c r="AB210" s="738"/>
      <c r="AC210" s="738"/>
      <c r="AD210" s="738"/>
      <c r="AE210" s="738"/>
      <c r="AF210" s="738"/>
      <c r="AG210" s="738"/>
    </row>
    <row r="211" spans="16:33" x14ac:dyDescent="0.2">
      <c r="P211" s="738"/>
      <c r="Q211" s="470"/>
      <c r="R211" s="738"/>
      <c r="S211" s="738"/>
      <c r="T211" s="738"/>
      <c r="U211" s="738"/>
      <c r="V211" s="738"/>
      <c r="W211" s="738"/>
      <c r="X211" s="738"/>
      <c r="Y211" s="738"/>
      <c r="Z211" s="738"/>
      <c r="AA211" s="738"/>
      <c r="AB211" s="738"/>
      <c r="AC211" s="738"/>
      <c r="AD211" s="738"/>
      <c r="AE211" s="738"/>
      <c r="AF211" s="738"/>
      <c r="AG211" s="738"/>
    </row>
    <row r="212" spans="16:33" x14ac:dyDescent="0.2">
      <c r="P212" s="738"/>
      <c r="Q212" s="470"/>
      <c r="R212" s="738"/>
      <c r="S212" s="738"/>
      <c r="T212" s="738"/>
      <c r="U212" s="738"/>
      <c r="V212" s="738"/>
      <c r="W212" s="738"/>
      <c r="X212" s="738"/>
      <c r="Y212" s="738"/>
      <c r="Z212" s="738"/>
      <c r="AA212" s="738"/>
      <c r="AB212" s="738"/>
      <c r="AC212" s="738"/>
      <c r="AD212" s="738"/>
      <c r="AE212" s="738"/>
      <c r="AF212" s="738"/>
      <c r="AG212" s="738"/>
    </row>
    <row r="213" spans="16:33" x14ac:dyDescent="0.2">
      <c r="P213" s="738"/>
      <c r="Q213" s="470"/>
      <c r="R213" s="738"/>
      <c r="S213" s="738"/>
      <c r="T213" s="738"/>
      <c r="U213" s="738"/>
      <c r="V213" s="738"/>
      <c r="W213" s="738"/>
      <c r="X213" s="738"/>
      <c r="Y213" s="738"/>
      <c r="Z213" s="738"/>
      <c r="AA213" s="738"/>
      <c r="AB213" s="738"/>
      <c r="AC213" s="738"/>
      <c r="AD213" s="738"/>
      <c r="AE213" s="738"/>
      <c r="AF213" s="738"/>
      <c r="AG213" s="738"/>
    </row>
    <row r="214" spans="16:33" x14ac:dyDescent="0.2">
      <c r="P214" s="738"/>
      <c r="Q214" s="470"/>
      <c r="R214" s="738"/>
      <c r="S214" s="738"/>
      <c r="T214" s="738"/>
      <c r="U214" s="738"/>
      <c r="V214" s="738"/>
      <c r="W214" s="738"/>
      <c r="X214" s="738"/>
      <c r="Y214" s="738"/>
      <c r="Z214" s="738"/>
      <c r="AA214" s="738"/>
      <c r="AB214" s="738"/>
      <c r="AC214" s="738"/>
      <c r="AD214" s="738"/>
      <c r="AE214" s="738"/>
      <c r="AF214" s="738"/>
      <c r="AG214" s="738"/>
    </row>
    <row r="215" spans="16:33" x14ac:dyDescent="0.2">
      <c r="P215" s="738"/>
      <c r="Q215" s="470"/>
      <c r="R215" s="738"/>
      <c r="S215" s="738"/>
      <c r="T215" s="738"/>
      <c r="U215" s="738"/>
      <c r="V215" s="738"/>
      <c r="W215" s="738"/>
      <c r="X215" s="738"/>
      <c r="Y215" s="738"/>
      <c r="Z215" s="738"/>
      <c r="AA215" s="738"/>
      <c r="AB215" s="738"/>
      <c r="AC215" s="738"/>
      <c r="AD215" s="738"/>
      <c r="AE215" s="738"/>
      <c r="AF215" s="738"/>
      <c r="AG215" s="738"/>
    </row>
    <row r="216" spans="16:33" x14ac:dyDescent="0.2">
      <c r="P216" s="738"/>
      <c r="Q216" s="470"/>
      <c r="R216" s="738"/>
      <c r="S216" s="738"/>
      <c r="T216" s="738"/>
      <c r="U216" s="738"/>
      <c r="V216" s="738"/>
      <c r="W216" s="738"/>
      <c r="X216" s="738"/>
      <c r="Y216" s="738"/>
      <c r="Z216" s="738"/>
      <c r="AA216" s="738"/>
      <c r="AB216" s="738"/>
      <c r="AC216" s="738"/>
      <c r="AD216" s="738"/>
      <c r="AE216" s="738"/>
      <c r="AF216" s="738"/>
      <c r="AG216" s="738"/>
    </row>
    <row r="217" spans="16:33" x14ac:dyDescent="0.2">
      <c r="P217" s="738"/>
      <c r="Q217" s="470"/>
      <c r="R217" s="738"/>
      <c r="S217" s="738"/>
      <c r="T217" s="738"/>
      <c r="U217" s="738"/>
      <c r="V217" s="738"/>
      <c r="W217" s="738"/>
      <c r="X217" s="738"/>
      <c r="Y217" s="738"/>
      <c r="Z217" s="738"/>
      <c r="AA217" s="738"/>
      <c r="AB217" s="738"/>
      <c r="AC217" s="738"/>
      <c r="AD217" s="738"/>
      <c r="AE217" s="738"/>
      <c r="AF217" s="738"/>
      <c r="AG217" s="738"/>
    </row>
    <row r="218" spans="16:33" x14ac:dyDescent="0.2">
      <c r="P218" s="738"/>
      <c r="Q218" s="470"/>
      <c r="R218" s="738"/>
      <c r="S218" s="738"/>
      <c r="T218" s="738"/>
      <c r="U218" s="738"/>
      <c r="V218" s="738"/>
      <c r="W218" s="738"/>
      <c r="X218" s="738"/>
      <c r="Y218" s="738"/>
      <c r="Z218" s="738"/>
      <c r="AA218" s="738"/>
      <c r="AB218" s="738"/>
      <c r="AC218" s="738"/>
      <c r="AD218" s="738"/>
      <c r="AE218" s="738"/>
      <c r="AF218" s="738"/>
      <c r="AG218" s="738"/>
    </row>
    <row r="219" spans="16:33" x14ac:dyDescent="0.2">
      <c r="P219" s="738"/>
      <c r="Q219" s="470"/>
      <c r="R219" s="738"/>
      <c r="S219" s="738"/>
      <c r="T219" s="738"/>
      <c r="U219" s="738"/>
      <c r="V219" s="738"/>
      <c r="W219" s="738"/>
      <c r="X219" s="738"/>
      <c r="Y219" s="738"/>
      <c r="Z219" s="738"/>
      <c r="AA219" s="738"/>
      <c r="AB219" s="738"/>
      <c r="AC219" s="738"/>
      <c r="AD219" s="738"/>
      <c r="AE219" s="738"/>
      <c r="AF219" s="738"/>
      <c r="AG219" s="738"/>
    </row>
    <row r="220" spans="16:33" x14ac:dyDescent="0.2">
      <c r="P220" s="738"/>
      <c r="Q220" s="470"/>
      <c r="R220" s="738"/>
      <c r="S220" s="738"/>
      <c r="T220" s="738"/>
      <c r="U220" s="738"/>
      <c r="V220" s="738"/>
      <c r="W220" s="738"/>
      <c r="X220" s="738"/>
      <c r="Y220" s="738"/>
      <c r="Z220" s="738"/>
      <c r="AA220" s="738"/>
      <c r="AB220" s="738"/>
      <c r="AC220" s="738"/>
      <c r="AD220" s="738"/>
      <c r="AE220" s="738"/>
      <c r="AF220" s="738"/>
      <c r="AG220" s="738"/>
    </row>
    <row r="221" spans="16:33" x14ac:dyDescent="0.2">
      <c r="P221" s="738"/>
      <c r="Q221" s="470"/>
      <c r="R221" s="738"/>
      <c r="S221" s="738"/>
      <c r="T221" s="738"/>
      <c r="U221" s="738"/>
      <c r="V221" s="738"/>
      <c r="W221" s="738"/>
      <c r="X221" s="738"/>
      <c r="Y221" s="738"/>
      <c r="Z221" s="738"/>
      <c r="AA221" s="738"/>
      <c r="AB221" s="738"/>
      <c r="AC221" s="738"/>
      <c r="AD221" s="738"/>
      <c r="AE221" s="738"/>
      <c r="AF221" s="738"/>
      <c r="AG221" s="738"/>
    </row>
    <row r="222" spans="16:33" x14ac:dyDescent="0.2">
      <c r="P222" s="738"/>
      <c r="Q222" s="470"/>
      <c r="R222" s="738"/>
      <c r="S222" s="738"/>
      <c r="T222" s="738"/>
      <c r="U222" s="738"/>
      <c r="V222" s="738"/>
      <c r="W222" s="738"/>
      <c r="X222" s="738"/>
      <c r="Y222" s="738"/>
      <c r="Z222" s="738"/>
      <c r="AA222" s="738"/>
      <c r="AB222" s="738"/>
      <c r="AC222" s="738"/>
      <c r="AD222" s="738"/>
      <c r="AE222" s="738"/>
      <c r="AF222" s="738"/>
      <c r="AG222" s="738"/>
    </row>
    <row r="223" spans="16:33" x14ac:dyDescent="0.2">
      <c r="P223" s="738"/>
      <c r="Q223" s="470"/>
      <c r="R223" s="738"/>
      <c r="S223" s="738"/>
      <c r="T223" s="738"/>
      <c r="U223" s="738"/>
      <c r="V223" s="738"/>
      <c r="W223" s="738"/>
      <c r="X223" s="738"/>
      <c r="Y223" s="738"/>
      <c r="Z223" s="738"/>
      <c r="AA223" s="738"/>
      <c r="AB223" s="738"/>
      <c r="AC223" s="738"/>
      <c r="AD223" s="738"/>
      <c r="AE223" s="738"/>
      <c r="AF223" s="738"/>
      <c r="AG223" s="738"/>
    </row>
    <row r="224" spans="16:33" x14ac:dyDescent="0.2">
      <c r="P224" s="738"/>
      <c r="Q224" s="470"/>
      <c r="R224" s="738"/>
      <c r="S224" s="738"/>
      <c r="T224" s="738"/>
      <c r="U224" s="738"/>
      <c r="V224" s="738"/>
      <c r="W224" s="738"/>
      <c r="X224" s="738"/>
      <c r="Y224" s="738"/>
      <c r="Z224" s="738"/>
      <c r="AA224" s="738"/>
      <c r="AB224" s="738"/>
      <c r="AC224" s="738"/>
      <c r="AD224" s="738"/>
      <c r="AE224" s="738"/>
      <c r="AF224" s="738"/>
      <c r="AG224" s="738"/>
    </row>
    <row r="225" spans="16:33" x14ac:dyDescent="0.2">
      <c r="P225" s="738"/>
      <c r="Q225" s="470"/>
      <c r="R225" s="738"/>
      <c r="S225" s="738"/>
      <c r="T225" s="738"/>
      <c r="U225" s="738"/>
      <c r="V225" s="738"/>
      <c r="W225" s="738"/>
      <c r="X225" s="738"/>
      <c r="Y225" s="738"/>
      <c r="Z225" s="738"/>
      <c r="AA225" s="738"/>
      <c r="AB225" s="738"/>
      <c r="AC225" s="738"/>
      <c r="AD225" s="738"/>
      <c r="AE225" s="738"/>
      <c r="AF225" s="738"/>
      <c r="AG225" s="738"/>
    </row>
    <row r="226" spans="16:33" x14ac:dyDescent="0.2">
      <c r="P226" s="738"/>
      <c r="Q226" s="470"/>
      <c r="R226" s="738"/>
      <c r="S226" s="738"/>
      <c r="T226" s="738"/>
      <c r="U226" s="738"/>
      <c r="V226" s="738"/>
      <c r="W226" s="738"/>
      <c r="X226" s="738"/>
      <c r="Y226" s="738"/>
      <c r="Z226" s="738"/>
      <c r="AA226" s="738"/>
      <c r="AB226" s="738"/>
      <c r="AC226" s="738"/>
      <c r="AD226" s="738"/>
      <c r="AE226" s="738"/>
      <c r="AF226" s="738"/>
      <c r="AG226" s="738"/>
    </row>
    <row r="227" spans="16:33" x14ac:dyDescent="0.2">
      <c r="P227" s="738"/>
      <c r="Q227" s="470"/>
      <c r="R227" s="738"/>
      <c r="S227" s="738"/>
      <c r="T227" s="738"/>
      <c r="AE227" s="738"/>
      <c r="AF227" s="738"/>
      <c r="AG227" s="738"/>
    </row>
    <row r="228" spans="16:33" x14ac:dyDescent="0.2">
      <c r="P228" s="738"/>
      <c r="Q228" s="470"/>
      <c r="R228" s="738"/>
      <c r="S228" s="738"/>
      <c r="T228" s="738"/>
      <c r="AE228" s="738"/>
      <c r="AF228" s="738"/>
      <c r="AG228" s="738"/>
    </row>
    <row r="229" spans="16:33" x14ac:dyDescent="0.2">
      <c r="Q229" s="470"/>
      <c r="R229" s="738"/>
      <c r="S229" s="738"/>
      <c r="T229" s="738"/>
    </row>
    <row r="230" spans="16:33" x14ac:dyDescent="0.2">
      <c r="Q230" s="470"/>
      <c r="R230" s="738"/>
    </row>
    <row r="231" spans="16:33" x14ac:dyDescent="0.2">
      <c r="Q231" s="470"/>
      <c r="R231" s="738"/>
    </row>
  </sheetData>
  <sheetProtection password="CC48" sheet="1" selectLockedCells="1"/>
  <mergeCells count="5">
    <mergeCell ref="Q24:U24"/>
    <mergeCell ref="C59:I59"/>
    <mergeCell ref="Q89:R89"/>
    <mergeCell ref="Q84:T84"/>
    <mergeCell ref="Q75:T75"/>
  </mergeCells>
  <phoneticPr fontId="13" type="noConversion"/>
  <hyperlinks>
    <hyperlink ref="C43" location="'Conductivity Guard Banding Info'!A1" display="'Conductivity Guard Banding Info'!A1" xr:uid="{00000000-0004-0000-3000-000000000000}"/>
    <hyperlink ref="J13" location="'Conductivity Meters'!C67" display="Interpolation Formula" xr:uid="{00000000-0004-0000-3000-000001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60" r:id="rId4" name="Drop Down 4">
              <controlPr defaultSize="0" autoLine="0" autoPict="0">
                <anchor moveWithCells="1">
                  <from>
                    <xdr:col>2</xdr:col>
                    <xdr:colOff>514350</xdr:colOff>
                    <xdr:row>2</xdr:row>
                    <xdr:rowOff>19050</xdr:rowOff>
                  </from>
                  <to>
                    <xdr:col>2</xdr:col>
                    <xdr:colOff>1057275</xdr:colOff>
                    <xdr:row>2</xdr:row>
                    <xdr:rowOff>123825</xdr:rowOff>
                  </to>
                </anchor>
              </controlPr>
            </control>
          </mc:Choice>
        </mc:AlternateContent>
        <mc:AlternateContent xmlns:mc="http://schemas.openxmlformats.org/markup-compatibility/2006">
          <mc:Choice Requires="x14">
            <control shapeId="45065" r:id="rId5" name="Check Box 9">
              <controlPr defaultSize="0" autoFill="0" autoLine="0" autoPict="0">
                <anchor moveWithCells="1">
                  <from>
                    <xdr:col>0</xdr:col>
                    <xdr:colOff>19050</xdr:colOff>
                    <xdr:row>31</xdr:row>
                    <xdr:rowOff>76200</xdr:rowOff>
                  </from>
                  <to>
                    <xdr:col>0</xdr:col>
                    <xdr:colOff>304800</xdr:colOff>
                    <xdr:row>33</xdr:row>
                    <xdr:rowOff>19050</xdr:rowOff>
                  </to>
                </anchor>
              </controlPr>
            </control>
          </mc:Choice>
        </mc:AlternateContent>
        <mc:AlternateContent xmlns:mc="http://schemas.openxmlformats.org/markup-compatibility/2006">
          <mc:Choice Requires="x14">
            <control shapeId="45066" r:id="rId6" name="Check Box 10">
              <controlPr defaultSize="0" autoFill="0" autoLine="0" autoPict="0" altText="Autosigma 3000/3000DL only: Setup Standard(s) attached">
                <anchor moveWithCells="1">
                  <from>
                    <xdr:col>0</xdr:col>
                    <xdr:colOff>19050</xdr:colOff>
                    <xdr:row>32</xdr:row>
                    <xdr:rowOff>76200</xdr:rowOff>
                  </from>
                  <to>
                    <xdr:col>1</xdr:col>
                    <xdr:colOff>114300</xdr:colOff>
                    <xdr:row>34</xdr:row>
                    <xdr:rowOff>19050</xdr:rowOff>
                  </to>
                </anchor>
              </controlPr>
            </control>
          </mc:Choice>
        </mc:AlternateContent>
        <mc:AlternateContent xmlns:mc="http://schemas.openxmlformats.org/markup-compatibility/2006">
          <mc:Choice Requires="x14">
            <control shapeId="45068" r:id="rId7" name="Check Box 12">
              <controlPr defaultSize="0" autoFill="0" autoLine="0" autoPict="0">
                <anchor moveWithCells="1">
                  <from>
                    <xdr:col>0</xdr:col>
                    <xdr:colOff>19050</xdr:colOff>
                    <xdr:row>36</xdr:row>
                    <xdr:rowOff>57150</xdr:rowOff>
                  </from>
                  <to>
                    <xdr:col>1</xdr:col>
                    <xdr:colOff>76200</xdr:colOff>
                    <xdr:row>38</xdr:row>
                    <xdr:rowOff>19050</xdr:rowOff>
                  </to>
                </anchor>
              </controlPr>
            </control>
          </mc:Choice>
        </mc:AlternateContent>
        <mc:AlternateContent xmlns:mc="http://schemas.openxmlformats.org/markup-compatibility/2006">
          <mc:Choice Requires="x14">
            <control shapeId="45070" r:id="rId8" name="Check Box 14">
              <controlPr defaultSize="0" autoFill="0" autoLine="0" autoPict="0">
                <anchor moveWithCells="1">
                  <from>
                    <xdr:col>0</xdr:col>
                    <xdr:colOff>19050</xdr:colOff>
                    <xdr:row>35</xdr:row>
                    <xdr:rowOff>76200</xdr:rowOff>
                  </from>
                  <to>
                    <xdr:col>2</xdr:col>
                    <xdr:colOff>19050</xdr:colOff>
                    <xdr:row>37</xdr:row>
                    <xdr:rowOff>19050</xdr:rowOff>
                  </to>
                </anchor>
              </controlPr>
            </control>
          </mc:Choice>
        </mc:AlternateContent>
        <mc:AlternateContent xmlns:mc="http://schemas.openxmlformats.org/markup-compatibility/2006">
          <mc:Choice Requires="x14">
            <control shapeId="45071" r:id="rId9" name="Check Box 15">
              <controlPr defaultSize="0" autoFill="0" autoLine="0" autoPict="0">
                <anchor moveWithCells="1">
                  <from>
                    <xdr:col>0</xdr:col>
                    <xdr:colOff>19050</xdr:colOff>
                    <xdr:row>33</xdr:row>
                    <xdr:rowOff>76200</xdr:rowOff>
                  </from>
                  <to>
                    <xdr:col>1</xdr:col>
                    <xdr:colOff>19050</xdr:colOff>
                    <xdr:row>35</xdr:row>
                    <xdr:rowOff>19050</xdr:rowOff>
                  </to>
                </anchor>
              </controlPr>
            </control>
          </mc:Choice>
        </mc:AlternateContent>
        <mc:AlternateContent xmlns:mc="http://schemas.openxmlformats.org/markup-compatibility/2006">
          <mc:Choice Requires="x14">
            <control shapeId="45073" r:id="rId10" name="Check Box 17">
              <controlPr defaultSize="0" autoFill="0" autoLine="0" autoPict="0">
                <anchor moveWithCells="1">
                  <from>
                    <xdr:col>0</xdr:col>
                    <xdr:colOff>19050</xdr:colOff>
                    <xdr:row>30</xdr:row>
                    <xdr:rowOff>66675</xdr:rowOff>
                  </from>
                  <to>
                    <xdr:col>1</xdr:col>
                    <xdr:colOff>95250</xdr:colOff>
                    <xdr:row>32</xdr:row>
                    <xdr:rowOff>19050</xdr:rowOff>
                  </to>
                </anchor>
              </controlPr>
            </control>
          </mc:Choice>
        </mc:AlternateContent>
        <mc:AlternateContent xmlns:mc="http://schemas.openxmlformats.org/markup-compatibility/2006">
          <mc:Choice Requires="x14">
            <control shapeId="45086" r:id="rId11" name="Button 30">
              <controlPr defaultSize="0" print="0" autoFill="0" autoPict="0" macro="[0]!ReturnToMain">
                <anchor moveWithCells="1" sizeWithCells="1">
                  <from>
                    <xdr:col>0</xdr:col>
                    <xdr:colOff>19050</xdr:colOff>
                    <xdr:row>0</xdr:row>
                    <xdr:rowOff>19050</xdr:rowOff>
                  </from>
                  <to>
                    <xdr:col>1</xdr:col>
                    <xdr:colOff>466725</xdr:colOff>
                    <xdr:row>0</xdr:row>
                    <xdr:rowOff>152400</xdr:rowOff>
                  </to>
                </anchor>
              </controlPr>
            </control>
          </mc:Choice>
        </mc:AlternateContent>
        <mc:AlternateContent xmlns:mc="http://schemas.openxmlformats.org/markup-compatibility/2006">
          <mc:Choice Requires="x14">
            <control shapeId="45087" r:id="rId12" name="Button 31">
              <controlPr defaultSize="0" print="0" autoFill="0" autoPict="0" macro="[0]!ConductivityManufacturers">
                <anchor moveWithCells="1" sizeWithCells="1">
                  <from>
                    <xdr:col>2</xdr:col>
                    <xdr:colOff>19050</xdr:colOff>
                    <xdr:row>0</xdr:row>
                    <xdr:rowOff>19050</xdr:rowOff>
                  </from>
                  <to>
                    <xdr:col>2</xdr:col>
                    <xdr:colOff>914400</xdr:colOff>
                    <xdr:row>0</xdr:row>
                    <xdr:rowOff>152400</xdr:rowOff>
                  </to>
                </anchor>
              </controlPr>
            </control>
          </mc:Choice>
        </mc:AlternateContent>
        <mc:AlternateContent xmlns:mc="http://schemas.openxmlformats.org/markup-compatibility/2006">
          <mc:Choice Requires="x14">
            <control shapeId="45088" r:id="rId13" name="Button 32">
              <controlPr defaultSize="0" print="0" autoFill="0" autoPict="0" macro="[0]!ConductivityConverter">
                <anchor moveWithCells="1" sizeWithCells="1">
                  <from>
                    <xdr:col>3</xdr:col>
                    <xdr:colOff>19050</xdr:colOff>
                    <xdr:row>0</xdr:row>
                    <xdr:rowOff>19050</xdr:rowOff>
                  </from>
                  <to>
                    <xdr:col>5</xdr:col>
                    <xdr:colOff>142875</xdr:colOff>
                    <xdr:row>0</xdr:row>
                    <xdr:rowOff>152400</xdr:rowOff>
                  </to>
                </anchor>
              </controlPr>
            </control>
          </mc:Choice>
        </mc:AlternateContent>
        <mc:AlternateContent xmlns:mc="http://schemas.openxmlformats.org/markup-compatibility/2006">
          <mc:Choice Requires="x14">
            <control shapeId="45443" r:id="rId14" name="Check Box 387">
              <controlPr defaultSize="0" autoFill="0" autoLine="0" autoPict="0">
                <anchor moveWithCells="1">
                  <from>
                    <xdr:col>0</xdr:col>
                    <xdr:colOff>19050</xdr:colOff>
                    <xdr:row>37</xdr:row>
                    <xdr:rowOff>66675</xdr:rowOff>
                  </from>
                  <to>
                    <xdr:col>0</xdr:col>
                    <xdr:colOff>676275</xdr:colOff>
                    <xdr:row>39</xdr:row>
                    <xdr:rowOff>19050</xdr:rowOff>
                  </to>
                </anchor>
              </controlPr>
            </control>
          </mc:Choice>
        </mc:AlternateContent>
        <mc:AlternateContent xmlns:mc="http://schemas.openxmlformats.org/markup-compatibility/2006">
          <mc:Choice Requires="x14">
            <control shapeId="45444" r:id="rId15" name="Check Box 388">
              <controlPr defaultSize="0" autoFill="0" autoLine="0" autoPict="0">
                <anchor moveWithCells="1">
                  <from>
                    <xdr:col>0</xdr:col>
                    <xdr:colOff>19050</xdr:colOff>
                    <xdr:row>38</xdr:row>
                    <xdr:rowOff>66675</xdr:rowOff>
                  </from>
                  <to>
                    <xdr:col>0</xdr:col>
                    <xdr:colOff>476250</xdr:colOff>
                    <xdr:row>40</xdr:row>
                    <xdr:rowOff>19050</xdr:rowOff>
                  </to>
                </anchor>
              </controlPr>
            </control>
          </mc:Choice>
        </mc:AlternateContent>
        <mc:AlternateContent xmlns:mc="http://schemas.openxmlformats.org/markup-compatibility/2006">
          <mc:Choice Requires="x14">
            <control shapeId="45446" r:id="rId16" name="Check Box 390">
              <controlPr defaultSize="0" autoFill="0" autoLine="0" autoPict="0">
                <anchor moveWithCells="1">
                  <from>
                    <xdr:col>0</xdr:col>
                    <xdr:colOff>19050</xdr:colOff>
                    <xdr:row>39</xdr:row>
                    <xdr:rowOff>66675</xdr:rowOff>
                  </from>
                  <to>
                    <xdr:col>0</xdr:col>
                    <xdr:colOff>476250</xdr:colOff>
                    <xdr:row>41</xdr:row>
                    <xdr:rowOff>19050</xdr:rowOff>
                  </to>
                </anchor>
              </controlPr>
            </control>
          </mc:Choice>
        </mc:AlternateContent>
        <mc:AlternateContent xmlns:mc="http://schemas.openxmlformats.org/markup-compatibility/2006">
          <mc:Choice Requires="x14">
            <control shapeId="45447" r:id="rId17" name="Check Box 391">
              <controlPr defaultSize="0" autoFill="0" autoLine="0" autoPict="0">
                <anchor moveWithCells="1">
                  <from>
                    <xdr:col>0</xdr:col>
                    <xdr:colOff>19050</xdr:colOff>
                    <xdr:row>40</xdr:row>
                    <xdr:rowOff>66675</xdr:rowOff>
                  </from>
                  <to>
                    <xdr:col>0</xdr:col>
                    <xdr:colOff>476250</xdr:colOff>
                    <xdr:row>42</xdr:row>
                    <xdr:rowOff>19050</xdr:rowOff>
                  </to>
                </anchor>
              </controlPr>
            </control>
          </mc:Choice>
        </mc:AlternateContent>
        <mc:AlternateContent xmlns:mc="http://schemas.openxmlformats.org/markup-compatibility/2006">
          <mc:Choice Requires="x14">
            <control shapeId="45448" r:id="rId18" name="Check Box 392">
              <controlPr defaultSize="0" autoFill="0" autoLine="0" autoPict="0">
                <anchor moveWithCells="1">
                  <from>
                    <xdr:col>0</xdr:col>
                    <xdr:colOff>19050</xdr:colOff>
                    <xdr:row>41</xdr:row>
                    <xdr:rowOff>66675</xdr:rowOff>
                  </from>
                  <to>
                    <xdr:col>0</xdr:col>
                    <xdr:colOff>609600</xdr:colOff>
                    <xdr:row>43</xdr:row>
                    <xdr:rowOff>19050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0">
    <tabColor indexed="10"/>
  </sheetPr>
  <dimension ref="A1:BQ98"/>
  <sheetViews>
    <sheetView workbookViewId="0"/>
  </sheetViews>
  <sheetFormatPr defaultRowHeight="12.75" x14ac:dyDescent="0.2"/>
  <cols>
    <col min="1" max="1" width="33.140625" bestFit="1" customWidth="1"/>
    <col min="2" max="2" width="55.7109375" customWidth="1"/>
    <col min="3" max="3" width="22.85546875" customWidth="1"/>
    <col min="4" max="5" width="22.85546875" hidden="1" customWidth="1"/>
    <col min="6" max="6" width="88.85546875" hidden="1" customWidth="1"/>
    <col min="7" max="7" width="29" hidden="1" customWidth="1"/>
    <col min="8" max="10" width="0" hidden="1" customWidth="1"/>
    <col min="11" max="11" width="52.28515625" customWidth="1"/>
    <col min="12" max="12" width="20.140625" customWidth="1"/>
  </cols>
  <sheetData>
    <row r="1" spans="1:59" ht="25.5" customHeight="1" thickBot="1" x14ac:dyDescent="0.25"/>
    <row r="2" spans="1:59" x14ac:dyDescent="0.2">
      <c r="A2" t="s">
        <v>1442</v>
      </c>
      <c r="B2" s="885" t="s">
        <v>1443</v>
      </c>
      <c r="C2" s="646"/>
      <c r="D2" s="98"/>
      <c r="E2" s="98"/>
      <c r="F2" s="98"/>
      <c r="G2" s="98"/>
      <c r="H2" s="98"/>
      <c r="I2" s="98"/>
      <c r="J2" s="98"/>
      <c r="K2" s="98"/>
    </row>
    <row r="3" spans="1:59" x14ac:dyDescent="0.2">
      <c r="A3" s="60"/>
      <c r="B3" s="454" t="str">
        <f>IF(A5=1,L10,IF(A5=2,L11,IF(A5=3,L12,IF(A5=4,L13,IF(A5=5,L14,IF(A5=6,L15,"Error"))))))</f>
        <v>60 or 500</v>
      </c>
      <c r="C3" s="647"/>
      <c r="D3" s="647"/>
      <c r="E3" s="647"/>
    </row>
    <row r="4" spans="1:59" x14ac:dyDescent="0.2">
      <c r="A4" s="60"/>
      <c r="B4" s="885" t="s">
        <v>1444</v>
      </c>
      <c r="C4" s="647"/>
      <c r="D4" s="647"/>
      <c r="E4" s="647"/>
    </row>
    <row r="5" spans="1:59" x14ac:dyDescent="0.2">
      <c r="A5" s="702">
        <v>3</v>
      </c>
      <c r="B5" s="5" t="str">
        <f>IF(A5=1,L18,IF(A5=2,L19,IF(A5=3,L20,IF(A5=4,L21,IF(A5=5,L22,IF(A5=6,L23,"Error"))))))</f>
        <v>Press and hold "Set" button. Follow instructions on screen to set up with Std 1 and Std 2 attached to top of meter</v>
      </c>
      <c r="C5" s="650"/>
      <c r="D5" s="650"/>
      <c r="E5" s="650"/>
    </row>
    <row r="6" spans="1:59" x14ac:dyDescent="0.2">
      <c r="A6" s="648" t="s">
        <v>1445</v>
      </c>
      <c r="B6" s="885" t="s">
        <v>289</v>
      </c>
    </row>
    <row r="7" spans="1:59" x14ac:dyDescent="0.2">
      <c r="A7" s="648" t="s">
        <v>1446</v>
      </c>
      <c r="B7" s="5" t="str">
        <f>IF(A5=1,L26,IF(A5=2,L27,IF(A5=3,L28,IF(A5=4,L29,IF(A5=5,L30,IF(A5=6,L31,"Error"))))))</f>
        <v>±0.5% IACS</v>
      </c>
    </row>
    <row r="8" spans="1:59" ht="13.5" thickBot="1" x14ac:dyDescent="0.25">
      <c r="A8" s="648" t="s">
        <v>1396</v>
      </c>
      <c r="B8" s="885" t="s">
        <v>1447</v>
      </c>
    </row>
    <row r="9" spans="1:59" s="10" customFormat="1" x14ac:dyDescent="0.2">
      <c r="A9" s="648" t="s">
        <v>1448</v>
      </c>
      <c r="B9" s="586" t="s">
        <v>1449</v>
      </c>
      <c r="C9"/>
      <c r="D9"/>
      <c r="E9"/>
      <c r="F9"/>
      <c r="G9"/>
      <c r="H9"/>
      <c r="I9"/>
      <c r="J9"/>
      <c r="K9"/>
      <c r="L9" s="699" t="s">
        <v>1443</v>
      </c>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row>
    <row r="10" spans="1:59" ht="13.5" thickBot="1" x14ac:dyDescent="0.25">
      <c r="A10" s="649" t="s">
        <v>1450</v>
      </c>
      <c r="B10" s="5" t="str">
        <f>IF(A5=1,L35,IF(A5=2,L36,IF(A5=3,L37,IF(A5=4,L38,IF(A5=5,L38, IF(A5=6, L39,"Error"))))))</f>
        <v>Left of On/Off button</v>
      </c>
      <c r="C10" s="98"/>
      <c r="D10" s="98"/>
      <c r="E10" s="98"/>
      <c r="F10" s="98"/>
      <c r="G10" s="98"/>
      <c r="H10" s="98"/>
      <c r="I10" s="98"/>
      <c r="J10" s="98"/>
      <c r="K10" s="98"/>
      <c r="L10" s="694" t="s">
        <v>1451</v>
      </c>
    </row>
    <row r="11" spans="1:59" x14ac:dyDescent="0.2">
      <c r="A11" s="656" t="s">
        <v>1452</v>
      </c>
      <c r="B11" s="586" t="s">
        <v>1453</v>
      </c>
      <c r="L11" s="695" t="s">
        <v>1454</v>
      </c>
    </row>
    <row r="12" spans="1:59" x14ac:dyDescent="0.2">
      <c r="A12" s="656"/>
      <c r="B12" s="5" t="str">
        <f>IF(A5=1,M35,IF(A5=2,M36,IF(A5=3,M37,IF(A5=4,M38,IF(A5=5,M38, IF(A5=6, M39,"Error"))))))</f>
        <v>Sticker individuals with Cert/Due/Initials on back and IACS value on front. For sets,one Cert/Due/Initial sticker is fine. Each standard should have sticker for IACS value.</v>
      </c>
      <c r="L12" s="696" t="s">
        <v>1455</v>
      </c>
    </row>
    <row r="13" spans="1:59" x14ac:dyDescent="0.2">
      <c r="A13" s="656"/>
      <c r="B13" s="586" t="s">
        <v>1456</v>
      </c>
      <c r="C13" s="98"/>
      <c r="D13" s="98"/>
      <c r="E13" s="98"/>
      <c r="L13" s="697" t="s">
        <v>1457</v>
      </c>
    </row>
    <row r="14" spans="1:59" x14ac:dyDescent="0.2">
      <c r="A14" s="656"/>
      <c r="B14" s="5" t="str">
        <f>IF($A$5=1,N35,IF($A$5=2,N36,IF($A$5=3,N37,IF($A$5=4,N38,IF($A$5=5,N39, IF($A$5=6, N40,"Error"))))))</f>
        <v>Right edge of meter</v>
      </c>
      <c r="L14" s="878">
        <v>60</v>
      </c>
    </row>
    <row r="15" spans="1:59" ht="13.5" thickBot="1" x14ac:dyDescent="0.25">
      <c r="A15" s="656"/>
      <c r="B15" s="885" t="s">
        <v>1458</v>
      </c>
      <c r="C15" s="98"/>
      <c r="D15" s="98"/>
      <c r="E15" s="98"/>
      <c r="L15" s="879" t="s">
        <v>1451</v>
      </c>
    </row>
    <row r="16" spans="1:59" s="10" customFormat="1" ht="13.5" thickBot="1" x14ac:dyDescent="0.25">
      <c r="A16" s="656"/>
      <c r="B16" s="5" t="str">
        <f>IF($A$5=1,L43,IF($A$5=2,L44,IF($A$5=3,L45,IF($A$5=4,L46,IF($A$5=5,L47, IF($A$5=6, L48,"Error"))))))</f>
        <v>AA batteries</v>
      </c>
      <c r="C16"/>
      <c r="D16"/>
      <c r="E16"/>
      <c r="H16"/>
      <c r="I16"/>
      <c r="J16"/>
      <c r="K16"/>
      <c r="L16" s="317"/>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row>
    <row r="17" spans="1:65" x14ac:dyDescent="0.2">
      <c r="A17" s="656"/>
      <c r="B17" s="886" t="s">
        <v>1459</v>
      </c>
      <c r="L17" s="700" t="s">
        <v>1444</v>
      </c>
      <c r="M17" s="179"/>
      <c r="N17" s="701"/>
    </row>
    <row r="18" spans="1:65" x14ac:dyDescent="0.2">
      <c r="A18" s="656"/>
      <c r="B18" t="str">
        <f t="array" ref="B18:B23">IF(A5=1,FischerTips2,IF(A5=2,VerimetTips,IF(A5=3,AutosigmaTips,IF(A5=4,SigmaCheckTips,IF(A5=5,Centurion140XLTips, "Error")))))</f>
        <v>1. If readings are inaccurate, double-check Std 1 and Std 2 values. Adjust them if necessary and recalibrate meter.</v>
      </c>
      <c r="L18" s="567" t="s">
        <v>1460</v>
      </c>
      <c r="M18" s="360"/>
      <c r="N18" s="572"/>
    </row>
    <row r="19" spans="1:65" x14ac:dyDescent="0.2">
      <c r="A19" s="656"/>
      <c r="B19" t="str">
        <v>2. If readings are inaccurate, double-check frequency (most accurate at 60kHz) and that the P Code matches the P code printed on the probe.</v>
      </c>
      <c r="L19" s="189" t="s">
        <v>1461</v>
      </c>
      <c r="M19" s="37"/>
      <c r="N19" s="190"/>
    </row>
    <row r="20" spans="1:65" x14ac:dyDescent="0.2">
      <c r="A20" s="656"/>
      <c r="B20" t="str">
        <v>3. If readings are unstable, check to be sure that the collar around the probe connection to the meter is tight. These often come loose.</v>
      </c>
      <c r="L20" s="150" t="s">
        <v>1462</v>
      </c>
      <c r="M20" s="137"/>
      <c r="N20" s="151"/>
    </row>
    <row r="21" spans="1:65" x14ac:dyDescent="0.2">
      <c r="B21" t="str">
        <v>4. If readings are unstable, wiggle various parts of the cable while taking readings. If the readings change by more than 0.5%, the cable has a short and should be replaced.</v>
      </c>
      <c r="L21" s="568" t="s">
        <v>1463</v>
      </c>
      <c r="M21" s="569"/>
      <c r="N21" s="571"/>
    </row>
    <row r="22" spans="1:65" ht="13.5" thickBot="1" x14ac:dyDescent="0.25">
      <c r="A22" t="s">
        <v>1405</v>
      </c>
      <c r="B22" t="str">
        <v>.</v>
      </c>
      <c r="L22" s="570" t="s">
        <v>1464</v>
      </c>
      <c r="M22" s="574"/>
      <c r="N22" s="575"/>
    </row>
    <row r="23" spans="1:65" x14ac:dyDescent="0.2">
      <c r="B23" t="str">
        <v>.</v>
      </c>
      <c r="L23" s="890" t="s">
        <v>1465</v>
      </c>
      <c r="M23" s="891"/>
      <c r="N23" s="891"/>
    </row>
    <row r="24" spans="1:65" s="10" customFormat="1" ht="13.5" thickBot="1" x14ac:dyDescent="0.25">
      <c r="A24"/>
      <c r="B24"/>
      <c r="C24"/>
      <c r="D24"/>
      <c r="E24"/>
      <c r="F24"/>
      <c r="G24"/>
      <c r="H24"/>
      <c r="I24"/>
      <c r="J24"/>
      <c r="K24"/>
      <c r="L24" s="576"/>
      <c r="M24" s="576"/>
      <c r="N24" s="576"/>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row>
    <row r="25" spans="1:65" ht="13.5" thickBot="1" x14ac:dyDescent="0.25">
      <c r="L25" s="773" t="s">
        <v>1392</v>
      </c>
      <c r="M25" s="774"/>
      <c r="N25" s="576"/>
    </row>
    <row r="26" spans="1:65" x14ac:dyDescent="0.2">
      <c r="L26" s="887" t="s">
        <v>1383</v>
      </c>
      <c r="M26" s="576"/>
    </row>
    <row r="27" spans="1:65" x14ac:dyDescent="0.2">
      <c r="L27" s="888" t="s">
        <v>1383</v>
      </c>
      <c r="M27" s="576"/>
    </row>
    <row r="28" spans="1:65" x14ac:dyDescent="0.2">
      <c r="L28" s="889" t="s">
        <v>1383</v>
      </c>
      <c r="M28" s="576"/>
    </row>
    <row r="29" spans="1:65" x14ac:dyDescent="0.2">
      <c r="L29" s="1112" t="s">
        <v>1383</v>
      </c>
      <c r="M29" s="576"/>
    </row>
    <row r="30" spans="1:65" x14ac:dyDescent="0.2">
      <c r="L30" s="1113" t="s">
        <v>1383</v>
      </c>
      <c r="M30" s="576"/>
    </row>
    <row r="31" spans="1:65" s="10" customFormat="1" x14ac:dyDescent="0.2">
      <c r="A31"/>
      <c r="B31"/>
      <c r="C31"/>
      <c r="D31"/>
      <c r="E31"/>
      <c r="F31"/>
      <c r="G31"/>
      <c r="H31"/>
      <c r="I31"/>
      <c r="J31"/>
      <c r="K31"/>
      <c r="L31" s="890" t="s">
        <v>1383</v>
      </c>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row>
    <row r="32" spans="1:65" ht="13.5" thickBot="1" x14ac:dyDescent="0.25"/>
    <row r="33" spans="1:60" x14ac:dyDescent="0.2">
      <c r="L33" s="630" t="s">
        <v>1447</v>
      </c>
      <c r="M33" s="630"/>
      <c r="N33" s="631"/>
      <c r="O33" s="632"/>
    </row>
    <row r="34" spans="1:60" x14ac:dyDescent="0.2">
      <c r="L34" s="92" t="s">
        <v>1449</v>
      </c>
      <c r="M34" s="445" t="s">
        <v>1466</v>
      </c>
      <c r="N34" s="445" t="s">
        <v>1456</v>
      </c>
      <c r="O34" s="573" t="s">
        <v>1467</v>
      </c>
    </row>
    <row r="35" spans="1:60" x14ac:dyDescent="0.2">
      <c r="L35" s="567" t="s">
        <v>1468</v>
      </c>
      <c r="M35" s="892" t="s">
        <v>1469</v>
      </c>
      <c r="N35" s="360" t="s">
        <v>1470</v>
      </c>
      <c r="O35" s="572" t="s">
        <v>1471</v>
      </c>
    </row>
    <row r="36" spans="1:60" x14ac:dyDescent="0.2">
      <c r="L36" s="189" t="s">
        <v>1468</v>
      </c>
      <c r="M36" s="37" t="s">
        <v>1472</v>
      </c>
      <c r="N36" s="37" t="s">
        <v>1473</v>
      </c>
      <c r="O36" s="190" t="s">
        <v>1474</v>
      </c>
    </row>
    <row r="37" spans="1:60" x14ac:dyDescent="0.2">
      <c r="L37" s="150" t="s">
        <v>1475</v>
      </c>
      <c r="M37" s="137" t="s">
        <v>1476</v>
      </c>
      <c r="N37" s="137" t="s">
        <v>1470</v>
      </c>
      <c r="O37" s="151" t="s">
        <v>1471</v>
      </c>
    </row>
    <row r="38" spans="1:60" x14ac:dyDescent="0.2">
      <c r="L38" s="568" t="s">
        <v>1477</v>
      </c>
      <c r="M38" s="569" t="s">
        <v>1476</v>
      </c>
      <c r="N38" s="569" t="s">
        <v>1470</v>
      </c>
      <c r="O38" s="571" t="s">
        <v>1471</v>
      </c>
    </row>
    <row r="39" spans="1:60" s="10" customFormat="1" ht="13.5" thickBot="1" x14ac:dyDescent="0.25">
      <c r="A39"/>
      <c r="B39"/>
      <c r="C39"/>
      <c r="D39"/>
      <c r="E39"/>
      <c r="F39"/>
      <c r="G39"/>
      <c r="H39"/>
      <c r="I39"/>
      <c r="J39"/>
      <c r="K39"/>
      <c r="L39" s="570" t="s">
        <v>1478</v>
      </c>
      <c r="M39" s="574" t="s">
        <v>1472</v>
      </c>
      <c r="N39" s="574" t="s">
        <v>1479</v>
      </c>
      <c r="O39" s="575" t="s">
        <v>1471</v>
      </c>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row>
    <row r="40" spans="1:60" x14ac:dyDescent="0.2">
      <c r="L40" s="890" t="s">
        <v>1480</v>
      </c>
      <c r="M40" s="891" t="s">
        <v>1469</v>
      </c>
      <c r="N40" s="890" t="s">
        <v>1470</v>
      </c>
      <c r="O40" s="890" t="s">
        <v>1471</v>
      </c>
    </row>
    <row r="41" spans="1:60" ht="13.5" thickBot="1" x14ac:dyDescent="0.25"/>
    <row r="42" spans="1:60" x14ac:dyDescent="0.2">
      <c r="L42" s="693" t="s">
        <v>1458</v>
      </c>
      <c r="M42" s="634"/>
      <c r="N42" s="634"/>
      <c r="O42" s="635"/>
    </row>
    <row r="43" spans="1:60" x14ac:dyDescent="0.2">
      <c r="L43" s="694" t="s">
        <v>1481</v>
      </c>
      <c r="M43" s="641"/>
      <c r="N43" s="579"/>
      <c r="O43" s="572"/>
    </row>
    <row r="44" spans="1:60" x14ac:dyDescent="0.2">
      <c r="L44" s="695" t="s">
        <v>1482</v>
      </c>
      <c r="M44" s="642"/>
      <c r="N44" s="580"/>
      <c r="O44" s="190"/>
    </row>
    <row r="45" spans="1:60" x14ac:dyDescent="0.2">
      <c r="L45" s="696" t="s">
        <v>1483</v>
      </c>
      <c r="M45" s="643"/>
      <c r="N45" s="424"/>
      <c r="O45" s="578"/>
    </row>
    <row r="46" spans="1:60" x14ac:dyDescent="0.2">
      <c r="L46" s="697" t="s">
        <v>1483</v>
      </c>
      <c r="M46" s="644"/>
      <c r="N46" s="581"/>
      <c r="O46" s="571"/>
    </row>
    <row r="47" spans="1:60" ht="13.5" thickBot="1" x14ac:dyDescent="0.25">
      <c r="L47" s="698" t="s">
        <v>1484</v>
      </c>
      <c r="M47" s="645"/>
      <c r="N47" s="577"/>
      <c r="O47" s="575"/>
    </row>
    <row r="48" spans="1:60" x14ac:dyDescent="0.2">
      <c r="L48" s="893" t="s">
        <v>1481</v>
      </c>
      <c r="M48" s="891"/>
      <c r="N48" s="891"/>
      <c r="O48" s="891"/>
    </row>
    <row r="50" spans="1:69" s="10" customFormat="1" ht="13.5" thickBot="1"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row>
    <row r="51" spans="1:69" x14ac:dyDescent="0.2">
      <c r="L51" s="633" t="s">
        <v>1459</v>
      </c>
      <c r="M51" s="634"/>
      <c r="N51" s="634"/>
      <c r="O51" s="634"/>
      <c r="P51" s="634"/>
      <c r="Q51" s="634"/>
      <c r="R51" s="634"/>
      <c r="S51" s="634"/>
      <c r="T51" s="635"/>
    </row>
    <row r="52" spans="1:69" x14ac:dyDescent="0.2">
      <c r="L52" s="675" t="s">
        <v>1445</v>
      </c>
      <c r="M52" s="658"/>
      <c r="N52" s="658"/>
      <c r="O52" s="658"/>
      <c r="P52" s="658"/>
      <c r="Q52" s="658"/>
      <c r="R52" s="658"/>
      <c r="S52" s="658"/>
      <c r="T52" s="676"/>
    </row>
    <row r="53" spans="1:69" x14ac:dyDescent="0.2">
      <c r="L53" s="655" t="s">
        <v>1485</v>
      </c>
      <c r="M53" s="651"/>
      <c r="N53" s="651"/>
      <c r="O53" s="651"/>
      <c r="P53" s="651"/>
      <c r="Q53" s="651"/>
      <c r="R53" s="651"/>
      <c r="S53" s="651"/>
      <c r="T53" s="677"/>
    </row>
    <row r="54" spans="1:69" x14ac:dyDescent="0.2">
      <c r="L54" s="655" t="s">
        <v>1486</v>
      </c>
      <c r="M54" s="651"/>
      <c r="N54" s="651"/>
      <c r="O54" s="651"/>
      <c r="P54" s="651"/>
      <c r="Q54" s="651"/>
      <c r="R54" s="651"/>
      <c r="S54" s="651"/>
      <c r="T54" s="677"/>
    </row>
    <row r="55" spans="1:69" x14ac:dyDescent="0.2">
      <c r="L55" s="655" t="s">
        <v>1487</v>
      </c>
      <c r="M55" s="651"/>
      <c r="N55" s="651"/>
      <c r="O55" s="651"/>
      <c r="P55" s="651"/>
      <c r="Q55" s="651"/>
      <c r="R55" s="651"/>
      <c r="S55" s="651"/>
      <c r="T55" s="677"/>
    </row>
    <row r="56" spans="1:69" s="10" customFormat="1" x14ac:dyDescent="0.2">
      <c r="A56"/>
      <c r="B56"/>
      <c r="C56"/>
      <c r="D56"/>
      <c r="E56"/>
      <c r="F56"/>
      <c r="G56"/>
      <c r="H56"/>
      <c r="I56"/>
      <c r="J56"/>
      <c r="K56"/>
      <c r="L56" s="655" t="s">
        <v>144</v>
      </c>
      <c r="M56" s="651"/>
      <c r="N56" s="651"/>
      <c r="O56" s="651"/>
      <c r="P56" s="651"/>
      <c r="Q56" s="651"/>
      <c r="R56" s="651"/>
      <c r="S56" s="651"/>
      <c r="T56" s="677"/>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row>
    <row r="57" spans="1:69" x14ac:dyDescent="0.2">
      <c r="L57" s="655" t="s">
        <v>144</v>
      </c>
      <c r="M57" s="651"/>
      <c r="N57" s="651"/>
      <c r="O57" s="651"/>
      <c r="P57" s="651"/>
      <c r="Q57" s="651"/>
      <c r="R57" s="651"/>
      <c r="S57" s="651"/>
      <c r="T57" s="677"/>
    </row>
    <row r="58" spans="1:69" x14ac:dyDescent="0.2">
      <c r="L58" s="678" t="s">
        <v>144</v>
      </c>
      <c r="M58" s="657"/>
      <c r="N58" s="657"/>
      <c r="O58" s="657"/>
      <c r="P58" s="657"/>
      <c r="Q58" s="657"/>
      <c r="R58" s="657"/>
      <c r="S58" s="657"/>
      <c r="T58" s="679"/>
    </row>
    <row r="59" spans="1:69" x14ac:dyDescent="0.2">
      <c r="L59" s="108"/>
      <c r="T59" s="168"/>
    </row>
    <row r="60" spans="1:69" x14ac:dyDescent="0.2">
      <c r="L60" s="680" t="s">
        <v>1394</v>
      </c>
      <c r="M60" s="659"/>
      <c r="N60" s="659"/>
      <c r="O60" s="659"/>
      <c r="P60" s="660"/>
      <c r="Q60" s="660"/>
      <c r="R60" s="660"/>
      <c r="S60" s="650"/>
      <c r="T60" s="681"/>
    </row>
    <row r="61" spans="1:69" s="10" customFormat="1" x14ac:dyDescent="0.2">
      <c r="A61"/>
      <c r="B61"/>
      <c r="C61"/>
      <c r="D61"/>
      <c r="E61"/>
      <c r="F61"/>
      <c r="G61"/>
      <c r="H61"/>
      <c r="I61"/>
      <c r="J61"/>
      <c r="K61"/>
      <c r="L61" s="626" t="s">
        <v>1488</v>
      </c>
      <c r="M61" s="4"/>
      <c r="N61" s="4"/>
      <c r="O61" s="4"/>
      <c r="P61" s="4"/>
      <c r="Q61" s="4"/>
      <c r="R61" s="4"/>
      <c r="S61"/>
      <c r="T61" s="168"/>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row>
    <row r="62" spans="1:69" x14ac:dyDescent="0.2">
      <c r="L62" s="626" t="s">
        <v>1489</v>
      </c>
      <c r="M62" s="4"/>
      <c r="N62" s="4"/>
      <c r="O62" s="4"/>
      <c r="P62" s="4"/>
      <c r="Q62" s="4"/>
      <c r="R62" s="4"/>
      <c r="T62" s="168"/>
    </row>
    <row r="63" spans="1:69" x14ac:dyDescent="0.2">
      <c r="L63" s="626" t="s">
        <v>1490</v>
      </c>
      <c r="M63" s="4"/>
      <c r="N63" s="4"/>
      <c r="O63" s="4"/>
      <c r="P63" s="4"/>
      <c r="Q63" s="4"/>
      <c r="R63" s="4"/>
      <c r="T63" s="168"/>
    </row>
    <row r="64" spans="1:69" x14ac:dyDescent="0.2">
      <c r="L64" s="626" t="s">
        <v>1491</v>
      </c>
      <c r="M64" s="4"/>
      <c r="N64" s="4"/>
      <c r="O64" s="4"/>
      <c r="P64" s="4"/>
      <c r="Q64" s="4"/>
      <c r="R64" s="4"/>
      <c r="T64" s="168"/>
    </row>
    <row r="65" spans="12:20" x14ac:dyDescent="0.2">
      <c r="L65" s="626" t="s">
        <v>1492</v>
      </c>
      <c r="M65" s="4"/>
      <c r="N65" s="4"/>
      <c r="O65" s="4"/>
      <c r="P65" s="4"/>
      <c r="Q65" s="4"/>
      <c r="R65" s="4"/>
      <c r="S65" s="10"/>
      <c r="T65" s="168"/>
    </row>
    <row r="66" spans="12:20" x14ac:dyDescent="0.2">
      <c r="L66" s="682" t="s">
        <v>1493</v>
      </c>
      <c r="M66" s="661"/>
      <c r="N66" s="661"/>
      <c r="O66" s="661"/>
      <c r="P66" s="661"/>
      <c r="Q66" s="661"/>
      <c r="R66" s="661"/>
      <c r="S66" s="351"/>
      <c r="T66" s="683"/>
    </row>
    <row r="67" spans="12:20" x14ac:dyDescent="0.2">
      <c r="L67" s="684"/>
      <c r="M67" s="24"/>
      <c r="N67" s="24"/>
      <c r="O67" s="24"/>
      <c r="P67" s="24"/>
      <c r="Q67" s="24"/>
      <c r="R67" s="582"/>
      <c r="T67" s="168"/>
    </row>
    <row r="68" spans="12:20" x14ac:dyDescent="0.2">
      <c r="L68" s="685" t="s">
        <v>1396</v>
      </c>
      <c r="M68" s="663"/>
      <c r="N68" s="663"/>
      <c r="O68" s="663"/>
      <c r="P68" s="663"/>
      <c r="Q68" s="663"/>
      <c r="R68" s="663"/>
      <c r="S68" s="650"/>
      <c r="T68" s="681"/>
    </row>
    <row r="69" spans="12:20" x14ac:dyDescent="0.2">
      <c r="L69" s="654" t="s">
        <v>1494</v>
      </c>
      <c r="M69" s="134"/>
      <c r="N69" s="134"/>
      <c r="O69" s="134"/>
      <c r="P69" s="134"/>
      <c r="Q69" s="134"/>
      <c r="R69" s="134"/>
      <c r="T69" s="168"/>
    </row>
    <row r="70" spans="12:20" x14ac:dyDescent="0.2">
      <c r="L70" s="654" t="s">
        <v>1495</v>
      </c>
      <c r="M70" s="134"/>
      <c r="N70" s="134"/>
      <c r="O70" s="134"/>
      <c r="P70" s="134"/>
      <c r="Q70" s="134"/>
      <c r="R70" s="134"/>
      <c r="T70" s="168"/>
    </row>
    <row r="71" spans="12:20" x14ac:dyDescent="0.2">
      <c r="L71" s="654" t="s">
        <v>1496</v>
      </c>
      <c r="M71" s="134"/>
      <c r="N71" s="134"/>
      <c r="O71" s="134"/>
      <c r="P71" s="134"/>
      <c r="Q71" s="134"/>
      <c r="R71" s="134"/>
      <c r="T71" s="168"/>
    </row>
    <row r="72" spans="12:20" x14ac:dyDescent="0.2">
      <c r="L72" s="654" t="s">
        <v>1497</v>
      </c>
      <c r="M72" s="134"/>
      <c r="N72" s="134"/>
      <c r="O72" s="134"/>
      <c r="P72" s="134"/>
      <c r="Q72" s="662" t="s">
        <v>1498</v>
      </c>
      <c r="R72" s="134"/>
      <c r="T72" s="168"/>
    </row>
    <row r="73" spans="12:20" x14ac:dyDescent="0.2">
      <c r="L73" s="654" t="s">
        <v>144</v>
      </c>
      <c r="M73" s="134"/>
      <c r="N73" s="134"/>
      <c r="O73" s="134"/>
      <c r="P73" s="134"/>
      <c r="Q73" s="662"/>
      <c r="R73" s="134"/>
      <c r="T73" s="168"/>
    </row>
    <row r="74" spans="12:20" x14ac:dyDescent="0.2">
      <c r="L74" s="686" t="s">
        <v>144</v>
      </c>
      <c r="M74" s="664"/>
      <c r="N74" s="664"/>
      <c r="O74" s="664"/>
      <c r="P74" s="664"/>
      <c r="Q74" s="665"/>
      <c r="R74" s="664"/>
      <c r="S74" s="351"/>
      <c r="T74" s="683"/>
    </row>
    <row r="75" spans="12:20" x14ac:dyDescent="0.2">
      <c r="L75" s="108"/>
      <c r="P75" s="24"/>
      <c r="Q75" s="24"/>
      <c r="R75" s="168"/>
      <c r="T75" s="168"/>
    </row>
    <row r="76" spans="12:20" x14ac:dyDescent="0.2">
      <c r="L76" s="687" t="s">
        <v>1448</v>
      </c>
      <c r="M76" s="667"/>
      <c r="N76" s="667"/>
      <c r="O76" s="667"/>
      <c r="P76" s="667"/>
      <c r="Q76" s="668"/>
      <c r="R76" s="668"/>
      <c r="S76" s="650"/>
      <c r="T76" s="681"/>
    </row>
    <row r="77" spans="12:20" x14ac:dyDescent="0.2">
      <c r="L77" s="653" t="s">
        <v>1499</v>
      </c>
      <c r="M77" s="652"/>
      <c r="N77" s="652"/>
      <c r="O77" s="652"/>
      <c r="P77" s="652"/>
      <c r="Q77" s="666"/>
      <c r="R77" s="666"/>
      <c r="T77" s="168"/>
    </row>
    <row r="78" spans="12:20" x14ac:dyDescent="0.2">
      <c r="L78" s="653" t="s">
        <v>1500</v>
      </c>
      <c r="M78" s="652"/>
      <c r="N78" s="652"/>
      <c r="O78" s="652"/>
      <c r="P78" s="652"/>
      <c r="Q78" s="666"/>
      <c r="R78" s="666"/>
      <c r="T78" s="168"/>
    </row>
    <row r="79" spans="12:20" x14ac:dyDescent="0.2">
      <c r="L79" s="877" t="s">
        <v>1501</v>
      </c>
      <c r="M79" s="652"/>
      <c r="N79" s="652"/>
      <c r="O79" s="652"/>
      <c r="P79" s="652"/>
      <c r="Q79" s="666"/>
      <c r="R79" s="666"/>
      <c r="T79" s="168"/>
    </row>
    <row r="80" spans="12:20" x14ac:dyDescent="0.2">
      <c r="L80" s="877" t="s">
        <v>1502</v>
      </c>
      <c r="M80" s="652"/>
      <c r="N80" s="652"/>
      <c r="O80" s="652"/>
      <c r="P80" s="652"/>
      <c r="Q80" s="666"/>
      <c r="R80" s="666"/>
      <c r="T80" s="168"/>
    </row>
    <row r="81" spans="12:20" x14ac:dyDescent="0.2">
      <c r="L81" s="653" t="s">
        <v>144</v>
      </c>
      <c r="M81" s="652"/>
      <c r="N81" s="652"/>
      <c r="O81" s="652"/>
      <c r="P81" s="652"/>
      <c r="Q81" s="666"/>
      <c r="R81" s="666"/>
      <c r="T81" s="168"/>
    </row>
    <row r="82" spans="12:20" x14ac:dyDescent="0.2">
      <c r="L82" s="688" t="s">
        <v>144</v>
      </c>
      <c r="M82" s="669"/>
      <c r="N82" s="669"/>
      <c r="O82" s="669"/>
      <c r="P82" s="669"/>
      <c r="Q82" s="670"/>
      <c r="R82" s="670"/>
      <c r="S82" s="351"/>
      <c r="T82" s="683"/>
    </row>
    <row r="83" spans="12:20" x14ac:dyDescent="0.2">
      <c r="L83" s="108"/>
      <c r="P83" s="24"/>
      <c r="Q83" s="671"/>
      <c r="R83" s="672"/>
      <c r="T83" s="168"/>
    </row>
    <row r="84" spans="12:20" x14ac:dyDescent="0.2">
      <c r="L84" s="689" t="s">
        <v>1450</v>
      </c>
      <c r="M84" s="673"/>
      <c r="N84" s="673"/>
      <c r="O84" s="673"/>
      <c r="P84" s="673"/>
      <c r="Q84" s="673"/>
      <c r="R84" s="673"/>
      <c r="S84" s="674"/>
      <c r="T84" s="681"/>
    </row>
    <row r="85" spans="12:20" x14ac:dyDescent="0.2">
      <c r="L85" s="690" t="s">
        <v>1503</v>
      </c>
      <c r="M85" s="576"/>
      <c r="N85" s="576"/>
      <c r="O85" s="576"/>
      <c r="P85" s="576"/>
      <c r="Q85" s="576"/>
      <c r="R85" s="576"/>
      <c r="T85" s="168"/>
    </row>
    <row r="86" spans="12:20" x14ac:dyDescent="0.2">
      <c r="L86" s="690" t="s">
        <v>1504</v>
      </c>
      <c r="M86" s="576"/>
      <c r="N86" s="576"/>
      <c r="O86" s="576"/>
      <c r="P86" s="576"/>
      <c r="Q86" s="576"/>
      <c r="R86" s="576"/>
      <c r="T86" s="168"/>
    </row>
    <row r="87" spans="12:20" x14ac:dyDescent="0.2">
      <c r="L87" s="690" t="s">
        <v>1505</v>
      </c>
      <c r="M87" s="576"/>
      <c r="N87" s="576"/>
      <c r="O87" s="576"/>
      <c r="P87" s="576"/>
      <c r="Q87" s="576"/>
      <c r="R87" s="576"/>
      <c r="T87" s="168"/>
    </row>
    <row r="88" spans="12:20" x14ac:dyDescent="0.2">
      <c r="L88" s="690" t="s">
        <v>1506</v>
      </c>
      <c r="M88" s="576"/>
      <c r="N88" s="576"/>
      <c r="O88" s="576"/>
      <c r="P88" s="576"/>
      <c r="Q88" s="576"/>
      <c r="R88" s="576"/>
      <c r="T88" s="168"/>
    </row>
    <row r="89" spans="12:20" x14ac:dyDescent="0.2">
      <c r="L89" s="690" t="s">
        <v>1507</v>
      </c>
      <c r="M89" s="576"/>
      <c r="N89" s="576"/>
      <c r="O89" s="576"/>
      <c r="P89" s="576"/>
      <c r="Q89" s="576"/>
      <c r="R89" s="576"/>
      <c r="T89" s="168"/>
    </row>
    <row r="90" spans="12:20" ht="13.5" thickBot="1" x14ac:dyDescent="0.25">
      <c r="L90" s="691" t="s">
        <v>144</v>
      </c>
      <c r="M90" s="692"/>
      <c r="N90" s="692"/>
      <c r="O90" s="692"/>
      <c r="P90" s="692"/>
      <c r="Q90" s="692"/>
      <c r="R90" s="692"/>
      <c r="S90" s="164"/>
      <c r="T90" s="561"/>
    </row>
    <row r="92" spans="12:20" x14ac:dyDescent="0.2">
      <c r="L92" s="894" t="s">
        <v>1452</v>
      </c>
      <c r="M92" s="891"/>
      <c r="N92" s="891"/>
      <c r="O92" s="891"/>
      <c r="P92" s="891"/>
      <c r="Q92" s="891"/>
      <c r="R92" s="891"/>
      <c r="S92" s="891"/>
      <c r="T92" s="891"/>
    </row>
    <row r="93" spans="12:20" x14ac:dyDescent="0.2">
      <c r="L93" s="890" t="s">
        <v>1508</v>
      </c>
      <c r="M93" s="891"/>
      <c r="N93" s="891"/>
      <c r="O93" s="891"/>
      <c r="P93" s="891"/>
      <c r="Q93" s="891"/>
      <c r="R93" s="891"/>
      <c r="S93" s="891"/>
      <c r="T93" s="891"/>
    </row>
    <row r="94" spans="12:20" x14ac:dyDescent="0.2">
      <c r="L94" s="470" t="s">
        <v>144</v>
      </c>
    </row>
    <row r="95" spans="12:20" x14ac:dyDescent="0.2">
      <c r="L95" s="470" t="s">
        <v>144</v>
      </c>
    </row>
    <row r="96" spans="12:20" x14ac:dyDescent="0.2">
      <c r="L96" s="470" t="s">
        <v>144</v>
      </c>
    </row>
    <row r="97" spans="12:12" x14ac:dyDescent="0.2">
      <c r="L97" s="470" t="s">
        <v>144</v>
      </c>
    </row>
    <row r="98" spans="12:12" x14ac:dyDescent="0.2">
      <c r="L98" s="470" t="s">
        <v>144</v>
      </c>
    </row>
  </sheetData>
  <sheetProtection sheet="1" selectLockedCells="1"/>
  <phoneticPr fontId="13" type="noConversion"/>
  <hyperlinks>
    <hyperlink ref="Q72" r:id="rId1" xr:uid="{00000000-0004-0000-3100-000000000000}"/>
  </hyperlinks>
  <pageMargins left="0.75" right="0.75" top="1" bottom="1" header="0.5" footer="0.5"/>
  <pageSetup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46083" r:id="rId5" name="Drop Down 3">
              <controlPr defaultSize="0" autoLine="0" autoPict="0">
                <anchor moveWithCells="1">
                  <from>
                    <xdr:col>0</xdr:col>
                    <xdr:colOff>19050</xdr:colOff>
                    <xdr:row>2</xdr:row>
                    <xdr:rowOff>9525</xdr:rowOff>
                  </from>
                  <to>
                    <xdr:col>0</xdr:col>
                    <xdr:colOff>800100</xdr:colOff>
                    <xdr:row>3</xdr:row>
                    <xdr:rowOff>19050</xdr:rowOff>
                  </to>
                </anchor>
              </controlPr>
            </control>
          </mc:Choice>
        </mc:AlternateContent>
        <mc:AlternateContent xmlns:mc="http://schemas.openxmlformats.org/markup-compatibility/2006">
          <mc:Choice Requires="x14">
            <control shapeId="46085" r:id="rId6" name="Button 5">
              <controlPr defaultSize="0" print="0" autoFill="0" autoPict="0" macro="[0]!ReturnToMain">
                <anchor moveWithCells="1" sizeWithCells="1">
                  <from>
                    <xdr:col>0</xdr:col>
                    <xdr:colOff>19050</xdr:colOff>
                    <xdr:row>0</xdr:row>
                    <xdr:rowOff>19050</xdr:rowOff>
                  </from>
                  <to>
                    <xdr:col>0</xdr:col>
                    <xdr:colOff>771525</xdr:colOff>
                    <xdr:row>0</xdr:row>
                    <xdr:rowOff>152400</xdr:rowOff>
                  </to>
                </anchor>
              </controlPr>
            </control>
          </mc:Choice>
        </mc:AlternateContent>
        <mc:AlternateContent xmlns:mc="http://schemas.openxmlformats.org/markup-compatibility/2006">
          <mc:Choice Requires="x14">
            <control shapeId="46086" r:id="rId7" name="Button 6">
              <controlPr defaultSize="0" print="0" autoFill="0" autoPict="0" macro="[0]!ConductivityConverter">
                <anchor moveWithCells="1" sizeWithCells="1">
                  <from>
                    <xdr:col>1</xdr:col>
                    <xdr:colOff>504825</xdr:colOff>
                    <xdr:row>0</xdr:row>
                    <xdr:rowOff>19050</xdr:rowOff>
                  </from>
                  <to>
                    <xdr:col>1</xdr:col>
                    <xdr:colOff>1276350</xdr:colOff>
                    <xdr:row>0</xdr:row>
                    <xdr:rowOff>152400</xdr:rowOff>
                  </to>
                </anchor>
              </controlPr>
            </control>
          </mc:Choice>
        </mc:AlternateContent>
        <mc:AlternateContent xmlns:mc="http://schemas.openxmlformats.org/markup-compatibility/2006">
          <mc:Choice Requires="x14">
            <control shapeId="46087" r:id="rId8" name="Button 7">
              <controlPr defaultSize="0" print="0" autoFill="0" autoPict="0" macro="[0]!ConductivitySpecs">
                <anchor moveWithCells="1" sizeWithCells="1">
                  <from>
                    <xdr:col>0</xdr:col>
                    <xdr:colOff>819150</xdr:colOff>
                    <xdr:row>0</xdr:row>
                    <xdr:rowOff>19050</xdr:rowOff>
                  </from>
                  <to>
                    <xdr:col>1</xdr:col>
                    <xdr:colOff>476250</xdr:colOff>
                    <xdr:row>0</xdr:row>
                    <xdr:rowOff>142875</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6">
    <tabColor indexed="10"/>
  </sheetPr>
  <dimension ref="A2:N26"/>
  <sheetViews>
    <sheetView workbookViewId="0"/>
  </sheetViews>
  <sheetFormatPr defaultRowHeight="12.75" x14ac:dyDescent="0.2"/>
  <cols>
    <col min="1" max="1" width="35.7109375" customWidth="1"/>
    <col min="2" max="2" width="30" customWidth="1"/>
    <col min="3" max="3" width="32" bestFit="1" customWidth="1"/>
    <col min="4" max="4" width="36.7109375" bestFit="1" customWidth="1"/>
    <col min="5" max="5" width="30" customWidth="1"/>
  </cols>
  <sheetData>
    <row r="2" spans="1:14" ht="16.5" customHeight="1" x14ac:dyDescent="0.2"/>
    <row r="3" spans="1:14" x14ac:dyDescent="0.2">
      <c r="A3" t="s">
        <v>1509</v>
      </c>
    </row>
    <row r="4" spans="1:14" x14ac:dyDescent="0.2">
      <c r="A4" t="s">
        <v>1510</v>
      </c>
    </row>
    <row r="6" spans="1:14" x14ac:dyDescent="0.2">
      <c r="A6" s="470" t="s">
        <v>1511</v>
      </c>
    </row>
    <row r="7" spans="1:14" x14ac:dyDescent="0.2">
      <c r="A7" s="769" t="s">
        <v>1512</v>
      </c>
      <c r="B7" s="768"/>
      <c r="C7" s="768"/>
      <c r="D7" s="768"/>
      <c r="E7" s="768"/>
      <c r="F7" s="768"/>
      <c r="G7" s="768"/>
      <c r="H7" s="768"/>
      <c r="I7" s="768"/>
      <c r="J7" s="768"/>
      <c r="K7" s="768"/>
      <c r="L7" s="768"/>
      <c r="M7" s="768"/>
      <c r="N7" s="768"/>
    </row>
    <row r="8" spans="1:14" ht="15" x14ac:dyDescent="0.25">
      <c r="A8" s="234" t="s">
        <v>1513</v>
      </c>
      <c r="C8" s="61" t="s">
        <v>1514</v>
      </c>
    </row>
    <row r="9" spans="1:14" ht="15.75" thickBot="1" x14ac:dyDescent="0.3">
      <c r="A9" s="234" t="s">
        <v>1515</v>
      </c>
      <c r="C9" s="61"/>
      <c r="D9" s="234" t="s">
        <v>1516</v>
      </c>
    </row>
    <row r="10" spans="1:14" ht="15" x14ac:dyDescent="0.2">
      <c r="A10" s="758" t="s">
        <v>1517</v>
      </c>
      <c r="B10" s="813" t="s">
        <v>766</v>
      </c>
      <c r="D10" s="814" t="s">
        <v>1517</v>
      </c>
      <c r="E10" s="814" t="s">
        <v>766</v>
      </c>
    </row>
    <row r="11" spans="1:14" ht="15" x14ac:dyDescent="0.2">
      <c r="A11" s="759">
        <v>16.68</v>
      </c>
      <c r="B11" s="760">
        <v>0.19</v>
      </c>
      <c r="D11" s="119">
        <v>16.399999999999999</v>
      </c>
      <c r="E11" s="119">
        <v>0.18</v>
      </c>
    </row>
    <row r="12" spans="1:14" ht="15" x14ac:dyDescent="0.2">
      <c r="A12" s="759">
        <v>28.21</v>
      </c>
      <c r="B12" s="760">
        <v>0.3</v>
      </c>
      <c r="D12" s="119">
        <v>27.21</v>
      </c>
      <c r="E12" s="119">
        <v>0.28999999999999998</v>
      </c>
    </row>
    <row r="13" spans="1:14" ht="15" x14ac:dyDescent="0.2">
      <c r="A13" s="759">
        <v>36.71</v>
      </c>
      <c r="B13" s="760">
        <v>0.36</v>
      </c>
      <c r="D13" s="119">
        <v>34.42</v>
      </c>
      <c r="E13" s="119">
        <v>0.35</v>
      </c>
    </row>
    <row r="14" spans="1:14" ht="15" x14ac:dyDescent="0.2">
      <c r="A14" s="759">
        <v>40.130000000000003</v>
      </c>
      <c r="B14" s="760">
        <v>0.36</v>
      </c>
      <c r="D14" s="119">
        <v>39.75</v>
      </c>
      <c r="E14" s="119">
        <v>0.36</v>
      </c>
    </row>
    <row r="15" spans="1:14" ht="15" x14ac:dyDescent="0.2">
      <c r="A15" s="759">
        <v>59.31</v>
      </c>
      <c r="B15" s="760">
        <v>0.37</v>
      </c>
      <c r="D15" s="119">
        <v>60.97</v>
      </c>
      <c r="E15" s="119">
        <v>0.37</v>
      </c>
    </row>
    <row r="16" spans="1:14" ht="15" x14ac:dyDescent="0.2">
      <c r="A16" s="761" t="s">
        <v>1518</v>
      </c>
      <c r="B16" s="762"/>
      <c r="D16" s="814" t="s">
        <v>1518</v>
      </c>
      <c r="E16" s="815"/>
    </row>
    <row r="17" spans="1:7" ht="15" x14ac:dyDescent="0.2">
      <c r="A17" s="759">
        <v>16.68</v>
      </c>
      <c r="B17" s="760">
        <v>0.19</v>
      </c>
      <c r="D17" s="119">
        <v>16.399999999999999</v>
      </c>
      <c r="E17" s="119">
        <v>0.18</v>
      </c>
    </row>
    <row r="18" spans="1:7" ht="15" x14ac:dyDescent="0.2">
      <c r="A18" s="759">
        <v>28.21</v>
      </c>
      <c r="B18" s="760">
        <v>0.3</v>
      </c>
      <c r="D18" s="119">
        <v>27.21</v>
      </c>
      <c r="E18" s="119">
        <v>0.28999999999999998</v>
      </c>
    </row>
    <row r="19" spans="1:7" ht="15" x14ac:dyDescent="0.2">
      <c r="A19" s="759">
        <v>36.71</v>
      </c>
      <c r="B19" s="760">
        <v>0.36</v>
      </c>
      <c r="D19" s="119">
        <v>34.42</v>
      </c>
      <c r="E19" s="119">
        <v>0.35</v>
      </c>
    </row>
    <row r="20" spans="1:7" ht="15" x14ac:dyDescent="0.2">
      <c r="A20" s="759">
        <v>40.130000000000003</v>
      </c>
      <c r="B20" s="760">
        <v>0.36</v>
      </c>
      <c r="D20" s="119">
        <v>39.75</v>
      </c>
      <c r="E20" s="119">
        <v>0.36</v>
      </c>
    </row>
    <row r="21" spans="1:7" ht="15.75" thickBot="1" x14ac:dyDescent="0.25">
      <c r="A21" s="763">
        <v>59.31</v>
      </c>
      <c r="B21" s="764">
        <v>0.37</v>
      </c>
      <c r="D21" s="119">
        <v>60.97</v>
      </c>
      <c r="E21" s="119">
        <v>0.37</v>
      </c>
    </row>
    <row r="23" spans="1:7" x14ac:dyDescent="0.2">
      <c r="A23" s="769" t="s">
        <v>1519</v>
      </c>
      <c r="B23" s="768"/>
    </row>
    <row r="24" spans="1:7" x14ac:dyDescent="0.2">
      <c r="A24" s="769" t="s">
        <v>1520</v>
      </c>
      <c r="B24" s="768"/>
      <c r="C24" s="1114" t="s">
        <v>1434</v>
      </c>
      <c r="D24" s="768"/>
      <c r="E24" s="768"/>
      <c r="F24" s="768"/>
      <c r="G24" s="768"/>
    </row>
    <row r="26" spans="1:7" x14ac:dyDescent="0.2">
      <c r="A26" t="s">
        <v>1521</v>
      </c>
    </row>
  </sheetData>
  <sheetProtection sheet="1"/>
  <phoneticPr fontId="25" type="noConversion"/>
  <hyperlinks>
    <hyperlink ref="C8" r:id="rId1" display="Go to Acceptance Limits Datasheet" xr:uid="{00000000-0004-0000-32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61" r:id="rId5" name="Button 1">
              <controlPr defaultSize="0" print="0" autoFill="0" autoPict="0" macro="[0]!ReturnToMain">
                <anchor moveWithCells="1" sizeWithCells="1">
                  <from>
                    <xdr:col>0</xdr:col>
                    <xdr:colOff>66675</xdr:colOff>
                    <xdr:row>0</xdr:row>
                    <xdr:rowOff>38100</xdr:rowOff>
                  </from>
                  <to>
                    <xdr:col>0</xdr:col>
                    <xdr:colOff>866775</xdr:colOff>
                    <xdr:row>1</xdr:row>
                    <xdr:rowOff>85725</xdr:rowOff>
                  </to>
                </anchor>
              </controlPr>
            </control>
          </mc:Choice>
        </mc:AlternateContent>
        <mc:AlternateContent xmlns:mc="http://schemas.openxmlformats.org/markup-compatibility/2006">
          <mc:Choice Requires="x14">
            <control shapeId="92163" r:id="rId6" name="Button 3">
              <controlPr defaultSize="0" print="0" autoFill="0" autoPict="0" macro="[0]!ConductivitySpecs">
                <anchor moveWithCells="1" sizeWithCells="1">
                  <from>
                    <xdr:col>0</xdr:col>
                    <xdr:colOff>923925</xdr:colOff>
                    <xdr:row>0</xdr:row>
                    <xdr:rowOff>28575</xdr:rowOff>
                  </from>
                  <to>
                    <xdr:col>1</xdr:col>
                    <xdr:colOff>485775</xdr:colOff>
                    <xdr:row>1</xdr:row>
                    <xdr:rowOff>85725</xdr:rowOff>
                  </to>
                </anchor>
              </controlPr>
            </control>
          </mc:Choice>
        </mc:AlternateContent>
        <mc:AlternateContent xmlns:mc="http://schemas.openxmlformats.org/markup-compatibility/2006">
          <mc:Choice Requires="x14">
            <control shapeId="92164" r:id="rId7" name="Button 4">
              <controlPr defaultSize="0" print="0" autoFill="0" autoPict="0" macro="[0]!ConductivityManufacturers">
                <anchor moveWithCells="1" sizeWithCells="1">
                  <from>
                    <xdr:col>1</xdr:col>
                    <xdr:colOff>561975</xdr:colOff>
                    <xdr:row>0</xdr:row>
                    <xdr:rowOff>38100</xdr:rowOff>
                  </from>
                  <to>
                    <xdr:col>2</xdr:col>
                    <xdr:colOff>428625</xdr:colOff>
                    <xdr:row>1</xdr:row>
                    <xdr:rowOff>85725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38">
    <tabColor indexed="52"/>
  </sheetPr>
  <dimension ref="A1:I24"/>
  <sheetViews>
    <sheetView workbookViewId="0"/>
  </sheetViews>
  <sheetFormatPr defaultRowHeight="12.75" x14ac:dyDescent="0.2"/>
  <cols>
    <col min="5" max="5" width="14" bestFit="1" customWidth="1"/>
    <col min="8" max="8" width="13.42578125" bestFit="1" customWidth="1"/>
  </cols>
  <sheetData>
    <row r="1" spans="1:9" ht="25.5" customHeight="1" x14ac:dyDescent="0.2"/>
    <row r="2" spans="1:9" ht="15" x14ac:dyDescent="0.2">
      <c r="A2" s="1352" t="s">
        <v>1522</v>
      </c>
      <c r="B2" s="1352"/>
      <c r="C2" s="1352"/>
    </row>
    <row r="3" spans="1:9" ht="15" customHeight="1" thickBot="1" x14ac:dyDescent="0.25">
      <c r="A3" s="1267" t="s">
        <v>1523</v>
      </c>
      <c r="B3" s="1267"/>
      <c r="C3" s="1267"/>
      <c r="E3" s="492" t="s">
        <v>1524</v>
      </c>
      <c r="F3" s="493" t="s">
        <v>1525</v>
      </c>
      <c r="H3" s="779" t="s">
        <v>1526</v>
      </c>
      <c r="I3" s="780" t="s">
        <v>1527</v>
      </c>
    </row>
    <row r="4" spans="1:9" ht="13.5" thickTop="1" x14ac:dyDescent="0.2">
      <c r="A4" s="445" t="s">
        <v>1527</v>
      </c>
      <c r="B4" s="445" t="s">
        <v>1525</v>
      </c>
      <c r="E4" s="32">
        <v>16.399999999999999</v>
      </c>
      <c r="F4" s="105">
        <f>E4*0.58</f>
        <v>9.5119999999999987</v>
      </c>
      <c r="H4" s="32">
        <v>9.5</v>
      </c>
      <c r="I4" s="105">
        <f>H4/0.58</f>
        <v>16.379310344827587</v>
      </c>
    </row>
    <row r="5" spans="1:9" x14ac:dyDescent="0.2">
      <c r="A5" s="1115">
        <v>8.2199999999999995E-2</v>
      </c>
      <c r="B5" s="1050">
        <v>4.7699999999999996</v>
      </c>
      <c r="E5" s="2">
        <v>28.1</v>
      </c>
      <c r="F5" s="93">
        <f t="shared" ref="F5:F17" si="0">E5*0.58</f>
        <v>16.297999999999998</v>
      </c>
      <c r="H5" s="2">
        <v>16.399999999999999</v>
      </c>
      <c r="I5" s="93">
        <f t="shared" ref="I5:I17" si="1">H5/0.58</f>
        <v>28.275862068965516</v>
      </c>
    </row>
    <row r="6" spans="1:9" x14ac:dyDescent="0.2">
      <c r="A6" s="443">
        <v>0.1668</v>
      </c>
      <c r="B6" s="5">
        <v>9.67</v>
      </c>
      <c r="E6" s="2">
        <v>36.6</v>
      </c>
      <c r="F6" s="93">
        <f t="shared" si="0"/>
        <v>21.227999999999998</v>
      </c>
      <c r="H6" s="2">
        <v>21.3</v>
      </c>
      <c r="I6" s="93">
        <f t="shared" si="1"/>
        <v>36.724137931034484</v>
      </c>
    </row>
    <row r="7" spans="1:9" x14ac:dyDescent="0.2">
      <c r="A7" s="444">
        <v>0.28210000000000002</v>
      </c>
      <c r="B7" s="37">
        <v>16.36</v>
      </c>
      <c r="E7" s="2">
        <v>40</v>
      </c>
      <c r="F7" s="93">
        <f t="shared" si="0"/>
        <v>23.2</v>
      </c>
      <c r="H7" s="2">
        <v>23.3</v>
      </c>
      <c r="I7" s="93">
        <f t="shared" si="1"/>
        <v>40.172413793103452</v>
      </c>
    </row>
    <row r="8" spans="1:9" x14ac:dyDescent="0.2">
      <c r="A8" s="443">
        <v>0.36709999999999998</v>
      </c>
      <c r="B8" s="5">
        <v>21.29</v>
      </c>
      <c r="E8" s="2">
        <v>59.3</v>
      </c>
      <c r="F8" s="93">
        <f t="shared" si="0"/>
        <v>34.393999999999998</v>
      </c>
      <c r="H8" s="2">
        <v>34.6</v>
      </c>
      <c r="I8" s="93">
        <f t="shared" si="1"/>
        <v>59.65517241379311</v>
      </c>
    </row>
    <row r="9" spans="1:9" x14ac:dyDescent="0.2">
      <c r="A9" s="444">
        <v>0.40129999999999999</v>
      </c>
      <c r="B9" s="37">
        <v>23.28</v>
      </c>
      <c r="E9" s="2">
        <v>16.399999999999999</v>
      </c>
      <c r="F9" s="93">
        <f t="shared" si="0"/>
        <v>9.5119999999999987</v>
      </c>
      <c r="H9" s="2">
        <v>9.5</v>
      </c>
      <c r="I9" s="93">
        <f t="shared" si="1"/>
        <v>16.379310344827587</v>
      </c>
    </row>
    <row r="10" spans="1:9" x14ac:dyDescent="0.2">
      <c r="A10" s="443">
        <v>0.59309999999999996</v>
      </c>
      <c r="B10" s="5">
        <v>34.4</v>
      </c>
      <c r="E10" s="2">
        <v>28.2</v>
      </c>
      <c r="F10" s="93">
        <f t="shared" si="0"/>
        <v>16.355999999999998</v>
      </c>
      <c r="H10" s="2">
        <v>16.399999999999999</v>
      </c>
      <c r="I10" s="93">
        <f t="shared" si="1"/>
        <v>28.275862068965516</v>
      </c>
    </row>
    <row r="11" spans="1:9" x14ac:dyDescent="0.2">
      <c r="A11" s="444">
        <v>1.0139</v>
      </c>
      <c r="B11" s="37">
        <v>58.81</v>
      </c>
      <c r="E11" s="2">
        <v>36.6</v>
      </c>
      <c r="F11" s="93">
        <f t="shared" si="0"/>
        <v>21.227999999999998</v>
      </c>
      <c r="H11" s="2">
        <v>21.3</v>
      </c>
      <c r="I11" s="93">
        <f t="shared" si="1"/>
        <v>36.724137931034484</v>
      </c>
    </row>
    <row r="12" spans="1:9" x14ac:dyDescent="0.2">
      <c r="E12" s="2">
        <v>40.1</v>
      </c>
      <c r="F12" s="93">
        <f t="shared" si="0"/>
        <v>23.257999999999999</v>
      </c>
      <c r="H12" s="2">
        <v>23.4</v>
      </c>
      <c r="I12" s="93">
        <f t="shared" si="1"/>
        <v>40.344827586206897</v>
      </c>
    </row>
    <row r="13" spans="1:9" x14ac:dyDescent="0.2">
      <c r="A13" t="s">
        <v>1405</v>
      </c>
      <c r="E13" s="2">
        <v>59.4</v>
      </c>
      <c r="F13" s="93">
        <f t="shared" si="0"/>
        <v>34.451999999999998</v>
      </c>
      <c r="H13" s="2">
        <v>34.6</v>
      </c>
      <c r="I13" s="93">
        <f t="shared" si="1"/>
        <v>59.65517241379311</v>
      </c>
    </row>
    <row r="14" spans="1:9" x14ac:dyDescent="0.2">
      <c r="E14" s="2"/>
      <c r="F14" s="93">
        <f t="shared" si="0"/>
        <v>0</v>
      </c>
      <c r="H14" s="2"/>
      <c r="I14" s="93">
        <f t="shared" si="1"/>
        <v>0</v>
      </c>
    </row>
    <row r="15" spans="1:9" ht="15" x14ac:dyDescent="0.2">
      <c r="A15" s="111" t="s">
        <v>1522</v>
      </c>
      <c r="E15" s="2"/>
      <c r="F15" s="93">
        <f t="shared" si="0"/>
        <v>0</v>
      </c>
      <c r="H15" s="2"/>
      <c r="I15" s="93">
        <f t="shared" si="1"/>
        <v>0</v>
      </c>
    </row>
    <row r="16" spans="1:9" ht="15" x14ac:dyDescent="0.2">
      <c r="A16" s="111" t="s">
        <v>1528</v>
      </c>
      <c r="E16" s="2"/>
      <c r="F16" s="93">
        <f t="shared" si="0"/>
        <v>0</v>
      </c>
      <c r="H16" s="2"/>
      <c r="I16" s="93">
        <f t="shared" si="1"/>
        <v>0</v>
      </c>
    </row>
    <row r="17" spans="1:9" x14ac:dyDescent="0.2">
      <c r="A17" s="445" t="s">
        <v>1527</v>
      </c>
      <c r="B17" s="445" t="s">
        <v>1525</v>
      </c>
      <c r="E17" s="2"/>
      <c r="F17" s="93">
        <f t="shared" si="0"/>
        <v>0</v>
      </c>
      <c r="H17" s="2"/>
      <c r="I17" s="93">
        <f t="shared" si="1"/>
        <v>0</v>
      </c>
    </row>
    <row r="18" spans="1:9" x14ac:dyDescent="0.2">
      <c r="A18" s="1115">
        <v>8.4000000000000005E-2</v>
      </c>
      <c r="B18" s="1050">
        <v>4.87</v>
      </c>
    </row>
    <row r="19" spans="1:9" ht="13.5" thickBot="1" x14ac:dyDescent="0.25">
      <c r="A19" s="443">
        <v>0.1633</v>
      </c>
      <c r="B19" s="5">
        <v>9.4700000000000006</v>
      </c>
      <c r="E19" s="1353" t="s">
        <v>289</v>
      </c>
      <c r="F19" s="1353"/>
    </row>
    <row r="20" spans="1:9" ht="13.5" thickTop="1" x14ac:dyDescent="0.2">
      <c r="A20" s="444">
        <v>0.27210000000000001</v>
      </c>
      <c r="B20" s="37">
        <v>15.78</v>
      </c>
      <c r="E20" s="778" t="s">
        <v>1527</v>
      </c>
      <c r="F20" s="778" t="s">
        <v>1525</v>
      </c>
    </row>
    <row r="21" spans="1:9" x14ac:dyDescent="0.2">
      <c r="A21" s="443">
        <v>0.34439999999999998</v>
      </c>
      <c r="B21" s="5">
        <v>19.98</v>
      </c>
      <c r="E21" s="443" t="s">
        <v>1529</v>
      </c>
      <c r="F21" s="5" t="s">
        <v>1530</v>
      </c>
    </row>
    <row r="22" spans="1:9" x14ac:dyDescent="0.2">
      <c r="A22" s="444">
        <v>0.39750000000000002</v>
      </c>
      <c r="B22" s="37">
        <v>23.06</v>
      </c>
      <c r="E22" s="443" t="s">
        <v>787</v>
      </c>
      <c r="F22" s="5" t="s">
        <v>1531</v>
      </c>
    </row>
    <row r="23" spans="1:9" x14ac:dyDescent="0.2">
      <c r="A23" s="443">
        <v>0.60940000000000005</v>
      </c>
      <c r="B23" s="5">
        <v>35.35</v>
      </c>
    </row>
    <row r="24" spans="1:9" x14ac:dyDescent="0.2">
      <c r="A24" s="444">
        <v>1.014</v>
      </c>
      <c r="B24" s="37">
        <v>58.81</v>
      </c>
    </row>
  </sheetData>
  <sheetProtection sheet="1" objects="1" scenarios="1" selectLockedCells="1"/>
  <mergeCells count="3">
    <mergeCell ref="A2:C2"/>
    <mergeCell ref="A3:C3"/>
    <mergeCell ref="E19:F19"/>
  </mergeCells>
  <phoneticPr fontId="13"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8915" r:id="rId4" name="Button 3">
              <controlPr defaultSize="0" print="0" autoFill="0" autoPict="0" macro="[0]!ReturnToMain">
                <anchor moveWithCells="1" sizeWithCells="1">
                  <from>
                    <xdr:col>0</xdr:col>
                    <xdr:colOff>19050</xdr:colOff>
                    <xdr:row>0</xdr:row>
                    <xdr:rowOff>19050</xdr:rowOff>
                  </from>
                  <to>
                    <xdr:col>2</xdr:col>
                    <xdr:colOff>171450</xdr:colOff>
                    <xdr:row>0</xdr:row>
                    <xdr:rowOff>161925</xdr:rowOff>
                  </to>
                </anchor>
              </controlPr>
            </control>
          </mc:Choice>
        </mc:AlternateContent>
        <mc:AlternateContent xmlns:mc="http://schemas.openxmlformats.org/markup-compatibility/2006">
          <mc:Choice Requires="x14">
            <control shapeId="38916" r:id="rId5" name="Button 4">
              <controlPr defaultSize="0" print="0" autoFill="0" autoPict="0" macro="[0]!ConductivityManufacturers">
                <anchor moveWithCells="1" sizeWithCells="1">
                  <from>
                    <xdr:col>2</xdr:col>
                    <xdr:colOff>200025</xdr:colOff>
                    <xdr:row>0</xdr:row>
                    <xdr:rowOff>19050</xdr:rowOff>
                  </from>
                  <to>
                    <xdr:col>4</xdr:col>
                    <xdr:colOff>466725</xdr:colOff>
                    <xdr:row>0</xdr:row>
                    <xdr:rowOff>161925</xdr:rowOff>
                  </to>
                </anchor>
              </controlPr>
            </control>
          </mc:Choice>
        </mc:AlternateContent>
        <mc:AlternateContent xmlns:mc="http://schemas.openxmlformats.org/markup-compatibility/2006">
          <mc:Choice Requires="x14">
            <control shapeId="38917" r:id="rId6" name="Button 5">
              <controlPr defaultSize="0" print="0" autoFill="0" autoPict="0" macro="[0]!ConductivitySpecs">
                <anchor moveWithCells="1" sizeWithCells="1">
                  <from>
                    <xdr:col>5</xdr:col>
                    <xdr:colOff>19050</xdr:colOff>
                    <xdr:row>0</xdr:row>
                    <xdr:rowOff>19050</xdr:rowOff>
                  </from>
                  <to>
                    <xdr:col>7</xdr:col>
                    <xdr:colOff>171450</xdr:colOff>
                    <xdr:row>0</xdr:row>
                    <xdr:rowOff>161925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dimension ref="A1:E3"/>
  <sheetViews>
    <sheetView workbookViewId="0"/>
  </sheetViews>
  <sheetFormatPr defaultRowHeight="12.75" x14ac:dyDescent="0.2"/>
  <sheetData>
    <row r="1" spans="1:5" ht="27" customHeight="1" x14ac:dyDescent="0.2"/>
    <row r="2" spans="1:5" x14ac:dyDescent="0.2">
      <c r="A2" t="s">
        <v>1532</v>
      </c>
      <c r="B2" t="s">
        <v>1533</v>
      </c>
      <c r="C2" t="s">
        <v>1534</v>
      </c>
      <c r="E2" t="s">
        <v>1535</v>
      </c>
    </row>
    <row r="3" spans="1:5" x14ac:dyDescent="0.2">
      <c r="A3">
        <v>0</v>
      </c>
      <c r="B3">
        <v>5</v>
      </c>
      <c r="C3">
        <v>0</v>
      </c>
      <c r="E3">
        <f>A3+(B3/60)+(C3/3600)</f>
        <v>8.3333333333333329E-2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print="0" autoFill="0" autoPict="0" macro="[0]!ReturnToMain">
                <anchor moveWithCells="1" sizeWithCells="1">
                  <from>
                    <xdr:col>0</xdr:col>
                    <xdr:colOff>247650</xdr:colOff>
                    <xdr:row>0</xdr:row>
                    <xdr:rowOff>38100</xdr:rowOff>
                  </from>
                  <to>
                    <xdr:col>2</xdr:col>
                    <xdr:colOff>514350</xdr:colOff>
                    <xdr:row>0</xdr:row>
                    <xdr:rowOff>323850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5"/>
  <dimension ref="A1:B24"/>
  <sheetViews>
    <sheetView workbookViewId="0">
      <selection activeCell="B25" sqref="B25"/>
    </sheetView>
  </sheetViews>
  <sheetFormatPr defaultRowHeight="12.75" x14ac:dyDescent="0.2"/>
  <cols>
    <col min="1" max="1" width="18" customWidth="1"/>
    <col min="2" max="2" width="139.85546875" customWidth="1"/>
  </cols>
  <sheetData>
    <row r="1" spans="1:2" x14ac:dyDescent="0.2">
      <c r="A1" s="470" t="s">
        <v>1536</v>
      </c>
      <c r="B1" s="470" t="s">
        <v>1537</v>
      </c>
    </row>
    <row r="2" spans="1:2" x14ac:dyDescent="0.2">
      <c r="A2" s="587">
        <v>42072</v>
      </c>
      <c r="B2" s="470" t="s">
        <v>1538</v>
      </c>
    </row>
    <row r="3" spans="1:2" x14ac:dyDescent="0.2">
      <c r="A3" s="587">
        <v>42088</v>
      </c>
      <c r="B3" t="s">
        <v>1539</v>
      </c>
    </row>
    <row r="4" spans="1:2" x14ac:dyDescent="0.2">
      <c r="A4" s="587">
        <v>42128</v>
      </c>
      <c r="B4" s="470" t="s">
        <v>1540</v>
      </c>
    </row>
    <row r="5" spans="1:2" x14ac:dyDescent="0.2">
      <c r="A5" s="587">
        <v>42212</v>
      </c>
      <c r="B5" s="470" t="s">
        <v>1541</v>
      </c>
    </row>
    <row r="6" spans="1:2" x14ac:dyDescent="0.2">
      <c r="A6" s="587">
        <v>42264</v>
      </c>
      <c r="B6" s="470" t="s">
        <v>1542</v>
      </c>
    </row>
    <row r="7" spans="1:2" x14ac:dyDescent="0.2">
      <c r="A7" s="587">
        <v>42404</v>
      </c>
      <c r="B7" s="470" t="s">
        <v>1541</v>
      </c>
    </row>
    <row r="8" spans="1:2" x14ac:dyDescent="0.2">
      <c r="A8" s="587">
        <v>42423</v>
      </c>
      <c r="B8" s="470" t="s">
        <v>1543</v>
      </c>
    </row>
    <row r="9" spans="1:2" x14ac:dyDescent="0.2">
      <c r="A9" s="587">
        <v>42517</v>
      </c>
      <c r="B9" s="470" t="s">
        <v>1544</v>
      </c>
    </row>
    <row r="10" spans="1:2" x14ac:dyDescent="0.2">
      <c r="A10" s="587">
        <v>42562</v>
      </c>
      <c r="B10" s="470" t="s">
        <v>1541</v>
      </c>
    </row>
    <row r="11" spans="1:2" x14ac:dyDescent="0.2">
      <c r="A11" s="587">
        <v>42746</v>
      </c>
      <c r="B11" s="470" t="s">
        <v>1545</v>
      </c>
    </row>
    <row r="12" spans="1:2" x14ac:dyDescent="0.2">
      <c r="A12" s="587">
        <v>42772</v>
      </c>
      <c r="B12" s="470" t="s">
        <v>1541</v>
      </c>
    </row>
    <row r="13" spans="1:2" x14ac:dyDescent="0.2">
      <c r="A13" s="587">
        <v>42789</v>
      </c>
      <c r="B13" s="470" t="s">
        <v>1546</v>
      </c>
    </row>
    <row r="14" spans="1:2" x14ac:dyDescent="0.2">
      <c r="A14" s="587">
        <v>43223</v>
      </c>
      <c r="B14" s="470" t="s">
        <v>1547</v>
      </c>
    </row>
    <row r="15" spans="1:2" x14ac:dyDescent="0.2">
      <c r="A15" s="587">
        <v>43293</v>
      </c>
      <c r="B15" s="470" t="s">
        <v>1548</v>
      </c>
    </row>
    <row r="16" spans="1:2" x14ac:dyDescent="0.2">
      <c r="A16" s="587">
        <v>43354</v>
      </c>
      <c r="B16" s="470" t="s">
        <v>1549</v>
      </c>
    </row>
    <row r="17" spans="1:2" x14ac:dyDescent="0.2">
      <c r="A17" s="587">
        <v>43468</v>
      </c>
      <c r="B17" s="470" t="s">
        <v>1550</v>
      </c>
    </row>
    <row r="18" spans="1:2" x14ac:dyDescent="0.2">
      <c r="A18" s="587">
        <v>43598</v>
      </c>
      <c r="B18" s="470" t="s">
        <v>1551</v>
      </c>
    </row>
    <row r="19" spans="1:2" x14ac:dyDescent="0.2">
      <c r="A19" s="587">
        <v>43951</v>
      </c>
      <c r="B19" s="470" t="s">
        <v>1552</v>
      </c>
    </row>
    <row r="20" spans="1:2" x14ac:dyDescent="0.2">
      <c r="A20" s="587">
        <v>43973</v>
      </c>
      <c r="B20" s="470" t="s">
        <v>1553</v>
      </c>
    </row>
    <row r="21" spans="1:2" x14ac:dyDescent="0.2">
      <c r="A21" s="587">
        <v>44028</v>
      </c>
      <c r="B21" s="470" t="s">
        <v>1541</v>
      </c>
    </row>
    <row r="22" spans="1:2" x14ac:dyDescent="0.2">
      <c r="A22" s="587">
        <v>44042</v>
      </c>
      <c r="B22" s="470" t="s">
        <v>1554</v>
      </c>
    </row>
    <row r="23" spans="1:2" x14ac:dyDescent="0.2">
      <c r="A23" s="587">
        <v>44361</v>
      </c>
      <c r="B23" s="470" t="s">
        <v>1555</v>
      </c>
    </row>
    <row r="24" spans="1:2" x14ac:dyDescent="0.2">
      <c r="A24" s="587">
        <v>45474</v>
      </c>
      <c r="B24" s="470" t="s">
        <v>1556</v>
      </c>
    </row>
  </sheetData>
  <sheetProtection selectLockedCells="1" selectUnlockedCells="1"/>
  <phoneticPr fontId="25"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6D78D8E-3C00-48CE-8CC3-E0A8E0427589}">
  <ds:schemaRefs>
    <ds:schemaRef ds:uri="http://schemas.microsoft.com/office/2006/metadata/properties"/>
    <ds:schemaRef ds:uri="http://schemas.microsoft.com/office/infopath/2007/PartnerControls"/>
    <ds:schemaRef ds:uri="a7c4c7f9-987c-475d-a26a-521e5d0f4dc5"/>
    <ds:schemaRef ds:uri="1ed8a9e0-df63-4c43-b0d4-c670c11769ef"/>
  </ds:schemaRefs>
</ds:datastoreItem>
</file>

<file path=customXml/itemProps2.xml><?xml version="1.0" encoding="utf-8"?>
<ds:datastoreItem xmlns:ds="http://schemas.openxmlformats.org/officeDocument/2006/customXml" ds:itemID="{1AEDDBDD-0F67-49A1-9F01-C677A6DC7ABC}">
  <ds:schemaRefs>
    <ds:schemaRef ds:uri="http://schemas.microsoft.com/sharepoint/v3/contenttype/forms"/>
  </ds:schemaRefs>
</ds:datastoreItem>
</file>

<file path=customXml/itemProps3.xml><?xml version="1.0" encoding="utf-8"?>
<ds:datastoreItem xmlns:ds="http://schemas.openxmlformats.org/officeDocument/2006/customXml" ds:itemID="{440DCDC8-D214-4576-AA6A-E0EF7D1A7F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57</vt:i4>
      </vt:variant>
      <vt:variant>
        <vt:lpstr>Named Ranges</vt:lpstr>
      </vt:variant>
      <vt:variant>
        <vt:i4>19</vt:i4>
      </vt:variant>
    </vt:vector>
  </HeadingPairs>
  <TitlesOfParts>
    <vt:vector size="76" baseType="lpstr">
      <vt:lpstr>Main Screen</vt:lpstr>
      <vt:lpstr>Table - English Thread Wires</vt:lpstr>
      <vt:lpstr>X600 Block Standard Info</vt:lpstr>
      <vt:lpstr>Metric Thread Plugs</vt:lpstr>
      <vt:lpstr>Metric Thread Plug PDs</vt:lpstr>
      <vt:lpstr>Metric Thread Plug Tolerance X</vt:lpstr>
      <vt:lpstr>Metric Thread Plug Tolerance W</vt:lpstr>
      <vt:lpstr>Metric Plain Plugs</vt:lpstr>
      <vt:lpstr>NPT</vt:lpstr>
      <vt:lpstr>ANPT</vt:lpstr>
      <vt:lpstr>NPTF-NPSF-NPSI</vt:lpstr>
      <vt:lpstr>Plain (6-Step or Crest Check)</vt:lpstr>
      <vt:lpstr>NPT Pictures</vt:lpstr>
      <vt:lpstr> BSPT &amp; ISO 7</vt:lpstr>
      <vt:lpstr>BSPP - ISO228</vt:lpstr>
      <vt:lpstr>ACME Multi-Start Calculator</vt:lpstr>
      <vt:lpstr>Buttress Threads</vt:lpstr>
      <vt:lpstr>ACME Single Start Calculator</vt:lpstr>
      <vt:lpstr>Non-ACME Multi Start Threads</vt:lpstr>
      <vt:lpstr>JGI Thread Wire Sizes-Constants</vt:lpstr>
      <vt:lpstr>Best Wire Size Calculator</vt:lpstr>
      <vt:lpstr>Two-Wire Method</vt:lpstr>
      <vt:lpstr>Threaded Setting</vt:lpstr>
      <vt:lpstr>Metric-English Conversion</vt:lpstr>
      <vt:lpstr>English Thread Wires</vt:lpstr>
      <vt:lpstr>Thread Wires Datasheet</vt:lpstr>
      <vt:lpstr>Metric Thread Wires</vt:lpstr>
      <vt:lpstr>Metric Thread Wires Datasheet</vt:lpstr>
      <vt:lpstr>Table - Metric Thread Wires</vt:lpstr>
      <vt:lpstr>PeeDee Wires</vt:lpstr>
      <vt:lpstr>PeeDee Wires Datasheet</vt:lpstr>
      <vt:lpstr>Gear Wires</vt:lpstr>
      <vt:lpstr>Gear Wires Datasheet</vt:lpstr>
      <vt:lpstr>Thread Wire Nominal Sizes</vt:lpstr>
      <vt:lpstr>Gear Wire Nominal Sizes</vt:lpstr>
      <vt:lpstr>Steel Spheres</vt:lpstr>
      <vt:lpstr>Coating Thickness Meters</vt:lpstr>
      <vt:lpstr>Fischer Probe Chart</vt:lpstr>
      <vt:lpstr>DeFelsko Probe Chart</vt:lpstr>
      <vt:lpstr>Coating Thickness Calculator</vt:lpstr>
      <vt:lpstr>JGI Thickness Foil Min_Max</vt:lpstr>
      <vt:lpstr>Coating Thickness Stds NIST</vt:lpstr>
      <vt:lpstr>Roughness Gages</vt:lpstr>
      <vt:lpstr>Roughness Standards</vt:lpstr>
      <vt:lpstr>Roughness Gage Technical Data</vt:lpstr>
      <vt:lpstr>Roughness NIST Info</vt:lpstr>
      <vt:lpstr>Surface Finish, Multi-Surface</vt:lpstr>
      <vt:lpstr>Ultrasonic Calculators</vt:lpstr>
      <vt:lpstr>Ultrasonic Meter Specs</vt:lpstr>
      <vt:lpstr>Ultrasonic Dakota Info</vt:lpstr>
      <vt:lpstr>JGI Ultrasonic Std NIST Info</vt:lpstr>
      <vt:lpstr>Conductivity Meters</vt:lpstr>
      <vt:lpstr>Conductivity Manufacturer Info</vt:lpstr>
      <vt:lpstr>Conductivity Guard Banding Info</vt:lpstr>
      <vt:lpstr>JGI Conductivity Standards</vt:lpstr>
      <vt:lpstr>Degrees Min Sec Conversion</vt:lpstr>
      <vt:lpstr>Software Validation</vt:lpstr>
      <vt:lpstr>AutosigmaTips</vt:lpstr>
      <vt:lpstr>BAC5651_2</vt:lpstr>
      <vt:lpstr>BAC5651Notes</vt:lpstr>
      <vt:lpstr>Centurion140XLTips</vt:lpstr>
      <vt:lpstr>CenturionFMTips</vt:lpstr>
      <vt:lpstr>CenturionFMTips2</vt:lpstr>
      <vt:lpstr>CessnaNotes</vt:lpstr>
      <vt:lpstr>DisplayTips</vt:lpstr>
      <vt:lpstr>English_Thread_Types</vt:lpstr>
      <vt:lpstr>Fischer_SigmascopeSMP350_Tips</vt:lpstr>
      <vt:lpstr>FischerTips</vt:lpstr>
      <vt:lpstr>FischerTips2</vt:lpstr>
      <vt:lpstr>Manufacturer</vt:lpstr>
      <vt:lpstr>Minus_Constant</vt:lpstr>
      <vt:lpstr>NameTest</vt:lpstr>
      <vt:lpstr>Series</vt:lpstr>
      <vt:lpstr>SigmaCheckTips</vt:lpstr>
      <vt:lpstr>SMP350_Tips</vt:lpstr>
      <vt:lpstr>VerimetTips</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Mega Excel Chart</dc:title>
  <dc:subject/>
  <dc:description/>
  <cp:lastModifiedBy>Jeff Hall</cp:lastModifiedBy>
  <cp:revision/>
  <cp:lastPrinted>2024-11-01T17:34:44Z</cp:lastPrinted>
  <dcterms:created xsi:type="dcterms:W3CDTF">2013-06-11T19:03:32Z</dcterms:created>
  <dcterms:modified xsi:type="dcterms:W3CDTF">2025-02-11T20:54:32Z</dcterms:modified>
  <cp:category/>
  <cp:contentStatus/>
  <cp:version>07-01-2024</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