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drawings/drawing2.xml" ContentType="application/vnd.openxmlformats-officedocument.drawing+xml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drawings/drawing3.xml" ContentType="application/vnd.openxmlformats-officedocument.drawing+xml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ustomProperty13.bin" ContentType="application/vnd.openxmlformats-officedocument.spreadsheetml.customProperty"/>
  <Override PartName="/xl/customProperty14.bin" ContentType="application/vnd.openxmlformats-officedocument.spreadsheetml.customProperty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129" codeName="{DC747B9D-DBBB-FA85-71B4-595EBAB97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GI\Jeff H\Hardness Tester Forms\Rockwell Hardness Testing\beta\"/>
    </mc:Choice>
  </mc:AlternateContent>
  <xr:revisionPtr revIDLastSave="0" documentId="8_{17711C57-8610-4B5F-A7E5-F1A591928C93}" xr6:coauthVersionLast="47" xr6:coauthVersionMax="47" xr10:uidLastSave="{00000000-0000-0000-0000-000000000000}"/>
  <bookViews>
    <workbookView xWindow="-13620" yWindow="-5430" windowWidth="13740" windowHeight="23520" activeTab="8" xr2:uid="{00000000-000D-0000-FFFF-FFFF00000000}"/>
  </bookViews>
  <sheets>
    <sheet name="Worksheet" sheetId="1" r:id="rId1"/>
    <sheet name="CERT AL" sheetId="2" r:id="rId2"/>
    <sheet name="CERT AF" sheetId="7" r:id="rId3"/>
    <sheet name="Sheet3" sheetId="3" r:id="rId4"/>
    <sheet name="MUG Table" sheetId="4" r:id="rId5"/>
    <sheet name="Logo Page" sheetId="5" r:id="rId6"/>
    <sheet name="Client Addresses" sheetId="15" r:id="rId7"/>
    <sheet name="UUTs" sheetId="14" r:id="rId8"/>
    <sheet name="Software Validation" sheetId="6" r:id="rId9"/>
  </sheets>
  <functionGroups builtInGroupCount="19"/>
  <definedNames>
    <definedName name="A2LA">'Logo Page'!$B$4</definedName>
    <definedName name="Blank">'Logo Page'!$C$4</definedName>
    <definedName name="Comments">Sheet3!$H$3:$H$7</definedName>
    <definedName name="CommentsAF">Sheet3!$H$13:$H$15</definedName>
    <definedName name="Condition">Sheet3!$D$3:$D$4</definedName>
    <definedName name="Image">INDIRECT('Logo Page'!$A$1)</definedName>
    <definedName name="Locator">Worksheet!$LCB$524288</definedName>
    <definedName name="Picture">INDIRECT('Logo Page'!$A$1)</definedName>
    <definedName name="_xlnm.Print_Area" localSheetId="2">'CERT AF'!$A$1:$O$64</definedName>
    <definedName name="_xlnm.Print_Area" localSheetId="1">'CERT AL'!$A$1:$O$64</definedName>
    <definedName name="_xlnm.Print_Area" localSheetId="0">Worksheet!$A$1:$V$47</definedName>
    <definedName name="Results">Sheet3!$F$3:$F$4</definedName>
    <definedName name="ResultsAF">Sheet3!$F$7:$F$9</definedName>
    <definedName name="Scales">Sheet3!$B$11:$B$23</definedName>
    <definedName name="yesno">Sheet3!$B$3:$B$5</definedName>
    <definedName name="yesno2">Sheet3!$B$3:$B$5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5" i="14" l="1"/>
  <c r="H55" i="14"/>
  <c r="I55" i="14"/>
  <c r="J55" i="14"/>
  <c r="K55" i="14" l="1"/>
  <c r="G165" i="14"/>
  <c r="G152" i="14"/>
  <c r="G160" i="14"/>
  <c r="G161" i="14"/>
  <c r="G168" i="14"/>
  <c r="G171" i="14"/>
  <c r="G172" i="14"/>
  <c r="G169" i="14"/>
  <c r="G173" i="14"/>
  <c r="G174" i="14"/>
  <c r="G148" i="14"/>
  <c r="G170" i="14"/>
  <c r="G149" i="14"/>
  <c r="G177" i="14"/>
  <c r="G128" i="14"/>
  <c r="G126" i="14"/>
  <c r="G125" i="14"/>
  <c r="G129" i="14"/>
  <c r="G135" i="14"/>
  <c r="G138" i="14"/>
  <c r="G140" i="14"/>
  <c r="G179" i="14"/>
  <c r="G182" i="14"/>
  <c r="G183" i="14"/>
  <c r="G184" i="14"/>
  <c r="G176" i="14"/>
  <c r="G178" i="14"/>
  <c r="G180" i="14"/>
  <c r="G181" i="14"/>
  <c r="G130" i="14"/>
  <c r="G132" i="14"/>
  <c r="G137" i="14"/>
  <c r="G139" i="14"/>
  <c r="G162" i="14"/>
  <c r="G144" i="14"/>
  <c r="G185" i="14"/>
  <c r="G150" i="14"/>
  <c r="G134" i="14"/>
  <c r="G141" i="14"/>
  <c r="G143" i="14"/>
  <c r="G188" i="14"/>
  <c r="G186" i="14"/>
  <c r="G187" i="14"/>
  <c r="G189" i="14"/>
  <c r="G192" i="14"/>
  <c r="G190" i="14"/>
  <c r="G191" i="14"/>
  <c r="G193" i="14"/>
  <c r="G194" i="14"/>
  <c r="G195" i="14"/>
  <c r="G196" i="14"/>
  <c r="G197" i="14"/>
  <c r="G198" i="14"/>
  <c r="G199" i="14"/>
  <c r="G200" i="14"/>
  <c r="G201" i="14"/>
  <c r="G202" i="14"/>
  <c r="G203" i="14"/>
  <c r="G205" i="14"/>
  <c r="G204" i="14"/>
  <c r="G206" i="14"/>
  <c r="G207" i="14"/>
  <c r="G209" i="14"/>
  <c r="G210" i="14"/>
  <c r="G208" i="14"/>
  <c r="G211" i="14"/>
  <c r="G212" i="14"/>
  <c r="G58" i="14"/>
  <c r="G59" i="14"/>
  <c r="G213" i="14"/>
  <c r="G214" i="14"/>
  <c r="G217" i="14"/>
  <c r="G218" i="14"/>
  <c r="G219" i="14"/>
  <c r="G220" i="14"/>
  <c r="G216" i="14"/>
  <c r="G215" i="14"/>
  <c r="G221" i="14"/>
  <c r="G244" i="14"/>
  <c r="G250" i="14"/>
  <c r="G249" i="14"/>
  <c r="G280" i="14"/>
  <c r="G291" i="14"/>
  <c r="G292" i="14"/>
  <c r="G299" i="14"/>
  <c r="G301" i="14"/>
  <c r="G251" i="14"/>
  <c r="G272" i="14"/>
  <c r="G300" i="14"/>
  <c r="G298" i="14"/>
  <c r="G228" i="14"/>
  <c r="G229" i="14"/>
  <c r="G227" i="14"/>
  <c r="G231" i="14"/>
  <c r="G232" i="14"/>
  <c r="G233" i="14"/>
  <c r="G234" i="14"/>
  <c r="G240" i="14"/>
  <c r="G239" i="14"/>
  <c r="G237" i="14"/>
  <c r="G235" i="14"/>
  <c r="G243" i="14"/>
  <c r="G241" i="14"/>
  <c r="G236" i="14"/>
  <c r="G238" i="14"/>
  <c r="G242" i="14"/>
  <c r="G246" i="14"/>
  <c r="G247" i="14"/>
  <c r="G245" i="14"/>
  <c r="G248" i="14"/>
  <c r="G252" i="14"/>
  <c r="G253" i="14"/>
  <c r="G222" i="14"/>
  <c r="G285" i="14"/>
  <c r="G223" i="14"/>
  <c r="G260" i="14"/>
  <c r="G268" i="14"/>
  <c r="G264" i="14"/>
  <c r="G271" i="14"/>
  <c r="G263" i="14"/>
  <c r="G258" i="14"/>
  <c r="G257" i="14"/>
  <c r="G254" i="14"/>
  <c r="G266" i="14"/>
  <c r="G256" i="14"/>
  <c r="G261" i="14"/>
  <c r="G265" i="14"/>
  <c r="G267" i="14"/>
  <c r="G259" i="14"/>
  <c r="G262" i="14"/>
  <c r="G273" i="14"/>
  <c r="G274" i="14"/>
  <c r="G275" i="14"/>
  <c r="G276" i="14"/>
  <c r="G277" i="14"/>
  <c r="G278" i="14"/>
  <c r="G279" i="14"/>
  <c r="G281" i="14"/>
  <c r="G284" i="14"/>
  <c r="G283" i="14"/>
  <c r="G282" i="14"/>
  <c r="G224" i="14"/>
  <c r="G286" i="14"/>
  <c r="G293" i="14"/>
  <c r="G226" i="14"/>
  <c r="G287" i="14"/>
  <c r="G288" i="14"/>
  <c r="G289" i="14"/>
  <c r="G295" i="14"/>
  <c r="G294" i="14"/>
  <c r="G296" i="14"/>
  <c r="G297" i="14"/>
  <c r="G230" i="14"/>
  <c r="G290" i="14"/>
  <c r="G225" i="14"/>
  <c r="G307" i="14"/>
  <c r="G306" i="14"/>
  <c r="G303" i="14"/>
  <c r="G61" i="14"/>
  <c r="G62" i="14"/>
  <c r="G304" i="14"/>
  <c r="G60" i="14"/>
  <c r="G305" i="14"/>
  <c r="G302" i="14"/>
  <c r="G255" i="14"/>
  <c r="G269" i="14"/>
  <c r="G270" i="14"/>
  <c r="G308" i="14"/>
  <c r="G309" i="14"/>
  <c r="G313" i="14"/>
  <c r="G312" i="14"/>
  <c r="G310" i="14"/>
  <c r="G311" i="14"/>
  <c r="G314" i="14"/>
  <c r="G315" i="14"/>
  <c r="H165" i="14"/>
  <c r="H152" i="14"/>
  <c r="H160" i="14"/>
  <c r="H161" i="14"/>
  <c r="H168" i="14"/>
  <c r="H171" i="14"/>
  <c r="H172" i="14"/>
  <c r="H169" i="14"/>
  <c r="H173" i="14"/>
  <c r="H174" i="14"/>
  <c r="H148" i="14"/>
  <c r="H170" i="14"/>
  <c r="H149" i="14"/>
  <c r="H177" i="14"/>
  <c r="H128" i="14"/>
  <c r="H126" i="14"/>
  <c r="H125" i="14"/>
  <c r="H129" i="14"/>
  <c r="H135" i="14"/>
  <c r="H138" i="14"/>
  <c r="H140" i="14"/>
  <c r="H179" i="14"/>
  <c r="H182" i="14"/>
  <c r="H183" i="14"/>
  <c r="H184" i="14"/>
  <c r="H176" i="14"/>
  <c r="H178" i="14"/>
  <c r="H180" i="14"/>
  <c r="H181" i="14"/>
  <c r="H130" i="14"/>
  <c r="H132" i="14"/>
  <c r="H137" i="14"/>
  <c r="H139" i="14"/>
  <c r="H162" i="14"/>
  <c r="H144" i="14"/>
  <c r="H185" i="14"/>
  <c r="H150" i="14"/>
  <c r="H134" i="14"/>
  <c r="H141" i="14"/>
  <c r="H143" i="14"/>
  <c r="H188" i="14"/>
  <c r="H186" i="14"/>
  <c r="H187" i="14"/>
  <c r="H189" i="14"/>
  <c r="H192" i="14"/>
  <c r="H190" i="14"/>
  <c r="H191" i="14"/>
  <c r="H193" i="14"/>
  <c r="H194" i="14"/>
  <c r="H195" i="14"/>
  <c r="H196" i="14"/>
  <c r="H197" i="14"/>
  <c r="H198" i="14"/>
  <c r="H199" i="14"/>
  <c r="H200" i="14"/>
  <c r="H201" i="14"/>
  <c r="H202" i="14"/>
  <c r="H203" i="14"/>
  <c r="H205" i="14"/>
  <c r="H204" i="14"/>
  <c r="H206" i="14"/>
  <c r="H207" i="14"/>
  <c r="H209" i="14"/>
  <c r="H210" i="14"/>
  <c r="H208" i="14"/>
  <c r="H211" i="14"/>
  <c r="H212" i="14"/>
  <c r="H58" i="14"/>
  <c r="H59" i="14"/>
  <c r="H213" i="14"/>
  <c r="H214" i="14"/>
  <c r="H217" i="14"/>
  <c r="H218" i="14"/>
  <c r="H219" i="14"/>
  <c r="H220" i="14"/>
  <c r="H216" i="14"/>
  <c r="H215" i="14"/>
  <c r="H221" i="14"/>
  <c r="H244" i="14"/>
  <c r="H250" i="14"/>
  <c r="H249" i="14"/>
  <c r="H280" i="14"/>
  <c r="H291" i="14"/>
  <c r="H292" i="14"/>
  <c r="H299" i="14"/>
  <c r="H301" i="14"/>
  <c r="H251" i="14"/>
  <c r="H272" i="14"/>
  <c r="H300" i="14"/>
  <c r="H298" i="14"/>
  <c r="H228" i="14"/>
  <c r="H229" i="14"/>
  <c r="H227" i="14"/>
  <c r="H231" i="14"/>
  <c r="H232" i="14"/>
  <c r="H233" i="14"/>
  <c r="H234" i="14"/>
  <c r="H240" i="14"/>
  <c r="H239" i="14"/>
  <c r="H237" i="14"/>
  <c r="H235" i="14"/>
  <c r="H243" i="14"/>
  <c r="H241" i="14"/>
  <c r="H236" i="14"/>
  <c r="H238" i="14"/>
  <c r="H242" i="14"/>
  <c r="H246" i="14"/>
  <c r="H247" i="14"/>
  <c r="H245" i="14"/>
  <c r="H248" i="14"/>
  <c r="H252" i="14"/>
  <c r="H253" i="14"/>
  <c r="H222" i="14"/>
  <c r="H285" i="14"/>
  <c r="H223" i="14"/>
  <c r="H260" i="14"/>
  <c r="H268" i="14"/>
  <c r="H264" i="14"/>
  <c r="H271" i="14"/>
  <c r="H263" i="14"/>
  <c r="H258" i="14"/>
  <c r="H257" i="14"/>
  <c r="H254" i="14"/>
  <c r="H266" i="14"/>
  <c r="H256" i="14"/>
  <c r="H261" i="14"/>
  <c r="H265" i="14"/>
  <c r="H267" i="14"/>
  <c r="H259" i="14"/>
  <c r="H262" i="14"/>
  <c r="H273" i="14"/>
  <c r="H274" i="14"/>
  <c r="H275" i="14"/>
  <c r="H276" i="14"/>
  <c r="H277" i="14"/>
  <c r="H278" i="14"/>
  <c r="H279" i="14"/>
  <c r="H281" i="14"/>
  <c r="H284" i="14"/>
  <c r="H283" i="14"/>
  <c r="H282" i="14"/>
  <c r="H224" i="14"/>
  <c r="H286" i="14"/>
  <c r="H293" i="14"/>
  <c r="H226" i="14"/>
  <c r="H287" i="14"/>
  <c r="H288" i="14"/>
  <c r="H289" i="14"/>
  <c r="H295" i="14"/>
  <c r="H294" i="14"/>
  <c r="H296" i="14"/>
  <c r="H297" i="14"/>
  <c r="H230" i="14"/>
  <c r="H290" i="14"/>
  <c r="H225" i="14"/>
  <c r="H307" i="14"/>
  <c r="H306" i="14"/>
  <c r="H303" i="14"/>
  <c r="H61" i="14"/>
  <c r="H62" i="14"/>
  <c r="H304" i="14"/>
  <c r="H60" i="14"/>
  <c r="H305" i="14"/>
  <c r="H302" i="14"/>
  <c r="H255" i="14"/>
  <c r="H269" i="14"/>
  <c r="H270" i="14"/>
  <c r="H308" i="14"/>
  <c r="H309" i="14"/>
  <c r="H313" i="14"/>
  <c r="H312" i="14"/>
  <c r="H310" i="14"/>
  <c r="H311" i="14"/>
  <c r="H314" i="14"/>
  <c r="H315" i="14"/>
  <c r="I165" i="14"/>
  <c r="I152" i="14"/>
  <c r="I160" i="14"/>
  <c r="I161" i="14"/>
  <c r="I168" i="14"/>
  <c r="I171" i="14"/>
  <c r="I172" i="14"/>
  <c r="I169" i="14"/>
  <c r="I173" i="14"/>
  <c r="I174" i="14"/>
  <c r="I148" i="14"/>
  <c r="I170" i="14"/>
  <c r="I149" i="14"/>
  <c r="I177" i="14"/>
  <c r="I128" i="14"/>
  <c r="I126" i="14"/>
  <c r="I125" i="14"/>
  <c r="I129" i="14"/>
  <c r="I135" i="14"/>
  <c r="I138" i="14"/>
  <c r="I140" i="14"/>
  <c r="I179" i="14"/>
  <c r="I182" i="14"/>
  <c r="I183" i="14"/>
  <c r="I184" i="14"/>
  <c r="I176" i="14"/>
  <c r="I178" i="14"/>
  <c r="I180" i="14"/>
  <c r="I181" i="14"/>
  <c r="I130" i="14"/>
  <c r="I132" i="14"/>
  <c r="I137" i="14"/>
  <c r="I139" i="14"/>
  <c r="I162" i="14"/>
  <c r="I144" i="14"/>
  <c r="I185" i="14"/>
  <c r="I150" i="14"/>
  <c r="I134" i="14"/>
  <c r="I141" i="14"/>
  <c r="I143" i="14"/>
  <c r="I188" i="14"/>
  <c r="I186" i="14"/>
  <c r="I187" i="14"/>
  <c r="I189" i="14"/>
  <c r="I192" i="14"/>
  <c r="I190" i="14"/>
  <c r="I191" i="14"/>
  <c r="I193" i="14"/>
  <c r="I194" i="14"/>
  <c r="I195" i="14"/>
  <c r="I196" i="14"/>
  <c r="I197" i="14"/>
  <c r="I198" i="14"/>
  <c r="I199" i="14"/>
  <c r="I200" i="14"/>
  <c r="I201" i="14"/>
  <c r="I202" i="14"/>
  <c r="I203" i="14"/>
  <c r="I205" i="14"/>
  <c r="I204" i="14"/>
  <c r="I206" i="14"/>
  <c r="I207" i="14"/>
  <c r="I209" i="14"/>
  <c r="I210" i="14"/>
  <c r="I208" i="14"/>
  <c r="I211" i="14"/>
  <c r="I212" i="14"/>
  <c r="I58" i="14"/>
  <c r="I59" i="14"/>
  <c r="I213" i="14"/>
  <c r="I214" i="14"/>
  <c r="I217" i="14"/>
  <c r="I218" i="14"/>
  <c r="I219" i="14"/>
  <c r="I220" i="14"/>
  <c r="I216" i="14"/>
  <c r="I215" i="14"/>
  <c r="I221" i="14"/>
  <c r="I244" i="14"/>
  <c r="I250" i="14"/>
  <c r="I249" i="14"/>
  <c r="I280" i="14"/>
  <c r="I291" i="14"/>
  <c r="I292" i="14"/>
  <c r="I299" i="14"/>
  <c r="I301" i="14"/>
  <c r="I251" i="14"/>
  <c r="I272" i="14"/>
  <c r="I300" i="14"/>
  <c r="I298" i="14"/>
  <c r="I228" i="14"/>
  <c r="I229" i="14"/>
  <c r="I227" i="14"/>
  <c r="I231" i="14"/>
  <c r="I232" i="14"/>
  <c r="I233" i="14"/>
  <c r="I234" i="14"/>
  <c r="I240" i="14"/>
  <c r="I239" i="14"/>
  <c r="I237" i="14"/>
  <c r="I235" i="14"/>
  <c r="I243" i="14"/>
  <c r="I241" i="14"/>
  <c r="I236" i="14"/>
  <c r="I238" i="14"/>
  <c r="I242" i="14"/>
  <c r="I246" i="14"/>
  <c r="I247" i="14"/>
  <c r="I245" i="14"/>
  <c r="I248" i="14"/>
  <c r="I252" i="14"/>
  <c r="I253" i="14"/>
  <c r="I222" i="14"/>
  <c r="I285" i="14"/>
  <c r="I223" i="14"/>
  <c r="I260" i="14"/>
  <c r="I268" i="14"/>
  <c r="I264" i="14"/>
  <c r="I271" i="14"/>
  <c r="I263" i="14"/>
  <c r="I258" i="14"/>
  <c r="I257" i="14"/>
  <c r="I254" i="14"/>
  <c r="I266" i="14"/>
  <c r="I256" i="14"/>
  <c r="I261" i="14"/>
  <c r="I265" i="14"/>
  <c r="I267" i="14"/>
  <c r="I259" i="14"/>
  <c r="I262" i="14"/>
  <c r="I273" i="14"/>
  <c r="I274" i="14"/>
  <c r="I275" i="14"/>
  <c r="I276" i="14"/>
  <c r="I277" i="14"/>
  <c r="I278" i="14"/>
  <c r="I279" i="14"/>
  <c r="I281" i="14"/>
  <c r="I284" i="14"/>
  <c r="I283" i="14"/>
  <c r="I282" i="14"/>
  <c r="I224" i="14"/>
  <c r="I286" i="14"/>
  <c r="I293" i="14"/>
  <c r="I226" i="14"/>
  <c r="I287" i="14"/>
  <c r="I288" i="14"/>
  <c r="I289" i="14"/>
  <c r="I295" i="14"/>
  <c r="I294" i="14"/>
  <c r="I296" i="14"/>
  <c r="I297" i="14"/>
  <c r="I230" i="14"/>
  <c r="I290" i="14"/>
  <c r="I225" i="14"/>
  <c r="I307" i="14"/>
  <c r="I306" i="14"/>
  <c r="I303" i="14"/>
  <c r="I61" i="14"/>
  <c r="I62" i="14"/>
  <c r="I304" i="14"/>
  <c r="I60" i="14"/>
  <c r="I305" i="14"/>
  <c r="I302" i="14"/>
  <c r="I255" i="14"/>
  <c r="I269" i="14"/>
  <c r="I270" i="14"/>
  <c r="I308" i="14"/>
  <c r="I309" i="14"/>
  <c r="I313" i="14"/>
  <c r="I312" i="14"/>
  <c r="I310" i="14"/>
  <c r="I311" i="14"/>
  <c r="I314" i="14"/>
  <c r="I315" i="14"/>
  <c r="J165" i="14"/>
  <c r="J152" i="14"/>
  <c r="J160" i="14"/>
  <c r="J161" i="14"/>
  <c r="J168" i="14"/>
  <c r="J171" i="14"/>
  <c r="J172" i="14"/>
  <c r="J169" i="14"/>
  <c r="J173" i="14"/>
  <c r="J174" i="14"/>
  <c r="J148" i="14"/>
  <c r="J170" i="14"/>
  <c r="J149" i="14"/>
  <c r="J177" i="14"/>
  <c r="J128" i="14"/>
  <c r="J126" i="14"/>
  <c r="J125" i="14"/>
  <c r="J129" i="14"/>
  <c r="J135" i="14"/>
  <c r="J138" i="14"/>
  <c r="J140" i="14"/>
  <c r="J179" i="14"/>
  <c r="J182" i="14"/>
  <c r="J183" i="14"/>
  <c r="J184" i="14"/>
  <c r="J176" i="14"/>
  <c r="J178" i="14"/>
  <c r="J180" i="14"/>
  <c r="J181" i="14"/>
  <c r="J130" i="14"/>
  <c r="J132" i="14"/>
  <c r="J137" i="14"/>
  <c r="J139" i="14"/>
  <c r="J162" i="14"/>
  <c r="J144" i="14"/>
  <c r="J185" i="14"/>
  <c r="J150" i="14"/>
  <c r="J134" i="14"/>
  <c r="J141" i="14"/>
  <c r="J143" i="14"/>
  <c r="J188" i="14"/>
  <c r="J186" i="14"/>
  <c r="J187" i="14"/>
  <c r="J189" i="14"/>
  <c r="J192" i="14"/>
  <c r="J190" i="14"/>
  <c r="J191" i="14"/>
  <c r="J193" i="14"/>
  <c r="J194" i="14"/>
  <c r="J195" i="14"/>
  <c r="J196" i="14"/>
  <c r="J197" i="14"/>
  <c r="J198" i="14"/>
  <c r="J199" i="14"/>
  <c r="J200" i="14"/>
  <c r="J201" i="14"/>
  <c r="J202" i="14"/>
  <c r="J203" i="14"/>
  <c r="J205" i="14"/>
  <c r="J204" i="14"/>
  <c r="J206" i="14"/>
  <c r="J207" i="14"/>
  <c r="J209" i="14"/>
  <c r="J210" i="14"/>
  <c r="J208" i="14"/>
  <c r="J211" i="14"/>
  <c r="J212" i="14"/>
  <c r="J58" i="14"/>
  <c r="J59" i="14"/>
  <c r="J213" i="14"/>
  <c r="J214" i="14"/>
  <c r="J217" i="14"/>
  <c r="J218" i="14"/>
  <c r="J219" i="14"/>
  <c r="J220" i="14"/>
  <c r="J216" i="14"/>
  <c r="J215" i="14"/>
  <c r="J221" i="14"/>
  <c r="J244" i="14"/>
  <c r="J250" i="14"/>
  <c r="J249" i="14"/>
  <c r="J280" i="14"/>
  <c r="J291" i="14"/>
  <c r="J292" i="14"/>
  <c r="J299" i="14"/>
  <c r="J301" i="14"/>
  <c r="J251" i="14"/>
  <c r="J272" i="14"/>
  <c r="J300" i="14"/>
  <c r="J298" i="14"/>
  <c r="J228" i="14"/>
  <c r="J229" i="14"/>
  <c r="J227" i="14"/>
  <c r="J231" i="14"/>
  <c r="J232" i="14"/>
  <c r="J233" i="14"/>
  <c r="J234" i="14"/>
  <c r="J240" i="14"/>
  <c r="J239" i="14"/>
  <c r="J237" i="14"/>
  <c r="J235" i="14"/>
  <c r="J243" i="14"/>
  <c r="J241" i="14"/>
  <c r="J236" i="14"/>
  <c r="J238" i="14"/>
  <c r="J242" i="14"/>
  <c r="J246" i="14"/>
  <c r="J247" i="14"/>
  <c r="J245" i="14"/>
  <c r="J248" i="14"/>
  <c r="J252" i="14"/>
  <c r="J253" i="14"/>
  <c r="J222" i="14"/>
  <c r="J285" i="14"/>
  <c r="J223" i="14"/>
  <c r="J260" i="14"/>
  <c r="J268" i="14"/>
  <c r="J264" i="14"/>
  <c r="J271" i="14"/>
  <c r="J263" i="14"/>
  <c r="J258" i="14"/>
  <c r="J257" i="14"/>
  <c r="J254" i="14"/>
  <c r="J266" i="14"/>
  <c r="J256" i="14"/>
  <c r="J261" i="14"/>
  <c r="J265" i="14"/>
  <c r="J267" i="14"/>
  <c r="J259" i="14"/>
  <c r="J262" i="14"/>
  <c r="J273" i="14"/>
  <c r="J274" i="14"/>
  <c r="J275" i="14"/>
  <c r="J276" i="14"/>
  <c r="J277" i="14"/>
  <c r="J278" i="14"/>
  <c r="J279" i="14"/>
  <c r="J281" i="14"/>
  <c r="J284" i="14"/>
  <c r="J283" i="14"/>
  <c r="J282" i="14"/>
  <c r="J224" i="14"/>
  <c r="J286" i="14"/>
  <c r="J293" i="14"/>
  <c r="J226" i="14"/>
  <c r="J287" i="14"/>
  <c r="J288" i="14"/>
  <c r="J289" i="14"/>
  <c r="J295" i="14"/>
  <c r="J294" i="14"/>
  <c r="J296" i="14"/>
  <c r="J297" i="14"/>
  <c r="J230" i="14"/>
  <c r="J290" i="14"/>
  <c r="J225" i="14"/>
  <c r="J307" i="14"/>
  <c r="J306" i="14"/>
  <c r="J303" i="14"/>
  <c r="J61" i="14"/>
  <c r="J62" i="14"/>
  <c r="J304" i="14"/>
  <c r="J60" i="14"/>
  <c r="J305" i="14"/>
  <c r="J302" i="14"/>
  <c r="J255" i="14"/>
  <c r="J269" i="14"/>
  <c r="J270" i="14"/>
  <c r="J308" i="14"/>
  <c r="J309" i="14"/>
  <c r="J313" i="14"/>
  <c r="J312" i="14"/>
  <c r="J310" i="14"/>
  <c r="J311" i="14"/>
  <c r="J314" i="14"/>
  <c r="J315" i="14"/>
  <c r="L21" i="3" a="1"/>
  <c r="L21" i="3" s="1"/>
  <c r="K21" i="3" a="1"/>
  <c r="K21" i="3" s="1"/>
  <c r="J21" i="3" a="1"/>
  <c r="J21" i="3" s="1"/>
  <c r="N20" i="3"/>
  <c r="F55" i="14" s="1"/>
  <c r="K6" i="1"/>
  <c r="K5" i="1"/>
  <c r="K4" i="1"/>
  <c r="AA22" i="1"/>
  <c r="AA23" i="1"/>
  <c r="AA24" i="1"/>
  <c r="AA26" i="1"/>
  <c r="AA27" i="1"/>
  <c r="AA28" i="1"/>
  <c r="AA30" i="1"/>
  <c r="AA31" i="1"/>
  <c r="AA32" i="1"/>
  <c r="AA34" i="1"/>
  <c r="AA35" i="1"/>
  <c r="AA36" i="1"/>
  <c r="AA38" i="1"/>
  <c r="AA39" i="1"/>
  <c r="AA40" i="1"/>
  <c r="AA42" i="1"/>
  <c r="AA43" i="1"/>
  <c r="AA44" i="1"/>
  <c r="AA19" i="1"/>
  <c r="AA20" i="1"/>
  <c r="AA18" i="1"/>
  <c r="G45" i="14"/>
  <c r="G111" i="14"/>
  <c r="G131" i="14"/>
  <c r="G80" i="14"/>
  <c r="G15" i="14"/>
  <c r="G73" i="14"/>
  <c r="G76" i="14"/>
  <c r="G88" i="14"/>
  <c r="G107" i="14"/>
  <c r="G67" i="14"/>
  <c r="G4" i="14"/>
  <c r="G74" i="14"/>
  <c r="G25" i="14"/>
  <c r="G98" i="14"/>
  <c r="G97" i="14"/>
  <c r="G65" i="14"/>
  <c r="G82" i="14"/>
  <c r="G118" i="14"/>
  <c r="G43" i="14"/>
  <c r="G121" i="14"/>
  <c r="G95" i="14"/>
  <c r="G106" i="14"/>
  <c r="G84" i="14"/>
  <c r="G167" i="14"/>
  <c r="G12" i="14"/>
  <c r="G10" i="14"/>
  <c r="G142" i="14"/>
  <c r="G85" i="14"/>
  <c r="G158" i="14"/>
  <c r="G127" i="14"/>
  <c r="G54" i="14"/>
  <c r="G110" i="14"/>
  <c r="G156" i="14"/>
  <c r="G157" i="14"/>
  <c r="G34" i="14"/>
  <c r="G30" i="14"/>
  <c r="G29" i="14"/>
  <c r="G3" i="14"/>
  <c r="G136" i="14"/>
  <c r="G116" i="14"/>
  <c r="G16" i="14"/>
  <c r="G24" i="14"/>
  <c r="G5" i="14"/>
  <c r="G40" i="14"/>
  <c r="G103" i="14"/>
  <c r="G72" i="14"/>
  <c r="G164" i="14"/>
  <c r="G57" i="14"/>
  <c r="G47" i="14"/>
  <c r="G23" i="14"/>
  <c r="G2" i="14"/>
  <c r="G42" i="14"/>
  <c r="G78" i="14"/>
  <c r="G63" i="14"/>
  <c r="G86" i="14"/>
  <c r="G13" i="14"/>
  <c r="G20" i="14"/>
  <c r="G18" i="14"/>
  <c r="G7" i="14"/>
  <c r="G8" i="14"/>
  <c r="G21" i="14"/>
  <c r="G49" i="14"/>
  <c r="G41" i="14"/>
  <c r="G122" i="14"/>
  <c r="G71" i="14"/>
  <c r="G6" i="14"/>
  <c r="G46" i="14"/>
  <c r="G50" i="14"/>
  <c r="G120" i="14"/>
  <c r="G166" i="14"/>
  <c r="G28" i="14"/>
  <c r="G11" i="14"/>
  <c r="G70" i="14"/>
  <c r="G159" i="14"/>
  <c r="G56" i="14"/>
  <c r="G48" i="14"/>
  <c r="G146" i="14"/>
  <c r="G52" i="14"/>
  <c r="G83" i="14"/>
  <c r="G175" i="14"/>
  <c r="G44" i="14"/>
  <c r="G75" i="14"/>
  <c r="G89" i="14"/>
  <c r="G105" i="14"/>
  <c r="G66" i="14"/>
  <c r="G104" i="14"/>
  <c r="G36" i="14"/>
  <c r="G64" i="14"/>
  <c r="G101" i="14"/>
  <c r="G99" i="14"/>
  <c r="G119" i="14"/>
  <c r="G26" i="14"/>
  <c r="G79" i="14"/>
  <c r="G32" i="14"/>
  <c r="G37" i="14"/>
  <c r="G100" i="14"/>
  <c r="G9" i="14"/>
  <c r="G33" i="14"/>
  <c r="G38" i="14"/>
  <c r="G77" i="14"/>
  <c r="G123" i="14"/>
  <c r="G81" i="14"/>
  <c r="G93" i="14"/>
  <c r="G19" i="14"/>
  <c r="G92" i="14"/>
  <c r="G90" i="14"/>
  <c r="G96" i="14"/>
  <c r="G27" i="14"/>
  <c r="G113" i="14"/>
  <c r="G153" i="14"/>
  <c r="G151" i="14"/>
  <c r="G112" i="14"/>
  <c r="G17" i="14"/>
  <c r="G124" i="14"/>
  <c r="G114" i="14"/>
  <c r="G115" i="14"/>
  <c r="G35" i="14"/>
  <c r="G102" i="14"/>
  <c r="G109" i="14"/>
  <c r="G163" i="14"/>
  <c r="G68" i="14"/>
  <c r="G117" i="14"/>
  <c r="G39" i="14"/>
  <c r="G155" i="14"/>
  <c r="G91" i="14"/>
  <c r="G31" i="14"/>
  <c r="G154" i="14"/>
  <c r="G14" i="14"/>
  <c r="G133" i="14"/>
  <c r="G147" i="14"/>
  <c r="G108" i="14"/>
  <c r="G87" i="14"/>
  <c r="G22" i="14"/>
  <c r="G69" i="14"/>
  <c r="G145" i="14"/>
  <c r="G51" i="14"/>
  <c r="G53" i="14"/>
  <c r="G94" i="14"/>
  <c r="I45" i="14"/>
  <c r="J45" i="14"/>
  <c r="J111" i="14"/>
  <c r="J131" i="14"/>
  <c r="J80" i="14"/>
  <c r="J15" i="14"/>
  <c r="J73" i="14"/>
  <c r="J76" i="14"/>
  <c r="J88" i="14"/>
  <c r="J107" i="14"/>
  <c r="J67" i="14"/>
  <c r="J4" i="14"/>
  <c r="J74" i="14"/>
  <c r="J25" i="14"/>
  <c r="J98" i="14"/>
  <c r="J97" i="14"/>
  <c r="J65" i="14"/>
  <c r="J82" i="14"/>
  <c r="J118" i="14"/>
  <c r="J43" i="14"/>
  <c r="J121" i="14"/>
  <c r="J95" i="14"/>
  <c r="J106" i="14"/>
  <c r="J84" i="14"/>
  <c r="J167" i="14"/>
  <c r="J12" i="14"/>
  <c r="J10" i="14"/>
  <c r="J142" i="14"/>
  <c r="J85" i="14"/>
  <c r="J158" i="14"/>
  <c r="J127" i="14"/>
  <c r="J54" i="14"/>
  <c r="J110" i="14"/>
  <c r="J156" i="14"/>
  <c r="J157" i="14"/>
  <c r="J34" i="14"/>
  <c r="J30" i="14"/>
  <c r="J29" i="14"/>
  <c r="J3" i="14"/>
  <c r="J136" i="14"/>
  <c r="J116" i="14"/>
  <c r="J16" i="14"/>
  <c r="J24" i="14"/>
  <c r="J5" i="14"/>
  <c r="J40" i="14"/>
  <c r="J103" i="14"/>
  <c r="J72" i="14"/>
  <c r="J164" i="14"/>
  <c r="J57" i="14"/>
  <c r="J47" i="14"/>
  <c r="J23" i="14"/>
  <c r="J2" i="14"/>
  <c r="J42" i="14"/>
  <c r="J78" i="14"/>
  <c r="J63" i="14"/>
  <c r="J86" i="14"/>
  <c r="J13" i="14"/>
  <c r="J20" i="14"/>
  <c r="J18" i="14"/>
  <c r="J7" i="14"/>
  <c r="J8" i="14"/>
  <c r="J21" i="14"/>
  <c r="J49" i="14"/>
  <c r="J41" i="14"/>
  <c r="J122" i="14"/>
  <c r="J71" i="14"/>
  <c r="J6" i="14"/>
  <c r="J46" i="14"/>
  <c r="J50" i="14"/>
  <c r="J120" i="14"/>
  <c r="J166" i="14"/>
  <c r="J28" i="14"/>
  <c r="J11" i="14"/>
  <c r="J70" i="14"/>
  <c r="J159" i="14"/>
  <c r="J56" i="14"/>
  <c r="J48" i="14"/>
  <c r="J146" i="14"/>
  <c r="J52" i="14"/>
  <c r="J83" i="14"/>
  <c r="J175" i="14"/>
  <c r="J44" i="14"/>
  <c r="J75" i="14"/>
  <c r="J89" i="14"/>
  <c r="J105" i="14"/>
  <c r="J66" i="14"/>
  <c r="J104" i="14"/>
  <c r="J36" i="14"/>
  <c r="J64" i="14"/>
  <c r="J101" i="14"/>
  <c r="J99" i="14"/>
  <c r="J119" i="14"/>
  <c r="J26" i="14"/>
  <c r="J79" i="14"/>
  <c r="J32" i="14"/>
  <c r="J37" i="14"/>
  <c r="J100" i="14"/>
  <c r="J9" i="14"/>
  <c r="J33" i="14"/>
  <c r="J38" i="14"/>
  <c r="J77" i="14"/>
  <c r="J123" i="14"/>
  <c r="J81" i="14"/>
  <c r="J93" i="14"/>
  <c r="J19" i="14"/>
  <c r="J92" i="14"/>
  <c r="J90" i="14"/>
  <c r="J96" i="14"/>
  <c r="J27" i="14"/>
  <c r="J113" i="14"/>
  <c r="J153" i="14"/>
  <c r="J151" i="14"/>
  <c r="J112" i="14"/>
  <c r="J17" i="14"/>
  <c r="J124" i="14"/>
  <c r="J114" i="14"/>
  <c r="J115" i="14"/>
  <c r="J35" i="14"/>
  <c r="J102" i="14"/>
  <c r="J109" i="14"/>
  <c r="J163" i="14"/>
  <c r="J68" i="14"/>
  <c r="J117" i="14"/>
  <c r="J39" i="14"/>
  <c r="J155" i="14"/>
  <c r="J91" i="14"/>
  <c r="J31" i="14"/>
  <c r="J154" i="14"/>
  <c r="J14" i="14"/>
  <c r="J133" i="14"/>
  <c r="J147" i="14"/>
  <c r="J108" i="14"/>
  <c r="J87" i="14"/>
  <c r="J22" i="14"/>
  <c r="J69" i="14"/>
  <c r="J145" i="14"/>
  <c r="J51" i="14"/>
  <c r="J53" i="14"/>
  <c r="J94" i="14"/>
  <c r="I111" i="14"/>
  <c r="I131" i="14"/>
  <c r="I80" i="14"/>
  <c r="I15" i="14"/>
  <c r="I73" i="14"/>
  <c r="I76" i="14"/>
  <c r="I88" i="14"/>
  <c r="I107" i="14"/>
  <c r="I67" i="14"/>
  <c r="I4" i="14"/>
  <c r="I74" i="14"/>
  <c r="I25" i="14"/>
  <c r="I98" i="14"/>
  <c r="I97" i="14"/>
  <c r="I65" i="14"/>
  <c r="I82" i="14"/>
  <c r="I118" i="14"/>
  <c r="I43" i="14"/>
  <c r="I121" i="14"/>
  <c r="I95" i="14"/>
  <c r="I106" i="14"/>
  <c r="I84" i="14"/>
  <c r="I167" i="14"/>
  <c r="I12" i="14"/>
  <c r="I10" i="14"/>
  <c r="I142" i="14"/>
  <c r="I85" i="14"/>
  <c r="I158" i="14"/>
  <c r="I127" i="14"/>
  <c r="I54" i="14"/>
  <c r="I110" i="14"/>
  <c r="I156" i="14"/>
  <c r="I157" i="14"/>
  <c r="I34" i="14"/>
  <c r="I30" i="14"/>
  <c r="I29" i="14"/>
  <c r="I3" i="14"/>
  <c r="I136" i="14"/>
  <c r="I116" i="14"/>
  <c r="I16" i="14"/>
  <c r="I24" i="14"/>
  <c r="I5" i="14"/>
  <c r="I40" i="14"/>
  <c r="I103" i="14"/>
  <c r="I72" i="14"/>
  <c r="I164" i="14"/>
  <c r="I57" i="14"/>
  <c r="I47" i="14"/>
  <c r="I23" i="14"/>
  <c r="I2" i="14"/>
  <c r="I42" i="14"/>
  <c r="I78" i="14"/>
  <c r="I63" i="14"/>
  <c r="I86" i="14"/>
  <c r="I13" i="14"/>
  <c r="I20" i="14"/>
  <c r="I18" i="14"/>
  <c r="I7" i="14"/>
  <c r="I8" i="14"/>
  <c r="I21" i="14"/>
  <c r="I49" i="14"/>
  <c r="I41" i="14"/>
  <c r="I122" i="14"/>
  <c r="I71" i="14"/>
  <c r="I6" i="14"/>
  <c r="I46" i="14"/>
  <c r="I50" i="14"/>
  <c r="I120" i="14"/>
  <c r="I166" i="14"/>
  <c r="I28" i="14"/>
  <c r="I11" i="14"/>
  <c r="I70" i="14"/>
  <c r="I159" i="14"/>
  <c r="I56" i="14"/>
  <c r="I48" i="14"/>
  <c r="I146" i="14"/>
  <c r="I52" i="14"/>
  <c r="I83" i="14"/>
  <c r="I175" i="14"/>
  <c r="I44" i="14"/>
  <c r="I75" i="14"/>
  <c r="I89" i="14"/>
  <c r="I105" i="14"/>
  <c r="I66" i="14"/>
  <c r="I104" i="14"/>
  <c r="I36" i="14"/>
  <c r="I64" i="14"/>
  <c r="I101" i="14"/>
  <c r="I99" i="14"/>
  <c r="I119" i="14"/>
  <c r="I26" i="14"/>
  <c r="I79" i="14"/>
  <c r="I32" i="14"/>
  <c r="I37" i="14"/>
  <c r="I100" i="14"/>
  <c r="I9" i="14"/>
  <c r="I33" i="14"/>
  <c r="I38" i="14"/>
  <c r="I77" i="14"/>
  <c r="I123" i="14"/>
  <c r="I81" i="14"/>
  <c r="I93" i="14"/>
  <c r="I19" i="14"/>
  <c r="I92" i="14"/>
  <c r="I90" i="14"/>
  <c r="I96" i="14"/>
  <c r="I27" i="14"/>
  <c r="I113" i="14"/>
  <c r="I153" i="14"/>
  <c r="I151" i="14"/>
  <c r="I112" i="14"/>
  <c r="I17" i="14"/>
  <c r="I124" i="14"/>
  <c r="I114" i="14"/>
  <c r="I115" i="14"/>
  <c r="I35" i="14"/>
  <c r="I102" i="14"/>
  <c r="I109" i="14"/>
  <c r="I163" i="14"/>
  <c r="I68" i="14"/>
  <c r="I117" i="14"/>
  <c r="I39" i="14"/>
  <c r="I155" i="14"/>
  <c r="I91" i="14"/>
  <c r="I31" i="14"/>
  <c r="I154" i="14"/>
  <c r="I14" i="14"/>
  <c r="I133" i="14"/>
  <c r="I147" i="14"/>
  <c r="I108" i="14"/>
  <c r="I87" i="14"/>
  <c r="I22" i="14"/>
  <c r="I69" i="14"/>
  <c r="I145" i="14"/>
  <c r="I51" i="14"/>
  <c r="I53" i="14"/>
  <c r="I94" i="14"/>
  <c r="H105" i="14"/>
  <c r="H45" i="14"/>
  <c r="H111" i="14"/>
  <c r="H131" i="14"/>
  <c r="H80" i="14"/>
  <c r="H15" i="14"/>
  <c r="H73" i="14"/>
  <c r="H76" i="14"/>
  <c r="H88" i="14"/>
  <c r="H107" i="14"/>
  <c r="H67" i="14"/>
  <c r="H4" i="14"/>
  <c r="H74" i="14"/>
  <c r="H25" i="14"/>
  <c r="H98" i="14"/>
  <c r="H97" i="14"/>
  <c r="H65" i="14"/>
  <c r="H82" i="14"/>
  <c r="H118" i="14"/>
  <c r="H43" i="14"/>
  <c r="H121" i="14"/>
  <c r="H95" i="14"/>
  <c r="H106" i="14"/>
  <c r="H84" i="14"/>
  <c r="H167" i="14"/>
  <c r="H12" i="14"/>
  <c r="H10" i="14"/>
  <c r="H142" i="14"/>
  <c r="H85" i="14"/>
  <c r="H158" i="14"/>
  <c r="H127" i="14"/>
  <c r="H54" i="14"/>
  <c r="H110" i="14"/>
  <c r="H156" i="14"/>
  <c r="H157" i="14"/>
  <c r="H34" i="14"/>
  <c r="H30" i="14"/>
  <c r="H29" i="14"/>
  <c r="H3" i="14"/>
  <c r="H136" i="14"/>
  <c r="H116" i="14"/>
  <c r="H16" i="14"/>
  <c r="H24" i="14"/>
  <c r="H5" i="14"/>
  <c r="H40" i="14"/>
  <c r="H103" i="14"/>
  <c r="H72" i="14"/>
  <c r="H164" i="14"/>
  <c r="H57" i="14"/>
  <c r="H47" i="14"/>
  <c r="H23" i="14"/>
  <c r="H2" i="14"/>
  <c r="H42" i="14"/>
  <c r="H78" i="14"/>
  <c r="H63" i="14"/>
  <c r="H86" i="14"/>
  <c r="H13" i="14"/>
  <c r="H20" i="14"/>
  <c r="H18" i="14"/>
  <c r="H7" i="14"/>
  <c r="H8" i="14"/>
  <c r="H21" i="14"/>
  <c r="H49" i="14"/>
  <c r="H41" i="14"/>
  <c r="H122" i="14"/>
  <c r="H71" i="14"/>
  <c r="H6" i="14"/>
  <c r="H46" i="14"/>
  <c r="H50" i="14"/>
  <c r="H120" i="14"/>
  <c r="H166" i="14"/>
  <c r="H28" i="14"/>
  <c r="H11" i="14"/>
  <c r="H70" i="14"/>
  <c r="H159" i="14"/>
  <c r="H56" i="14"/>
  <c r="H48" i="14"/>
  <c r="H146" i="14"/>
  <c r="H52" i="14"/>
  <c r="H83" i="14"/>
  <c r="H175" i="14"/>
  <c r="H44" i="14"/>
  <c r="H75" i="14"/>
  <c r="H89" i="14"/>
  <c r="H66" i="14"/>
  <c r="H104" i="14"/>
  <c r="H36" i="14"/>
  <c r="H64" i="14"/>
  <c r="H101" i="14"/>
  <c r="H99" i="14"/>
  <c r="H119" i="14"/>
  <c r="H26" i="14"/>
  <c r="H79" i="14"/>
  <c r="H32" i="14"/>
  <c r="H37" i="14"/>
  <c r="H100" i="14"/>
  <c r="H9" i="14"/>
  <c r="H33" i="14"/>
  <c r="H38" i="14"/>
  <c r="H77" i="14"/>
  <c r="H123" i="14"/>
  <c r="H81" i="14"/>
  <c r="H93" i="14"/>
  <c r="H19" i="14"/>
  <c r="H92" i="14"/>
  <c r="H90" i="14"/>
  <c r="H96" i="14"/>
  <c r="H27" i="14"/>
  <c r="H113" i="14"/>
  <c r="H153" i="14"/>
  <c r="H151" i="14"/>
  <c r="H112" i="14"/>
  <c r="H17" i="14"/>
  <c r="H124" i="14"/>
  <c r="H114" i="14"/>
  <c r="H115" i="14"/>
  <c r="H35" i="14"/>
  <c r="H102" i="14"/>
  <c r="H109" i="14"/>
  <c r="H163" i="14"/>
  <c r="H68" i="14"/>
  <c r="H117" i="14"/>
  <c r="H39" i="14"/>
  <c r="H155" i="14"/>
  <c r="H91" i="14"/>
  <c r="H31" i="14"/>
  <c r="H154" i="14"/>
  <c r="H14" i="14"/>
  <c r="H133" i="14"/>
  <c r="H147" i="14"/>
  <c r="H108" i="14"/>
  <c r="H87" i="14"/>
  <c r="H22" i="14"/>
  <c r="H69" i="14"/>
  <c r="H145" i="14"/>
  <c r="H51" i="14"/>
  <c r="H53" i="14"/>
  <c r="H94" i="14"/>
  <c r="B18" i="1"/>
  <c r="P18" i="1" s="1"/>
  <c r="Q18" i="1" s="1"/>
  <c r="J11" i="1"/>
  <c r="Q56" i="2"/>
  <c r="G14" i="7"/>
  <c r="F14" i="7"/>
  <c r="G14" i="2"/>
  <c r="F14" i="2"/>
  <c r="A1" i="1" a="1"/>
  <c r="M55" i="14" l="1"/>
  <c r="O55" i="14"/>
  <c r="L55" i="14"/>
  <c r="N55" i="14"/>
  <c r="F173" i="14"/>
  <c r="O173" i="14" s="1"/>
  <c r="A18" i="1"/>
  <c r="K129" i="14"/>
  <c r="K267" i="14"/>
  <c r="K137" i="14"/>
  <c r="K315" i="14"/>
  <c r="K305" i="14"/>
  <c r="K284" i="14"/>
  <c r="K265" i="14"/>
  <c r="K241" i="14"/>
  <c r="K228" i="14"/>
  <c r="K212" i="14"/>
  <c r="K132" i="14"/>
  <c r="K135" i="14"/>
  <c r="K201" i="14"/>
  <c r="K242" i="14"/>
  <c r="K138" i="14"/>
  <c r="A1" i="1"/>
  <c r="K162" i="14"/>
  <c r="K307" i="14"/>
  <c r="K293" i="14"/>
  <c r="K247" i="14"/>
  <c r="K292" i="14"/>
  <c r="K217" i="14"/>
  <c r="K193" i="14"/>
  <c r="K170" i="14"/>
  <c r="K236" i="14"/>
  <c r="K58" i="14"/>
  <c r="K200" i="14"/>
  <c r="K144" i="14"/>
  <c r="K298" i="14"/>
  <c r="K199" i="14"/>
  <c r="K255" i="14"/>
  <c r="K230" i="14"/>
  <c r="K282" i="14"/>
  <c r="K259" i="14"/>
  <c r="K268" i="14"/>
  <c r="K238" i="14"/>
  <c r="K227" i="14"/>
  <c r="F167" i="15" s="1" a="1"/>
  <c r="F167" i="15" s="1"/>
  <c r="K249" i="14"/>
  <c r="K59" i="14"/>
  <c r="K202" i="14"/>
  <c r="K192" i="14"/>
  <c r="K139" i="14"/>
  <c r="K140" i="14"/>
  <c r="K173" i="14"/>
  <c r="K225" i="14"/>
  <c r="K271" i="14"/>
  <c r="K291" i="14"/>
  <c r="K214" i="14"/>
  <c r="K191" i="14"/>
  <c r="K148" i="14"/>
  <c r="K309" i="14"/>
  <c r="K275" i="14"/>
  <c r="K234" i="14"/>
  <c r="K206" i="14"/>
  <c r="K194" i="14"/>
  <c r="K184" i="14"/>
  <c r="K149" i="14"/>
  <c r="K302" i="14"/>
  <c r="K283" i="14"/>
  <c r="K229" i="14"/>
  <c r="K314" i="14"/>
  <c r="K60" i="14"/>
  <c r="K294" i="14"/>
  <c r="K281" i="14"/>
  <c r="K261" i="14"/>
  <c r="K285" i="14"/>
  <c r="K243" i="14"/>
  <c r="K221" i="14"/>
  <c r="K211" i="14"/>
  <c r="K186" i="14"/>
  <c r="K130" i="14"/>
  <c r="K171" i="14"/>
  <c r="K263" i="14"/>
  <c r="K185" i="14"/>
  <c r="K286" i="14"/>
  <c r="K246" i="14"/>
  <c r="K290" i="14"/>
  <c r="K224" i="14"/>
  <c r="K264" i="14"/>
  <c r="K280" i="14"/>
  <c r="K213" i="14"/>
  <c r="K190" i="14"/>
  <c r="K174" i="14"/>
  <c r="K306" i="14"/>
  <c r="K226" i="14"/>
  <c r="K258" i="14"/>
  <c r="K245" i="14"/>
  <c r="K299" i="14"/>
  <c r="K218" i="14"/>
  <c r="K150" i="14"/>
  <c r="F202" i="15" s="1" a="1"/>
  <c r="F202" i="15" s="1"/>
  <c r="K165" i="14"/>
  <c r="K297" i="14"/>
  <c r="K260" i="14"/>
  <c r="K250" i="14"/>
  <c r="K189" i="14"/>
  <c r="K169" i="14"/>
  <c r="K308" i="14"/>
  <c r="K274" i="14"/>
  <c r="K233" i="14"/>
  <c r="K204" i="14"/>
  <c r="K183" i="14"/>
  <c r="K296" i="14"/>
  <c r="K223" i="14"/>
  <c r="K244" i="14"/>
  <c r="K187" i="14"/>
  <c r="K172" i="14"/>
  <c r="K270" i="14"/>
  <c r="K273" i="14"/>
  <c r="K232" i="14"/>
  <c r="K205" i="14"/>
  <c r="K182" i="14"/>
  <c r="F264" i="14"/>
  <c r="L264" i="14" s="1"/>
  <c r="K269" i="14"/>
  <c r="K262" i="14"/>
  <c r="K231" i="14"/>
  <c r="K203" i="14"/>
  <c r="K179" i="14"/>
  <c r="F269" i="14"/>
  <c r="L269" i="14" s="1"/>
  <c r="F224" i="14"/>
  <c r="L224" i="14" s="1"/>
  <c r="F231" i="14"/>
  <c r="M231" i="14" s="1"/>
  <c r="F213" i="14"/>
  <c r="L213" i="14" s="1"/>
  <c r="F190" i="14"/>
  <c r="L190" i="14" s="1"/>
  <c r="F179" i="14"/>
  <c r="L179" i="14" s="1"/>
  <c r="F255" i="14"/>
  <c r="F282" i="14"/>
  <c r="F268" i="14"/>
  <c r="F227" i="14"/>
  <c r="F59" i="14"/>
  <c r="F192" i="14"/>
  <c r="F140" i="14"/>
  <c r="F302" i="14"/>
  <c r="F283" i="14"/>
  <c r="F260" i="14"/>
  <c r="F229" i="14"/>
  <c r="F58" i="14"/>
  <c r="F189" i="14"/>
  <c r="F138" i="14"/>
  <c r="F305" i="14"/>
  <c r="F284" i="14"/>
  <c r="F223" i="14"/>
  <c r="F228" i="14"/>
  <c r="F212" i="14"/>
  <c r="F187" i="14"/>
  <c r="F135" i="14"/>
  <c r="K311" i="14"/>
  <c r="K304" i="14"/>
  <c r="K295" i="14"/>
  <c r="K279" i="14"/>
  <c r="K256" i="14"/>
  <c r="K222" i="14"/>
  <c r="K235" i="14"/>
  <c r="K300" i="14"/>
  <c r="K215" i="14"/>
  <c r="K208" i="14"/>
  <c r="K198" i="14"/>
  <c r="K188" i="14"/>
  <c r="K181" i="14"/>
  <c r="K125" i="14"/>
  <c r="K168" i="14"/>
  <c r="F60" i="14"/>
  <c r="F281" i="14"/>
  <c r="F285" i="14"/>
  <c r="F298" i="14"/>
  <c r="F211" i="14"/>
  <c r="F186" i="14"/>
  <c r="F129" i="14"/>
  <c r="K310" i="14"/>
  <c r="K62" i="14"/>
  <c r="K289" i="14"/>
  <c r="K278" i="14"/>
  <c r="K266" i="14"/>
  <c r="K253" i="14"/>
  <c r="K237" i="14"/>
  <c r="K272" i="14"/>
  <c r="K216" i="14"/>
  <c r="K210" i="14"/>
  <c r="K197" i="14"/>
  <c r="K143" i="14"/>
  <c r="K180" i="14"/>
  <c r="K126" i="14"/>
  <c r="K161" i="14"/>
  <c r="F304" i="14"/>
  <c r="F279" i="14"/>
  <c r="F222" i="14"/>
  <c r="F300" i="14"/>
  <c r="F208" i="14"/>
  <c r="F188" i="14"/>
  <c r="F125" i="14"/>
  <c r="K312" i="14"/>
  <c r="K61" i="14"/>
  <c r="K288" i="14"/>
  <c r="K277" i="14"/>
  <c r="K254" i="14"/>
  <c r="K252" i="14"/>
  <c r="K239" i="14"/>
  <c r="K251" i="14"/>
  <c r="K220" i="14"/>
  <c r="K209" i="14"/>
  <c r="K196" i="14"/>
  <c r="K141" i="14"/>
  <c r="K178" i="14"/>
  <c r="K128" i="14"/>
  <c r="K160" i="14"/>
  <c r="F290" i="14"/>
  <c r="F262" i="14"/>
  <c r="F242" i="14"/>
  <c r="F280" i="14"/>
  <c r="F203" i="14"/>
  <c r="F162" i="14"/>
  <c r="F174" i="14"/>
  <c r="F194" i="15" a="1"/>
  <c r="F194" i="15" s="1"/>
  <c r="K313" i="14"/>
  <c r="K303" i="14"/>
  <c r="K287" i="14"/>
  <c r="K276" i="14"/>
  <c r="K257" i="14"/>
  <c r="F211" i="15" s="1" a="1"/>
  <c r="F211" i="15" s="1"/>
  <c r="K248" i="14"/>
  <c r="K240" i="14"/>
  <c r="K301" i="14"/>
  <c r="K219" i="14"/>
  <c r="K207" i="14"/>
  <c r="K195" i="14"/>
  <c r="K134" i="14"/>
  <c r="K176" i="14"/>
  <c r="K177" i="14"/>
  <c r="K152" i="14"/>
  <c r="F230" i="14"/>
  <c r="F259" i="14"/>
  <c r="F238" i="14"/>
  <c r="F249" i="14"/>
  <c r="F202" i="14"/>
  <c r="F139" i="14"/>
  <c r="F165" i="14"/>
  <c r="F149" i="14"/>
  <c r="F184" i="14"/>
  <c r="F150" i="14"/>
  <c r="F194" i="14"/>
  <c r="F206" i="14"/>
  <c r="F218" i="14"/>
  <c r="F299" i="14"/>
  <c r="F234" i="14"/>
  <c r="F245" i="14"/>
  <c r="F258" i="14"/>
  <c r="F275" i="14"/>
  <c r="F226" i="14"/>
  <c r="F306" i="14"/>
  <c r="F309" i="14"/>
  <c r="F152" i="14"/>
  <c r="F177" i="14"/>
  <c r="F176" i="14"/>
  <c r="F134" i="14"/>
  <c r="F195" i="14"/>
  <c r="F207" i="14"/>
  <c r="F219" i="14"/>
  <c r="F301" i="14"/>
  <c r="F240" i="14"/>
  <c r="F248" i="14"/>
  <c r="F257" i="14"/>
  <c r="F276" i="14"/>
  <c r="F287" i="14"/>
  <c r="F303" i="14"/>
  <c r="F313" i="14"/>
  <c r="F160" i="14"/>
  <c r="F128" i="14"/>
  <c r="F178" i="14"/>
  <c r="F141" i="14"/>
  <c r="F196" i="14"/>
  <c r="F209" i="14"/>
  <c r="F220" i="14"/>
  <c r="F251" i="14"/>
  <c r="F239" i="14"/>
  <c r="F252" i="14"/>
  <c r="F254" i="14"/>
  <c r="F277" i="14"/>
  <c r="F288" i="14"/>
  <c r="F61" i="14"/>
  <c r="F312" i="14"/>
  <c r="F161" i="14"/>
  <c r="F126" i="14"/>
  <c r="F180" i="14"/>
  <c r="F143" i="14"/>
  <c r="F197" i="14"/>
  <c r="F210" i="14"/>
  <c r="F216" i="14"/>
  <c r="F272" i="14"/>
  <c r="F237" i="14"/>
  <c r="F253" i="14"/>
  <c r="F266" i="14"/>
  <c r="F278" i="14"/>
  <c r="F289" i="14"/>
  <c r="F62" i="14"/>
  <c r="F310" i="14"/>
  <c r="F148" i="14"/>
  <c r="F182" i="14"/>
  <c r="F144" i="14"/>
  <c r="F191" i="14"/>
  <c r="F205" i="14"/>
  <c r="F214" i="14"/>
  <c r="F291" i="14"/>
  <c r="F232" i="14"/>
  <c r="F246" i="14"/>
  <c r="F271" i="14"/>
  <c r="F273" i="14"/>
  <c r="F286" i="14"/>
  <c r="F225" i="14"/>
  <c r="F270" i="14"/>
  <c r="F170" i="14"/>
  <c r="F183" i="14"/>
  <c r="F185" i="14"/>
  <c r="F193" i="14"/>
  <c r="F204" i="14"/>
  <c r="F217" i="14"/>
  <c r="F292" i="14"/>
  <c r="F233" i="14"/>
  <c r="F247" i="14"/>
  <c r="F263" i="14"/>
  <c r="F274" i="14"/>
  <c r="F293" i="14"/>
  <c r="F307" i="14"/>
  <c r="F308" i="14"/>
  <c r="F297" i="14"/>
  <c r="F267" i="14"/>
  <c r="F236" i="14"/>
  <c r="F250" i="14"/>
  <c r="F201" i="14"/>
  <c r="F137" i="14"/>
  <c r="F169" i="14"/>
  <c r="F315" i="14"/>
  <c r="F296" i="14"/>
  <c r="F265" i="14"/>
  <c r="F241" i="14"/>
  <c r="F244" i="14"/>
  <c r="F200" i="14"/>
  <c r="F132" i="14"/>
  <c r="F172" i="14"/>
  <c r="F314" i="14"/>
  <c r="F294" i="14"/>
  <c r="F261" i="14"/>
  <c r="F243" i="14"/>
  <c r="F221" i="14"/>
  <c r="F199" i="14"/>
  <c r="F130" i="14"/>
  <c r="F171" i="14"/>
  <c r="F311" i="14"/>
  <c r="F295" i="14"/>
  <c r="F256" i="14"/>
  <c r="F235" i="14"/>
  <c r="F215" i="14"/>
  <c r="F198" i="14"/>
  <c r="F181" i="14"/>
  <c r="F168" i="14"/>
  <c r="K65" i="14"/>
  <c r="K94" i="14"/>
  <c r="K69" i="14"/>
  <c r="K147" i="14"/>
  <c r="K31" i="14"/>
  <c r="K117" i="14"/>
  <c r="K102" i="14"/>
  <c r="K124" i="14"/>
  <c r="K153" i="14"/>
  <c r="K90" i="14"/>
  <c r="K81" i="14"/>
  <c r="K33" i="14"/>
  <c r="K32" i="14"/>
  <c r="K99" i="14"/>
  <c r="K104" i="14"/>
  <c r="K75" i="14"/>
  <c r="K52" i="14"/>
  <c r="K159" i="14"/>
  <c r="K166" i="14"/>
  <c r="K6" i="14"/>
  <c r="K49" i="14"/>
  <c r="K18" i="14"/>
  <c r="K63" i="14"/>
  <c r="K23" i="14"/>
  <c r="K72" i="14"/>
  <c r="K24" i="14"/>
  <c r="K3" i="14"/>
  <c r="K157" i="14"/>
  <c r="K127" i="14"/>
  <c r="K10" i="14"/>
  <c r="K106" i="14"/>
  <c r="K118" i="14"/>
  <c r="K98" i="14"/>
  <c r="K67" i="14"/>
  <c r="K73" i="14"/>
  <c r="K111" i="14"/>
  <c r="K53" i="14"/>
  <c r="K22" i="14"/>
  <c r="K133" i="14"/>
  <c r="K91" i="14"/>
  <c r="K68" i="14"/>
  <c r="K35" i="14"/>
  <c r="K17" i="14"/>
  <c r="K113" i="14"/>
  <c r="F221" i="15" s="1" a="1"/>
  <c r="F221" i="15" s="1"/>
  <c r="K92" i="14"/>
  <c r="K123" i="14"/>
  <c r="K9" i="14"/>
  <c r="K79" i="14"/>
  <c r="K101" i="14"/>
  <c r="K66" i="14"/>
  <c r="K44" i="14"/>
  <c r="K146" i="14"/>
  <c r="K70" i="14"/>
  <c r="K120" i="14"/>
  <c r="K71" i="14"/>
  <c r="K21" i="14"/>
  <c r="K20" i="14"/>
  <c r="K78" i="14"/>
  <c r="K47" i="14"/>
  <c r="K103" i="14"/>
  <c r="K16" i="14"/>
  <c r="K29" i="14"/>
  <c r="K156" i="14"/>
  <c r="K158" i="14"/>
  <c r="K12" i="14"/>
  <c r="K95" i="14"/>
  <c r="K82" i="14"/>
  <c r="K25" i="14"/>
  <c r="K107" i="14"/>
  <c r="F97" i="15" s="1" a="1"/>
  <c r="F97" i="15" s="1"/>
  <c r="K15" i="14"/>
  <c r="K45" i="14"/>
  <c r="K175" i="14"/>
  <c r="K11" i="14"/>
  <c r="K122" i="14"/>
  <c r="K13" i="14"/>
  <c r="K40" i="14"/>
  <c r="K30" i="14"/>
  <c r="K85" i="14"/>
  <c r="K121" i="14"/>
  <c r="K74" i="14"/>
  <c r="K88" i="14"/>
  <c r="K105" i="14"/>
  <c r="K51" i="14"/>
  <c r="K87" i="14"/>
  <c r="K155" i="14"/>
  <c r="K163" i="14"/>
  <c r="K115" i="14"/>
  <c r="K112" i="14"/>
  <c r="F6" i="15" s="1" a="1"/>
  <c r="F6" i="15" s="1"/>
  <c r="K27" i="14"/>
  <c r="K19" i="14"/>
  <c r="K77" i="14"/>
  <c r="K100" i="14"/>
  <c r="K26" i="14"/>
  <c r="K64" i="14"/>
  <c r="K48" i="14"/>
  <c r="K50" i="14"/>
  <c r="K8" i="14"/>
  <c r="K42" i="14"/>
  <c r="K57" i="14"/>
  <c r="K116" i="14"/>
  <c r="K110" i="14"/>
  <c r="K167" i="14"/>
  <c r="K80" i="14"/>
  <c r="K14" i="14"/>
  <c r="K145" i="14"/>
  <c r="K154" i="14"/>
  <c r="K109" i="14"/>
  <c r="F80" i="15" s="1" a="1"/>
  <c r="F80" i="15" s="1"/>
  <c r="K151" i="14"/>
  <c r="K38" i="14"/>
  <c r="K119" i="14"/>
  <c r="K89" i="14"/>
  <c r="K83" i="14"/>
  <c r="K28" i="14"/>
  <c r="K46" i="14"/>
  <c r="K41" i="14"/>
  <c r="K7" i="14"/>
  <c r="K86" i="14"/>
  <c r="K2" i="14"/>
  <c r="K164" i="14"/>
  <c r="F16" i="15" s="1" a="1"/>
  <c r="F16" i="15" s="1"/>
  <c r="K5" i="14"/>
  <c r="K136" i="14"/>
  <c r="K34" i="14"/>
  <c r="K54" i="14"/>
  <c r="K142" i="14"/>
  <c r="K84" i="14"/>
  <c r="K43" i="14"/>
  <c r="F48" i="15" s="1" a="1"/>
  <c r="F48" i="15" s="1"/>
  <c r="K97" i="14"/>
  <c r="K4" i="14"/>
  <c r="K76" i="14"/>
  <c r="K131" i="14"/>
  <c r="K108" i="14"/>
  <c r="K39" i="14"/>
  <c r="K114" i="14"/>
  <c r="K96" i="14"/>
  <c r="F188" i="15" s="1" a="1"/>
  <c r="F188" i="15" s="1"/>
  <c r="K93" i="14"/>
  <c r="K37" i="14"/>
  <c r="K36" i="14"/>
  <c r="K56" i="14"/>
  <c r="F64" i="15" s="1" a="1"/>
  <c r="F64" i="15" s="1"/>
  <c r="U18" i="1"/>
  <c r="O18" i="1"/>
  <c r="M47" i="2"/>
  <c r="M46" i="2"/>
  <c r="M45" i="2"/>
  <c r="M43" i="2"/>
  <c r="M42" i="2"/>
  <c r="M41" i="2"/>
  <c r="M39" i="2"/>
  <c r="M38" i="2"/>
  <c r="M37" i="2"/>
  <c r="M35" i="2"/>
  <c r="M34" i="2"/>
  <c r="M33" i="2"/>
  <c r="F95" i="15" l="1" a="1"/>
  <c r="F95" i="15" s="1"/>
  <c r="F173" i="15" a="1"/>
  <c r="F173" i="15" s="1"/>
  <c r="M173" i="14"/>
  <c r="N173" i="14"/>
  <c r="L173" i="14"/>
  <c r="F210" i="15" a="1"/>
  <c r="F210" i="15" s="1"/>
  <c r="F200" i="15" a="1"/>
  <c r="F200" i="15" s="1"/>
  <c r="F201" i="15" a="1"/>
  <c r="F201" i="15" s="1"/>
  <c r="F150" i="15" a="1"/>
  <c r="F150" i="15" s="1"/>
  <c r="F231" i="15" a="1"/>
  <c r="F231" i="15" s="1"/>
  <c r="F196" i="15" a="1"/>
  <c r="F196" i="15" s="1"/>
  <c r="F199" i="15" a="1"/>
  <c r="F199" i="15" s="1"/>
  <c r="F217" i="15" a="1"/>
  <c r="F217" i="15" s="1"/>
  <c r="F198" i="15" a="1"/>
  <c r="F198" i="15" s="1"/>
  <c r="F81" i="15" a="1"/>
  <c r="F81" i="15" s="1"/>
  <c r="F180" i="15" a="1"/>
  <c r="F180" i="15" s="1"/>
  <c r="F209" i="15" a="1"/>
  <c r="F209" i="15" s="1"/>
  <c r="F193" i="15" a="1"/>
  <c r="F193" i="15" s="1"/>
  <c r="F168" i="15" a="1"/>
  <c r="F168" i="15" s="1"/>
  <c r="F169" i="15" a="1"/>
  <c r="F169" i="15" s="1"/>
  <c r="F232" i="15" a="1"/>
  <c r="F232" i="15" s="1"/>
  <c r="F220" i="15" a="1"/>
  <c r="F220" i="15" s="1"/>
  <c r="F214" i="15" a="1"/>
  <c r="F214" i="15" s="1"/>
  <c r="F216" i="15" a="1"/>
  <c r="F216" i="15" s="1"/>
  <c r="F205" i="15" a="1"/>
  <c r="F205" i="15" s="1"/>
  <c r="F212" i="15" a="1"/>
  <c r="F212" i="15" s="1"/>
  <c r="F197" i="15" a="1"/>
  <c r="F197" i="15" s="1"/>
  <c r="F195" i="15" a="1"/>
  <c r="F195" i="15" s="1"/>
  <c r="F192" i="15" a="1"/>
  <c r="F192" i="15" s="1"/>
  <c r="F164" i="15" a="1"/>
  <c r="F164" i="15" s="1"/>
  <c r="F224" i="15" a="1"/>
  <c r="F224" i="15" s="1"/>
  <c r="F179" i="15" a="1"/>
  <c r="F179" i="15" s="1"/>
  <c r="F72" i="15" a="1"/>
  <c r="F72" i="15" s="1"/>
  <c r="F174" i="15" a="1"/>
  <c r="F174" i="15" s="1"/>
  <c r="F162" i="15" a="1"/>
  <c r="F162" i="15" s="1"/>
  <c r="F141" i="15" a="1"/>
  <c r="F141" i="15" s="1"/>
  <c r="O224" i="14"/>
  <c r="F215" i="15" a="1"/>
  <c r="F215" i="15" s="1"/>
  <c r="M179" i="14"/>
  <c r="M224" i="14"/>
  <c r="F109" i="15" a="1"/>
  <c r="F109" i="15" s="1"/>
  <c r="M269" i="14"/>
  <c r="N224" i="14"/>
  <c r="F225" i="15" a="1"/>
  <c r="F225" i="15" s="1"/>
  <c r="N213" i="14"/>
  <c r="O264" i="14"/>
  <c r="F213" i="15" a="1"/>
  <c r="F213" i="15" s="1"/>
  <c r="N179" i="14"/>
  <c r="F118" i="15" a="1"/>
  <c r="F118" i="15" s="1"/>
  <c r="F230" i="15" a="1"/>
  <c r="F230" i="15" s="1"/>
  <c r="F108" i="15" a="1"/>
  <c r="F108" i="15" s="1"/>
  <c r="M264" i="14"/>
  <c r="O179" i="14"/>
  <c r="N264" i="14"/>
  <c r="L231" i="14"/>
  <c r="O231" i="14"/>
  <c r="F131" i="15" a="1"/>
  <c r="F131" i="15" s="1"/>
  <c r="O213" i="14"/>
  <c r="N231" i="14"/>
  <c r="O269" i="14"/>
  <c r="M213" i="14"/>
  <c r="F154" i="15" a="1"/>
  <c r="F154" i="15" s="1"/>
  <c r="N269" i="14"/>
  <c r="N190" i="14"/>
  <c r="F21" i="15" a="1"/>
  <c r="F21" i="15" s="1"/>
  <c r="F140" i="15" a="1"/>
  <c r="F140" i="15" s="1"/>
  <c r="O190" i="14"/>
  <c r="M190" i="14"/>
  <c r="M185" i="14"/>
  <c r="L185" i="14"/>
  <c r="O185" i="14"/>
  <c r="N185" i="14"/>
  <c r="M177" i="14"/>
  <c r="N177" i="14"/>
  <c r="O177" i="14"/>
  <c r="L177" i="14"/>
  <c r="F181" i="15" a="1"/>
  <c r="F181" i="15" s="1"/>
  <c r="N125" i="14"/>
  <c r="O125" i="14"/>
  <c r="L125" i="14"/>
  <c r="M125" i="14"/>
  <c r="L229" i="14"/>
  <c r="M229" i="14"/>
  <c r="N229" i="14"/>
  <c r="O229" i="14"/>
  <c r="L255" i="14"/>
  <c r="M255" i="14"/>
  <c r="N255" i="14"/>
  <c r="O255" i="14"/>
  <c r="N198" i="14"/>
  <c r="L198" i="14"/>
  <c r="M198" i="14"/>
  <c r="O198" i="14"/>
  <c r="N294" i="14"/>
  <c r="M294" i="14"/>
  <c r="O294" i="14"/>
  <c r="L294" i="14"/>
  <c r="O205" i="14"/>
  <c r="M205" i="14"/>
  <c r="L205" i="14"/>
  <c r="N205" i="14"/>
  <c r="L272" i="14"/>
  <c r="O272" i="14"/>
  <c r="M272" i="14"/>
  <c r="N272" i="14"/>
  <c r="M254" i="14"/>
  <c r="L254" i="14"/>
  <c r="O254" i="14"/>
  <c r="N254" i="14"/>
  <c r="M303" i="14"/>
  <c r="L303" i="14"/>
  <c r="N303" i="14"/>
  <c r="O303" i="14"/>
  <c r="M194" i="14"/>
  <c r="N194" i="14"/>
  <c r="O194" i="14"/>
  <c r="L194" i="14"/>
  <c r="N215" i="14"/>
  <c r="M215" i="14"/>
  <c r="L215" i="14"/>
  <c r="O215" i="14"/>
  <c r="N314" i="14"/>
  <c r="O314" i="14"/>
  <c r="M314" i="14"/>
  <c r="L314" i="14"/>
  <c r="M308" i="14"/>
  <c r="N308" i="14"/>
  <c r="L308" i="14"/>
  <c r="O308" i="14"/>
  <c r="M183" i="14"/>
  <c r="L183" i="14"/>
  <c r="O183" i="14"/>
  <c r="N183" i="14"/>
  <c r="O191" i="14"/>
  <c r="N191" i="14"/>
  <c r="M191" i="14"/>
  <c r="L191" i="14"/>
  <c r="M216" i="14"/>
  <c r="N216" i="14"/>
  <c r="L216" i="14"/>
  <c r="O216" i="14"/>
  <c r="M252" i="14"/>
  <c r="O252" i="14"/>
  <c r="L252" i="14"/>
  <c r="N252" i="14"/>
  <c r="M287" i="14"/>
  <c r="L287" i="14"/>
  <c r="N287" i="14"/>
  <c r="O287" i="14"/>
  <c r="M152" i="14"/>
  <c r="L152" i="14"/>
  <c r="N152" i="14"/>
  <c r="O152" i="14"/>
  <c r="M150" i="14"/>
  <c r="L150" i="14"/>
  <c r="O150" i="14"/>
  <c r="N150" i="14"/>
  <c r="F185" i="15" a="1"/>
  <c r="F185" i="15" s="1"/>
  <c r="F184" i="15" a="1"/>
  <c r="F184" i="15" s="1"/>
  <c r="L58" i="14"/>
  <c r="N58" i="14"/>
  <c r="M58" i="14"/>
  <c r="O58" i="14"/>
  <c r="L282" i="14"/>
  <c r="N282" i="14"/>
  <c r="O282" i="14"/>
  <c r="M282" i="14"/>
  <c r="M235" i="14"/>
  <c r="O235" i="14"/>
  <c r="N235" i="14"/>
  <c r="L235" i="14"/>
  <c r="M307" i="14"/>
  <c r="N307" i="14"/>
  <c r="L307" i="14"/>
  <c r="O307" i="14"/>
  <c r="M170" i="14"/>
  <c r="O170" i="14"/>
  <c r="N170" i="14"/>
  <c r="L170" i="14"/>
  <c r="O144" i="14"/>
  <c r="L144" i="14"/>
  <c r="N144" i="14"/>
  <c r="M144" i="14"/>
  <c r="M210" i="14"/>
  <c r="N210" i="14"/>
  <c r="O210" i="14"/>
  <c r="L210" i="14"/>
  <c r="M239" i="14"/>
  <c r="O239" i="14"/>
  <c r="N239" i="14"/>
  <c r="L239" i="14"/>
  <c r="M276" i="14"/>
  <c r="N276" i="14"/>
  <c r="L276" i="14"/>
  <c r="O276" i="14"/>
  <c r="M309" i="14"/>
  <c r="N309" i="14"/>
  <c r="L309" i="14"/>
  <c r="O309" i="14"/>
  <c r="M184" i="14"/>
  <c r="N184" i="14"/>
  <c r="L184" i="14"/>
  <c r="O184" i="14"/>
  <c r="L256" i="14"/>
  <c r="O256" i="14"/>
  <c r="N256" i="14"/>
  <c r="M256" i="14"/>
  <c r="M293" i="14"/>
  <c r="L293" i="14"/>
  <c r="N293" i="14"/>
  <c r="O293" i="14"/>
  <c r="M270" i="14"/>
  <c r="N270" i="14"/>
  <c r="L270" i="14"/>
  <c r="O270" i="14"/>
  <c r="O182" i="14"/>
  <c r="M182" i="14"/>
  <c r="L182" i="14"/>
  <c r="N182" i="14"/>
  <c r="L197" i="14"/>
  <c r="N197" i="14"/>
  <c r="M197" i="14"/>
  <c r="O197" i="14"/>
  <c r="M251" i="14"/>
  <c r="L251" i="14"/>
  <c r="O251" i="14"/>
  <c r="N251" i="14"/>
  <c r="M257" i="14"/>
  <c r="O257" i="14"/>
  <c r="N257" i="14"/>
  <c r="L257" i="14"/>
  <c r="M306" i="14"/>
  <c r="N306" i="14"/>
  <c r="L306" i="14"/>
  <c r="O306" i="14"/>
  <c r="M149" i="14"/>
  <c r="N149" i="14"/>
  <c r="O149" i="14"/>
  <c r="L149" i="14"/>
  <c r="F186" i="15" a="1"/>
  <c r="F186" i="15" s="1"/>
  <c r="F187" i="15" a="1"/>
  <c r="F187" i="15" s="1"/>
  <c r="L174" i="14"/>
  <c r="N174" i="14"/>
  <c r="M174" i="14"/>
  <c r="O174" i="14"/>
  <c r="N188" i="14"/>
  <c r="M188" i="14"/>
  <c r="L188" i="14"/>
  <c r="O188" i="14"/>
  <c r="N129" i="14"/>
  <c r="O129" i="14"/>
  <c r="L129" i="14"/>
  <c r="M129" i="14"/>
  <c r="L260" i="14"/>
  <c r="M260" i="14"/>
  <c r="O260" i="14"/>
  <c r="N260" i="14"/>
  <c r="F146" i="15" a="1"/>
  <c r="F146" i="15" s="1"/>
  <c r="M295" i="14"/>
  <c r="N295" i="14"/>
  <c r="O295" i="14"/>
  <c r="L295" i="14"/>
  <c r="L172" i="14"/>
  <c r="N172" i="14"/>
  <c r="M172" i="14"/>
  <c r="O172" i="14"/>
  <c r="M274" i="14"/>
  <c r="L274" i="14"/>
  <c r="O274" i="14"/>
  <c r="N274" i="14"/>
  <c r="N225" i="14"/>
  <c r="M225" i="14"/>
  <c r="L225" i="14"/>
  <c r="O225" i="14"/>
  <c r="O148" i="14"/>
  <c r="N148" i="14"/>
  <c r="M148" i="14"/>
  <c r="L148" i="14"/>
  <c r="M143" i="14"/>
  <c r="L143" i="14"/>
  <c r="O143" i="14"/>
  <c r="N143" i="14"/>
  <c r="M220" i="14"/>
  <c r="N220" i="14"/>
  <c r="L220" i="14"/>
  <c r="O220" i="14"/>
  <c r="M248" i="14"/>
  <c r="O248" i="14"/>
  <c r="L248" i="14"/>
  <c r="N248" i="14"/>
  <c r="M226" i="14"/>
  <c r="L226" i="14"/>
  <c r="N226" i="14"/>
  <c r="O226" i="14"/>
  <c r="M165" i="14"/>
  <c r="L165" i="14"/>
  <c r="N165" i="14"/>
  <c r="O165" i="14"/>
  <c r="L162" i="14"/>
  <c r="O162" i="14"/>
  <c r="N162" i="14"/>
  <c r="M162" i="14"/>
  <c r="N208" i="14"/>
  <c r="M208" i="14"/>
  <c r="O208" i="14"/>
  <c r="L208" i="14"/>
  <c r="N186" i="14"/>
  <c r="M186" i="14"/>
  <c r="L186" i="14"/>
  <c r="O186" i="14"/>
  <c r="L135" i="14"/>
  <c r="N135" i="14"/>
  <c r="O135" i="14"/>
  <c r="M135" i="14"/>
  <c r="L283" i="14"/>
  <c r="N283" i="14"/>
  <c r="O283" i="14"/>
  <c r="M283" i="14"/>
  <c r="L189" i="14"/>
  <c r="N189" i="14"/>
  <c r="O189" i="14"/>
  <c r="M189" i="14"/>
  <c r="L268" i="14"/>
  <c r="M268" i="14"/>
  <c r="O268" i="14"/>
  <c r="N268" i="14"/>
  <c r="F165" i="15" a="1"/>
  <c r="F165" i="15" s="1"/>
  <c r="O311" i="14"/>
  <c r="M311" i="14"/>
  <c r="N311" i="14"/>
  <c r="L311" i="14"/>
  <c r="L132" i="14"/>
  <c r="N132" i="14"/>
  <c r="O132" i="14"/>
  <c r="M132" i="14"/>
  <c r="L169" i="14"/>
  <c r="N169" i="14"/>
  <c r="M169" i="14"/>
  <c r="O169" i="14"/>
  <c r="M263" i="14"/>
  <c r="N263" i="14"/>
  <c r="L263" i="14"/>
  <c r="O263" i="14"/>
  <c r="L286" i="14"/>
  <c r="N286" i="14"/>
  <c r="O286" i="14"/>
  <c r="M286" i="14"/>
  <c r="O310" i="14"/>
  <c r="M310" i="14"/>
  <c r="N310" i="14"/>
  <c r="L310" i="14"/>
  <c r="N180" i="14"/>
  <c r="M180" i="14"/>
  <c r="L180" i="14"/>
  <c r="O180" i="14"/>
  <c r="M209" i="14"/>
  <c r="N209" i="14"/>
  <c r="O209" i="14"/>
  <c r="L209" i="14"/>
  <c r="M240" i="14"/>
  <c r="O240" i="14"/>
  <c r="N240" i="14"/>
  <c r="L240" i="14"/>
  <c r="M275" i="14"/>
  <c r="L275" i="14"/>
  <c r="O275" i="14"/>
  <c r="N275" i="14"/>
  <c r="L139" i="14"/>
  <c r="O139" i="14"/>
  <c r="N139" i="14"/>
  <c r="M139" i="14"/>
  <c r="L203" i="14"/>
  <c r="M203" i="14"/>
  <c r="O203" i="14"/>
  <c r="N203" i="14"/>
  <c r="L300" i="14"/>
  <c r="O300" i="14"/>
  <c r="M300" i="14"/>
  <c r="N300" i="14"/>
  <c r="N211" i="14"/>
  <c r="M211" i="14"/>
  <c r="O211" i="14"/>
  <c r="L211" i="14"/>
  <c r="F218" i="15" a="1"/>
  <c r="F218" i="15" s="1"/>
  <c r="F219" i="15" a="1"/>
  <c r="F219" i="15" s="1"/>
  <c r="L187" i="14"/>
  <c r="N187" i="14"/>
  <c r="O187" i="14"/>
  <c r="M187" i="14"/>
  <c r="L302" i="14"/>
  <c r="M302" i="14"/>
  <c r="N302" i="14"/>
  <c r="O302" i="14"/>
  <c r="F130" i="15" a="1"/>
  <c r="F130" i="15" s="1"/>
  <c r="N171" i="14"/>
  <c r="M171" i="14"/>
  <c r="O171" i="14"/>
  <c r="L171" i="14"/>
  <c r="L200" i="14"/>
  <c r="N200" i="14"/>
  <c r="M200" i="14"/>
  <c r="O200" i="14"/>
  <c r="L137" i="14"/>
  <c r="N137" i="14"/>
  <c r="O137" i="14"/>
  <c r="M137" i="14"/>
  <c r="M247" i="14"/>
  <c r="L247" i="14"/>
  <c r="N247" i="14"/>
  <c r="O247" i="14"/>
  <c r="O273" i="14"/>
  <c r="M273" i="14"/>
  <c r="L273" i="14"/>
  <c r="N273" i="14"/>
  <c r="L62" i="14"/>
  <c r="O62" i="14"/>
  <c r="M62" i="14"/>
  <c r="N62" i="14"/>
  <c r="L126" i="14"/>
  <c r="N126" i="14"/>
  <c r="M126" i="14"/>
  <c r="O126" i="14"/>
  <c r="M196" i="14"/>
  <c r="L196" i="14"/>
  <c r="N196" i="14"/>
  <c r="O196" i="14"/>
  <c r="M301" i="14"/>
  <c r="O301" i="14"/>
  <c r="N301" i="14"/>
  <c r="L301" i="14"/>
  <c r="M258" i="14"/>
  <c r="N258" i="14"/>
  <c r="O258" i="14"/>
  <c r="L258" i="14"/>
  <c r="L202" i="14"/>
  <c r="M202" i="14"/>
  <c r="O202" i="14"/>
  <c r="N202" i="14"/>
  <c r="L280" i="14"/>
  <c r="O280" i="14"/>
  <c r="N280" i="14"/>
  <c r="M280" i="14"/>
  <c r="M222" i="14"/>
  <c r="O222" i="14"/>
  <c r="L222" i="14"/>
  <c r="N222" i="14"/>
  <c r="N298" i="14"/>
  <c r="L298" i="14"/>
  <c r="O298" i="14"/>
  <c r="M298" i="14"/>
  <c r="L212" i="14"/>
  <c r="N212" i="14"/>
  <c r="M212" i="14"/>
  <c r="O212" i="14"/>
  <c r="F102" i="15" a="1"/>
  <c r="F102" i="15" s="1"/>
  <c r="F153" i="15" a="1"/>
  <c r="F153" i="15" s="1"/>
  <c r="N130" i="14"/>
  <c r="O130" i="14"/>
  <c r="M130" i="14"/>
  <c r="L130" i="14"/>
  <c r="L244" i="14"/>
  <c r="N244" i="14"/>
  <c r="M244" i="14"/>
  <c r="O244" i="14"/>
  <c r="L201" i="14"/>
  <c r="M201" i="14"/>
  <c r="O201" i="14"/>
  <c r="N201" i="14"/>
  <c r="M233" i="14"/>
  <c r="O233" i="14"/>
  <c r="N233" i="14"/>
  <c r="L233" i="14"/>
  <c r="O271" i="14"/>
  <c r="M271" i="14"/>
  <c r="L271" i="14"/>
  <c r="N271" i="14"/>
  <c r="M289" i="14"/>
  <c r="N289" i="14"/>
  <c r="O289" i="14"/>
  <c r="L289" i="14"/>
  <c r="M161" i="14"/>
  <c r="O161" i="14"/>
  <c r="L161" i="14"/>
  <c r="N161" i="14"/>
  <c r="M141" i="14"/>
  <c r="L141" i="14"/>
  <c r="O141" i="14"/>
  <c r="N141" i="14"/>
  <c r="M219" i="14"/>
  <c r="L219" i="14"/>
  <c r="O219" i="14"/>
  <c r="N219" i="14"/>
  <c r="M245" i="14"/>
  <c r="O245" i="14"/>
  <c r="L245" i="14"/>
  <c r="N245" i="14"/>
  <c r="L249" i="14"/>
  <c r="N249" i="14"/>
  <c r="M249" i="14"/>
  <c r="O249" i="14"/>
  <c r="L242" i="14"/>
  <c r="N242" i="14"/>
  <c r="M242" i="14"/>
  <c r="O242" i="14"/>
  <c r="O279" i="14"/>
  <c r="N279" i="14"/>
  <c r="M279" i="14"/>
  <c r="L279" i="14"/>
  <c r="N285" i="14"/>
  <c r="M285" i="14"/>
  <c r="O285" i="14"/>
  <c r="L285" i="14"/>
  <c r="L228" i="14"/>
  <c r="N228" i="14"/>
  <c r="O228" i="14"/>
  <c r="M228" i="14"/>
  <c r="N199" i="14"/>
  <c r="L199" i="14"/>
  <c r="M199" i="14"/>
  <c r="O199" i="14"/>
  <c r="L241" i="14"/>
  <c r="N241" i="14"/>
  <c r="M241" i="14"/>
  <c r="O241" i="14"/>
  <c r="L250" i="14"/>
  <c r="N250" i="14"/>
  <c r="M250" i="14"/>
  <c r="O250" i="14"/>
  <c r="M292" i="14"/>
  <c r="O292" i="14"/>
  <c r="N292" i="14"/>
  <c r="L292" i="14"/>
  <c r="O246" i="14"/>
  <c r="L246" i="14"/>
  <c r="N246" i="14"/>
  <c r="M246" i="14"/>
  <c r="O278" i="14"/>
  <c r="N278" i="14"/>
  <c r="M278" i="14"/>
  <c r="L278" i="14"/>
  <c r="M312" i="14"/>
  <c r="O312" i="14"/>
  <c r="N312" i="14"/>
  <c r="L312" i="14"/>
  <c r="M178" i="14"/>
  <c r="N178" i="14"/>
  <c r="L178" i="14"/>
  <c r="O178" i="14"/>
  <c r="M207" i="14"/>
  <c r="N207" i="14"/>
  <c r="O207" i="14"/>
  <c r="L207" i="14"/>
  <c r="M234" i="14"/>
  <c r="O234" i="14"/>
  <c r="N234" i="14"/>
  <c r="L234" i="14"/>
  <c r="L238" i="14"/>
  <c r="N238" i="14"/>
  <c r="M238" i="14"/>
  <c r="O238" i="14"/>
  <c r="L262" i="14"/>
  <c r="M262" i="14"/>
  <c r="N262" i="14"/>
  <c r="O262" i="14"/>
  <c r="L304" i="14"/>
  <c r="O304" i="14"/>
  <c r="N304" i="14"/>
  <c r="M304" i="14"/>
  <c r="N281" i="14"/>
  <c r="O281" i="14"/>
  <c r="M281" i="14"/>
  <c r="L281" i="14"/>
  <c r="L223" i="14"/>
  <c r="N223" i="14"/>
  <c r="M223" i="14"/>
  <c r="O223" i="14"/>
  <c r="L140" i="14"/>
  <c r="M140" i="14"/>
  <c r="O140" i="14"/>
  <c r="N140" i="14"/>
  <c r="N221" i="14"/>
  <c r="M221" i="14"/>
  <c r="L221" i="14"/>
  <c r="O221" i="14"/>
  <c r="L265" i="14"/>
  <c r="N265" i="14"/>
  <c r="O265" i="14"/>
  <c r="M265" i="14"/>
  <c r="L236" i="14"/>
  <c r="M236" i="14"/>
  <c r="O236" i="14"/>
  <c r="N236" i="14"/>
  <c r="M217" i="14"/>
  <c r="L217" i="14"/>
  <c r="O217" i="14"/>
  <c r="N217" i="14"/>
  <c r="O232" i="14"/>
  <c r="M232" i="14"/>
  <c r="N232" i="14"/>
  <c r="L232" i="14"/>
  <c r="L266" i="14"/>
  <c r="O266" i="14"/>
  <c r="N266" i="14"/>
  <c r="M266" i="14"/>
  <c r="M61" i="14"/>
  <c r="L61" i="14"/>
  <c r="O61" i="14"/>
  <c r="N61" i="14"/>
  <c r="M128" i="14"/>
  <c r="L128" i="14"/>
  <c r="N128" i="14"/>
  <c r="O128" i="14"/>
  <c r="M195" i="14"/>
  <c r="N195" i="14"/>
  <c r="O195" i="14"/>
  <c r="L195" i="14"/>
  <c r="M299" i="14"/>
  <c r="O299" i="14"/>
  <c r="N299" i="14"/>
  <c r="L299" i="14"/>
  <c r="L259" i="14"/>
  <c r="M259" i="14"/>
  <c r="N259" i="14"/>
  <c r="O259" i="14"/>
  <c r="L290" i="14"/>
  <c r="N290" i="14"/>
  <c r="M290" i="14"/>
  <c r="O290" i="14"/>
  <c r="N60" i="14"/>
  <c r="L60" i="14"/>
  <c r="O60" i="14"/>
  <c r="M60" i="14"/>
  <c r="L284" i="14"/>
  <c r="N284" i="14"/>
  <c r="O284" i="14"/>
  <c r="M284" i="14"/>
  <c r="L192" i="14"/>
  <c r="N192" i="14"/>
  <c r="O192" i="14"/>
  <c r="M192" i="14"/>
  <c r="N168" i="14"/>
  <c r="M168" i="14"/>
  <c r="O168" i="14"/>
  <c r="L168" i="14"/>
  <c r="N243" i="14"/>
  <c r="M243" i="14"/>
  <c r="O243" i="14"/>
  <c r="L243" i="14"/>
  <c r="L296" i="14"/>
  <c r="N296" i="14"/>
  <c r="M296" i="14"/>
  <c r="O296" i="14"/>
  <c r="L267" i="14"/>
  <c r="M267" i="14"/>
  <c r="N267" i="14"/>
  <c r="O267" i="14"/>
  <c r="M204" i="14"/>
  <c r="N204" i="14"/>
  <c r="O204" i="14"/>
  <c r="L204" i="14"/>
  <c r="O291" i="14"/>
  <c r="N291" i="14"/>
  <c r="M291" i="14"/>
  <c r="L291" i="14"/>
  <c r="M253" i="14"/>
  <c r="O253" i="14"/>
  <c r="L253" i="14"/>
  <c r="N253" i="14"/>
  <c r="M288" i="14"/>
  <c r="O288" i="14"/>
  <c r="L288" i="14"/>
  <c r="N288" i="14"/>
  <c r="M160" i="14"/>
  <c r="O160" i="14"/>
  <c r="L160" i="14"/>
  <c r="N160" i="14"/>
  <c r="M134" i="14"/>
  <c r="L134" i="14"/>
  <c r="O134" i="14"/>
  <c r="N134" i="14"/>
  <c r="M218" i="14"/>
  <c r="L218" i="14"/>
  <c r="O218" i="14"/>
  <c r="N218" i="14"/>
  <c r="L230" i="14"/>
  <c r="N230" i="14"/>
  <c r="M230" i="14"/>
  <c r="O230" i="14"/>
  <c r="F104" i="15" a="1"/>
  <c r="F104" i="15" s="1"/>
  <c r="F105" i="15" a="1"/>
  <c r="F105" i="15" s="1"/>
  <c r="L305" i="14"/>
  <c r="N305" i="14"/>
  <c r="O305" i="14"/>
  <c r="M305" i="14"/>
  <c r="L59" i="14"/>
  <c r="O59" i="14"/>
  <c r="N59" i="14"/>
  <c r="M59" i="14"/>
  <c r="F35" i="15" a="1"/>
  <c r="F35" i="15" s="1"/>
  <c r="N181" i="14"/>
  <c r="M181" i="14"/>
  <c r="O181" i="14"/>
  <c r="L181" i="14"/>
  <c r="N261" i="14"/>
  <c r="L261" i="14"/>
  <c r="O261" i="14"/>
  <c r="M261" i="14"/>
  <c r="L315" i="14"/>
  <c r="N315" i="14"/>
  <c r="O315" i="14"/>
  <c r="M315" i="14"/>
  <c r="L297" i="14"/>
  <c r="N297" i="14"/>
  <c r="M297" i="14"/>
  <c r="O297" i="14"/>
  <c r="M193" i="14"/>
  <c r="N193" i="14"/>
  <c r="O193" i="14"/>
  <c r="L193" i="14"/>
  <c r="O214" i="14"/>
  <c r="L214" i="14"/>
  <c r="N214" i="14"/>
  <c r="M214" i="14"/>
  <c r="M237" i="14"/>
  <c r="O237" i="14"/>
  <c r="N237" i="14"/>
  <c r="L237" i="14"/>
  <c r="M277" i="14"/>
  <c r="O277" i="14"/>
  <c r="N277" i="14"/>
  <c r="L277" i="14"/>
  <c r="M313" i="14"/>
  <c r="N313" i="14"/>
  <c r="O313" i="14"/>
  <c r="L313" i="14"/>
  <c r="M176" i="14"/>
  <c r="N176" i="14"/>
  <c r="L176" i="14"/>
  <c r="O176" i="14"/>
  <c r="M206" i="14"/>
  <c r="N206" i="14"/>
  <c r="O206" i="14"/>
  <c r="L206" i="14"/>
  <c r="L138" i="14"/>
  <c r="N138" i="14"/>
  <c r="M138" i="14"/>
  <c r="O138" i="14"/>
  <c r="L227" i="14"/>
  <c r="M227" i="14"/>
  <c r="N227" i="14"/>
  <c r="O227" i="14"/>
  <c r="F110" i="15" a="1"/>
  <c r="F110" i="15" s="1"/>
  <c r="F149" i="15" a="1"/>
  <c r="F149" i="15" s="1"/>
  <c r="F163" i="15" a="1"/>
  <c r="F163" i="15" s="1"/>
  <c r="F228" i="15" a="1"/>
  <c r="F228" i="15" s="1"/>
  <c r="F226" i="15" a="1"/>
  <c r="F226" i="15" s="1"/>
  <c r="F227" i="15" a="1"/>
  <c r="F227" i="15" s="1"/>
  <c r="F128" i="15" a="1"/>
  <c r="F128" i="15" s="1"/>
  <c r="F151" i="15" a="1"/>
  <c r="F151" i="15" s="1"/>
  <c r="F152" i="15" a="1"/>
  <c r="F152" i="15" s="1"/>
  <c r="F182" i="15" a="1"/>
  <c r="F182" i="15" s="1"/>
  <c r="F183" i="15" a="1"/>
  <c r="F183" i="15" s="1"/>
  <c r="F206" i="15" a="1"/>
  <c r="F206" i="15" s="1"/>
  <c r="F207" i="15" a="1"/>
  <c r="F207" i="15" s="1"/>
  <c r="F115" i="15" a="1"/>
  <c r="F115" i="15" s="1"/>
  <c r="F114" i="15" a="1"/>
  <c r="F114" i="15" s="1"/>
  <c r="F170" i="15" a="1"/>
  <c r="F170" i="15" s="1"/>
  <c r="F171" i="15" a="1"/>
  <c r="F171" i="15" s="1"/>
  <c r="F172" i="15" a="1"/>
  <c r="F172" i="15" s="1"/>
  <c r="F142" i="15" a="1"/>
  <c r="F142" i="15" s="1"/>
  <c r="F143" i="15" a="1"/>
  <c r="F143" i="15" s="1"/>
  <c r="F144" i="15" a="1"/>
  <c r="F144" i="15" s="1"/>
  <c r="F134" i="15" a="1"/>
  <c r="F134" i="15" s="1"/>
  <c r="F135" i="15" a="1"/>
  <c r="F135" i="15" s="1"/>
  <c r="F42" i="15" a="1"/>
  <c r="F42" i="15" s="1"/>
  <c r="F158" i="15" a="1"/>
  <c r="F158" i="15" s="1"/>
  <c r="F63" i="15" a="1"/>
  <c r="F63" i="15" s="1"/>
  <c r="F111" i="15" a="1"/>
  <c r="F111" i="15" s="1"/>
  <c r="F13" i="15" a="1"/>
  <c r="F13" i="15" s="1"/>
  <c r="F176" i="15" a="1"/>
  <c r="F176" i="15" s="1"/>
  <c r="F175" i="15" a="1"/>
  <c r="F175" i="15" s="1"/>
  <c r="F60" i="15" a="1"/>
  <c r="F60" i="15" s="1"/>
  <c r="F121" i="15" a="1"/>
  <c r="F121" i="15" s="1"/>
  <c r="F98" i="15" a="1"/>
  <c r="F98" i="15" s="1"/>
  <c r="F161" i="15" a="1"/>
  <c r="F161" i="15" s="1"/>
  <c r="F53" i="15" a="1"/>
  <c r="F53" i="15" s="1"/>
  <c r="F147" i="15" a="1"/>
  <c r="F147" i="15" s="1"/>
  <c r="F148" i="15" a="1"/>
  <c r="F148" i="15" s="1"/>
  <c r="F106" i="15" a="1"/>
  <c r="F106" i="15" s="1"/>
  <c r="F107" i="15" a="1"/>
  <c r="F107" i="15" s="1"/>
  <c r="F34" i="15" a="1"/>
  <c r="F34" i="15" s="1"/>
  <c r="F155" i="15" a="1"/>
  <c r="F155" i="15" s="1"/>
  <c r="F156" i="15" a="1"/>
  <c r="F156" i="15" s="1"/>
  <c r="F157" i="15" a="1"/>
  <c r="F157" i="15" s="1"/>
  <c r="F178" i="15" a="1"/>
  <c r="F178" i="15" s="1"/>
  <c r="F177" i="15" a="1"/>
  <c r="F177" i="15" s="1"/>
  <c r="F145" i="15" a="1"/>
  <c r="F145" i="15" s="1"/>
  <c r="F132" i="15" a="1"/>
  <c r="F132" i="15" s="1"/>
  <c r="F133" i="15" a="1"/>
  <c r="F133" i="15" s="1"/>
  <c r="F159" i="15" a="1"/>
  <c r="F159" i="15" s="1"/>
  <c r="F160" i="15" a="1"/>
  <c r="F160" i="15" s="1"/>
  <c r="F190" i="15" a="1"/>
  <c r="F190" i="15" s="1"/>
  <c r="F191" i="15" a="1"/>
  <c r="F191" i="15" s="1"/>
  <c r="F189" i="15" a="1"/>
  <c r="F189" i="15" s="1"/>
  <c r="F14" i="15" a="1"/>
  <c r="F14" i="15" s="1"/>
  <c r="F5" i="15" a="1"/>
  <c r="F5" i="15" s="1"/>
  <c r="F122" i="15" a="1"/>
  <c r="F122" i="15" s="1"/>
  <c r="F123" i="15" a="1"/>
  <c r="F123" i="15" s="1"/>
  <c r="F127" i="15" a="1"/>
  <c r="F127" i="15" s="1"/>
  <c r="F222" i="15" a="1"/>
  <c r="F222" i="15" s="1"/>
  <c r="F223" i="15" a="1"/>
  <c r="F223" i="15" s="1"/>
  <c r="F138" i="15" a="1"/>
  <c r="F138" i="15" s="1"/>
  <c r="F139" i="15" a="1"/>
  <c r="F139" i="15" s="1"/>
  <c r="F73" i="15" a="1"/>
  <c r="F73" i="15" s="1"/>
  <c r="F126" i="15" a="1"/>
  <c r="F126" i="15" s="1"/>
  <c r="F103" i="15" a="1"/>
  <c r="F103" i="15" s="1"/>
  <c r="F203" i="15" a="1"/>
  <c r="F203" i="15" s="1"/>
  <c r="F204" i="15" a="1"/>
  <c r="F204" i="15" s="1"/>
  <c r="F136" i="15" a="1"/>
  <c r="F136" i="15" s="1"/>
  <c r="F137" i="15" a="1"/>
  <c r="F137" i="15" s="1"/>
  <c r="F119" i="15" a="1"/>
  <c r="F119" i="15" s="1"/>
  <c r="F120" i="15" a="1"/>
  <c r="F120" i="15" s="1"/>
  <c r="F117" i="15" a="1"/>
  <c r="F117" i="15" s="1"/>
  <c r="F116" i="15" a="1"/>
  <c r="F116" i="15" s="1"/>
  <c r="F166" i="15" a="1"/>
  <c r="F166" i="15" s="1"/>
  <c r="F229" i="15" a="1"/>
  <c r="F229" i="15" s="1"/>
  <c r="F113" i="15" a="1"/>
  <c r="F113" i="15" s="1"/>
  <c r="F112" i="15" a="1"/>
  <c r="F112" i="15" s="1"/>
  <c r="F71" i="15" a="1"/>
  <c r="F71" i="15" s="1"/>
  <c r="F129" i="15" a="1"/>
  <c r="F129" i="15" s="1"/>
  <c r="F124" i="15" a="1"/>
  <c r="F124" i="15" s="1"/>
  <c r="F125" i="15" a="1"/>
  <c r="F125" i="15" s="1"/>
  <c r="F208" i="15" a="1"/>
  <c r="F208" i="15" s="1"/>
  <c r="F96" i="15" a="1"/>
  <c r="F96" i="15" s="1"/>
  <c r="F7" i="15" a="1"/>
  <c r="F7" i="15" s="1"/>
  <c r="F29" i="15" a="1"/>
  <c r="F29" i="15" s="1"/>
  <c r="F2" i="15" a="1"/>
  <c r="F2" i="15" s="1"/>
  <c r="F94" i="15" a="1"/>
  <c r="F94" i="15" s="1"/>
  <c r="F77" i="15" a="1"/>
  <c r="F77" i="15" s="1"/>
  <c r="F75" i="15" a="1"/>
  <c r="F75" i="15" s="1"/>
  <c r="F76" i="15" a="1"/>
  <c r="F76" i="15" s="1"/>
  <c r="F82" i="15" a="1"/>
  <c r="F82" i="15" s="1"/>
  <c r="F83" i="15" a="1"/>
  <c r="F83" i="15" s="1"/>
  <c r="F24" i="15" a="1"/>
  <c r="F24" i="15" s="1"/>
  <c r="F25" i="15" a="1"/>
  <c r="F25" i="15" s="1"/>
  <c r="F26" i="15" a="1"/>
  <c r="F26" i="15" s="1"/>
  <c r="F17" i="15" a="1"/>
  <c r="F17" i="15" s="1"/>
  <c r="F18" i="15" a="1"/>
  <c r="F18" i="15" s="1"/>
  <c r="F57" i="15" a="1"/>
  <c r="F57" i="15" s="1"/>
  <c r="F58" i="15" a="1"/>
  <c r="F58" i="15" s="1"/>
  <c r="F100" i="15" a="1"/>
  <c r="F100" i="15" s="1"/>
  <c r="F99" i="15" a="1"/>
  <c r="F99" i="15" s="1"/>
  <c r="F91" i="15" a="1"/>
  <c r="F91" i="15" s="1"/>
  <c r="F90" i="15" a="1"/>
  <c r="F90" i="15" s="1"/>
  <c r="F36" i="15" a="1"/>
  <c r="F36" i="15" s="1"/>
  <c r="F74" i="15" a="1"/>
  <c r="F74" i="15" s="1"/>
  <c r="F30" i="15" a="1"/>
  <c r="F30" i="15" s="1"/>
  <c r="F12" i="15" a="1"/>
  <c r="F12" i="15" s="1"/>
  <c r="F10" i="15" a="1"/>
  <c r="F10" i="15" s="1"/>
  <c r="F11" i="15" a="1"/>
  <c r="F11" i="15" s="1"/>
  <c r="F43" i="15" a="1"/>
  <c r="F43" i="15" s="1"/>
  <c r="F44" i="15" a="1"/>
  <c r="F44" i="15" s="1"/>
  <c r="F31" i="15" a="1"/>
  <c r="F31" i="15" s="1"/>
  <c r="F27" i="15" a="1"/>
  <c r="F27" i="15" s="1"/>
  <c r="F28" i="15" a="1"/>
  <c r="F28" i="15" s="1"/>
  <c r="F49" i="15" a="1"/>
  <c r="F49" i="15" s="1"/>
  <c r="F50" i="15" a="1"/>
  <c r="F50" i="15" s="1"/>
  <c r="F88" i="15" a="1"/>
  <c r="F88" i="15" s="1"/>
  <c r="F84" i="15" a="1"/>
  <c r="F84" i="15" s="1"/>
  <c r="F85" i="15" a="1"/>
  <c r="F85" i="15" s="1"/>
  <c r="F86" i="15" a="1"/>
  <c r="F86" i="15" s="1"/>
  <c r="F87" i="15" a="1"/>
  <c r="F87" i="15" s="1"/>
  <c r="F89" i="15" a="1"/>
  <c r="F89" i="15" s="1"/>
  <c r="F47" i="15" a="1"/>
  <c r="F47" i="15" s="1"/>
  <c r="F45" i="15" a="1"/>
  <c r="F45" i="15" s="1"/>
  <c r="F46" i="15" a="1"/>
  <c r="F46" i="15" s="1"/>
  <c r="F69" i="15" a="1"/>
  <c r="F69" i="15" s="1"/>
  <c r="F70" i="15" a="1"/>
  <c r="F70" i="15" s="1"/>
  <c r="F40" i="15" a="1"/>
  <c r="F40" i="15" s="1"/>
  <c r="F41" i="15" a="1"/>
  <c r="F41" i="15" s="1"/>
  <c r="F65" i="15" a="1"/>
  <c r="F65" i="15" s="1"/>
  <c r="F66" i="15" a="1"/>
  <c r="F66" i="15" s="1"/>
  <c r="F67" i="15" a="1"/>
  <c r="F67" i="15" s="1"/>
  <c r="F37" i="15" a="1"/>
  <c r="F37" i="15" s="1"/>
  <c r="F38" i="15" a="1"/>
  <c r="F38" i="15" s="1"/>
  <c r="F39" i="15" a="1"/>
  <c r="F39" i="15" s="1"/>
  <c r="F92" i="15" a="1"/>
  <c r="F92" i="15" s="1"/>
  <c r="F93" i="15" a="1"/>
  <c r="F93" i="15" s="1"/>
  <c r="F51" i="15" a="1"/>
  <c r="F51" i="15" s="1"/>
  <c r="F52" i="15" a="1"/>
  <c r="F52" i="15" s="1"/>
  <c r="F19" i="15" a="1"/>
  <c r="F19" i="15" s="1"/>
  <c r="F20" i="15" a="1"/>
  <c r="F20" i="15" s="1"/>
  <c r="F79" i="15" a="1"/>
  <c r="F79" i="15" s="1"/>
  <c r="F22" i="15" a="1"/>
  <c r="F22" i="15" s="1"/>
  <c r="F23" i="15" a="1"/>
  <c r="F23" i="15" s="1"/>
  <c r="F54" i="15" a="1"/>
  <c r="F54" i="15" s="1"/>
  <c r="F55" i="15" a="1"/>
  <c r="F55" i="15" s="1"/>
  <c r="F56" i="15" a="1"/>
  <c r="F56" i="15" s="1"/>
  <c r="F68" i="15" a="1"/>
  <c r="F68" i="15" s="1"/>
  <c r="F59" i="15" a="1"/>
  <c r="F59" i="15" s="1"/>
  <c r="F15" i="15" a="1"/>
  <c r="F15" i="15" s="1"/>
  <c r="F8" i="15" a="1"/>
  <c r="F8" i="15" s="1"/>
  <c r="F9" i="15" a="1"/>
  <c r="F9" i="15" s="1"/>
  <c r="F101" i="15" a="1"/>
  <c r="F101" i="15" s="1"/>
  <c r="F78" i="15" a="1"/>
  <c r="F78" i="15" s="1"/>
  <c r="F32" i="15" a="1"/>
  <c r="F32" i="15" s="1"/>
  <c r="F33" i="15" a="1"/>
  <c r="F33" i="15" s="1"/>
  <c r="F62" i="15" a="1"/>
  <c r="F62" i="15" s="1"/>
  <c r="F61" i="15" a="1"/>
  <c r="F61" i="15" s="1"/>
  <c r="F3" i="15" a="1"/>
  <c r="F3" i="15" s="1"/>
  <c r="F4" i="15" a="1"/>
  <c r="F4" i="15" s="1"/>
  <c r="I7" i="1"/>
  <c r="C13" i="7" s="1"/>
  <c r="I21" i="3" l="1" a="1"/>
  <c r="I21" i="3" s="1"/>
  <c r="F45" i="14"/>
  <c r="C13" i="2"/>
  <c r="C51" i="1"/>
  <c r="C52" i="1"/>
  <c r="C88" i="1"/>
  <c r="C87" i="1"/>
  <c r="C82" i="1"/>
  <c r="C81" i="1"/>
  <c r="C76" i="1"/>
  <c r="C75" i="1"/>
  <c r="C70" i="1"/>
  <c r="C69" i="1"/>
  <c r="C64" i="1"/>
  <c r="C63" i="1"/>
  <c r="C58" i="1"/>
  <c r="C57" i="1"/>
  <c r="F52" i="14" l="1"/>
  <c r="O52" i="14" s="1"/>
  <c r="F115" i="14"/>
  <c r="M115" i="14" s="1"/>
  <c r="F84" i="14"/>
  <c r="O84" i="14" s="1"/>
  <c r="F93" i="14"/>
  <c r="N93" i="14" s="1"/>
  <c r="F114" i="14"/>
  <c r="N114" i="14" s="1"/>
  <c r="F16" i="14"/>
  <c r="O16" i="14" s="1"/>
  <c r="F13" i="14"/>
  <c r="M13" i="14" s="1"/>
  <c r="F26" i="14"/>
  <c r="M26" i="14" s="1"/>
  <c r="F31" i="14"/>
  <c r="O31" i="14" s="1"/>
  <c r="F112" i="14"/>
  <c r="L112" i="14" s="1"/>
  <c r="F136" i="14"/>
  <c r="M136" i="14" s="1"/>
  <c r="F147" i="14"/>
  <c r="O147" i="14" s="1"/>
  <c r="F48" i="14"/>
  <c r="O48" i="14" s="1"/>
  <c r="F10" i="14"/>
  <c r="N10" i="14" s="1"/>
  <c r="F158" i="14"/>
  <c r="N158" i="14" s="1"/>
  <c r="F2" i="14"/>
  <c r="N2" i="14" s="1"/>
  <c r="F76" i="14"/>
  <c r="O76" i="14" s="1"/>
  <c r="F95" i="14"/>
  <c r="L95" i="14" s="1"/>
  <c r="F145" i="14"/>
  <c r="N145" i="14" s="1"/>
  <c r="F164" i="14"/>
  <c r="M164" i="14" s="1"/>
  <c r="F22" i="14"/>
  <c r="O22" i="14" s="1"/>
  <c r="F57" i="14"/>
  <c r="O57" i="14" s="1"/>
  <c r="F12" i="14"/>
  <c r="N12" i="14" s="1"/>
  <c r="F79" i="14"/>
  <c r="L79" i="14" s="1"/>
  <c r="F175" i="14"/>
  <c r="N175" i="14" s="1"/>
  <c r="F99" i="14"/>
  <c r="N99" i="14" s="1"/>
  <c r="F66" i="14"/>
  <c r="L66" i="14" s="1"/>
  <c r="F5" i="14"/>
  <c r="O5" i="14" s="1"/>
  <c r="F131" i="14"/>
  <c r="M131" i="14" s="1"/>
  <c r="F111" i="14"/>
  <c r="M111" i="14" s="1"/>
  <c r="F155" i="14"/>
  <c r="M155" i="14" s="1"/>
  <c r="F19" i="14"/>
  <c r="O19" i="14" s="1"/>
  <c r="F127" i="14"/>
  <c r="O127" i="14" s="1"/>
  <c r="F54" i="14"/>
  <c r="M54" i="14" s="1"/>
  <c r="F11" i="14"/>
  <c r="L11" i="14" s="1"/>
  <c r="F21" i="14"/>
  <c r="M21" i="14" s="1"/>
  <c r="F41" i="14"/>
  <c r="M41" i="14" s="1"/>
  <c r="F69" i="14"/>
  <c r="O69" i="14" s="1"/>
  <c r="F33" i="14"/>
  <c r="N33" i="14" s="1"/>
  <c r="F44" i="14"/>
  <c r="M44" i="14" s="1"/>
  <c r="F103" i="14"/>
  <c r="M103" i="14" s="1"/>
  <c r="F110" i="14"/>
  <c r="O110" i="14" s="1"/>
  <c r="F82" i="14"/>
  <c r="M82" i="14" s="1"/>
  <c r="F92" i="14"/>
  <c r="M92" i="14" s="1"/>
  <c r="F56" i="14"/>
  <c r="L56" i="14" s="1"/>
  <c r="F37" i="14"/>
  <c r="L37" i="14" s="1"/>
  <c r="F68" i="14"/>
  <c r="M68" i="14" s="1"/>
  <c r="F100" i="14"/>
  <c r="O100" i="14" s="1"/>
  <c r="F40" i="14"/>
  <c r="L40" i="14" s="1"/>
  <c r="F105" i="14"/>
  <c r="N105" i="14" s="1"/>
  <c r="F94" i="14"/>
  <c r="L94" i="14" s="1"/>
  <c r="F64" i="14"/>
  <c r="N64" i="14" s="1"/>
  <c r="F159" i="14"/>
  <c r="L159" i="14" s="1"/>
  <c r="F146" i="14"/>
  <c r="O146" i="14" s="1"/>
  <c r="F8" i="14"/>
  <c r="O8" i="14" s="1"/>
  <c r="F120" i="14"/>
  <c r="N120" i="14" s="1"/>
  <c r="F154" i="14"/>
  <c r="M154" i="14" s="1"/>
  <c r="F133" i="14"/>
  <c r="M133" i="14" s="1"/>
  <c r="F71" i="14"/>
  <c r="O71" i="14" s="1"/>
  <c r="F32" i="14"/>
  <c r="M32" i="14" s="1"/>
  <c r="F101" i="14"/>
  <c r="L101" i="14" s="1"/>
  <c r="F156" i="14"/>
  <c r="O156" i="14" s="1"/>
  <c r="F88" i="14"/>
  <c r="O88" i="14" s="1"/>
  <c r="F50" i="14"/>
  <c r="M50" i="14" s="1"/>
  <c r="F96" i="14"/>
  <c r="O96" i="14" s="1"/>
  <c r="F107" i="14"/>
  <c r="N107" i="14" s="1"/>
  <c r="F30" i="14"/>
  <c r="L30" i="14" s="1"/>
  <c r="F39" i="14"/>
  <c r="N39" i="14" s="1"/>
  <c r="F74" i="14"/>
  <c r="L74" i="14" s="1"/>
  <c r="F24" i="14"/>
  <c r="N24" i="14" s="1"/>
  <c r="F124" i="14"/>
  <c r="M124" i="14" s="1"/>
  <c r="F18" i="14"/>
  <c r="L18" i="14" s="1"/>
  <c r="F75" i="14"/>
  <c r="M75" i="14" s="1"/>
  <c r="F104" i="14"/>
  <c r="M104" i="14" s="1"/>
  <c r="F122" i="14"/>
  <c r="L122" i="14" s="1"/>
  <c r="F29" i="14"/>
  <c r="M29" i="14" s="1"/>
  <c r="F27" i="14"/>
  <c r="L27" i="14" s="1"/>
  <c r="F6" i="14"/>
  <c r="N6" i="14" s="1"/>
  <c r="F67" i="14"/>
  <c r="L67" i="14" s="1"/>
  <c r="F119" i="14"/>
  <c r="M119" i="14" s="1"/>
  <c r="F38" i="14"/>
  <c r="M38" i="14" s="1"/>
  <c r="F72" i="14"/>
  <c r="M72" i="14" s="1"/>
  <c r="F157" i="14"/>
  <c r="N157" i="14" s="1"/>
  <c r="F53" i="14"/>
  <c r="M53" i="14" s="1"/>
  <c r="F3" i="14"/>
  <c r="N3" i="14" s="1"/>
  <c r="F91" i="14"/>
  <c r="M91" i="14" s="1"/>
  <c r="F23" i="14"/>
  <c r="N23" i="14" s="1"/>
  <c r="F46" i="14"/>
  <c r="O46" i="14" s="1"/>
  <c r="F142" i="14"/>
  <c r="O142" i="14" s="1"/>
  <c r="F118" i="14"/>
  <c r="L118" i="14" s="1"/>
  <c r="F78" i="14"/>
  <c r="N78" i="14" s="1"/>
  <c r="F108" i="14"/>
  <c r="M108" i="14" s="1"/>
  <c r="F70" i="14"/>
  <c r="N70" i="14" s="1"/>
  <c r="F43" i="14"/>
  <c r="M43" i="14" s="1"/>
  <c r="F42" i="14"/>
  <c r="O42" i="14" s="1"/>
  <c r="F28" i="14"/>
  <c r="M28" i="14" s="1"/>
  <c r="F151" i="14"/>
  <c r="N151" i="14" s="1"/>
  <c r="F153" i="14"/>
  <c r="M153" i="14" s="1"/>
  <c r="F85" i="14"/>
  <c r="O85" i="14" s="1"/>
  <c r="F89" i="14"/>
  <c r="N89" i="14" s="1"/>
  <c r="F116" i="14"/>
  <c r="M116" i="14" s="1"/>
  <c r="F34" i="14"/>
  <c r="M34" i="14" s="1"/>
  <c r="F163" i="14"/>
  <c r="O163" i="14" s="1"/>
  <c r="F14" i="14"/>
  <c r="M14" i="14" s="1"/>
  <c r="F49" i="14"/>
  <c r="M49" i="14" s="1"/>
  <c r="F7" i="14"/>
  <c r="L7" i="14" s="1"/>
  <c r="F4" i="14"/>
  <c r="O4" i="14" s="1"/>
  <c r="F81" i="14"/>
  <c r="N81" i="14" s="1"/>
  <c r="F102" i="14"/>
  <c r="O102" i="14" s="1"/>
  <c r="F117" i="14"/>
  <c r="L117" i="14" s="1"/>
  <c r="F86" i="14"/>
  <c r="O86" i="14" s="1"/>
  <c r="F87" i="14"/>
  <c r="M87" i="14" s="1"/>
  <c r="F63" i="14"/>
  <c r="F106" i="14"/>
  <c r="L106" i="14" s="1"/>
  <c r="F35" i="14"/>
  <c r="N35" i="14" s="1"/>
  <c r="F121" i="14"/>
  <c r="O121" i="14" s="1"/>
  <c r="F97" i="14"/>
  <c r="M97" i="14" s="1"/>
  <c r="F73" i="14"/>
  <c r="O73" i="14" s="1"/>
  <c r="F17" i="14"/>
  <c r="M17" i="14" s="1"/>
  <c r="F80" i="14"/>
  <c r="L80" i="14" s="1"/>
  <c r="F51" i="14"/>
  <c r="M51" i="14" s="1"/>
  <c r="F90" i="14"/>
  <c r="N90" i="14" s="1"/>
  <c r="F9" i="14"/>
  <c r="O9" i="14" s="1"/>
  <c r="F167" i="14"/>
  <c r="M167" i="14" s="1"/>
  <c r="F113" i="14"/>
  <c r="N113" i="14" s="1"/>
  <c r="F98" i="14"/>
  <c r="N98" i="14" s="1"/>
  <c r="F123" i="14"/>
  <c r="L123" i="14" s="1"/>
  <c r="F47" i="14"/>
  <c r="N47" i="14" s="1"/>
  <c r="F166" i="14"/>
  <c r="O166" i="14" s="1"/>
  <c r="F77" i="14"/>
  <c r="M77" i="14" s="1"/>
  <c r="F25" i="14"/>
  <c r="O25" i="14" s="1"/>
  <c r="F20" i="14"/>
  <c r="O20" i="14" s="1"/>
  <c r="F15" i="14"/>
  <c r="L15" i="14" s="1"/>
  <c r="F65" i="14"/>
  <c r="L65" i="14" s="1"/>
  <c r="F83" i="14"/>
  <c r="L83" i="14" s="1"/>
  <c r="F36" i="14"/>
  <c r="L36" i="14" s="1"/>
  <c r="F109" i="14"/>
  <c r="M109" i="14" s="1"/>
  <c r="O45" i="14"/>
  <c r="M45" i="14"/>
  <c r="N45" i="14"/>
  <c r="L45" i="14"/>
  <c r="B41" i="1"/>
  <c r="M88" i="1"/>
  <c r="M87" i="1"/>
  <c r="M86" i="1"/>
  <c r="L88" i="1"/>
  <c r="L87" i="1"/>
  <c r="L86" i="1"/>
  <c r="K88" i="1"/>
  <c r="K87" i="1"/>
  <c r="K86" i="1"/>
  <c r="J88" i="1"/>
  <c r="J87" i="1"/>
  <c r="J86" i="1"/>
  <c r="I88" i="1"/>
  <c r="I87" i="1"/>
  <c r="I86" i="1"/>
  <c r="H88" i="1"/>
  <c r="H87" i="1"/>
  <c r="H86" i="1"/>
  <c r="G87" i="1"/>
  <c r="G86" i="1"/>
  <c r="F88" i="1"/>
  <c r="F87" i="1"/>
  <c r="F86" i="1"/>
  <c r="E88" i="1"/>
  <c r="E87" i="1"/>
  <c r="E86" i="1"/>
  <c r="D88" i="1"/>
  <c r="D87" i="1"/>
  <c r="D86" i="1"/>
  <c r="C86" i="1"/>
  <c r="B88" i="1"/>
  <c r="B87" i="1"/>
  <c r="B86" i="1"/>
  <c r="M82" i="1"/>
  <c r="M81" i="1"/>
  <c r="M80" i="1"/>
  <c r="L82" i="1"/>
  <c r="L81" i="1"/>
  <c r="L80" i="1"/>
  <c r="L83" i="1" s="1"/>
  <c r="L84" i="1" s="1"/>
  <c r="K82" i="1"/>
  <c r="K81" i="1"/>
  <c r="K80" i="1"/>
  <c r="J82" i="1"/>
  <c r="J81" i="1"/>
  <c r="J83" i="1" s="1"/>
  <c r="J84" i="1" s="1"/>
  <c r="J80" i="1"/>
  <c r="I82" i="1"/>
  <c r="I81" i="1"/>
  <c r="I80" i="1"/>
  <c r="H82" i="1"/>
  <c r="H81" i="1"/>
  <c r="H80" i="1"/>
  <c r="H83" i="1" s="1"/>
  <c r="H84" i="1" s="1"/>
  <c r="G81" i="1"/>
  <c r="G80" i="1"/>
  <c r="F82" i="1"/>
  <c r="F81" i="1"/>
  <c r="F80" i="1"/>
  <c r="E82" i="1"/>
  <c r="E81" i="1"/>
  <c r="E80" i="1"/>
  <c r="E83" i="1" s="1"/>
  <c r="E84" i="1" s="1"/>
  <c r="D82" i="1"/>
  <c r="D81" i="1"/>
  <c r="D80" i="1"/>
  <c r="C80" i="1"/>
  <c r="B82" i="1"/>
  <c r="B81" i="1"/>
  <c r="B80" i="1"/>
  <c r="M76" i="1"/>
  <c r="M75" i="1"/>
  <c r="M74" i="1"/>
  <c r="L76" i="1"/>
  <c r="L75" i="1"/>
  <c r="L74" i="1"/>
  <c r="K76" i="1"/>
  <c r="K75" i="1"/>
  <c r="K74" i="1"/>
  <c r="J76" i="1"/>
  <c r="J75" i="1"/>
  <c r="J74" i="1"/>
  <c r="I76" i="1"/>
  <c r="I75" i="1"/>
  <c r="I74" i="1"/>
  <c r="H76" i="1"/>
  <c r="H75" i="1"/>
  <c r="H74" i="1"/>
  <c r="G75" i="1"/>
  <c r="G74" i="1"/>
  <c r="F76" i="1"/>
  <c r="F75" i="1"/>
  <c r="F74" i="1"/>
  <c r="E76" i="1"/>
  <c r="E75" i="1"/>
  <c r="E74" i="1"/>
  <c r="D76" i="1"/>
  <c r="D75" i="1"/>
  <c r="D74" i="1"/>
  <c r="C74" i="1"/>
  <c r="B76" i="1"/>
  <c r="B75" i="1"/>
  <c r="B74" i="1"/>
  <c r="M70" i="1"/>
  <c r="M69" i="1"/>
  <c r="M68" i="1"/>
  <c r="L70" i="1"/>
  <c r="L69" i="1"/>
  <c r="L68" i="1"/>
  <c r="K70" i="1"/>
  <c r="K69" i="1"/>
  <c r="K68" i="1"/>
  <c r="J70" i="1"/>
  <c r="J69" i="1"/>
  <c r="J68" i="1"/>
  <c r="I70" i="1"/>
  <c r="I69" i="1"/>
  <c r="I68" i="1"/>
  <c r="H70" i="1"/>
  <c r="H69" i="1"/>
  <c r="H68" i="1"/>
  <c r="G69" i="1"/>
  <c r="G68" i="1"/>
  <c r="F70" i="1"/>
  <c r="F69" i="1"/>
  <c r="F68" i="1"/>
  <c r="E70" i="1"/>
  <c r="E69" i="1"/>
  <c r="E68" i="1"/>
  <c r="D70" i="1"/>
  <c r="D69" i="1"/>
  <c r="D71" i="1" s="1"/>
  <c r="D72" i="1" s="1"/>
  <c r="D68" i="1"/>
  <c r="C68" i="1"/>
  <c r="B70" i="1"/>
  <c r="B69" i="1"/>
  <c r="B68" i="1"/>
  <c r="B64" i="1"/>
  <c r="B63" i="1"/>
  <c r="B62" i="1"/>
  <c r="M64" i="1"/>
  <c r="M63" i="1"/>
  <c r="M62" i="1"/>
  <c r="L64" i="1"/>
  <c r="L63" i="1"/>
  <c r="L62" i="1"/>
  <c r="K64" i="1"/>
  <c r="K63" i="1"/>
  <c r="K62" i="1"/>
  <c r="J64" i="1"/>
  <c r="J63" i="1"/>
  <c r="J62" i="1"/>
  <c r="I64" i="1"/>
  <c r="I63" i="1"/>
  <c r="I62" i="1"/>
  <c r="H64" i="1"/>
  <c r="H63" i="1"/>
  <c r="H62" i="1"/>
  <c r="G63" i="1"/>
  <c r="G62" i="1"/>
  <c r="G65" i="1" s="1"/>
  <c r="G66" i="1" s="1"/>
  <c r="F64" i="1"/>
  <c r="F63" i="1"/>
  <c r="F62" i="1"/>
  <c r="E64" i="1"/>
  <c r="E63" i="1"/>
  <c r="E62" i="1"/>
  <c r="D64" i="1"/>
  <c r="D63" i="1"/>
  <c r="D62" i="1"/>
  <c r="C62" i="1"/>
  <c r="H44" i="1"/>
  <c r="H43" i="1"/>
  <c r="H40" i="1"/>
  <c r="H39" i="1"/>
  <c r="H36" i="1"/>
  <c r="H35" i="1"/>
  <c r="H32" i="1"/>
  <c r="H31" i="1"/>
  <c r="H28" i="1"/>
  <c r="H27" i="1"/>
  <c r="H24" i="1"/>
  <c r="H23" i="1"/>
  <c r="M58" i="1"/>
  <c r="M57" i="1"/>
  <c r="L58" i="1"/>
  <c r="L57" i="1"/>
  <c r="K58" i="1"/>
  <c r="K57" i="1"/>
  <c r="J58" i="1"/>
  <c r="J57" i="1"/>
  <c r="I58" i="1"/>
  <c r="I57" i="1"/>
  <c r="H58" i="1"/>
  <c r="H57" i="1"/>
  <c r="G57" i="1"/>
  <c r="F58" i="1"/>
  <c r="F57" i="1"/>
  <c r="E58" i="1"/>
  <c r="E57" i="1"/>
  <c r="D58" i="1"/>
  <c r="D57" i="1"/>
  <c r="M56" i="1"/>
  <c r="L56" i="1"/>
  <c r="K56" i="1"/>
  <c r="J56" i="1"/>
  <c r="I56" i="1"/>
  <c r="H56" i="1"/>
  <c r="G56" i="1"/>
  <c r="F56" i="1"/>
  <c r="E56" i="1"/>
  <c r="D56" i="1"/>
  <c r="C56" i="1"/>
  <c r="B58" i="1"/>
  <c r="B57" i="1"/>
  <c r="B56" i="1"/>
  <c r="H20" i="1"/>
  <c r="H19" i="1"/>
  <c r="M52" i="1"/>
  <c r="M51" i="1"/>
  <c r="M50" i="1"/>
  <c r="L52" i="1"/>
  <c r="L51" i="1"/>
  <c r="L50" i="1"/>
  <c r="K52" i="1"/>
  <c r="K51" i="1"/>
  <c r="K50" i="1"/>
  <c r="J52" i="1"/>
  <c r="J51" i="1"/>
  <c r="J50" i="1"/>
  <c r="I52" i="1"/>
  <c r="I51" i="1"/>
  <c r="I50" i="1"/>
  <c r="H52" i="1"/>
  <c r="H51" i="1"/>
  <c r="H50" i="1"/>
  <c r="G51" i="1"/>
  <c r="G50" i="1"/>
  <c r="F52" i="1"/>
  <c r="F51" i="1"/>
  <c r="F50" i="1"/>
  <c r="E52" i="1"/>
  <c r="E51" i="1"/>
  <c r="E50" i="1"/>
  <c r="D52" i="1"/>
  <c r="D51" i="1"/>
  <c r="D50" i="1"/>
  <c r="B52" i="1"/>
  <c r="B51" i="1"/>
  <c r="C50" i="1"/>
  <c r="B50" i="1"/>
  <c r="N52" i="14" l="1"/>
  <c r="O2" i="14"/>
  <c r="L2" i="14"/>
  <c r="M93" i="14"/>
  <c r="O93" i="14"/>
  <c r="N63" i="14"/>
  <c r="O104" i="14"/>
  <c r="N155" i="14"/>
  <c r="N146" i="14"/>
  <c r="L145" i="14"/>
  <c r="N111" i="14"/>
  <c r="M5" i="14"/>
  <c r="L93" i="14"/>
  <c r="O95" i="14"/>
  <c r="M95" i="14"/>
  <c r="N95" i="14"/>
  <c r="L16" i="14"/>
  <c r="N16" i="14"/>
  <c r="O131" i="14"/>
  <c r="M10" i="14"/>
  <c r="O10" i="14"/>
  <c r="L107" i="14"/>
  <c r="L41" i="14"/>
  <c r="O175" i="14"/>
  <c r="L175" i="14"/>
  <c r="M101" i="14"/>
  <c r="M48" i="14"/>
  <c r="M175" i="14"/>
  <c r="N48" i="14"/>
  <c r="M30" i="14"/>
  <c r="N110" i="14"/>
  <c r="N50" i="14"/>
  <c r="M2" i="14"/>
  <c r="M114" i="14"/>
  <c r="L105" i="14"/>
  <c r="O111" i="14"/>
  <c r="M90" i="14"/>
  <c r="N5" i="14"/>
  <c r="O107" i="14"/>
  <c r="O50" i="14"/>
  <c r="L5" i="14"/>
  <c r="L50" i="14"/>
  <c r="L110" i="14"/>
  <c r="M110" i="14"/>
  <c r="O64" i="14"/>
  <c r="M64" i="14"/>
  <c r="O105" i="14"/>
  <c r="L13" i="14"/>
  <c r="M120" i="14"/>
  <c r="N19" i="14"/>
  <c r="L64" i="14"/>
  <c r="L114" i="14"/>
  <c r="O30" i="14"/>
  <c r="O158" i="14"/>
  <c r="L75" i="14"/>
  <c r="N30" i="14"/>
  <c r="N13" i="14"/>
  <c r="N101" i="14"/>
  <c r="O94" i="14"/>
  <c r="N66" i="14"/>
  <c r="O145" i="14"/>
  <c r="M66" i="14"/>
  <c r="M145" i="14"/>
  <c r="L31" i="14"/>
  <c r="L120" i="14"/>
  <c r="M107" i="14"/>
  <c r="O44" i="14"/>
  <c r="N94" i="14"/>
  <c r="L88" i="14"/>
  <c r="L158" i="14"/>
  <c r="M88" i="14"/>
  <c r="M158" i="14"/>
  <c r="L84" i="14"/>
  <c r="O66" i="14"/>
  <c r="M69" i="14"/>
  <c r="L33" i="14"/>
  <c r="O33" i="14"/>
  <c r="L10" i="14"/>
  <c r="O92" i="14"/>
  <c r="O114" i="14"/>
  <c r="L3" i="14"/>
  <c r="L52" i="14"/>
  <c r="O113" i="14"/>
  <c r="N102" i="14"/>
  <c r="M40" i="14"/>
  <c r="N75" i="14"/>
  <c r="L46" i="14"/>
  <c r="M151" i="14"/>
  <c r="M46" i="14"/>
  <c r="O151" i="14"/>
  <c r="L104" i="14"/>
  <c r="M33" i="14"/>
  <c r="L99" i="14"/>
  <c r="L111" i="14"/>
  <c r="M16" i="14"/>
  <c r="M76" i="14"/>
  <c r="L115" i="14"/>
  <c r="M159" i="14"/>
  <c r="N91" i="14"/>
  <c r="L69" i="14"/>
  <c r="M99" i="14"/>
  <c r="N164" i="14"/>
  <c r="L44" i="14"/>
  <c r="O115" i="14"/>
  <c r="N159" i="14"/>
  <c r="O91" i="14"/>
  <c r="N69" i="14"/>
  <c r="L90" i="14"/>
  <c r="N44" i="14"/>
  <c r="N88" i="14"/>
  <c r="M84" i="14"/>
  <c r="M94" i="14"/>
  <c r="N104" i="14"/>
  <c r="O75" i="14"/>
  <c r="N46" i="14"/>
  <c r="O41" i="14"/>
  <c r="M52" i="14"/>
  <c r="L108" i="14"/>
  <c r="N41" i="14"/>
  <c r="O101" i="14"/>
  <c r="L48" i="14"/>
  <c r="M102" i="14"/>
  <c r="L102" i="14"/>
  <c r="O40" i="14"/>
  <c r="L151" i="14"/>
  <c r="N40" i="14"/>
  <c r="O117" i="14"/>
  <c r="N76" i="14"/>
  <c r="O159" i="14"/>
  <c r="N131" i="14"/>
  <c r="M105" i="14"/>
  <c r="O90" i="14"/>
  <c r="L131" i="14"/>
  <c r="L103" i="14"/>
  <c r="L91" i="14"/>
  <c r="O103" i="14"/>
  <c r="N92" i="14"/>
  <c r="L92" i="14"/>
  <c r="N86" i="14"/>
  <c r="M86" i="14"/>
  <c r="O26" i="14"/>
  <c r="O14" i="14"/>
  <c r="O120" i="14"/>
  <c r="O108" i="14"/>
  <c r="N14" i="14"/>
  <c r="O13" i="14"/>
  <c r="L155" i="14"/>
  <c r="L14" i="14"/>
  <c r="M8" i="14"/>
  <c r="L82" i="14"/>
  <c r="O119" i="14"/>
  <c r="N8" i="14"/>
  <c r="L119" i="14"/>
  <c r="L8" i="14"/>
  <c r="O82" i="14"/>
  <c r="N119" i="14"/>
  <c r="L19" i="14"/>
  <c r="O164" i="14"/>
  <c r="N82" i="14"/>
  <c r="M19" i="14"/>
  <c r="L164" i="14"/>
  <c r="L29" i="14"/>
  <c r="N26" i="14"/>
  <c r="N108" i="14"/>
  <c r="O29" i="14"/>
  <c r="N49" i="14"/>
  <c r="O70" i="14"/>
  <c r="M127" i="14"/>
  <c r="L22" i="14"/>
  <c r="L127" i="14"/>
  <c r="M22" i="14"/>
  <c r="N22" i="14"/>
  <c r="M31" i="14"/>
  <c r="N31" i="14"/>
  <c r="N109" i="14"/>
  <c r="M96" i="14"/>
  <c r="O153" i="14"/>
  <c r="L86" i="14"/>
  <c r="N103" i="14"/>
  <c r="O15" i="14"/>
  <c r="L76" i="14"/>
  <c r="N84" i="14"/>
  <c r="O99" i="14"/>
  <c r="O49" i="14"/>
  <c r="N127" i="14"/>
  <c r="L156" i="14"/>
  <c r="M37" i="14"/>
  <c r="O39" i="14"/>
  <c r="L39" i="14"/>
  <c r="M67" i="14"/>
  <c r="M39" i="14"/>
  <c r="L26" i="14"/>
  <c r="N37" i="14"/>
  <c r="L24" i="14"/>
  <c r="O154" i="14"/>
  <c r="O24" i="14"/>
  <c r="N154" i="14"/>
  <c r="M24" i="14"/>
  <c r="L154" i="14"/>
  <c r="N167" i="14"/>
  <c r="M56" i="14"/>
  <c r="O37" i="14"/>
  <c r="N72" i="14"/>
  <c r="O36" i="14"/>
  <c r="N133" i="14"/>
  <c r="O74" i="14"/>
  <c r="L49" i="14"/>
  <c r="O133" i="14"/>
  <c r="N38" i="14"/>
  <c r="O112" i="14"/>
  <c r="M74" i="14"/>
  <c r="L38" i="14"/>
  <c r="M112" i="14"/>
  <c r="L70" i="14"/>
  <c r="O38" i="14"/>
  <c r="N112" i="14"/>
  <c r="M70" i="14"/>
  <c r="M117" i="14"/>
  <c r="N96" i="14"/>
  <c r="N74" i="14"/>
  <c r="M156" i="14"/>
  <c r="M9" i="14"/>
  <c r="N156" i="14"/>
  <c r="O122" i="14"/>
  <c r="N56" i="14"/>
  <c r="N115" i="14"/>
  <c r="N42" i="14"/>
  <c r="L133" i="14"/>
  <c r="L57" i="14"/>
  <c r="L54" i="14"/>
  <c r="O157" i="14"/>
  <c r="M57" i="14"/>
  <c r="N54" i="14"/>
  <c r="N57" i="14"/>
  <c r="O54" i="14"/>
  <c r="O43" i="14"/>
  <c r="N7" i="14"/>
  <c r="L43" i="14"/>
  <c r="L9" i="14"/>
  <c r="N51" i="14"/>
  <c r="O7" i="14"/>
  <c r="N43" i="14"/>
  <c r="M7" i="14"/>
  <c r="L72" i="14"/>
  <c r="O72" i="14"/>
  <c r="O56" i="14"/>
  <c r="M73" i="14"/>
  <c r="M3" i="14"/>
  <c r="O155" i="14"/>
  <c r="N136" i="14"/>
  <c r="M11" i="14"/>
  <c r="N85" i="14"/>
  <c r="L146" i="14"/>
  <c r="O136" i="14"/>
  <c r="N80" i="14"/>
  <c r="M146" i="14"/>
  <c r="L96" i="14"/>
  <c r="L153" i="14"/>
  <c r="L4" i="14"/>
  <c r="N117" i="14"/>
  <c r="L157" i="14"/>
  <c r="L32" i="14"/>
  <c r="M80" i="14"/>
  <c r="N124" i="14"/>
  <c r="N28" i="14"/>
  <c r="N100" i="14"/>
  <c r="L81" i="14"/>
  <c r="M4" i="14"/>
  <c r="N71" i="14"/>
  <c r="L147" i="14"/>
  <c r="O124" i="14"/>
  <c r="L28" i="14"/>
  <c r="M100" i="14"/>
  <c r="M81" i="14"/>
  <c r="M18" i="14"/>
  <c r="N4" i="14"/>
  <c r="O28" i="14"/>
  <c r="O81" i="14"/>
  <c r="M157" i="14"/>
  <c r="O32" i="14"/>
  <c r="M71" i="14"/>
  <c r="N147" i="14"/>
  <c r="L124" i="14"/>
  <c r="L100" i="14"/>
  <c r="O18" i="14"/>
  <c r="M147" i="14"/>
  <c r="L12" i="14"/>
  <c r="L68" i="14"/>
  <c r="O53" i="14"/>
  <c r="N18" i="14"/>
  <c r="N79" i="14"/>
  <c r="L71" i="14"/>
  <c r="O12" i="14"/>
  <c r="O21" i="14"/>
  <c r="N68" i="14"/>
  <c r="N53" i="14"/>
  <c r="L97" i="14"/>
  <c r="O79" i="14"/>
  <c r="N20" i="14"/>
  <c r="M12" i="14"/>
  <c r="N21" i="14"/>
  <c r="O68" i="14"/>
  <c r="L53" i="14"/>
  <c r="M79" i="14"/>
  <c r="N32" i="14"/>
  <c r="L20" i="14"/>
  <c r="L21" i="14"/>
  <c r="L42" i="14"/>
  <c r="N11" i="14"/>
  <c r="O80" i="14"/>
  <c r="M42" i="14"/>
  <c r="L136" i="14"/>
  <c r="O11" i="14"/>
  <c r="N29" i="14"/>
  <c r="M118" i="14"/>
  <c r="N118" i="14"/>
  <c r="L109" i="14"/>
  <c r="M27" i="14"/>
  <c r="O63" i="14"/>
  <c r="O109" i="14"/>
  <c r="N142" i="14"/>
  <c r="L142" i="14"/>
  <c r="L85" i="14"/>
  <c r="O3" i="14"/>
  <c r="M142" i="14"/>
  <c r="M85" i="14"/>
  <c r="O23" i="14"/>
  <c r="O116" i="14"/>
  <c r="L23" i="14"/>
  <c r="O167" i="14"/>
  <c r="M23" i="14"/>
  <c r="M113" i="14"/>
  <c r="L167" i="14"/>
  <c r="M122" i="14"/>
  <c r="O118" i="14"/>
  <c r="O67" i="14"/>
  <c r="O6" i="14"/>
  <c r="O78" i="14"/>
  <c r="M6" i="14"/>
  <c r="L78" i="14"/>
  <c r="L6" i="14"/>
  <c r="M78" i="14"/>
  <c r="N67" i="14"/>
  <c r="N27" i="14"/>
  <c r="O27" i="14"/>
  <c r="N153" i="14"/>
  <c r="N122" i="14"/>
  <c r="M35" i="14"/>
  <c r="N9" i="14"/>
  <c r="N116" i="14"/>
  <c r="L63" i="14"/>
  <c r="O35" i="14"/>
  <c r="M63" i="14"/>
  <c r="M163" i="14"/>
  <c r="N163" i="14"/>
  <c r="L89" i="14"/>
  <c r="L163" i="14"/>
  <c r="M89" i="14"/>
  <c r="M106" i="14"/>
  <c r="L98" i="14"/>
  <c r="O89" i="14"/>
  <c r="N123" i="14"/>
  <c r="O123" i="14"/>
  <c r="O106" i="14"/>
  <c r="M98" i="14"/>
  <c r="N34" i="14"/>
  <c r="M123" i="14"/>
  <c r="N106" i="14"/>
  <c r="O98" i="14"/>
  <c r="O34" i="14"/>
  <c r="O51" i="14"/>
  <c r="N87" i="14"/>
  <c r="L113" i="14"/>
  <c r="L35" i="14"/>
  <c r="L116" i="14"/>
  <c r="L34" i="14"/>
  <c r="L51" i="14"/>
  <c r="L73" i="14"/>
  <c r="N121" i="14"/>
  <c r="L47" i="14"/>
  <c r="L121" i="14"/>
  <c r="O47" i="14"/>
  <c r="M47" i="14"/>
  <c r="M121" i="14"/>
  <c r="O87" i="14"/>
  <c r="L87" i="14"/>
  <c r="N97" i="14"/>
  <c r="L77" i="14"/>
  <c r="N77" i="14"/>
  <c r="O77" i="14"/>
  <c r="O17" i="14"/>
  <c r="M166" i="14"/>
  <c r="N17" i="14"/>
  <c r="M25" i="14"/>
  <c r="N166" i="14"/>
  <c r="L17" i="14"/>
  <c r="L25" i="14"/>
  <c r="N73" i="14"/>
  <c r="O97" i="14"/>
  <c r="N25" i="14"/>
  <c r="O65" i="14"/>
  <c r="N83" i="14"/>
  <c r="O83" i="14"/>
  <c r="M83" i="14"/>
  <c r="L166" i="14"/>
  <c r="N65" i="14"/>
  <c r="M65" i="14"/>
  <c r="M15" i="14"/>
  <c r="M20" i="14"/>
  <c r="N15" i="14"/>
  <c r="N36" i="14"/>
  <c r="M36" i="14"/>
  <c r="K89" i="1"/>
  <c r="K90" i="1" s="1"/>
  <c r="L65" i="1"/>
  <c r="L66" i="1" s="1"/>
  <c r="G89" i="1"/>
  <c r="G90" i="1" s="1"/>
  <c r="L77" i="1"/>
  <c r="L78" i="1" s="1"/>
  <c r="D59" i="1"/>
  <c r="D60" i="1" s="1"/>
  <c r="K83" i="1"/>
  <c r="K84" i="1" s="1"/>
  <c r="AH18" i="1"/>
  <c r="AI18" i="1"/>
  <c r="AF18" i="1"/>
  <c r="E89" i="1"/>
  <c r="E90" i="1" s="1"/>
  <c r="G77" i="1"/>
  <c r="G78" i="1" s="1"/>
  <c r="H77" i="1"/>
  <c r="H78" i="1" s="1"/>
  <c r="C71" i="1"/>
  <c r="C72" i="1" s="1"/>
  <c r="H89" i="1"/>
  <c r="H90" i="1" s="1"/>
  <c r="B45" i="1" s="1"/>
  <c r="C89" i="1"/>
  <c r="C90" i="1" s="1"/>
  <c r="J89" i="1"/>
  <c r="J90" i="1" s="1"/>
  <c r="L89" i="1"/>
  <c r="L90" i="1" s="1"/>
  <c r="M89" i="1"/>
  <c r="M90" i="1" s="1"/>
  <c r="I89" i="1"/>
  <c r="I90" i="1" s="1"/>
  <c r="F89" i="1"/>
  <c r="F90" i="1" s="1"/>
  <c r="D89" i="1"/>
  <c r="D90" i="1" s="1"/>
  <c r="B89" i="1"/>
  <c r="B90" i="1" s="1"/>
  <c r="M83" i="1"/>
  <c r="M84" i="1" s="1"/>
  <c r="C83" i="1"/>
  <c r="C84" i="1" s="1"/>
  <c r="G83" i="1"/>
  <c r="G84" i="1" s="1"/>
  <c r="I83" i="1"/>
  <c r="I84" i="1" s="1"/>
  <c r="D83" i="1"/>
  <c r="D84" i="1" s="1"/>
  <c r="F83" i="1"/>
  <c r="F84" i="1" s="1"/>
  <c r="B83" i="1"/>
  <c r="B84" i="1" s="1"/>
  <c r="I77" i="1"/>
  <c r="I78" i="1" s="1"/>
  <c r="K77" i="1"/>
  <c r="K78" i="1" s="1"/>
  <c r="C77" i="1"/>
  <c r="C78" i="1" s="1"/>
  <c r="E77" i="1"/>
  <c r="E78" i="1" s="1"/>
  <c r="J77" i="1"/>
  <c r="J78" i="1" s="1"/>
  <c r="F77" i="1"/>
  <c r="F78" i="1" s="1"/>
  <c r="B37" i="1" s="1"/>
  <c r="M77" i="1"/>
  <c r="M78" i="1" s="1"/>
  <c r="D77" i="1"/>
  <c r="D78" i="1" s="1"/>
  <c r="B77" i="1"/>
  <c r="B78" i="1" s="1"/>
  <c r="F71" i="1"/>
  <c r="F72" i="1" s="1"/>
  <c r="M71" i="1"/>
  <c r="M72" i="1" s="1"/>
  <c r="L71" i="1"/>
  <c r="L72" i="1" s="1"/>
  <c r="K71" i="1"/>
  <c r="K72" i="1" s="1"/>
  <c r="J71" i="1"/>
  <c r="J72" i="1" s="1"/>
  <c r="I71" i="1"/>
  <c r="I72" i="1" s="1"/>
  <c r="H71" i="1"/>
  <c r="H72" i="1" s="1"/>
  <c r="G71" i="1"/>
  <c r="G72" i="1" s="1"/>
  <c r="E71" i="1"/>
  <c r="E72" i="1" s="1"/>
  <c r="B33" i="1" s="1"/>
  <c r="B71" i="1"/>
  <c r="B72" i="1" s="1"/>
  <c r="I65" i="1"/>
  <c r="I66" i="1" s="1"/>
  <c r="M65" i="1"/>
  <c r="M66" i="1" s="1"/>
  <c r="K65" i="1"/>
  <c r="K66" i="1" s="1"/>
  <c r="B29" i="1" s="1"/>
  <c r="J65" i="1"/>
  <c r="J66" i="1" s="1"/>
  <c r="H65" i="1"/>
  <c r="H66" i="1" s="1"/>
  <c r="F65" i="1"/>
  <c r="F66" i="1" s="1"/>
  <c r="E65" i="1"/>
  <c r="E66" i="1" s="1"/>
  <c r="D65" i="1"/>
  <c r="D66" i="1" s="1"/>
  <c r="C65" i="1"/>
  <c r="C66" i="1" s="1"/>
  <c r="B65" i="1"/>
  <c r="B66" i="1" s="1"/>
  <c r="C59" i="1"/>
  <c r="C60" i="1" s="1"/>
  <c r="B25" i="1" s="1"/>
  <c r="H59" i="1"/>
  <c r="H60" i="1" s="1"/>
  <c r="M59" i="1"/>
  <c r="M60" i="1" s="1"/>
  <c r="L59" i="1"/>
  <c r="L60" i="1" s="1"/>
  <c r="K59" i="1"/>
  <c r="K60" i="1" s="1"/>
  <c r="J59" i="1"/>
  <c r="J60" i="1" s="1"/>
  <c r="I59" i="1"/>
  <c r="I60" i="1" s="1"/>
  <c r="G59" i="1"/>
  <c r="G60" i="1" s="1"/>
  <c r="F59" i="1"/>
  <c r="F60" i="1" s="1"/>
  <c r="E59" i="1"/>
  <c r="E60" i="1" s="1"/>
  <c r="B59" i="1"/>
  <c r="B60" i="1" s="1"/>
  <c r="L53" i="1"/>
  <c r="L54" i="1" s="1"/>
  <c r="M53" i="1"/>
  <c r="M54" i="1" s="1"/>
  <c r="K53" i="1"/>
  <c r="K54" i="1" s="1"/>
  <c r="J53" i="1"/>
  <c r="J54" i="1" s="1"/>
  <c r="I53" i="1"/>
  <c r="I54" i="1" s="1"/>
  <c r="H53" i="1"/>
  <c r="H54" i="1" s="1"/>
  <c r="G53" i="1"/>
  <c r="G54" i="1" s="1"/>
  <c r="F53" i="1"/>
  <c r="F54" i="1" s="1"/>
  <c r="E53" i="1"/>
  <c r="E54" i="1" s="1"/>
  <c r="D53" i="1"/>
  <c r="D54" i="1" s="1"/>
  <c r="C53" i="1"/>
  <c r="C54" i="1" s="1"/>
  <c r="B53" i="1"/>
  <c r="B54" i="1" s="1"/>
  <c r="B21" i="1" s="1"/>
  <c r="D20" i="3" l="1" a="1"/>
  <c r="D20" i="3" s="1"/>
  <c r="G21" i="3" a="1"/>
  <c r="G21" i="3" s="1"/>
  <c r="E21" i="3" a="1"/>
  <c r="E21" i="3" s="1"/>
  <c r="F21" i="3" a="1"/>
  <c r="F21" i="3" s="1"/>
  <c r="B36" i="1"/>
  <c r="B35" i="1"/>
  <c r="Q35" i="1" l="1"/>
  <c r="P35" i="1"/>
  <c r="U35" i="1" s="1"/>
  <c r="O35" i="1"/>
  <c r="Q36" i="1"/>
  <c r="P36" i="1"/>
  <c r="U36" i="1" s="1"/>
  <c r="O36" i="1"/>
  <c r="AI35" i="1"/>
  <c r="AH35" i="1"/>
  <c r="AI36" i="1"/>
  <c r="AH36" i="1"/>
  <c r="A35" i="1"/>
  <c r="AF35" i="1"/>
  <c r="A36" i="1"/>
  <c r="AF36" i="1"/>
  <c r="L51" i="2"/>
  <c r="K51" i="2"/>
  <c r="J51" i="2"/>
  <c r="I51" i="2"/>
  <c r="L50" i="2"/>
  <c r="K50" i="2"/>
  <c r="J50" i="2"/>
  <c r="I50" i="2"/>
  <c r="L51" i="7"/>
  <c r="K51" i="7"/>
  <c r="J51" i="7"/>
  <c r="I51" i="7"/>
  <c r="L50" i="7"/>
  <c r="K50" i="7"/>
  <c r="J50" i="7"/>
  <c r="I50" i="7"/>
  <c r="T36" i="1" l="1"/>
  <c r="T35" i="1"/>
  <c r="C8" i="2"/>
  <c r="I47" i="2" l="1"/>
  <c r="H47" i="2"/>
  <c r="G47" i="2"/>
  <c r="F47" i="2"/>
  <c r="E47" i="2"/>
  <c r="C47" i="2"/>
  <c r="I46" i="2"/>
  <c r="H46" i="2"/>
  <c r="G46" i="2"/>
  <c r="F46" i="2"/>
  <c r="E46" i="2"/>
  <c r="C46" i="2"/>
  <c r="I45" i="2"/>
  <c r="H45" i="2"/>
  <c r="G45" i="2"/>
  <c r="F45" i="2"/>
  <c r="E45" i="2"/>
  <c r="C45" i="2"/>
  <c r="I43" i="2"/>
  <c r="H43" i="2"/>
  <c r="G43" i="2"/>
  <c r="F43" i="2"/>
  <c r="E43" i="2"/>
  <c r="C43" i="2"/>
  <c r="I42" i="2"/>
  <c r="H42" i="2"/>
  <c r="G42" i="2"/>
  <c r="F42" i="2"/>
  <c r="E42" i="2"/>
  <c r="C42" i="2"/>
  <c r="I41" i="2"/>
  <c r="H41" i="2"/>
  <c r="G41" i="2"/>
  <c r="F41" i="2"/>
  <c r="E41" i="2"/>
  <c r="C41" i="2"/>
  <c r="I39" i="2"/>
  <c r="H39" i="2"/>
  <c r="G39" i="2"/>
  <c r="F39" i="2"/>
  <c r="E39" i="2"/>
  <c r="C39" i="2"/>
  <c r="I38" i="2"/>
  <c r="H38" i="2"/>
  <c r="G38" i="2"/>
  <c r="F38" i="2"/>
  <c r="E38" i="2"/>
  <c r="C38" i="2"/>
  <c r="I37" i="2"/>
  <c r="H37" i="2"/>
  <c r="G37" i="2"/>
  <c r="F37" i="2"/>
  <c r="E37" i="2"/>
  <c r="C37" i="2"/>
  <c r="I35" i="2"/>
  <c r="H35" i="2"/>
  <c r="G35" i="2"/>
  <c r="F35" i="2"/>
  <c r="E35" i="2"/>
  <c r="C35" i="2"/>
  <c r="I34" i="2"/>
  <c r="H34" i="2"/>
  <c r="G34" i="2"/>
  <c r="F34" i="2"/>
  <c r="E34" i="2"/>
  <c r="C34" i="2"/>
  <c r="I33" i="2"/>
  <c r="H33" i="2"/>
  <c r="G33" i="2"/>
  <c r="F33" i="2"/>
  <c r="E33" i="2"/>
  <c r="C33" i="2"/>
  <c r="I31" i="2"/>
  <c r="H31" i="2"/>
  <c r="G31" i="2"/>
  <c r="F31" i="2"/>
  <c r="E31" i="2"/>
  <c r="C31" i="2"/>
  <c r="I30" i="2"/>
  <c r="H30" i="2"/>
  <c r="G30" i="2"/>
  <c r="F30" i="2"/>
  <c r="E30" i="2"/>
  <c r="C30" i="2"/>
  <c r="I29" i="2"/>
  <c r="H29" i="2"/>
  <c r="G29" i="2"/>
  <c r="F29" i="2"/>
  <c r="E29" i="2"/>
  <c r="C29" i="2"/>
  <c r="I27" i="2"/>
  <c r="H27" i="2"/>
  <c r="G27" i="2"/>
  <c r="F27" i="2"/>
  <c r="E27" i="2"/>
  <c r="C27" i="2"/>
  <c r="I26" i="2"/>
  <c r="H26" i="2"/>
  <c r="G26" i="2"/>
  <c r="F26" i="2"/>
  <c r="E26" i="2"/>
  <c r="C26" i="2"/>
  <c r="I25" i="2"/>
  <c r="H25" i="2"/>
  <c r="G25" i="2"/>
  <c r="F25" i="2"/>
  <c r="E25" i="2"/>
  <c r="C25" i="2"/>
  <c r="F47" i="7"/>
  <c r="E47" i="7"/>
  <c r="C47" i="7"/>
  <c r="F46" i="7"/>
  <c r="E46" i="7"/>
  <c r="C46" i="7"/>
  <c r="F45" i="7"/>
  <c r="E45" i="7"/>
  <c r="C45" i="7"/>
  <c r="F43" i="7"/>
  <c r="E43" i="7"/>
  <c r="C43" i="7"/>
  <c r="F42" i="7"/>
  <c r="E42" i="7"/>
  <c r="C42" i="7"/>
  <c r="F41" i="7"/>
  <c r="E41" i="7"/>
  <c r="C41" i="7"/>
  <c r="F39" i="7"/>
  <c r="E39" i="7"/>
  <c r="C39" i="7"/>
  <c r="F38" i="7"/>
  <c r="E38" i="7"/>
  <c r="C38" i="7"/>
  <c r="F37" i="7"/>
  <c r="E37" i="7"/>
  <c r="C37" i="7"/>
  <c r="F35" i="7"/>
  <c r="E35" i="7"/>
  <c r="C35" i="7"/>
  <c r="F34" i="7"/>
  <c r="E34" i="7"/>
  <c r="C34" i="7"/>
  <c r="F33" i="7"/>
  <c r="E33" i="7"/>
  <c r="C33" i="7"/>
  <c r="F31" i="7"/>
  <c r="E31" i="7"/>
  <c r="C31" i="7"/>
  <c r="F30" i="7"/>
  <c r="E30" i="7"/>
  <c r="C30" i="7"/>
  <c r="F29" i="7"/>
  <c r="E29" i="7"/>
  <c r="C29" i="7"/>
  <c r="F27" i="7"/>
  <c r="E27" i="7"/>
  <c r="C27" i="7"/>
  <c r="F26" i="7"/>
  <c r="E26" i="7"/>
  <c r="C26" i="7"/>
  <c r="F25" i="7"/>
  <c r="E25" i="7"/>
  <c r="C25" i="7"/>
  <c r="B34" i="1" l="1"/>
  <c r="B40" i="1"/>
  <c r="B39" i="1"/>
  <c r="B38" i="1"/>
  <c r="B44" i="1"/>
  <c r="B43" i="1"/>
  <c r="B42" i="1"/>
  <c r="B32" i="1"/>
  <c r="A32" i="1" s="1"/>
  <c r="B31" i="1"/>
  <c r="A31" i="1" s="1"/>
  <c r="B30" i="1"/>
  <c r="A30" i="1" s="1"/>
  <c r="AC44" i="1"/>
  <c r="AB44" i="1"/>
  <c r="AC43" i="1"/>
  <c r="AB43" i="1"/>
  <c r="AC42" i="1"/>
  <c r="AB42" i="1"/>
  <c r="AC40" i="1"/>
  <c r="AB40" i="1"/>
  <c r="AC39" i="1"/>
  <c r="AB39" i="1"/>
  <c r="AC38" i="1"/>
  <c r="AB38" i="1"/>
  <c r="AC36" i="1"/>
  <c r="AB36" i="1"/>
  <c r="AC35" i="1"/>
  <c r="AB35" i="1"/>
  <c r="AC34" i="1"/>
  <c r="AB34" i="1"/>
  <c r="AC32" i="1"/>
  <c r="AB32" i="1"/>
  <c r="AC31" i="1"/>
  <c r="AB31" i="1"/>
  <c r="AC30" i="1"/>
  <c r="AB30" i="1"/>
  <c r="AC28" i="1"/>
  <c r="AB28" i="1"/>
  <c r="AC27" i="1"/>
  <c r="AB27" i="1"/>
  <c r="AC26" i="1"/>
  <c r="AB26" i="1"/>
  <c r="AC24" i="1"/>
  <c r="AB24" i="1"/>
  <c r="AC23" i="1"/>
  <c r="AB23" i="1"/>
  <c r="AC22" i="1"/>
  <c r="AB22" i="1"/>
  <c r="AC20" i="1"/>
  <c r="AB20" i="1"/>
  <c r="AC19" i="1"/>
  <c r="AB19" i="1"/>
  <c r="AC18" i="1"/>
  <c r="AB18" i="1"/>
  <c r="Q32" i="1" l="1"/>
  <c r="P32" i="1"/>
  <c r="U32" i="1" s="1"/>
  <c r="O32" i="1"/>
  <c r="Q38" i="1"/>
  <c r="P38" i="1"/>
  <c r="U38" i="1" s="1"/>
  <c r="O38" i="1"/>
  <c r="Q42" i="1"/>
  <c r="O42" i="1"/>
  <c r="P42" i="1"/>
  <c r="U42" i="1" s="1"/>
  <c r="Q39" i="1"/>
  <c r="P39" i="1"/>
  <c r="U39" i="1" s="1"/>
  <c r="O39" i="1"/>
  <c r="Q30" i="1"/>
  <c r="O30" i="1"/>
  <c r="P30" i="1"/>
  <c r="U30" i="1" s="1"/>
  <c r="Q43" i="1"/>
  <c r="P43" i="1"/>
  <c r="U43" i="1" s="1"/>
  <c r="O43" i="1"/>
  <c r="Q40" i="1"/>
  <c r="P40" i="1"/>
  <c r="U40" i="1" s="1"/>
  <c r="O40" i="1"/>
  <c r="O31" i="1"/>
  <c r="Q31" i="1"/>
  <c r="P31" i="1"/>
  <c r="U31" i="1" s="1"/>
  <c r="Q44" i="1"/>
  <c r="P44" i="1"/>
  <c r="U44" i="1" s="1"/>
  <c r="O44" i="1"/>
  <c r="Q34" i="1"/>
  <c r="P34" i="1"/>
  <c r="U34" i="1" s="1"/>
  <c r="O34" i="1"/>
  <c r="AI32" i="1"/>
  <c r="AH32" i="1"/>
  <c r="AI42" i="1"/>
  <c r="AH42" i="1"/>
  <c r="AI44" i="1"/>
  <c r="AH44" i="1"/>
  <c r="AI38" i="1"/>
  <c r="AH38" i="1"/>
  <c r="AI39" i="1"/>
  <c r="AH39" i="1"/>
  <c r="AI43" i="1"/>
  <c r="AH43" i="1"/>
  <c r="AH30" i="1"/>
  <c r="AI30" i="1"/>
  <c r="AH40" i="1"/>
  <c r="AI40" i="1"/>
  <c r="AI31" i="1"/>
  <c r="AH31" i="1"/>
  <c r="AI34" i="1"/>
  <c r="AH34" i="1"/>
  <c r="AF42" i="1"/>
  <c r="A42" i="1"/>
  <c r="AF43" i="1"/>
  <c r="A43" i="1"/>
  <c r="AF44" i="1"/>
  <c r="A44" i="1"/>
  <c r="AF39" i="1"/>
  <c r="A39" i="1"/>
  <c r="A40" i="1"/>
  <c r="AF40" i="1"/>
  <c r="AF38" i="1"/>
  <c r="A38" i="1"/>
  <c r="AF34" i="1"/>
  <c r="A34" i="1"/>
  <c r="AF30" i="1"/>
  <c r="AF32" i="1"/>
  <c r="AF31" i="1"/>
  <c r="AC41" i="1"/>
  <c r="AB41" i="1"/>
  <c r="AC37" i="1"/>
  <c r="AB37" i="1"/>
  <c r="AC33" i="1"/>
  <c r="AB33" i="1"/>
  <c r="AC29" i="1"/>
  <c r="AB29" i="1"/>
  <c r="AC25" i="1"/>
  <c r="AB25" i="1"/>
  <c r="AC21" i="1"/>
  <c r="AB21" i="1"/>
  <c r="X44" i="1"/>
  <c r="W44" i="1"/>
  <c r="X43" i="1"/>
  <c r="W43" i="1"/>
  <c r="Y43" i="1" s="1"/>
  <c r="J46" i="7" s="1"/>
  <c r="X42" i="1"/>
  <c r="W42" i="1"/>
  <c r="Z41" i="1"/>
  <c r="Y41" i="1"/>
  <c r="X41" i="1"/>
  <c r="W41" i="1"/>
  <c r="X40" i="1"/>
  <c r="W40" i="1"/>
  <c r="X39" i="1"/>
  <c r="W39" i="1"/>
  <c r="X38" i="1"/>
  <c r="W38" i="1"/>
  <c r="Z37" i="1"/>
  <c r="Y37" i="1"/>
  <c r="X37" i="1"/>
  <c r="W37" i="1"/>
  <c r="X36" i="1"/>
  <c r="W36" i="1"/>
  <c r="Z36" i="1" s="1"/>
  <c r="V36" i="1" s="1"/>
  <c r="X35" i="1"/>
  <c r="W35" i="1"/>
  <c r="X34" i="1"/>
  <c r="W34" i="1"/>
  <c r="Z34" i="1" s="1"/>
  <c r="V34" i="1" s="1"/>
  <c r="Z33" i="1"/>
  <c r="Y33" i="1"/>
  <c r="X33" i="1"/>
  <c r="W33" i="1"/>
  <c r="X32" i="1"/>
  <c r="W32" i="1"/>
  <c r="X31" i="1"/>
  <c r="W31" i="1"/>
  <c r="X30" i="1"/>
  <c r="W30" i="1"/>
  <c r="Z29" i="1"/>
  <c r="Y29" i="1"/>
  <c r="X29" i="1"/>
  <c r="W29" i="1"/>
  <c r="X28" i="1"/>
  <c r="W28" i="1"/>
  <c r="X27" i="1"/>
  <c r="W27" i="1"/>
  <c r="X26" i="1"/>
  <c r="W26" i="1"/>
  <c r="Z25" i="1"/>
  <c r="Y25" i="1"/>
  <c r="X25" i="1"/>
  <c r="W25" i="1"/>
  <c r="X24" i="1"/>
  <c r="W24" i="1"/>
  <c r="X23" i="1"/>
  <c r="W23" i="1"/>
  <c r="X22" i="1"/>
  <c r="W22" i="1"/>
  <c r="Z21" i="1"/>
  <c r="Y21" i="1"/>
  <c r="X21" i="1"/>
  <c r="W21" i="1"/>
  <c r="X20" i="1"/>
  <c r="W20" i="1"/>
  <c r="X19" i="1"/>
  <c r="W19" i="1"/>
  <c r="X18" i="1"/>
  <c r="W18" i="1"/>
  <c r="R47" i="7"/>
  <c r="A47" i="7" s="1"/>
  <c r="R46" i="7"/>
  <c r="A46" i="7" s="1"/>
  <c r="R45" i="7"/>
  <c r="A45" i="7" s="1"/>
  <c r="R43" i="7"/>
  <c r="A43" i="7" s="1"/>
  <c r="R42" i="7"/>
  <c r="A42" i="7" s="1"/>
  <c r="R41" i="7"/>
  <c r="A41" i="7" s="1"/>
  <c r="R39" i="7"/>
  <c r="R38" i="7"/>
  <c r="R37" i="7"/>
  <c r="A37" i="7" s="1"/>
  <c r="R35" i="7"/>
  <c r="A35" i="7" s="1"/>
  <c r="R34" i="7"/>
  <c r="A34" i="7" s="1"/>
  <c r="R33" i="7"/>
  <c r="A33" i="7" s="1"/>
  <c r="R31" i="7"/>
  <c r="R30" i="7"/>
  <c r="R29" i="7"/>
  <c r="R27" i="7"/>
  <c r="R26" i="7"/>
  <c r="R25" i="7"/>
  <c r="R23" i="7"/>
  <c r="R22" i="7"/>
  <c r="R21" i="7"/>
  <c r="T31" i="1" l="1"/>
  <c r="T40" i="1"/>
  <c r="T43" i="1"/>
  <c r="T30" i="1"/>
  <c r="T39" i="1"/>
  <c r="T42" i="1"/>
  <c r="T34" i="1"/>
  <c r="T44" i="1"/>
  <c r="T38" i="1"/>
  <c r="T32" i="1"/>
  <c r="Z42" i="1"/>
  <c r="Z39" i="1"/>
  <c r="V39" i="1" s="1"/>
  <c r="Y30" i="1"/>
  <c r="J33" i="7" s="1"/>
  <c r="Y32" i="1"/>
  <c r="J35" i="7" s="1"/>
  <c r="Z24" i="1"/>
  <c r="K27" i="7" s="1"/>
  <c r="K45" i="7"/>
  <c r="Y44" i="1"/>
  <c r="J47" i="7" s="1"/>
  <c r="K42" i="7"/>
  <c r="K37" i="7"/>
  <c r="K39" i="7"/>
  <c r="Y31" i="1"/>
  <c r="J34" i="7" s="1"/>
  <c r="Z27" i="1"/>
  <c r="L27" i="7"/>
  <c r="Z43" i="1"/>
  <c r="V43" i="1" s="1"/>
  <c r="Z38" i="1"/>
  <c r="V38" i="1" s="1"/>
  <c r="Z40" i="1"/>
  <c r="V40" i="1" s="1"/>
  <c r="Z35" i="1"/>
  <c r="V35" i="1" s="1"/>
  <c r="Z31" i="1"/>
  <c r="V31" i="1" s="1"/>
  <c r="Z30" i="1"/>
  <c r="V30" i="1" s="1"/>
  <c r="Z32" i="1"/>
  <c r="V32" i="1" s="1"/>
  <c r="Y42" i="1"/>
  <c r="J45" i="7" s="1"/>
  <c r="Z44" i="1"/>
  <c r="V44" i="1" s="1"/>
  <c r="Y38" i="1"/>
  <c r="J41" i="7" s="1"/>
  <c r="Y39" i="1"/>
  <c r="J42" i="7" s="1"/>
  <c r="Y40" i="1"/>
  <c r="J43" i="7" s="1"/>
  <c r="Z26" i="1"/>
  <c r="Z28" i="1"/>
  <c r="Z22" i="1"/>
  <c r="Z23" i="1"/>
  <c r="Y34" i="1"/>
  <c r="J37" i="7" s="1"/>
  <c r="Y35" i="1"/>
  <c r="J38" i="7" s="1"/>
  <c r="Y36" i="1"/>
  <c r="J39" i="7" s="1"/>
  <c r="Y26" i="1"/>
  <c r="J29" i="7" s="1"/>
  <c r="Y27" i="1"/>
  <c r="J30" i="7" s="1"/>
  <c r="Y28" i="1"/>
  <c r="J31" i="7" s="1"/>
  <c r="Y23" i="1"/>
  <c r="J26" i="7" s="1"/>
  <c r="Y24" i="1"/>
  <c r="J27" i="7" s="1"/>
  <c r="Z20" i="1"/>
  <c r="Y22" i="1"/>
  <c r="J25" i="7" s="1"/>
  <c r="Y20" i="1"/>
  <c r="Z19" i="1"/>
  <c r="Y19" i="1"/>
  <c r="Z18" i="1"/>
  <c r="Y18" i="1"/>
  <c r="L13" i="2"/>
  <c r="L12" i="2"/>
  <c r="R47" i="2"/>
  <c r="A47" i="2" s="1"/>
  <c r="R46" i="2"/>
  <c r="A46" i="2" s="1"/>
  <c r="R45" i="2"/>
  <c r="A45" i="2" s="1"/>
  <c r="R43" i="2"/>
  <c r="A43" i="2" s="1"/>
  <c r="R42" i="2"/>
  <c r="A42" i="2" s="1"/>
  <c r="R41" i="2"/>
  <c r="A41" i="2" s="1"/>
  <c r="R39" i="2"/>
  <c r="R38" i="2"/>
  <c r="R37" i="2"/>
  <c r="A37" i="2" s="1"/>
  <c r="R35" i="2"/>
  <c r="A35" i="2" s="1"/>
  <c r="R34" i="2"/>
  <c r="A34" i="2" s="1"/>
  <c r="R33" i="2"/>
  <c r="A33" i="2" s="1"/>
  <c r="R31" i="2"/>
  <c r="R30" i="2"/>
  <c r="R29" i="2"/>
  <c r="R27" i="2"/>
  <c r="R26" i="2"/>
  <c r="R25" i="2"/>
  <c r="R23" i="2"/>
  <c r="R22" i="2"/>
  <c r="R21" i="2"/>
  <c r="C23" i="7"/>
  <c r="C22" i="7"/>
  <c r="C21" i="7"/>
  <c r="F15" i="7"/>
  <c r="C10" i="7"/>
  <c r="C9" i="7"/>
  <c r="C8" i="7"/>
  <c r="C60" i="2"/>
  <c r="C60" i="7"/>
  <c r="Q56" i="7"/>
  <c r="C59" i="2"/>
  <c r="C59" i="7"/>
  <c r="L15" i="7"/>
  <c r="L14" i="7"/>
  <c r="L13" i="7"/>
  <c r="L12" i="7"/>
  <c r="L11" i="7"/>
  <c r="C15" i="7"/>
  <c r="C14" i="7"/>
  <c r="C12" i="7"/>
  <c r="C11" i="7"/>
  <c r="C7" i="7"/>
  <c r="C6" i="7"/>
  <c r="L15" i="2"/>
  <c r="L14" i="2"/>
  <c r="L11" i="2"/>
  <c r="C15" i="2"/>
  <c r="C14" i="2"/>
  <c r="C12" i="2"/>
  <c r="C11" i="2"/>
  <c r="C7" i="2"/>
  <c r="C6" i="2"/>
  <c r="L39" i="7" l="1"/>
  <c r="L42" i="7"/>
  <c r="V18" i="1"/>
  <c r="L37" i="7"/>
  <c r="V42" i="1"/>
  <c r="K47" i="7"/>
  <c r="K46" i="7"/>
  <c r="K43" i="7"/>
  <c r="K41" i="7"/>
  <c r="K38" i="7"/>
  <c r="K35" i="7"/>
  <c r="K33" i="7"/>
  <c r="K34" i="7"/>
  <c r="K31" i="7"/>
  <c r="K30" i="7"/>
  <c r="K29" i="7"/>
  <c r="L25" i="7"/>
  <c r="K25" i="7"/>
  <c r="L26" i="7"/>
  <c r="K26" i="7"/>
  <c r="L29" i="7" l="1"/>
  <c r="L31" i="7"/>
  <c r="L33" i="7"/>
  <c r="L38" i="7"/>
  <c r="L43" i="7"/>
  <c r="L47" i="7"/>
  <c r="L30" i="7"/>
  <c r="L34" i="7"/>
  <c r="L35" i="7"/>
  <c r="L41" i="7"/>
  <c r="L46" i="7"/>
  <c r="L45" i="7"/>
  <c r="F23" i="7"/>
  <c r="E23" i="7"/>
  <c r="F22" i="7"/>
  <c r="E22" i="7"/>
  <c r="J23" i="7"/>
  <c r="F21" i="7"/>
  <c r="E21" i="7"/>
  <c r="J21" i="7" l="1"/>
  <c r="L22" i="7"/>
  <c r="L23" i="7"/>
  <c r="K22" i="7"/>
  <c r="J22" i="7"/>
  <c r="K23" i="7" l="1"/>
  <c r="K21" i="7"/>
  <c r="F15" i="2"/>
  <c r="C10" i="2"/>
  <c r="C9" i="2"/>
  <c r="A61" i="7"/>
  <c r="A52" i="7"/>
  <c r="N51" i="7"/>
  <c r="M51" i="7"/>
  <c r="H51" i="7"/>
  <c r="G51" i="7"/>
  <c r="F51" i="7"/>
  <c r="N50" i="7"/>
  <c r="M50" i="7"/>
  <c r="H50" i="7"/>
  <c r="G50" i="7"/>
  <c r="F50" i="7"/>
  <c r="N51" i="2"/>
  <c r="M51" i="2"/>
  <c r="H51" i="2"/>
  <c r="G51" i="2"/>
  <c r="F51" i="2"/>
  <c r="N50" i="2"/>
  <c r="M50" i="2"/>
  <c r="H50" i="2"/>
  <c r="G50" i="2"/>
  <c r="F50" i="2"/>
  <c r="B23" i="1"/>
  <c r="A23" i="1" s="1"/>
  <c r="B20" i="1"/>
  <c r="A20" i="1" s="1"/>
  <c r="B19" i="1"/>
  <c r="A19" i="1" s="1"/>
  <c r="I23" i="2"/>
  <c r="H23" i="2"/>
  <c r="G23" i="2"/>
  <c r="F23" i="2"/>
  <c r="E23" i="2"/>
  <c r="C23" i="2"/>
  <c r="I22" i="2"/>
  <c r="H22" i="2"/>
  <c r="G22" i="2"/>
  <c r="F22" i="2"/>
  <c r="E22" i="2"/>
  <c r="C22" i="2"/>
  <c r="C21" i="2"/>
  <c r="I21" i="2"/>
  <c r="H21" i="2"/>
  <c r="G21" i="2"/>
  <c r="F21" i="2"/>
  <c r="E21" i="2"/>
  <c r="V19" i="1" l="1"/>
  <c r="V20" i="1"/>
  <c r="V23" i="1"/>
  <c r="P23" i="1"/>
  <c r="Q23" i="1" s="1"/>
  <c r="O23" i="1"/>
  <c r="O19" i="1"/>
  <c r="P19" i="1"/>
  <c r="U19" i="1" s="1"/>
  <c r="O20" i="1"/>
  <c r="P20" i="1"/>
  <c r="U20" i="1" s="1"/>
  <c r="AI23" i="1"/>
  <c r="AH23" i="1"/>
  <c r="AI19" i="1"/>
  <c r="AH19" i="1"/>
  <c r="AF19" i="1"/>
  <c r="AF23" i="1"/>
  <c r="A23" i="7"/>
  <c r="A23" i="2"/>
  <c r="A26" i="7"/>
  <c r="A26" i="2"/>
  <c r="A21" i="7"/>
  <c r="A21" i="2"/>
  <c r="A22" i="7"/>
  <c r="A22" i="2"/>
  <c r="L21" i="7"/>
  <c r="B24" i="1"/>
  <c r="A24" i="1" s="1"/>
  <c r="B22" i="1"/>
  <c r="A22" i="1" s="1"/>
  <c r="C5" i="5"/>
  <c r="A1" i="5" s="1"/>
  <c r="Q19" i="1" l="1"/>
  <c r="Q20" i="1"/>
  <c r="T23" i="1"/>
  <c r="V24" i="1"/>
  <c r="P24" i="1"/>
  <c r="Q24" i="1" s="1"/>
  <c r="O24" i="1"/>
  <c r="U23" i="1"/>
  <c r="P22" i="1"/>
  <c r="U22" i="1" s="1"/>
  <c r="V22" i="1"/>
  <c r="Q22" i="1"/>
  <c r="O22" i="1"/>
  <c r="AH22" i="1"/>
  <c r="AI22" i="1"/>
  <c r="AH24" i="1"/>
  <c r="AI24" i="1"/>
  <c r="AF22" i="1"/>
  <c r="AF24" i="1"/>
  <c r="A25" i="7"/>
  <c r="A25" i="2"/>
  <c r="A27" i="7"/>
  <c r="A27" i="2"/>
  <c r="L435" i="4"/>
  <c r="M435" i="4"/>
  <c r="N435" i="4"/>
  <c r="L436" i="4"/>
  <c r="M436" i="4"/>
  <c r="N436" i="4"/>
  <c r="L437" i="4"/>
  <c r="M437" i="4"/>
  <c r="N437" i="4"/>
  <c r="L438" i="4"/>
  <c r="M438" i="4"/>
  <c r="N438" i="4"/>
  <c r="L439" i="4"/>
  <c r="M439" i="4"/>
  <c r="N439" i="4"/>
  <c r="L440" i="4"/>
  <c r="M440" i="4"/>
  <c r="N440" i="4"/>
  <c r="L441" i="4"/>
  <c r="M441" i="4"/>
  <c r="N441" i="4"/>
  <c r="L442" i="4"/>
  <c r="M442" i="4"/>
  <c r="N442" i="4"/>
  <c r="L443" i="4"/>
  <c r="M443" i="4"/>
  <c r="N443" i="4"/>
  <c r="L444" i="4"/>
  <c r="M444" i="4"/>
  <c r="N444" i="4"/>
  <c r="L445" i="4"/>
  <c r="M445" i="4"/>
  <c r="N445" i="4"/>
  <c r="L446" i="4"/>
  <c r="M446" i="4"/>
  <c r="N446" i="4"/>
  <c r="L447" i="4"/>
  <c r="M447" i="4"/>
  <c r="N447" i="4"/>
  <c r="L448" i="4"/>
  <c r="M448" i="4"/>
  <c r="N448" i="4"/>
  <c r="L449" i="4"/>
  <c r="M449" i="4"/>
  <c r="N449" i="4"/>
  <c r="L450" i="4"/>
  <c r="M450" i="4"/>
  <c r="N450" i="4"/>
  <c r="L451" i="4"/>
  <c r="M451" i="4"/>
  <c r="N451" i="4"/>
  <c r="L452" i="4"/>
  <c r="M452" i="4"/>
  <c r="N452" i="4"/>
  <c r="L453" i="4"/>
  <c r="M453" i="4"/>
  <c r="N453" i="4"/>
  <c r="L454" i="4"/>
  <c r="M454" i="4"/>
  <c r="N454" i="4"/>
  <c r="L455" i="4"/>
  <c r="M455" i="4"/>
  <c r="N455" i="4"/>
  <c r="L456" i="4"/>
  <c r="M456" i="4"/>
  <c r="N456" i="4"/>
  <c r="L457" i="4"/>
  <c r="M457" i="4"/>
  <c r="N457" i="4"/>
  <c r="L458" i="4"/>
  <c r="M458" i="4"/>
  <c r="N458" i="4"/>
  <c r="L459" i="4"/>
  <c r="M459" i="4"/>
  <c r="N459" i="4"/>
  <c r="L460" i="4"/>
  <c r="M460" i="4"/>
  <c r="N460" i="4"/>
  <c r="L461" i="4"/>
  <c r="M461" i="4"/>
  <c r="N461" i="4"/>
  <c r="L462" i="4"/>
  <c r="M462" i="4"/>
  <c r="N462" i="4"/>
  <c r="L463" i="4"/>
  <c r="M463" i="4"/>
  <c r="N463" i="4"/>
  <c r="L464" i="4"/>
  <c r="M464" i="4"/>
  <c r="N464" i="4"/>
  <c r="L465" i="4"/>
  <c r="M465" i="4"/>
  <c r="N465" i="4"/>
  <c r="L466" i="4"/>
  <c r="M466" i="4"/>
  <c r="N466" i="4"/>
  <c r="L467" i="4"/>
  <c r="M467" i="4"/>
  <c r="N467" i="4"/>
  <c r="L468" i="4"/>
  <c r="M468" i="4"/>
  <c r="N468" i="4"/>
  <c r="L469" i="4"/>
  <c r="M469" i="4"/>
  <c r="N469" i="4"/>
  <c r="L470" i="4"/>
  <c r="M470" i="4"/>
  <c r="N470" i="4"/>
  <c r="L471" i="4"/>
  <c r="M471" i="4"/>
  <c r="N471" i="4"/>
  <c r="L472" i="4"/>
  <c r="M472" i="4"/>
  <c r="N472" i="4"/>
  <c r="L473" i="4"/>
  <c r="M473" i="4"/>
  <c r="N473" i="4"/>
  <c r="L474" i="4"/>
  <c r="M474" i="4"/>
  <c r="N474" i="4"/>
  <c r="L475" i="4"/>
  <c r="M475" i="4"/>
  <c r="N475" i="4"/>
  <c r="L476" i="4"/>
  <c r="M476" i="4"/>
  <c r="N476" i="4"/>
  <c r="L477" i="4"/>
  <c r="M477" i="4"/>
  <c r="N477" i="4"/>
  <c r="L478" i="4"/>
  <c r="M478" i="4"/>
  <c r="N478" i="4"/>
  <c r="L479" i="4"/>
  <c r="M479" i="4"/>
  <c r="N479" i="4"/>
  <c r="L480" i="4"/>
  <c r="M480" i="4"/>
  <c r="N480" i="4"/>
  <c r="L481" i="4"/>
  <c r="M481" i="4"/>
  <c r="N481" i="4"/>
  <c r="L482" i="4"/>
  <c r="M482" i="4"/>
  <c r="N482" i="4"/>
  <c r="L483" i="4"/>
  <c r="M483" i="4"/>
  <c r="N483" i="4"/>
  <c r="L484" i="4"/>
  <c r="M484" i="4"/>
  <c r="N484" i="4"/>
  <c r="L485" i="4"/>
  <c r="M485" i="4"/>
  <c r="N485" i="4"/>
  <c r="L486" i="4"/>
  <c r="M486" i="4"/>
  <c r="N486" i="4"/>
  <c r="L487" i="4"/>
  <c r="M487" i="4"/>
  <c r="N487" i="4"/>
  <c r="L488" i="4"/>
  <c r="M488" i="4"/>
  <c r="N488" i="4"/>
  <c r="L489" i="4"/>
  <c r="M489" i="4"/>
  <c r="N489" i="4"/>
  <c r="L490" i="4"/>
  <c r="M490" i="4"/>
  <c r="N490" i="4"/>
  <c r="L491" i="4"/>
  <c r="M491" i="4"/>
  <c r="N491" i="4"/>
  <c r="L492" i="4"/>
  <c r="M492" i="4"/>
  <c r="N492" i="4"/>
  <c r="L493" i="4"/>
  <c r="M493" i="4"/>
  <c r="N493" i="4"/>
  <c r="L494" i="4"/>
  <c r="M494" i="4"/>
  <c r="N494" i="4"/>
  <c r="L495" i="4"/>
  <c r="M495" i="4"/>
  <c r="N495" i="4"/>
  <c r="L496" i="4"/>
  <c r="M496" i="4"/>
  <c r="N496" i="4"/>
  <c r="L497" i="4"/>
  <c r="M497" i="4"/>
  <c r="N497" i="4"/>
  <c r="L498" i="4"/>
  <c r="M498" i="4"/>
  <c r="N498" i="4"/>
  <c r="L499" i="4"/>
  <c r="M499" i="4"/>
  <c r="N499" i="4"/>
  <c r="L500" i="4"/>
  <c r="M500" i="4"/>
  <c r="N500" i="4"/>
  <c r="L501" i="4"/>
  <c r="M501" i="4"/>
  <c r="N501" i="4"/>
  <c r="L502" i="4"/>
  <c r="M502" i="4"/>
  <c r="N502" i="4"/>
  <c r="L503" i="4"/>
  <c r="M503" i="4"/>
  <c r="N503" i="4"/>
  <c r="L504" i="4"/>
  <c r="M504" i="4"/>
  <c r="N504" i="4"/>
  <c r="L505" i="4"/>
  <c r="M505" i="4"/>
  <c r="N505" i="4"/>
  <c r="L506" i="4"/>
  <c r="M506" i="4"/>
  <c r="N506" i="4"/>
  <c r="L507" i="4"/>
  <c r="M507" i="4"/>
  <c r="N507" i="4"/>
  <c r="L508" i="4"/>
  <c r="M508" i="4"/>
  <c r="N508" i="4"/>
  <c r="L509" i="4"/>
  <c r="M509" i="4"/>
  <c r="N509" i="4"/>
  <c r="L510" i="4"/>
  <c r="M510" i="4"/>
  <c r="N510" i="4"/>
  <c r="L511" i="4"/>
  <c r="M511" i="4"/>
  <c r="N511" i="4"/>
  <c r="L512" i="4"/>
  <c r="M512" i="4"/>
  <c r="N512" i="4"/>
  <c r="L513" i="4"/>
  <c r="M513" i="4"/>
  <c r="N513" i="4"/>
  <c r="L514" i="4"/>
  <c r="M514" i="4"/>
  <c r="N514" i="4"/>
  <c r="L515" i="4"/>
  <c r="M515" i="4"/>
  <c r="N515" i="4"/>
  <c r="L516" i="4"/>
  <c r="M516" i="4"/>
  <c r="N516" i="4"/>
  <c r="L517" i="4"/>
  <c r="M517" i="4"/>
  <c r="N517" i="4"/>
  <c r="L518" i="4"/>
  <c r="M518" i="4"/>
  <c r="N518" i="4"/>
  <c r="L519" i="4"/>
  <c r="M519" i="4"/>
  <c r="N519" i="4"/>
  <c r="L520" i="4"/>
  <c r="M520" i="4"/>
  <c r="N520" i="4"/>
  <c r="L521" i="4"/>
  <c r="M521" i="4"/>
  <c r="N521" i="4"/>
  <c r="L522" i="4"/>
  <c r="M522" i="4"/>
  <c r="N522" i="4"/>
  <c r="L523" i="4"/>
  <c r="M523" i="4"/>
  <c r="N523" i="4"/>
  <c r="L524" i="4"/>
  <c r="M524" i="4"/>
  <c r="N524" i="4"/>
  <c r="L525" i="4"/>
  <c r="M525" i="4"/>
  <c r="N525" i="4"/>
  <c r="L526" i="4"/>
  <c r="M526" i="4"/>
  <c r="N526" i="4"/>
  <c r="L527" i="4"/>
  <c r="M527" i="4"/>
  <c r="N527" i="4"/>
  <c r="L528" i="4"/>
  <c r="M528" i="4"/>
  <c r="N528" i="4"/>
  <c r="L529" i="4"/>
  <c r="M529" i="4"/>
  <c r="N529" i="4"/>
  <c r="L530" i="4"/>
  <c r="M530" i="4"/>
  <c r="N530" i="4"/>
  <c r="L531" i="4"/>
  <c r="M531" i="4"/>
  <c r="N531" i="4"/>
  <c r="L532" i="4"/>
  <c r="M532" i="4"/>
  <c r="N532" i="4"/>
  <c r="L533" i="4"/>
  <c r="M533" i="4"/>
  <c r="N533" i="4"/>
  <c r="L534" i="4"/>
  <c r="M534" i="4"/>
  <c r="N534" i="4"/>
  <c r="L535" i="4"/>
  <c r="M535" i="4"/>
  <c r="N535" i="4"/>
  <c r="L536" i="4"/>
  <c r="M536" i="4"/>
  <c r="N536" i="4"/>
  <c r="L537" i="4"/>
  <c r="M537" i="4"/>
  <c r="N537" i="4"/>
  <c r="L538" i="4"/>
  <c r="M538" i="4"/>
  <c r="N538" i="4"/>
  <c r="L539" i="4"/>
  <c r="M539" i="4"/>
  <c r="N539" i="4"/>
  <c r="L540" i="4"/>
  <c r="M540" i="4"/>
  <c r="N540" i="4"/>
  <c r="L541" i="4"/>
  <c r="M541" i="4"/>
  <c r="N541" i="4"/>
  <c r="L542" i="4"/>
  <c r="M542" i="4"/>
  <c r="N542" i="4"/>
  <c r="L543" i="4"/>
  <c r="M543" i="4"/>
  <c r="N543" i="4"/>
  <c r="L544" i="4"/>
  <c r="M544" i="4"/>
  <c r="N544" i="4"/>
  <c r="L545" i="4"/>
  <c r="M545" i="4"/>
  <c r="N545" i="4"/>
  <c r="L546" i="4"/>
  <c r="M546" i="4"/>
  <c r="N546" i="4"/>
  <c r="L547" i="4"/>
  <c r="M547" i="4"/>
  <c r="N547" i="4"/>
  <c r="L548" i="4"/>
  <c r="M548" i="4"/>
  <c r="N548" i="4"/>
  <c r="L549" i="4"/>
  <c r="M549" i="4"/>
  <c r="N549" i="4"/>
  <c r="L550" i="4"/>
  <c r="M550" i="4"/>
  <c r="N550" i="4"/>
  <c r="L551" i="4"/>
  <c r="M551" i="4"/>
  <c r="N551" i="4"/>
  <c r="L552" i="4"/>
  <c r="M552" i="4"/>
  <c r="N552" i="4"/>
  <c r="L553" i="4"/>
  <c r="M553" i="4"/>
  <c r="N553" i="4"/>
  <c r="L554" i="4"/>
  <c r="M554" i="4"/>
  <c r="N554" i="4"/>
  <c r="L555" i="4"/>
  <c r="M555" i="4"/>
  <c r="N555" i="4"/>
  <c r="L556" i="4"/>
  <c r="M556" i="4"/>
  <c r="N556" i="4"/>
  <c r="L557" i="4"/>
  <c r="M557" i="4"/>
  <c r="N557" i="4"/>
  <c r="L558" i="4"/>
  <c r="M558" i="4"/>
  <c r="N558" i="4"/>
  <c r="L559" i="4"/>
  <c r="M559" i="4"/>
  <c r="N559" i="4"/>
  <c r="L560" i="4"/>
  <c r="M560" i="4"/>
  <c r="N560" i="4"/>
  <c r="L561" i="4"/>
  <c r="M561" i="4"/>
  <c r="N561" i="4"/>
  <c r="L562" i="4"/>
  <c r="M562" i="4"/>
  <c r="N562" i="4"/>
  <c r="L563" i="4"/>
  <c r="M563" i="4"/>
  <c r="N563" i="4"/>
  <c r="L564" i="4"/>
  <c r="M564" i="4"/>
  <c r="N564" i="4"/>
  <c r="L565" i="4"/>
  <c r="M565" i="4"/>
  <c r="N565" i="4"/>
  <c r="L566" i="4"/>
  <c r="M566" i="4"/>
  <c r="N566" i="4"/>
  <c r="L567" i="4"/>
  <c r="M567" i="4"/>
  <c r="N567" i="4"/>
  <c r="L568" i="4"/>
  <c r="M568" i="4"/>
  <c r="N568" i="4"/>
  <c r="L569" i="4"/>
  <c r="M569" i="4"/>
  <c r="N569" i="4"/>
  <c r="L570" i="4"/>
  <c r="M570" i="4"/>
  <c r="N570" i="4"/>
  <c r="L571" i="4"/>
  <c r="M571" i="4"/>
  <c r="N571" i="4"/>
  <c r="L572" i="4"/>
  <c r="M572" i="4"/>
  <c r="N572" i="4"/>
  <c r="L573" i="4"/>
  <c r="M573" i="4"/>
  <c r="N573" i="4"/>
  <c r="L574" i="4"/>
  <c r="M574" i="4"/>
  <c r="N574" i="4"/>
  <c r="L575" i="4"/>
  <c r="M575" i="4"/>
  <c r="N575" i="4"/>
  <c r="L576" i="4"/>
  <c r="M576" i="4"/>
  <c r="N576" i="4"/>
  <c r="L577" i="4"/>
  <c r="M577" i="4"/>
  <c r="N577" i="4"/>
  <c r="L578" i="4"/>
  <c r="M578" i="4"/>
  <c r="N578" i="4"/>
  <c r="L579" i="4"/>
  <c r="M579" i="4"/>
  <c r="N579" i="4"/>
  <c r="L580" i="4"/>
  <c r="M580" i="4"/>
  <c r="N580" i="4"/>
  <c r="L581" i="4"/>
  <c r="M581" i="4"/>
  <c r="N581" i="4"/>
  <c r="L582" i="4"/>
  <c r="M582" i="4"/>
  <c r="N582" i="4"/>
  <c r="L583" i="4"/>
  <c r="M583" i="4"/>
  <c r="N583" i="4"/>
  <c r="L584" i="4"/>
  <c r="M584" i="4"/>
  <c r="N584" i="4"/>
  <c r="L585" i="4"/>
  <c r="M585" i="4"/>
  <c r="N585" i="4"/>
  <c r="L586" i="4"/>
  <c r="M586" i="4"/>
  <c r="N586" i="4"/>
  <c r="L587" i="4"/>
  <c r="M587" i="4"/>
  <c r="N587" i="4"/>
  <c r="L588" i="4"/>
  <c r="M588" i="4"/>
  <c r="N588" i="4"/>
  <c r="L589" i="4"/>
  <c r="M589" i="4"/>
  <c r="N589" i="4"/>
  <c r="L590" i="4"/>
  <c r="M590" i="4"/>
  <c r="N590" i="4"/>
  <c r="L591" i="4"/>
  <c r="M591" i="4"/>
  <c r="N591" i="4"/>
  <c r="L592" i="4"/>
  <c r="M592" i="4"/>
  <c r="N592" i="4"/>
  <c r="L593" i="4"/>
  <c r="M593" i="4"/>
  <c r="N593" i="4"/>
  <c r="L594" i="4"/>
  <c r="M594" i="4"/>
  <c r="N594" i="4"/>
  <c r="L595" i="4"/>
  <c r="M595" i="4"/>
  <c r="N595" i="4"/>
  <c r="L596" i="4"/>
  <c r="M596" i="4"/>
  <c r="N596" i="4"/>
  <c r="L597" i="4"/>
  <c r="M597" i="4"/>
  <c r="N597" i="4"/>
  <c r="M398" i="4"/>
  <c r="N398" i="4"/>
  <c r="M399" i="4"/>
  <c r="N399" i="4"/>
  <c r="M400" i="4"/>
  <c r="N400" i="4"/>
  <c r="M401" i="4"/>
  <c r="N401" i="4"/>
  <c r="M402" i="4"/>
  <c r="N402" i="4"/>
  <c r="M403" i="4"/>
  <c r="N403" i="4"/>
  <c r="M404" i="4"/>
  <c r="N404" i="4"/>
  <c r="M405" i="4"/>
  <c r="N405" i="4"/>
  <c r="M406" i="4"/>
  <c r="N406" i="4"/>
  <c r="M407" i="4"/>
  <c r="N407" i="4"/>
  <c r="M408" i="4"/>
  <c r="N408" i="4"/>
  <c r="M409" i="4"/>
  <c r="N409" i="4"/>
  <c r="M410" i="4"/>
  <c r="N410" i="4"/>
  <c r="M411" i="4"/>
  <c r="N411" i="4"/>
  <c r="M412" i="4"/>
  <c r="N412" i="4"/>
  <c r="M413" i="4"/>
  <c r="N413" i="4"/>
  <c r="M414" i="4"/>
  <c r="N414" i="4"/>
  <c r="M415" i="4"/>
  <c r="N415" i="4"/>
  <c r="M416" i="4"/>
  <c r="N416" i="4"/>
  <c r="M417" i="4"/>
  <c r="N417" i="4"/>
  <c r="M418" i="4"/>
  <c r="N418" i="4"/>
  <c r="M419" i="4"/>
  <c r="N419" i="4"/>
  <c r="M420" i="4"/>
  <c r="N420" i="4"/>
  <c r="M421" i="4"/>
  <c r="N421" i="4"/>
  <c r="M422" i="4"/>
  <c r="N422" i="4"/>
  <c r="M423" i="4"/>
  <c r="N423" i="4"/>
  <c r="M424" i="4"/>
  <c r="N424" i="4"/>
  <c r="M425" i="4"/>
  <c r="N425" i="4"/>
  <c r="M426" i="4"/>
  <c r="N426" i="4"/>
  <c r="M427" i="4"/>
  <c r="N427" i="4"/>
  <c r="M428" i="4"/>
  <c r="N428" i="4"/>
  <c r="M429" i="4"/>
  <c r="N429" i="4"/>
  <c r="M430" i="4"/>
  <c r="N430" i="4"/>
  <c r="M431" i="4"/>
  <c r="N431" i="4"/>
  <c r="M432" i="4"/>
  <c r="N432" i="4"/>
  <c r="M433" i="4"/>
  <c r="N433" i="4"/>
  <c r="M434" i="4"/>
  <c r="N434" i="4"/>
  <c r="M2" i="4"/>
  <c r="N2" i="4"/>
  <c r="M3" i="4"/>
  <c r="N3" i="4"/>
  <c r="M4" i="4"/>
  <c r="N4" i="4"/>
  <c r="M5" i="4"/>
  <c r="N5" i="4"/>
  <c r="M6" i="4"/>
  <c r="N6" i="4"/>
  <c r="M7" i="4"/>
  <c r="N7" i="4"/>
  <c r="M8" i="4"/>
  <c r="N8" i="4"/>
  <c r="M9" i="4"/>
  <c r="N9" i="4"/>
  <c r="M10" i="4"/>
  <c r="N10" i="4"/>
  <c r="M11" i="4"/>
  <c r="N11" i="4"/>
  <c r="M12" i="4"/>
  <c r="N12" i="4"/>
  <c r="M13" i="4"/>
  <c r="N13" i="4"/>
  <c r="M14" i="4"/>
  <c r="N14" i="4"/>
  <c r="M15" i="4"/>
  <c r="N15" i="4"/>
  <c r="M16" i="4"/>
  <c r="N16" i="4"/>
  <c r="M17" i="4"/>
  <c r="N17" i="4"/>
  <c r="M18" i="4"/>
  <c r="N18" i="4"/>
  <c r="M19" i="4"/>
  <c r="N19" i="4"/>
  <c r="M20" i="4"/>
  <c r="N20" i="4"/>
  <c r="M21" i="4"/>
  <c r="N21" i="4"/>
  <c r="M22" i="4"/>
  <c r="N22" i="4"/>
  <c r="M23" i="4"/>
  <c r="N23" i="4"/>
  <c r="M24" i="4"/>
  <c r="N24" i="4"/>
  <c r="M25" i="4"/>
  <c r="N25" i="4"/>
  <c r="M26" i="4"/>
  <c r="N26" i="4"/>
  <c r="M27" i="4"/>
  <c r="N27" i="4"/>
  <c r="M28" i="4"/>
  <c r="N28" i="4"/>
  <c r="M29" i="4"/>
  <c r="N29" i="4"/>
  <c r="M30" i="4"/>
  <c r="N30" i="4"/>
  <c r="M31" i="4"/>
  <c r="N31" i="4"/>
  <c r="M32" i="4"/>
  <c r="N32" i="4"/>
  <c r="M33" i="4"/>
  <c r="N33" i="4"/>
  <c r="M34" i="4"/>
  <c r="N34" i="4"/>
  <c r="M35" i="4"/>
  <c r="N35" i="4"/>
  <c r="M36" i="4"/>
  <c r="N36" i="4"/>
  <c r="M37" i="4"/>
  <c r="N37" i="4"/>
  <c r="M38" i="4"/>
  <c r="N38" i="4"/>
  <c r="M39" i="4"/>
  <c r="N39" i="4"/>
  <c r="M40" i="4"/>
  <c r="N40" i="4"/>
  <c r="M41" i="4"/>
  <c r="N41" i="4"/>
  <c r="M42" i="4"/>
  <c r="N42" i="4"/>
  <c r="M43" i="4"/>
  <c r="N43" i="4"/>
  <c r="M44" i="4"/>
  <c r="N44" i="4"/>
  <c r="M45" i="4"/>
  <c r="N45" i="4"/>
  <c r="M46" i="4"/>
  <c r="N46" i="4"/>
  <c r="M47" i="4"/>
  <c r="N47" i="4"/>
  <c r="M48" i="4"/>
  <c r="N48" i="4"/>
  <c r="M49" i="4"/>
  <c r="N49" i="4"/>
  <c r="M50" i="4"/>
  <c r="N50" i="4"/>
  <c r="M51" i="4"/>
  <c r="N51" i="4"/>
  <c r="M52" i="4"/>
  <c r="N52" i="4"/>
  <c r="M53" i="4"/>
  <c r="N53" i="4"/>
  <c r="M54" i="4"/>
  <c r="N54" i="4"/>
  <c r="M55" i="4"/>
  <c r="N55" i="4"/>
  <c r="M56" i="4"/>
  <c r="N56" i="4"/>
  <c r="M57" i="4"/>
  <c r="N57" i="4"/>
  <c r="M58" i="4"/>
  <c r="N58" i="4"/>
  <c r="M59" i="4"/>
  <c r="N59" i="4"/>
  <c r="M60" i="4"/>
  <c r="N60" i="4"/>
  <c r="M61" i="4"/>
  <c r="N61" i="4"/>
  <c r="M62" i="4"/>
  <c r="N62" i="4"/>
  <c r="M63" i="4"/>
  <c r="N63" i="4"/>
  <c r="M64" i="4"/>
  <c r="N64" i="4"/>
  <c r="M65" i="4"/>
  <c r="N65" i="4"/>
  <c r="M66" i="4"/>
  <c r="N66" i="4"/>
  <c r="M67" i="4"/>
  <c r="N67" i="4"/>
  <c r="M68" i="4"/>
  <c r="N68" i="4"/>
  <c r="M69" i="4"/>
  <c r="N69" i="4"/>
  <c r="M70" i="4"/>
  <c r="N70" i="4"/>
  <c r="M71" i="4"/>
  <c r="N71" i="4"/>
  <c r="M72" i="4"/>
  <c r="N72" i="4"/>
  <c r="M73" i="4"/>
  <c r="N73" i="4"/>
  <c r="M74" i="4"/>
  <c r="N74" i="4"/>
  <c r="M75" i="4"/>
  <c r="N75" i="4"/>
  <c r="M76" i="4"/>
  <c r="N76" i="4"/>
  <c r="M77" i="4"/>
  <c r="N77" i="4"/>
  <c r="M78" i="4"/>
  <c r="N78" i="4"/>
  <c r="M79" i="4"/>
  <c r="N79" i="4"/>
  <c r="M80" i="4"/>
  <c r="N80" i="4"/>
  <c r="M81" i="4"/>
  <c r="N81" i="4"/>
  <c r="M82" i="4"/>
  <c r="N82" i="4"/>
  <c r="M83" i="4"/>
  <c r="N83" i="4"/>
  <c r="M84" i="4"/>
  <c r="N84" i="4"/>
  <c r="M85" i="4"/>
  <c r="N85" i="4"/>
  <c r="M86" i="4"/>
  <c r="N86" i="4"/>
  <c r="M87" i="4"/>
  <c r="N87" i="4"/>
  <c r="M88" i="4"/>
  <c r="N88" i="4"/>
  <c r="M89" i="4"/>
  <c r="N89" i="4"/>
  <c r="M90" i="4"/>
  <c r="N90" i="4"/>
  <c r="M91" i="4"/>
  <c r="N91" i="4"/>
  <c r="M92" i="4"/>
  <c r="N92" i="4"/>
  <c r="M93" i="4"/>
  <c r="N93" i="4"/>
  <c r="M94" i="4"/>
  <c r="N94" i="4"/>
  <c r="M95" i="4"/>
  <c r="N95" i="4"/>
  <c r="M96" i="4"/>
  <c r="N96" i="4"/>
  <c r="M97" i="4"/>
  <c r="N97" i="4"/>
  <c r="M98" i="4"/>
  <c r="N98" i="4"/>
  <c r="M99" i="4"/>
  <c r="N99" i="4"/>
  <c r="M100" i="4"/>
  <c r="N100" i="4"/>
  <c r="M101" i="4"/>
  <c r="N101" i="4"/>
  <c r="M102" i="4"/>
  <c r="N102" i="4"/>
  <c r="M103" i="4"/>
  <c r="N103" i="4"/>
  <c r="M104" i="4"/>
  <c r="Q104" i="4" s="1"/>
  <c r="N104" i="4"/>
  <c r="R104" i="4" s="1"/>
  <c r="M105" i="4"/>
  <c r="Q118" i="4" s="1"/>
  <c r="N105" i="4"/>
  <c r="R118" i="4" s="1"/>
  <c r="M106" i="4"/>
  <c r="Q132" i="4" s="1"/>
  <c r="N106" i="4"/>
  <c r="R132" i="4" s="1"/>
  <c r="M107" i="4"/>
  <c r="Q105" i="4" s="1"/>
  <c r="N107" i="4"/>
  <c r="R105" i="4" s="1"/>
  <c r="M108" i="4"/>
  <c r="Q119" i="4" s="1"/>
  <c r="N108" i="4"/>
  <c r="R119" i="4" s="1"/>
  <c r="M109" i="4"/>
  <c r="Q133" i="4" s="1"/>
  <c r="N109" i="4"/>
  <c r="R133" i="4" s="1"/>
  <c r="M110" i="4"/>
  <c r="Q106" i="4" s="1"/>
  <c r="N110" i="4"/>
  <c r="R106" i="4" s="1"/>
  <c r="M111" i="4"/>
  <c r="Q120" i="4" s="1"/>
  <c r="N111" i="4"/>
  <c r="R120" i="4" s="1"/>
  <c r="M112" i="4"/>
  <c r="Q134" i="4" s="1"/>
  <c r="N112" i="4"/>
  <c r="R134" i="4" s="1"/>
  <c r="M113" i="4"/>
  <c r="Q107" i="4" s="1"/>
  <c r="N113" i="4"/>
  <c r="R107" i="4" s="1"/>
  <c r="M114" i="4"/>
  <c r="Q121" i="4" s="1"/>
  <c r="N114" i="4"/>
  <c r="R121" i="4" s="1"/>
  <c r="M115" i="4"/>
  <c r="Q135" i="4" s="1"/>
  <c r="N115" i="4"/>
  <c r="R135" i="4" s="1"/>
  <c r="M116" i="4"/>
  <c r="Q108" i="4" s="1"/>
  <c r="N116" i="4"/>
  <c r="R108" i="4" s="1"/>
  <c r="M117" i="4"/>
  <c r="Q122" i="4" s="1"/>
  <c r="N117" i="4"/>
  <c r="R122" i="4" s="1"/>
  <c r="M118" i="4"/>
  <c r="Q136" i="4" s="1"/>
  <c r="N118" i="4"/>
  <c r="R136" i="4" s="1"/>
  <c r="M119" i="4"/>
  <c r="Q109" i="4" s="1"/>
  <c r="N119" i="4"/>
  <c r="R109" i="4" s="1"/>
  <c r="M120" i="4"/>
  <c r="Q137" i="4" s="1"/>
  <c r="N120" i="4"/>
  <c r="R137" i="4" s="1"/>
  <c r="M121" i="4"/>
  <c r="Q110" i="4" s="1"/>
  <c r="N121" i="4"/>
  <c r="R110" i="4" s="1"/>
  <c r="M122" i="4"/>
  <c r="Q124" i="4" s="1"/>
  <c r="N122" i="4"/>
  <c r="R124" i="4" s="1"/>
  <c r="M123" i="4"/>
  <c r="Q138" i="4" s="1"/>
  <c r="N123" i="4"/>
  <c r="R138" i="4" s="1"/>
  <c r="M124" i="4"/>
  <c r="Q111" i="4" s="1"/>
  <c r="N124" i="4"/>
  <c r="R111" i="4" s="1"/>
  <c r="M125" i="4"/>
  <c r="Q125" i="4" s="1"/>
  <c r="N125" i="4"/>
  <c r="R125" i="4" s="1"/>
  <c r="M126" i="4"/>
  <c r="Q139" i="4" s="1"/>
  <c r="N126" i="4"/>
  <c r="R139" i="4" s="1"/>
  <c r="M127" i="4"/>
  <c r="Q112" i="4" s="1"/>
  <c r="N127" i="4"/>
  <c r="R112" i="4" s="1"/>
  <c r="M128" i="4"/>
  <c r="Q126" i="4" s="1"/>
  <c r="N128" i="4"/>
  <c r="R126" i="4" s="1"/>
  <c r="M129" i="4"/>
  <c r="Q140" i="4" s="1"/>
  <c r="N129" i="4"/>
  <c r="R140" i="4" s="1"/>
  <c r="M130" i="4"/>
  <c r="Q113" i="4" s="1"/>
  <c r="N130" i="4"/>
  <c r="R113" i="4" s="1"/>
  <c r="M131" i="4"/>
  <c r="Q127" i="4" s="1"/>
  <c r="N131" i="4"/>
  <c r="R127" i="4" s="1"/>
  <c r="M132" i="4"/>
  <c r="Q141" i="4" s="1"/>
  <c r="N132" i="4"/>
  <c r="R141" i="4" s="1"/>
  <c r="M133" i="4"/>
  <c r="Q114" i="4" s="1"/>
  <c r="N133" i="4"/>
  <c r="R114" i="4" s="1"/>
  <c r="M134" i="4"/>
  <c r="Q128" i="4" s="1"/>
  <c r="N134" i="4"/>
  <c r="R128" i="4" s="1"/>
  <c r="M135" i="4"/>
  <c r="Q142" i="4" s="1"/>
  <c r="N135" i="4"/>
  <c r="R142" i="4" s="1"/>
  <c r="M136" i="4"/>
  <c r="Q115" i="4" s="1"/>
  <c r="N136" i="4"/>
  <c r="R115" i="4" s="1"/>
  <c r="M137" i="4"/>
  <c r="Q129" i="4" s="1"/>
  <c r="N137" i="4"/>
  <c r="R129" i="4" s="1"/>
  <c r="M138" i="4"/>
  <c r="Q143" i="4" s="1"/>
  <c r="N138" i="4"/>
  <c r="R143" i="4" s="1"/>
  <c r="M139" i="4"/>
  <c r="N139" i="4"/>
  <c r="M140" i="4"/>
  <c r="N140" i="4"/>
  <c r="M141" i="4"/>
  <c r="N141" i="4"/>
  <c r="M142" i="4"/>
  <c r="N142" i="4"/>
  <c r="M143" i="4"/>
  <c r="N143" i="4"/>
  <c r="M144" i="4"/>
  <c r="N144" i="4"/>
  <c r="M145" i="4"/>
  <c r="N145" i="4"/>
  <c r="M146" i="4"/>
  <c r="N146" i="4"/>
  <c r="M147" i="4"/>
  <c r="N147" i="4"/>
  <c r="M148" i="4"/>
  <c r="N148" i="4"/>
  <c r="M149" i="4"/>
  <c r="N149" i="4"/>
  <c r="M150" i="4"/>
  <c r="N150" i="4"/>
  <c r="M151" i="4"/>
  <c r="N151" i="4"/>
  <c r="M152" i="4"/>
  <c r="N152" i="4"/>
  <c r="M153" i="4"/>
  <c r="N153" i="4"/>
  <c r="M154" i="4"/>
  <c r="N154" i="4"/>
  <c r="M155" i="4"/>
  <c r="N155" i="4"/>
  <c r="M156" i="4"/>
  <c r="N156" i="4"/>
  <c r="M157" i="4"/>
  <c r="N157" i="4"/>
  <c r="M158" i="4"/>
  <c r="N158" i="4"/>
  <c r="M159" i="4"/>
  <c r="N159" i="4"/>
  <c r="M160" i="4"/>
  <c r="N160" i="4"/>
  <c r="M161" i="4"/>
  <c r="N161" i="4"/>
  <c r="M162" i="4"/>
  <c r="N162" i="4"/>
  <c r="M163" i="4"/>
  <c r="N163" i="4"/>
  <c r="M164" i="4"/>
  <c r="N164" i="4"/>
  <c r="M165" i="4"/>
  <c r="N165" i="4"/>
  <c r="M166" i="4"/>
  <c r="N166" i="4"/>
  <c r="M167" i="4"/>
  <c r="N167" i="4"/>
  <c r="M168" i="4"/>
  <c r="N168" i="4"/>
  <c r="M169" i="4"/>
  <c r="N169" i="4"/>
  <c r="M170" i="4"/>
  <c r="N170" i="4"/>
  <c r="M171" i="4"/>
  <c r="N171" i="4"/>
  <c r="M172" i="4"/>
  <c r="N172" i="4"/>
  <c r="M173" i="4"/>
  <c r="N173" i="4"/>
  <c r="M174" i="4"/>
  <c r="N174" i="4"/>
  <c r="M175" i="4"/>
  <c r="N175" i="4"/>
  <c r="M176" i="4"/>
  <c r="N176" i="4"/>
  <c r="M177" i="4"/>
  <c r="N177" i="4"/>
  <c r="M178" i="4"/>
  <c r="N178" i="4"/>
  <c r="M179" i="4"/>
  <c r="N179" i="4"/>
  <c r="M180" i="4"/>
  <c r="N180" i="4"/>
  <c r="M181" i="4"/>
  <c r="N181" i="4"/>
  <c r="M182" i="4"/>
  <c r="N182" i="4"/>
  <c r="M183" i="4"/>
  <c r="N183" i="4"/>
  <c r="M184" i="4"/>
  <c r="N184" i="4"/>
  <c r="M185" i="4"/>
  <c r="N185" i="4"/>
  <c r="M186" i="4"/>
  <c r="N186" i="4"/>
  <c r="M187" i="4"/>
  <c r="N187" i="4"/>
  <c r="M188" i="4"/>
  <c r="N188" i="4"/>
  <c r="M189" i="4"/>
  <c r="N189" i="4"/>
  <c r="M190" i="4"/>
  <c r="N190" i="4"/>
  <c r="M191" i="4"/>
  <c r="N191" i="4"/>
  <c r="M192" i="4"/>
  <c r="N192" i="4"/>
  <c r="M193" i="4"/>
  <c r="N193" i="4"/>
  <c r="M194" i="4"/>
  <c r="N194" i="4"/>
  <c r="M195" i="4"/>
  <c r="N195" i="4"/>
  <c r="M196" i="4"/>
  <c r="N196" i="4"/>
  <c r="M197" i="4"/>
  <c r="N197" i="4"/>
  <c r="M198" i="4"/>
  <c r="N198" i="4"/>
  <c r="M199" i="4"/>
  <c r="N199" i="4"/>
  <c r="M200" i="4"/>
  <c r="N200" i="4"/>
  <c r="M201" i="4"/>
  <c r="N201" i="4"/>
  <c r="M202" i="4"/>
  <c r="N202" i="4"/>
  <c r="M203" i="4"/>
  <c r="N203" i="4"/>
  <c r="M204" i="4"/>
  <c r="N204" i="4"/>
  <c r="M205" i="4"/>
  <c r="N205" i="4"/>
  <c r="M206" i="4"/>
  <c r="N206" i="4"/>
  <c r="M207" i="4"/>
  <c r="N207" i="4"/>
  <c r="M208" i="4"/>
  <c r="N208" i="4"/>
  <c r="M209" i="4"/>
  <c r="N209" i="4"/>
  <c r="M210" i="4"/>
  <c r="N210" i="4"/>
  <c r="M211" i="4"/>
  <c r="N211" i="4"/>
  <c r="M212" i="4"/>
  <c r="N212" i="4"/>
  <c r="M213" i="4"/>
  <c r="N213" i="4"/>
  <c r="M214" i="4"/>
  <c r="N214" i="4"/>
  <c r="M215" i="4"/>
  <c r="N215" i="4"/>
  <c r="M216" i="4"/>
  <c r="N216" i="4"/>
  <c r="M217" i="4"/>
  <c r="N217" i="4"/>
  <c r="M218" i="4"/>
  <c r="N218" i="4"/>
  <c r="M219" i="4"/>
  <c r="N219" i="4"/>
  <c r="M220" i="4"/>
  <c r="N220" i="4"/>
  <c r="M221" i="4"/>
  <c r="N221" i="4"/>
  <c r="M222" i="4"/>
  <c r="N222" i="4"/>
  <c r="M223" i="4"/>
  <c r="N223" i="4"/>
  <c r="M224" i="4"/>
  <c r="N224" i="4"/>
  <c r="M225" i="4"/>
  <c r="N225" i="4"/>
  <c r="M226" i="4"/>
  <c r="N226" i="4"/>
  <c r="M227" i="4"/>
  <c r="N227" i="4"/>
  <c r="M228" i="4"/>
  <c r="N228" i="4"/>
  <c r="M229" i="4"/>
  <c r="N229" i="4"/>
  <c r="M230" i="4"/>
  <c r="N230" i="4"/>
  <c r="M231" i="4"/>
  <c r="N231" i="4"/>
  <c r="M232" i="4"/>
  <c r="N232" i="4"/>
  <c r="M233" i="4"/>
  <c r="N233" i="4"/>
  <c r="M234" i="4"/>
  <c r="N234" i="4"/>
  <c r="M235" i="4"/>
  <c r="N235" i="4"/>
  <c r="M236" i="4"/>
  <c r="N236" i="4"/>
  <c r="M237" i="4"/>
  <c r="N237" i="4"/>
  <c r="M238" i="4"/>
  <c r="N238" i="4"/>
  <c r="M239" i="4"/>
  <c r="N239" i="4"/>
  <c r="M240" i="4"/>
  <c r="N240" i="4"/>
  <c r="M241" i="4"/>
  <c r="N241" i="4"/>
  <c r="M242" i="4"/>
  <c r="N242" i="4"/>
  <c r="M243" i="4"/>
  <c r="N243" i="4"/>
  <c r="M244" i="4"/>
  <c r="N244" i="4"/>
  <c r="M245" i="4"/>
  <c r="N245" i="4"/>
  <c r="M246" i="4"/>
  <c r="N246" i="4"/>
  <c r="M247" i="4"/>
  <c r="N247" i="4"/>
  <c r="M248" i="4"/>
  <c r="N248" i="4"/>
  <c r="M249" i="4"/>
  <c r="N249" i="4"/>
  <c r="M250" i="4"/>
  <c r="N250" i="4"/>
  <c r="M251" i="4"/>
  <c r="N251" i="4"/>
  <c r="M252" i="4"/>
  <c r="N252" i="4"/>
  <c r="M253" i="4"/>
  <c r="N253" i="4"/>
  <c r="M254" i="4"/>
  <c r="N254" i="4"/>
  <c r="M255" i="4"/>
  <c r="N255" i="4"/>
  <c r="M256" i="4"/>
  <c r="N256" i="4"/>
  <c r="M257" i="4"/>
  <c r="N257" i="4"/>
  <c r="M258" i="4"/>
  <c r="N258" i="4"/>
  <c r="M259" i="4"/>
  <c r="N259" i="4"/>
  <c r="M260" i="4"/>
  <c r="N260" i="4"/>
  <c r="M261" i="4"/>
  <c r="N261" i="4"/>
  <c r="M262" i="4"/>
  <c r="N262" i="4"/>
  <c r="M263" i="4"/>
  <c r="N263" i="4"/>
  <c r="M264" i="4"/>
  <c r="N264" i="4"/>
  <c r="M265" i="4"/>
  <c r="N265" i="4"/>
  <c r="M266" i="4"/>
  <c r="N266" i="4"/>
  <c r="M267" i="4"/>
  <c r="N267" i="4"/>
  <c r="M268" i="4"/>
  <c r="N268" i="4"/>
  <c r="M269" i="4"/>
  <c r="N269" i="4"/>
  <c r="M270" i="4"/>
  <c r="N270" i="4"/>
  <c r="M271" i="4"/>
  <c r="N271" i="4"/>
  <c r="M272" i="4"/>
  <c r="N272" i="4"/>
  <c r="M273" i="4"/>
  <c r="N273" i="4"/>
  <c r="M274" i="4"/>
  <c r="N274" i="4"/>
  <c r="M275" i="4"/>
  <c r="N275" i="4"/>
  <c r="M276" i="4"/>
  <c r="N276" i="4"/>
  <c r="M277" i="4"/>
  <c r="N277" i="4"/>
  <c r="M278" i="4"/>
  <c r="N278" i="4"/>
  <c r="M279" i="4"/>
  <c r="N279" i="4"/>
  <c r="M280" i="4"/>
  <c r="N280" i="4"/>
  <c r="M281" i="4"/>
  <c r="N281" i="4"/>
  <c r="M282" i="4"/>
  <c r="N282" i="4"/>
  <c r="M283" i="4"/>
  <c r="N283" i="4"/>
  <c r="M284" i="4"/>
  <c r="N284" i="4"/>
  <c r="M285" i="4"/>
  <c r="N285" i="4"/>
  <c r="M286" i="4"/>
  <c r="N286" i="4"/>
  <c r="M287" i="4"/>
  <c r="N287" i="4"/>
  <c r="M288" i="4"/>
  <c r="N288" i="4"/>
  <c r="M289" i="4"/>
  <c r="N289" i="4"/>
  <c r="M290" i="4"/>
  <c r="N290" i="4"/>
  <c r="M291" i="4"/>
  <c r="N291" i="4"/>
  <c r="M292" i="4"/>
  <c r="N292" i="4"/>
  <c r="M293" i="4"/>
  <c r="N293" i="4"/>
  <c r="M294" i="4"/>
  <c r="N294" i="4"/>
  <c r="M295" i="4"/>
  <c r="N295" i="4"/>
  <c r="M296" i="4"/>
  <c r="N296" i="4"/>
  <c r="M297" i="4"/>
  <c r="N297" i="4"/>
  <c r="M298" i="4"/>
  <c r="N298" i="4"/>
  <c r="M299" i="4"/>
  <c r="N299" i="4"/>
  <c r="M300" i="4"/>
  <c r="N300" i="4"/>
  <c r="M301" i="4"/>
  <c r="N301" i="4"/>
  <c r="M302" i="4"/>
  <c r="N302" i="4"/>
  <c r="M303" i="4"/>
  <c r="N303" i="4"/>
  <c r="M304" i="4"/>
  <c r="N304" i="4"/>
  <c r="M305" i="4"/>
  <c r="N305" i="4"/>
  <c r="M306" i="4"/>
  <c r="N306" i="4"/>
  <c r="M307" i="4"/>
  <c r="N307" i="4"/>
  <c r="M308" i="4"/>
  <c r="N308" i="4"/>
  <c r="M309" i="4"/>
  <c r="N309" i="4"/>
  <c r="M310" i="4"/>
  <c r="N310" i="4"/>
  <c r="M311" i="4"/>
  <c r="N311" i="4"/>
  <c r="M312" i="4"/>
  <c r="N312" i="4"/>
  <c r="M313" i="4"/>
  <c r="N313" i="4"/>
  <c r="M314" i="4"/>
  <c r="N314" i="4"/>
  <c r="M315" i="4"/>
  <c r="N315" i="4"/>
  <c r="M316" i="4"/>
  <c r="N316" i="4"/>
  <c r="M317" i="4"/>
  <c r="N317" i="4"/>
  <c r="M318" i="4"/>
  <c r="N318" i="4"/>
  <c r="M319" i="4"/>
  <c r="N319" i="4"/>
  <c r="M320" i="4"/>
  <c r="N320" i="4"/>
  <c r="M321" i="4"/>
  <c r="N321" i="4"/>
  <c r="M322" i="4"/>
  <c r="N322" i="4"/>
  <c r="M323" i="4"/>
  <c r="N323" i="4"/>
  <c r="M324" i="4"/>
  <c r="N324" i="4"/>
  <c r="M325" i="4"/>
  <c r="N325" i="4"/>
  <c r="M326" i="4"/>
  <c r="N326" i="4"/>
  <c r="M327" i="4"/>
  <c r="N327" i="4"/>
  <c r="M328" i="4"/>
  <c r="N328" i="4"/>
  <c r="M329" i="4"/>
  <c r="N329" i="4"/>
  <c r="M330" i="4"/>
  <c r="N330" i="4"/>
  <c r="M331" i="4"/>
  <c r="N331" i="4"/>
  <c r="M332" i="4"/>
  <c r="N332" i="4"/>
  <c r="M333" i="4"/>
  <c r="N333" i="4"/>
  <c r="M334" i="4"/>
  <c r="N334" i="4"/>
  <c r="M335" i="4"/>
  <c r="N335" i="4"/>
  <c r="M336" i="4"/>
  <c r="N336" i="4"/>
  <c r="M337" i="4"/>
  <c r="N337" i="4"/>
  <c r="M338" i="4"/>
  <c r="N338" i="4"/>
  <c r="M339" i="4"/>
  <c r="N339" i="4"/>
  <c r="M340" i="4"/>
  <c r="N340" i="4"/>
  <c r="M341" i="4"/>
  <c r="N341" i="4"/>
  <c r="M342" i="4"/>
  <c r="N342" i="4"/>
  <c r="M343" i="4"/>
  <c r="N343" i="4"/>
  <c r="M344" i="4"/>
  <c r="N344" i="4"/>
  <c r="M345" i="4"/>
  <c r="N345" i="4"/>
  <c r="M346" i="4"/>
  <c r="N346" i="4"/>
  <c r="M347" i="4"/>
  <c r="N347" i="4"/>
  <c r="M348" i="4"/>
  <c r="N348" i="4"/>
  <c r="M349" i="4"/>
  <c r="N349" i="4"/>
  <c r="M350" i="4"/>
  <c r="N350" i="4"/>
  <c r="M351" i="4"/>
  <c r="N351" i="4"/>
  <c r="M352" i="4"/>
  <c r="N352" i="4"/>
  <c r="M353" i="4"/>
  <c r="N353" i="4"/>
  <c r="M354" i="4"/>
  <c r="N354" i="4"/>
  <c r="M355" i="4"/>
  <c r="N355" i="4"/>
  <c r="M356" i="4"/>
  <c r="N356" i="4"/>
  <c r="M357" i="4"/>
  <c r="N357" i="4"/>
  <c r="M358" i="4"/>
  <c r="N358" i="4"/>
  <c r="M359" i="4"/>
  <c r="N359" i="4"/>
  <c r="M360" i="4"/>
  <c r="N360" i="4"/>
  <c r="M361" i="4"/>
  <c r="N361" i="4"/>
  <c r="M362" i="4"/>
  <c r="N362" i="4"/>
  <c r="M363" i="4"/>
  <c r="N363" i="4"/>
  <c r="M364" i="4"/>
  <c r="N364" i="4"/>
  <c r="M365" i="4"/>
  <c r="N365" i="4"/>
  <c r="M366" i="4"/>
  <c r="N366" i="4"/>
  <c r="M367" i="4"/>
  <c r="N367" i="4"/>
  <c r="M368" i="4"/>
  <c r="N368" i="4"/>
  <c r="M369" i="4"/>
  <c r="N369" i="4"/>
  <c r="M370" i="4"/>
  <c r="N370" i="4"/>
  <c r="M371" i="4"/>
  <c r="N371" i="4"/>
  <c r="M372" i="4"/>
  <c r="N372" i="4"/>
  <c r="M373" i="4"/>
  <c r="N373" i="4"/>
  <c r="M374" i="4"/>
  <c r="N374" i="4"/>
  <c r="M375" i="4"/>
  <c r="N375" i="4"/>
  <c r="M376" i="4"/>
  <c r="N376" i="4"/>
  <c r="M377" i="4"/>
  <c r="N377" i="4"/>
  <c r="M378" i="4"/>
  <c r="N378" i="4"/>
  <c r="M379" i="4"/>
  <c r="N379" i="4"/>
  <c r="M380" i="4"/>
  <c r="N380" i="4"/>
  <c r="M381" i="4"/>
  <c r="N381" i="4"/>
  <c r="M382" i="4"/>
  <c r="N382" i="4"/>
  <c r="M383" i="4"/>
  <c r="N383" i="4"/>
  <c r="M384" i="4"/>
  <c r="N384" i="4"/>
  <c r="M385" i="4"/>
  <c r="N385" i="4"/>
  <c r="M386" i="4"/>
  <c r="N386" i="4"/>
  <c r="M387" i="4"/>
  <c r="N387" i="4"/>
  <c r="M388" i="4"/>
  <c r="N388" i="4"/>
  <c r="M389" i="4"/>
  <c r="N389" i="4"/>
  <c r="M390" i="4"/>
  <c r="N390" i="4"/>
  <c r="M391" i="4"/>
  <c r="N391" i="4"/>
  <c r="M392" i="4"/>
  <c r="N392" i="4"/>
  <c r="M393" i="4"/>
  <c r="N393" i="4"/>
  <c r="M394" i="4"/>
  <c r="N394" i="4"/>
  <c r="M395" i="4"/>
  <c r="N395" i="4"/>
  <c r="M396" i="4"/>
  <c r="N396" i="4"/>
  <c r="M397" i="4"/>
  <c r="N397" i="4"/>
  <c r="N1" i="4"/>
  <c r="M1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P104" i="4" s="1"/>
  <c r="L105" i="4"/>
  <c r="P118" i="4" s="1"/>
  <c r="L106" i="4"/>
  <c r="P132" i="4" s="1"/>
  <c r="L107" i="4"/>
  <c r="P105" i="4" s="1"/>
  <c r="L108" i="4"/>
  <c r="P119" i="4" s="1"/>
  <c r="L109" i="4"/>
  <c r="P133" i="4" s="1"/>
  <c r="L110" i="4"/>
  <c r="P106" i="4" s="1"/>
  <c r="L111" i="4"/>
  <c r="P120" i="4" s="1"/>
  <c r="L112" i="4"/>
  <c r="P134" i="4" s="1"/>
  <c r="L113" i="4"/>
  <c r="P107" i="4" s="1"/>
  <c r="L114" i="4"/>
  <c r="P121" i="4" s="1"/>
  <c r="L115" i="4"/>
  <c r="P135" i="4" s="1"/>
  <c r="L116" i="4"/>
  <c r="P108" i="4" s="1"/>
  <c r="L117" i="4"/>
  <c r="P122" i="4" s="1"/>
  <c r="L118" i="4"/>
  <c r="P136" i="4" s="1"/>
  <c r="L119" i="4"/>
  <c r="P109" i="4" s="1"/>
  <c r="L120" i="4"/>
  <c r="P137" i="4" s="1"/>
  <c r="L121" i="4"/>
  <c r="P110" i="4" s="1"/>
  <c r="L122" i="4"/>
  <c r="P124" i="4" s="1"/>
  <c r="L123" i="4"/>
  <c r="P138" i="4" s="1"/>
  <c r="L124" i="4"/>
  <c r="P111" i="4" s="1"/>
  <c r="L125" i="4"/>
  <c r="P125" i="4" s="1"/>
  <c r="L126" i="4"/>
  <c r="P139" i="4" s="1"/>
  <c r="L127" i="4"/>
  <c r="P112" i="4" s="1"/>
  <c r="L128" i="4"/>
  <c r="P126" i="4" s="1"/>
  <c r="L129" i="4"/>
  <c r="P140" i="4" s="1"/>
  <c r="L130" i="4"/>
  <c r="P113" i="4" s="1"/>
  <c r="L131" i="4"/>
  <c r="P127" i="4" s="1"/>
  <c r="L132" i="4"/>
  <c r="P141" i="4" s="1"/>
  <c r="L133" i="4"/>
  <c r="P114" i="4" s="1"/>
  <c r="L134" i="4"/>
  <c r="P128" i="4" s="1"/>
  <c r="L135" i="4"/>
  <c r="P142" i="4" s="1"/>
  <c r="L136" i="4"/>
  <c r="P115" i="4" s="1"/>
  <c r="L137" i="4"/>
  <c r="P129" i="4" s="1"/>
  <c r="L138" i="4"/>
  <c r="P143" i="4" s="1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2" i="4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1" i="4"/>
  <c r="U24" i="1" l="1"/>
  <c r="T24" i="1"/>
  <c r="T22" i="1"/>
  <c r="N21" i="7"/>
  <c r="N22" i="7"/>
  <c r="N26" i="7"/>
  <c r="N23" i="7"/>
  <c r="N27" i="7"/>
  <c r="N25" i="7"/>
  <c r="P123" i="4"/>
  <c r="A61" i="2" l="1"/>
  <c r="A52" i="2" l="1"/>
  <c r="J27" i="2" l="1"/>
  <c r="J25" i="2"/>
  <c r="J22" i="2" l="1"/>
  <c r="J26" i="2"/>
  <c r="J23" i="2"/>
  <c r="J21" i="2" l="1"/>
  <c r="E17" i="7" l="1"/>
  <c r="B28" i="1" l="1"/>
  <c r="A28" i="1" s="1"/>
  <c r="B27" i="1"/>
  <c r="A27" i="1" s="1"/>
  <c r="B26" i="1"/>
  <c r="A26" i="1" s="1"/>
  <c r="O26" i="1" l="1"/>
  <c r="J29" i="2" s="1"/>
  <c r="V26" i="1"/>
  <c r="P26" i="1"/>
  <c r="U26" i="1" s="1"/>
  <c r="O27" i="1"/>
  <c r="V27" i="1"/>
  <c r="P27" i="1"/>
  <c r="U27" i="1" s="1"/>
  <c r="O28" i="1"/>
  <c r="V28" i="1"/>
  <c r="P28" i="1"/>
  <c r="U28" i="1" s="1"/>
  <c r="AI27" i="1"/>
  <c r="AH27" i="1"/>
  <c r="AI26" i="1"/>
  <c r="AH26" i="1"/>
  <c r="AI28" i="1"/>
  <c r="AH28" i="1"/>
  <c r="AF27" i="1"/>
  <c r="AF26" i="1"/>
  <c r="AF28" i="1"/>
  <c r="A38" i="7"/>
  <c r="A38" i="2"/>
  <c r="A29" i="7"/>
  <c r="A29" i="2"/>
  <c r="A30" i="7"/>
  <c r="A30" i="2"/>
  <c r="A31" i="7"/>
  <c r="A31" i="2"/>
  <c r="A39" i="7"/>
  <c r="A39" i="2"/>
  <c r="N31" i="7"/>
  <c r="N37" i="7"/>
  <c r="N42" i="7"/>
  <c r="N47" i="7"/>
  <c r="N33" i="7"/>
  <c r="N38" i="7"/>
  <c r="N43" i="7"/>
  <c r="N29" i="7"/>
  <c r="N34" i="7"/>
  <c r="N39" i="7"/>
  <c r="N45" i="7"/>
  <c r="N30" i="7"/>
  <c r="N35" i="7"/>
  <c r="N41" i="7"/>
  <c r="N46" i="7"/>
  <c r="J45" i="2"/>
  <c r="J46" i="2"/>
  <c r="J47" i="2"/>
  <c r="J42" i="2"/>
  <c r="J43" i="2"/>
  <c r="J41" i="2"/>
  <c r="J37" i="2"/>
  <c r="J38" i="2"/>
  <c r="J39" i="2"/>
  <c r="J34" i="2"/>
  <c r="J33" i="2"/>
  <c r="J35" i="2"/>
  <c r="J30" i="2"/>
  <c r="J31" i="2"/>
  <c r="AG23" i="1"/>
  <c r="AG34" i="1"/>
  <c r="K42" i="2"/>
  <c r="AG39" i="1"/>
  <c r="AG44" i="1"/>
  <c r="AG31" i="1"/>
  <c r="AG36" i="1"/>
  <c r="AG42" i="1"/>
  <c r="K25" i="2"/>
  <c r="AG22" i="1"/>
  <c r="AG32" i="1"/>
  <c r="AG38" i="1"/>
  <c r="AG43" i="1"/>
  <c r="AG24" i="1"/>
  <c r="AG30" i="1"/>
  <c r="K38" i="2"/>
  <c r="AG35" i="1"/>
  <c r="AG40" i="1"/>
  <c r="AG26" i="1"/>
  <c r="AG27" i="1"/>
  <c r="AG28" i="1"/>
  <c r="AE18" i="1"/>
  <c r="AG18" i="1"/>
  <c r="AE19" i="1"/>
  <c r="AG19" i="1"/>
  <c r="AI20" i="1"/>
  <c r="AG20" i="1"/>
  <c r="S20" i="1" s="1"/>
  <c r="AH20" i="1"/>
  <c r="AE20" i="1"/>
  <c r="K27" i="2"/>
  <c r="AE24" i="1"/>
  <c r="R24" i="1" s="1"/>
  <c r="AF20" i="1"/>
  <c r="AE22" i="1"/>
  <c r="R22" i="1" s="1"/>
  <c r="AE23" i="1"/>
  <c r="R23" i="1" s="1"/>
  <c r="AE42" i="1"/>
  <c r="R42" i="1" s="1"/>
  <c r="AE43" i="1"/>
  <c r="R43" i="1" s="1"/>
  <c r="AE44" i="1"/>
  <c r="R44" i="1" s="1"/>
  <c r="K46" i="2"/>
  <c r="K45" i="2"/>
  <c r="AE39" i="1"/>
  <c r="R39" i="1" s="1"/>
  <c r="AE38" i="1"/>
  <c r="R38" i="1" s="1"/>
  <c r="K41" i="2"/>
  <c r="AE40" i="1"/>
  <c r="R40" i="1" s="1"/>
  <c r="K43" i="2"/>
  <c r="AE34" i="1"/>
  <c r="R34" i="1" s="1"/>
  <c r="K37" i="2"/>
  <c r="AE35" i="1"/>
  <c r="R35" i="1" s="1"/>
  <c r="AE36" i="1"/>
  <c r="R36" i="1" s="1"/>
  <c r="K39" i="2"/>
  <c r="AE32" i="1"/>
  <c r="R32" i="1" s="1"/>
  <c r="K33" i="2"/>
  <c r="AE30" i="1"/>
  <c r="R30" i="1" s="1"/>
  <c r="AE31" i="1"/>
  <c r="R31" i="1" s="1"/>
  <c r="AE26" i="1"/>
  <c r="AE27" i="1"/>
  <c r="R27" i="1" s="1"/>
  <c r="K31" i="2"/>
  <c r="AE28" i="1"/>
  <c r="R28" i="1" s="1"/>
  <c r="K30" i="2"/>
  <c r="K34" i="2"/>
  <c r="K35" i="2"/>
  <c r="K29" i="2"/>
  <c r="E17" i="2"/>
  <c r="R26" i="1" l="1"/>
  <c r="S24" i="1"/>
  <c r="I24" i="1"/>
  <c r="I27" i="1"/>
  <c r="S19" i="1"/>
  <c r="I19" i="1"/>
  <c r="S23" i="1"/>
  <c r="I23" i="1"/>
  <c r="S22" i="1"/>
  <c r="I22" i="1"/>
  <c r="S18" i="1"/>
  <c r="I18" i="1"/>
  <c r="I28" i="1"/>
  <c r="S32" i="1"/>
  <c r="I32" i="1"/>
  <c r="S42" i="1"/>
  <c r="I42" i="1"/>
  <c r="Q28" i="1"/>
  <c r="S36" i="1"/>
  <c r="I36" i="1"/>
  <c r="S35" i="1"/>
  <c r="I35" i="1"/>
  <c r="S44" i="1"/>
  <c r="I44" i="1"/>
  <c r="I20" i="1"/>
  <c r="S39" i="1"/>
  <c r="I39" i="1"/>
  <c r="Q27" i="1"/>
  <c r="S40" i="1"/>
  <c r="I40" i="1"/>
  <c r="S30" i="1"/>
  <c r="I30" i="1"/>
  <c r="I26" i="1"/>
  <c r="S31" i="1"/>
  <c r="I31" i="1"/>
  <c r="S34" i="1"/>
  <c r="I34" i="1"/>
  <c r="S43" i="1"/>
  <c r="I43" i="1"/>
  <c r="S38" i="1"/>
  <c r="I38" i="1"/>
  <c r="Q26" i="1"/>
  <c r="S28" i="1"/>
  <c r="T28" i="1"/>
  <c r="S27" i="1"/>
  <c r="S26" i="1"/>
  <c r="T27" i="1"/>
  <c r="T26" i="1"/>
  <c r="L47" i="2"/>
  <c r="K47" i="2"/>
  <c r="L26" i="2"/>
  <c r="K26" i="2"/>
  <c r="T18" i="1"/>
  <c r="N33" i="2"/>
  <c r="N29" i="2"/>
  <c r="N34" i="2"/>
  <c r="N31" i="2"/>
  <c r="N43" i="2"/>
  <c r="N42" i="2"/>
  <c r="N30" i="2"/>
  <c r="N37" i="2"/>
  <c r="N46" i="2"/>
  <c r="N38" i="2"/>
  <c r="N25" i="2"/>
  <c r="N26" i="2"/>
  <c r="K23" i="2"/>
  <c r="N47" i="2"/>
  <c r="M25" i="2"/>
  <c r="M27" i="2"/>
  <c r="N21" i="2"/>
  <c r="K21" i="2"/>
  <c r="R20" i="1"/>
  <c r="N22" i="2"/>
  <c r="K22" i="2"/>
  <c r="L25" i="2"/>
  <c r="L41" i="2"/>
  <c r="N41" i="2"/>
  <c r="L34" i="2"/>
  <c r="L39" i="2"/>
  <c r="L43" i="2"/>
  <c r="L45" i="2"/>
  <c r="N45" i="2"/>
  <c r="L42" i="2"/>
  <c r="L35" i="2"/>
  <c r="L33" i="2"/>
  <c r="L37" i="2"/>
  <c r="N35" i="2"/>
  <c r="L46" i="2"/>
  <c r="L38" i="2"/>
  <c r="N27" i="2"/>
  <c r="N39" i="2"/>
  <c r="N23" i="2"/>
  <c r="L30" i="2"/>
  <c r="L31" i="2"/>
  <c r="L29" i="2"/>
  <c r="L27" i="2"/>
  <c r="R18" i="1"/>
  <c r="M26" i="2"/>
  <c r="R19" i="1"/>
  <c r="M31" i="2"/>
  <c r="M30" i="2"/>
  <c r="M29" i="2"/>
  <c r="M23" i="7" l="1"/>
  <c r="M23" i="2"/>
  <c r="M22" i="7"/>
  <c r="M22" i="2"/>
  <c r="M21" i="7"/>
  <c r="M21" i="2"/>
  <c r="M31" i="7"/>
  <c r="M45" i="7"/>
  <c r="M35" i="7"/>
  <c r="M27" i="7"/>
  <c r="M37" i="7"/>
  <c r="M46" i="7"/>
  <c r="M30" i="7"/>
  <c r="M41" i="7"/>
  <c r="M42" i="7"/>
  <c r="M47" i="7"/>
  <c r="M33" i="7"/>
  <c r="M38" i="7"/>
  <c r="M26" i="7"/>
  <c r="M25" i="7"/>
  <c r="M29" i="7"/>
  <c r="M39" i="7"/>
  <c r="M34" i="7"/>
  <c r="M43" i="7"/>
  <c r="L22" i="2"/>
  <c r="L23" i="2"/>
  <c r="L21" i="2"/>
  <c r="T19" i="1"/>
  <c r="T2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<sst xmlns="http://schemas.openxmlformats.org/spreadsheetml/2006/main" count="3763" uniqueCount="1328">
  <si>
    <t>Johnson Gage &amp; Inspection, Inc.</t>
  </si>
  <si>
    <t>STEPS</t>
  </si>
  <si>
    <t>Unlock: jgi</t>
  </si>
  <si>
    <t>Hardness Tester Calibration and Service Worksheet</t>
  </si>
  <si>
    <t>1. Save this file under the Order Number!</t>
  </si>
  <si>
    <t>CHECKS</t>
  </si>
  <si>
    <t>Select 1</t>
  </si>
  <si>
    <t xml:space="preserve">Report No:  </t>
  </si>
  <si>
    <t xml:space="preserve">Condition: </t>
  </si>
  <si>
    <t>Used</t>
  </si>
  <si>
    <t>2. Complete Heading, thru Scales and Indenters</t>
  </si>
  <si>
    <t>Visual Inspection</t>
  </si>
  <si>
    <t xml:space="preserve">Customer:  </t>
  </si>
  <si>
    <t>Address1:</t>
  </si>
  <si>
    <t>3. Perform AF readings (2 ranges per scale)</t>
  </si>
  <si>
    <t>Anvil Seat Level</t>
  </si>
  <si>
    <t xml:space="preserve">Item:  </t>
  </si>
  <si>
    <t>Address2:</t>
  </si>
  <si>
    <t xml:space="preserve">Inspector:  </t>
  </si>
  <si>
    <t>4. Do cleaning, checks and adjustments</t>
  </si>
  <si>
    <t>Penetrator/Screw Alignment</t>
  </si>
  <si>
    <t xml:space="preserve">Unit Number:  </t>
  </si>
  <si>
    <t xml:space="preserve">Date Calibrated:  </t>
  </si>
  <si>
    <t>5. Perform Full Test readings</t>
  </si>
  <si>
    <t>Dashpot Oil</t>
  </si>
  <si>
    <t>Manufacturer:</t>
  </si>
  <si>
    <t>Model No.:</t>
  </si>
  <si>
    <t xml:space="preserve">Recalibration Date:  </t>
  </si>
  <si>
    <t>6. Select Comments and Results</t>
  </si>
  <si>
    <t>Dwell Time (report actual value):</t>
  </si>
  <si>
    <t xml:space="preserve">Serial Number:  </t>
  </si>
  <si>
    <t xml:space="preserve">Temperature:  </t>
  </si>
  <si>
    <t>7. Click "Insert Comments" button</t>
  </si>
  <si>
    <t>Index Screw Setting</t>
  </si>
  <si>
    <t xml:space="preserve">Location:  </t>
  </si>
  <si>
    <t>On Site?</t>
  </si>
  <si>
    <t>YES</t>
  </si>
  <si>
    <t xml:space="preserve">Relative Humidity:  </t>
  </si>
  <si>
    <t>8. Check Cert comments and edit as needed</t>
  </si>
  <si>
    <t>*******************************************************************************************************************</t>
  </si>
  <si>
    <t>ADJUSTMENTS</t>
  </si>
  <si>
    <t>Portable Tester?:</t>
  </si>
  <si>
    <t>NO</t>
  </si>
  <si>
    <t>Controlling Specification:</t>
  </si>
  <si>
    <t xml:space="preserve">Calibration/InspectionProcedure:  </t>
  </si>
  <si>
    <t>WP301889</t>
  </si>
  <si>
    <t xml:space="preserve">Tolerance Source:  </t>
  </si>
  <si>
    <t>Specification</t>
  </si>
  <si>
    <t>List scales tested, in desired order:</t>
  </si>
  <si>
    <t>Dwell Time (Value AL):</t>
  </si>
  <si>
    <t>List indenter S/Ns for each scale:</t>
  </si>
  <si>
    <t>Test Blocks</t>
  </si>
  <si>
    <t>Serial Number</t>
  </si>
  <si>
    <t>AF Test 1</t>
  </si>
  <si>
    <t>AF Test 2</t>
  </si>
  <si>
    <t>Test 1</t>
  </si>
  <si>
    <t>Test 2</t>
  </si>
  <si>
    <t>Test 3</t>
  </si>
  <si>
    <t>Test 4</t>
  </si>
  <si>
    <t>Test 5</t>
  </si>
  <si>
    <t>Repeatability</t>
  </si>
  <si>
    <t>Average</t>
  </si>
  <si>
    <t>Error</t>
  </si>
  <si>
    <t>Tol. (R)/(E)</t>
  </si>
  <si>
    <t>Scale</t>
  </si>
  <si>
    <t>Value</t>
  </si>
  <si>
    <t>As-Found Readings</t>
  </si>
  <si>
    <t>Full Test Readings</t>
  </si>
  <si>
    <t>(R)</t>
  </si>
  <si>
    <t>(E)</t>
  </si>
  <si>
    <t>Unc. AL</t>
  </si>
  <si>
    <t>Unc. AF</t>
  </si>
  <si>
    <t>AF Max</t>
  </si>
  <si>
    <t>AF Min</t>
  </si>
  <si>
    <t>AF Rpt</t>
  </si>
  <si>
    <t>AF Avg</t>
  </si>
  <si>
    <t>AF Error</t>
  </si>
  <si>
    <t>Max</t>
  </si>
  <si>
    <t>Min</t>
  </si>
  <si>
    <t>Repeat</t>
  </si>
  <si>
    <t>Repeat2</t>
  </si>
  <si>
    <t>Error2</t>
  </si>
  <si>
    <t>Error3</t>
  </si>
  <si>
    <t>Comments AF:</t>
  </si>
  <si>
    <t>FOUND IN TOLERANCE.  PROCEEDED</t>
  </si>
  <si>
    <t>Results AF:</t>
  </si>
  <si>
    <t>Satisfactory</t>
  </si>
  <si>
    <t>Comments AL:</t>
  </si>
  <si>
    <t>FOUND IN TOLERANCE, NO ADJUSTMENTS PERFORMED</t>
  </si>
  <si>
    <t>Results AL:</t>
  </si>
  <si>
    <t>Accepted</t>
  </si>
  <si>
    <t>HRA</t>
  </si>
  <si>
    <t>HRBW</t>
  </si>
  <si>
    <t>HRC</t>
  </si>
  <si>
    <t>HREW</t>
  </si>
  <si>
    <t>HRFW</t>
  </si>
  <si>
    <t>HRHW</t>
  </si>
  <si>
    <t>HR15N</t>
  </si>
  <si>
    <t>HR30N</t>
  </si>
  <si>
    <t>HR45N</t>
  </si>
  <si>
    <t>HR15TW</t>
  </si>
  <si>
    <t>HR30TW</t>
  </si>
  <si>
    <t>HR45TW</t>
  </si>
  <si>
    <t>Johnson Gage and Inspection, Inc.</t>
  </si>
  <si>
    <t>5920 W. 21st St. N., Wichita, KS  67205</t>
  </si>
  <si>
    <t>Phone 316.943.7532;  Fax 316.944.6256</t>
  </si>
  <si>
    <t>Certificate of Calibration</t>
  </si>
  <si>
    <t xml:space="preserve">Report Number: </t>
  </si>
  <si>
    <t>Page 2 of 3</t>
  </si>
  <si>
    <t>Form 3018</t>
  </si>
  <si>
    <t xml:space="preserve">Customer: </t>
  </si>
  <si>
    <t>Rev. M 1-12-21</t>
  </si>
  <si>
    <t xml:space="preserve">Item: </t>
  </si>
  <si>
    <t xml:space="preserve">Unit Number: </t>
  </si>
  <si>
    <t>Mfer. And M/N:</t>
  </si>
  <si>
    <t xml:space="preserve">Serial Number: </t>
  </si>
  <si>
    <t xml:space="preserve">Location: </t>
  </si>
  <si>
    <t>***************************************************************************************************************************************</t>
  </si>
  <si>
    <t xml:space="preserve">Controlling Specification(s): </t>
  </si>
  <si>
    <t xml:space="preserve">JGI Calibration Procedure: </t>
  </si>
  <si>
    <t xml:space="preserve">Tolerance Source: </t>
  </si>
  <si>
    <t>Test Block</t>
  </si>
  <si>
    <t>Uncertainty</t>
  </si>
  <si>
    <t>Indenters used were as follows:</t>
  </si>
  <si>
    <t xml:space="preserve">Scale: </t>
  </si>
  <si>
    <t xml:space="preserve">S/N: </t>
  </si>
  <si>
    <t xml:space="preserve">Comments:  </t>
  </si>
  <si>
    <t>This unit was tested on the scales shown above, as specified by the customer.  Found in tolerance.  No adjustments were performed.</t>
  </si>
  <si>
    <t xml:space="preserve">Results: </t>
  </si>
  <si>
    <t>STANDARD TESTER FINE PRINT</t>
  </si>
  <si>
    <t>This tester was calibrated by the indirect verification method in accordance with ASTM E18. Servicing and preventive maintenance, including visual inspection, lubrication, a check of timing, fluid levels and mechanical functions were performed per manufacturer's instructions and/or JGI Written Procedure WP301889. The test blocks used were certified per all requirements of  ASTM E18, Annex A4, using a verified standard laboratory tester with load and depth measuring devices traceable to NIST.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t>
  </si>
  <si>
    <t>PORTABLE TESTER FINE PRINT</t>
  </si>
  <si>
    <t>This tester was calibrated by the indirect verification method in accordance with ASTM E110.  It meets the requirements of ASTM E18, except that, with dead-weight loads not used, direct verification has not been performed.  Servicing and preventive maintenance, including visual inspection, lubrication, and test of mechanical function were performed per manufacturer's instructions  and/or JGI Written Procedure WP301889. The test blocks used were certified per all requirements of  ASTM E18, Annex A4, using a verified standard laboratory tester with load and depth measuring devices traceable to NIST..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t>
  </si>
  <si>
    <t>FOUND IN TOLERANCE FOLLOWED BY MAINTENANCE ADJUSTMENT</t>
  </si>
  <si>
    <t>This unit was tested on the scales shown above, as specified by the customer.  Found in tolerance.  See page 3 for As Found results.  After adjustment of ____________ per manufacturer's instructions, the unit was retested with the above As Left Results.</t>
  </si>
  <si>
    <t>FOUND OUT OF TOLERANCE, BROUGHT INTO TOLERANCE WITHOUT CALIBRATION ADJUSTMENT</t>
  </si>
  <si>
    <t>This unit was tested on the scales shown above, as specified by the customer.  Found out of tolerance.  See page 3 for As Found results.  Brought into tolerance by ____________, in accordance with ASTM E 18-22, Sec. A1.4.9.4.  Unit is approved for use with no further testing.</t>
  </si>
  <si>
    <t>FOUND OUT OF TOLERANCE, BROUGHT INTO TOLERANCE BY CALIBRATION ADJUSTMENT</t>
  </si>
  <si>
    <t>Found out of tolerance.  Brought into tolerance by adjustment of ____________.  Note that per ASTM E18, a Direct Verification is required prior to release for service.</t>
  </si>
  <si>
    <t>FOUND OUT OF TOLERANCE, UNABLE TO BRING INTO TOLERANCE</t>
  </si>
  <si>
    <t>Found out of tolerance.  Unable to bring into tolerance.  Recommend repair.</t>
  </si>
  <si>
    <t>PORTABLE TESTER DISCLAIMER</t>
  </si>
  <si>
    <t>Note that the conformance of this unit to the tolerances of ASTM E18 does not mean that tests performed using this unit are equivalent to E18 tests.  See ASTM E110-14, Sec. 3.2 for details.</t>
  </si>
  <si>
    <t>PORTABLE TESTER ADJUSTED</t>
  </si>
  <si>
    <t>This unit was tested on the scales shown above, as specified by the customer.  Found out of tolerance.  See page 3 for As-Found results.  Brought into tolerance by repositioning indicators per manufacturer's instructions.</t>
  </si>
  <si>
    <t>Report of Preliminary Testing</t>
  </si>
  <si>
    <t>Results as Found (prior to any cleaning, maintenance, adjustments or repairs)</t>
  </si>
  <si>
    <t>Page 3 of 3</t>
  </si>
  <si>
    <t>FOUND IN TOLERANCE.  Proceeded with servicing and maintenance per manufacturer's instructions and/or JGI Written Procedure WP301889, followed by Indirect Verification.  See Page 2 for As-Left Results.</t>
  </si>
  <si>
    <t>FOUND OUT OF TOLERANCE.  UNABLE TO BRING INTO TOLERANCE.</t>
  </si>
  <si>
    <t>FOUND OUT OF TOLERANCE.  Unable to bring into tolerance.  Recommend repair.</t>
  </si>
  <si>
    <t>FOUND OUT OF TOLERANCE.  ADJUSTED IN.</t>
  </si>
  <si>
    <t>FOUND OUT OF TOLERANCE. Adjusted into tolerance.  See Page 2 for adjustments made and subsequent results.</t>
  </si>
  <si>
    <t>Checks</t>
  </si>
  <si>
    <t>Condition</t>
  </si>
  <si>
    <t>Results AL</t>
  </si>
  <si>
    <t>Comments AL</t>
  </si>
  <si>
    <t>New</t>
  </si>
  <si>
    <t>Rejected</t>
  </si>
  <si>
    <t>N/A</t>
  </si>
  <si>
    <t>Results AF</t>
  </si>
  <si>
    <t>PORTABLE ONLY - FOUND OUT OF TOLERANCE, ADJUSTED IN</t>
  </si>
  <si>
    <t>See Page 2</t>
  </si>
  <si>
    <t>Scales</t>
  </si>
  <si>
    <t>Comments AF</t>
  </si>
  <si>
    <t>Torque Wrench, TW2 0.5 to 4 in oz  R 0.01</t>
  </si>
  <si>
    <t>Torque</t>
  </si>
  <si>
    <t>in oz</t>
  </si>
  <si>
    <t>Torque Wrench, TW2 0.5 to 4 in oz  R 0.025</t>
  </si>
  <si>
    <t>Torque Wrench, TW2 0.5 to 4 in oz  R 0.05</t>
  </si>
  <si>
    <t>Torque Wrench, TW2 0.5 to 4 in oz  R 0.1</t>
  </si>
  <si>
    <t>Torque Wrench, TW2 0.5 to 4 in oz  R 0.25</t>
  </si>
  <si>
    <t>Torque Wrench, BMX 40OZ 4 to 40 in oz  R 0.01</t>
  </si>
  <si>
    <t>Torque Wrench, BMX 40OZ 4 to 40 in oz  R 0.025</t>
  </si>
  <si>
    <t>Torque Wrench, BMX 40OZ 4 to 40 in oz  R 0.05</t>
  </si>
  <si>
    <t>Torque Wrench, BMX 40OZ 4 to 40 in oz  R 0.1</t>
  </si>
  <si>
    <t>Torque Wrench, BMX 40OZ 4 to 40 in oz  R 0.25</t>
  </si>
  <si>
    <t>Torque Wrench, BMX 40OZ 4 to 40 in oz  R 0.5</t>
  </si>
  <si>
    <t>Torque Wrench, BMX 10I 16 to 160 in oz  R 0.01</t>
  </si>
  <si>
    <t>in lb</t>
  </si>
  <si>
    <t>Torque Wrench, BMX 10I 16 to 160 in oz  R 0.025</t>
  </si>
  <si>
    <t>Torque Wrench, BMX 10I 16 to 160 in oz  R 0.05</t>
  </si>
  <si>
    <t>Torque Wrench, BMX 10I 16 to 160 in oz  R 0.1</t>
  </si>
  <si>
    <t>Torque Wrench, BMX 10I 16 to 160 in oz  R 0.25</t>
  </si>
  <si>
    <t>Torque Wrench, BMX 10I 16 to 160 in oz  R 0.5</t>
  </si>
  <si>
    <t>Torque Wrench, BMX 10I 1 to 10 in lb  R 0.01</t>
  </si>
  <si>
    <t>Torque Wrench, BMX 10I 1 to 10 in lb  R 0.025</t>
  </si>
  <si>
    <t>Torque Wrench, BMX 10I 1 to 10 in lb  R 0.05</t>
  </si>
  <si>
    <t>Torque Wrench, BMX 10I 1 to 10 in lb  R 0.1</t>
  </si>
  <si>
    <t>Torque Wrench, BMX 10I 1 to 10 in lb  R 0.25</t>
  </si>
  <si>
    <t>Torque Wrench, BMX 10I 1 to 10 in lb  R 0.5</t>
  </si>
  <si>
    <t>Torque Wrench, BMX 50I 5 to 50 in lb  R 0.01</t>
  </si>
  <si>
    <t>Torque Wrench, BMX 50I 5 to 50 in lb  R 0.025</t>
  </si>
  <si>
    <t>Torque Wrench, BMX 50I 5 to 50 in lb  R 0.05</t>
  </si>
  <si>
    <t>Torque Wrench, BMX 50I 5 to 50 in lb  R 0.1</t>
  </si>
  <si>
    <t>Torque Wrench, BMX 50I 5 to 50 in lb  R 0.25</t>
  </si>
  <si>
    <t>Torque Wrench, BMX 50I 5 to 50 in lb  R 0.5</t>
  </si>
  <si>
    <t>Torque Wrench, CDI-1 5 to 50 in lb  R 0.01</t>
  </si>
  <si>
    <t>Torque Wrench, CDI-1 5 to 50 in lb  R 0.025</t>
  </si>
  <si>
    <t>Torque Wrench, CDI-1 5 to 50 in lb  R 0.05</t>
  </si>
  <si>
    <t>Torque Wrench, CDI-1 5 to 50 in lb  R 0.1</t>
  </si>
  <si>
    <t>Torque Wrench, CDI-1 5 to 50 in lb  R 0.25</t>
  </si>
  <si>
    <t>Torque Wrench, CDI-1 5 to 50 in lb  R 0.5</t>
  </si>
  <si>
    <t>Torque Wrench, BMX 250I 25 to 250 in lb  R 0.01</t>
  </si>
  <si>
    <t>Torque Wrench, BMX 250I 25 to 250 in lb  R 0.025</t>
  </si>
  <si>
    <t>Torque Wrench, BMX 250I 25 to 250 in lb  R 0.05</t>
  </si>
  <si>
    <t>Torque Wrench, BMX 250I 25 to 250 in lb  R 0.1</t>
  </si>
  <si>
    <t>Torque Wrench, BMX 250I 25 to 250 in lb  R 0.25</t>
  </si>
  <si>
    <t>Torque Wrench, BMX 250I 25 to 250 in lb  R 0.5</t>
  </si>
  <si>
    <t>Torque Wrench, CDI-2 40 to 400 in lb  R 0.01</t>
  </si>
  <si>
    <t>Torque Wrench, CDI-2 40 to 400 in lb  R 0.025</t>
  </si>
  <si>
    <t>Torque Wrench, CDI-2 40 to 400 in lb  R 0.05</t>
  </si>
  <si>
    <t>Torque Wrench, CDI-2 40 to 400 in lb  R 0.1</t>
  </si>
  <si>
    <t>Torque Wrench, CDI-2 40 to 400 in lb  R 0.25</t>
  </si>
  <si>
    <t>Torque Wrench, CDI-2 40 to 400 in lb  R 0.5</t>
  </si>
  <si>
    <t>Torque Wrench, CDI-2 40 to 400 in lb  R 1</t>
  </si>
  <si>
    <t>Torque Wrench, CDI-3 100 to 1000 in lb  R 0.01</t>
  </si>
  <si>
    <t>Torque Wrench, CDI-3 100 to 1000 in lb  R 0.025</t>
  </si>
  <si>
    <t>Torque Wrench, CDI-3 100 to 1000 in lb  R 0.05</t>
  </si>
  <si>
    <t>Torque Wrench, CDI-3 100 to 1000 in lb  R 0.1</t>
  </si>
  <si>
    <t>Torque Wrench, CDI-3 100 to 1000 in lb  R 0.25</t>
  </si>
  <si>
    <t>Torque Wrench, CDI-3 100 to 1000 in lb  R 0.5</t>
  </si>
  <si>
    <t>Torque Wrench, CDI-3 100 to 1000 in lb  R 1</t>
  </si>
  <si>
    <t>Torque Wrench, CDI-4 300 to 3000 in lb  R 0.01</t>
  </si>
  <si>
    <t>Torque Wrench, CDI-4 300 to 3000 in lb  R 0.025</t>
  </si>
  <si>
    <t>Torque Wrench, CDI-4 300 to 3000 in lb  R 0.05</t>
  </si>
  <si>
    <t>Torque Wrench, CDI-4 300 to 3000 in lb  R 0.1</t>
  </si>
  <si>
    <t>Torque Wrench, CDI-4 300 to 3000 in lb  R 0.25</t>
  </si>
  <si>
    <t>Torque Wrench, CDI-4 300 to 3000 in lb  R 0.5</t>
  </si>
  <si>
    <t>Torque Wrench, CDI-4 300 to 3000 in lb  R 1</t>
  </si>
  <si>
    <t>Torque Wrench, CDI-4 25 to 250 ft lb  R 0.01</t>
  </si>
  <si>
    <t>ft lb</t>
  </si>
  <si>
    <t>Torque Wrench, CDI-4 25 to 250 ft lb  R 0.025</t>
  </si>
  <si>
    <t>Torque Wrench, CDI-4 25 to 250 ft lb  R 0.05</t>
  </si>
  <si>
    <t>Torque Wrench, CDI-4 25 to 250 ft lb  R 0.1</t>
  </si>
  <si>
    <t>Torque Wrench, CDI-4 25 to 250 ft lb  R 0.25</t>
  </si>
  <si>
    <t>Torque Wrench, CDI-4 25 to 250 ft lb  R 0.5</t>
  </si>
  <si>
    <t>Torque Wrench, CDI-4 25 to 250 ft lb  R 1</t>
  </si>
  <si>
    <t>Torque Wrench, RTS 40 to 400 ft lb  R 0.01</t>
  </si>
  <si>
    <t>Torque Wrench, RTS 40 to 400 ft lb  R 0.025</t>
  </si>
  <si>
    <t>Torque Wrench, RTS 40 to 400 ft lb  R 0.05</t>
  </si>
  <si>
    <t>Torque Wrench, RTS 40 to 400 ft lb  R 0.1</t>
  </si>
  <si>
    <t>Torque Wrench, RTS 40 to 400 ft lb  R 0.25</t>
  </si>
  <si>
    <t>Torque Wrench, RTS 40 to 400 ft lb  R 0.5</t>
  </si>
  <si>
    <t>Torque Wrench, RTS 40 to 400 ft lb  R 1</t>
  </si>
  <si>
    <t>Air Gage   R 0.000005</t>
  </si>
  <si>
    <t>Air Gage</t>
  </si>
  <si>
    <t>µin</t>
  </si>
  <si>
    <t>Air Gage   R 0.00001</t>
  </si>
  <si>
    <t>Air Gage   R 0.00002</t>
  </si>
  <si>
    <t>Scale, Ultra Wts 0.5 to 380 g  R 0.00001</t>
  </si>
  <si>
    <t>mg</t>
  </si>
  <si>
    <t>Scale, Ultra Wts 0.5 to 380 g  R 0.0001</t>
  </si>
  <si>
    <t>Scale, Ultra Wts 0.5 to 380 g  R 0.001</t>
  </si>
  <si>
    <t>Scale, Ultra Wts 0.5 to 380 g  R 0.01</t>
  </si>
  <si>
    <t>Scale, Ultra Wts 0.5 to 380 g  R 0.1</t>
  </si>
  <si>
    <t>Scale, Ultra Wts 0.5 to 380 g  R 1</t>
  </si>
  <si>
    <t>Scale, F Wts 0 to 200 g  R 0.001</t>
  </si>
  <si>
    <t>Scale, F Wts 0 to 200 g  R 0.01</t>
  </si>
  <si>
    <t>Scale, F Wts 0 to 200 g  R 0.1</t>
  </si>
  <si>
    <t>Scale, F Wts 0 to 200 g  R 1</t>
  </si>
  <si>
    <t>Scale, F Wts 200 to 1000 g  R 0.001</t>
  </si>
  <si>
    <t>Scale, F Wts 200 to 1000 g  R 0.01</t>
  </si>
  <si>
    <t>Scale, F Wts 200 to 1000 g  R 0.1</t>
  </si>
  <si>
    <t>Scale, F Wts 200 to 1000 g  R 1</t>
  </si>
  <si>
    <t>Scale lbs 0 to 50 lbs  R 0.0002</t>
  </si>
  <si>
    <t>Scale lbs 0 to 50 lbs  R 0.0005</t>
  </si>
  <si>
    <t>Scale lbs 0 to 50 lbs  R 0.001</t>
  </si>
  <si>
    <t>Scale lbs 0 to 50 lbs  R 0.01</t>
  </si>
  <si>
    <t>Scale lbs 0 to 50 lbs  R 0.1</t>
  </si>
  <si>
    <t>Scale lbs 0 to 50 lbs  R 1</t>
  </si>
  <si>
    <t>Scale lbs 50 to 300 lbs  R 0.001</t>
  </si>
  <si>
    <t>Scale lbs 50 to 300 lbs  R 0.01</t>
  </si>
  <si>
    <t>Scale lbs 50 to 300 lbs  R 0.1</t>
  </si>
  <si>
    <t>Scale lbs 50 to 300 lbs  R 1</t>
  </si>
  <si>
    <t>LOW</t>
  </si>
  <si>
    <t>Rockwell Indirect HRA &lt;70  R 0.1</t>
  </si>
  <si>
    <t>Rockwell Indirect</t>
  </si>
  <si>
    <t>Rockwell Indirect HRA ≤70 and &lt;80  R 0.1</t>
  </si>
  <si>
    <t>Rockwell Indirect HRA ≥80  R 0.1</t>
  </si>
  <si>
    <t>Rockwell Indirect HRBW &lt;60  R 0.1</t>
  </si>
  <si>
    <t>Rockwell Indirect HRBW ≤60 and &lt;80  R 0.1</t>
  </si>
  <si>
    <t>Rockwell Indirect HRBW ≥80  R 0.1</t>
  </si>
  <si>
    <t>Rockwell Indirect HRC &lt;35  R 0.1</t>
  </si>
  <si>
    <t>Rockwell Indirect HRC ≤35 and &lt;60  R 0.1</t>
  </si>
  <si>
    <t>Rockwell Indirect HRC ≥60  R 0.1</t>
  </si>
  <si>
    <t>Rockwell Indirect HREW &lt;84  R 0.1</t>
  </si>
  <si>
    <t>Rockwell Indirect HREW ≤84 and &lt;93  R 0.1</t>
  </si>
  <si>
    <t>Rockwell Indirect HREW ≥93  R 0.1</t>
  </si>
  <si>
    <t>Rockwell Indirect HRFW &lt;80  R 0.1</t>
  </si>
  <si>
    <t>Rockwell Indirect HRFW ≤80 and &lt;94  R 0.1</t>
  </si>
  <si>
    <t>MID</t>
  </si>
  <si>
    <t>Rockwell Indirect HRFW ≥94  R 0.1</t>
  </si>
  <si>
    <t>Rockwell Indirect HRHW &lt;96  R 0.1</t>
  </si>
  <si>
    <t>Rockwell Indirect HRHW ≥96  R 0.1</t>
  </si>
  <si>
    <t>Rockwell Indirect HR15N &lt;78  R 0.1</t>
  </si>
  <si>
    <t>Rockwell Indirect HR15N ≤78 and &lt;90  R 0.1</t>
  </si>
  <si>
    <t>Rockwell Indirect HR15N ≥90  R 0.1</t>
  </si>
  <si>
    <t>Rockwell Indirect HR30N &lt;55  R 0.1</t>
  </si>
  <si>
    <t>Rockwell Indirect HR30N ≤55 and &lt;77  R 0.1</t>
  </si>
  <si>
    <t>Rockwell Indirect HR30N ≥77  R 0.1</t>
  </si>
  <si>
    <t>Rockwell Indirect HR45N &lt;37  R 0.1</t>
  </si>
  <si>
    <t>Rockwell Indirect HR45N ≤37 and &lt;66  R 0.1</t>
  </si>
  <si>
    <t>Rockwell Indirect HR45N ≥66  R 0.1</t>
  </si>
  <si>
    <t>Rockwell Indirect HR15TW &lt;81  R 0.1</t>
  </si>
  <si>
    <t>Rockwell Indirect HR15TW ≤81 and &lt;87  R 0.1</t>
  </si>
  <si>
    <t>HIGH</t>
  </si>
  <si>
    <t>Rockwell Indirect HR15TW ≥87  R 0.1</t>
  </si>
  <si>
    <t>Rockwell Indirect HR30TW &lt;57  R 0.1</t>
  </si>
  <si>
    <t>Rockwell Indirect HR30TW ≤57 and &lt;70  R 0.1</t>
  </si>
  <si>
    <t>Rockwell Indirect HR30TW ≥70  R 0.1</t>
  </si>
  <si>
    <t>Rockwell Indirect HR45TW &lt;33  R 0.1</t>
  </si>
  <si>
    <t>Rockwell Indirect HR45TW ≤33 and &lt;53  R 0.1</t>
  </si>
  <si>
    <t>Rockwell Indirect HR45TW ≥53  R 0.1</t>
  </si>
  <si>
    <t>Pressure Abs inHg 0 to 35.5  R 0.001</t>
  </si>
  <si>
    <t>Pressure Abs</t>
  </si>
  <si>
    <t>inHg</t>
  </si>
  <si>
    <t>Pressure Abs inHg 0 to 35.5  R 0.005</t>
  </si>
  <si>
    <t>Pressure Abs inHg 0 to 35.5  R 0.01</t>
  </si>
  <si>
    <t>Pressure Abs inHg 0 to 35.5  R 0.05</t>
  </si>
  <si>
    <t>Pressure Abs inHg 0 to 35.5  R 0.1</t>
  </si>
  <si>
    <t>Pressure Abs inHg 0 to 35.5  R 0.5</t>
  </si>
  <si>
    <t>Pressure Abs inHg 0 to 35.5  R 1</t>
  </si>
  <si>
    <t>Pressure Abs XP2i 28.5 to 100  R 0.01</t>
  </si>
  <si>
    <t>Pressure Abs XP2i 28.5 to 100  R 0.05</t>
  </si>
  <si>
    <t>Pressure Abs XP2i 28.5 to 100  R 0.1</t>
  </si>
  <si>
    <t>Pressure Abs XP2i 28.5 to 100  R 0.5</t>
  </si>
  <si>
    <t>Pressure Abs XP2i 28.5 to 100  R 1</t>
  </si>
  <si>
    <t>Pressure Additel 500 to 10,000  R 1</t>
  </si>
  <si>
    <t>Pressure</t>
  </si>
  <si>
    <t>psi</t>
  </si>
  <si>
    <t>Pressure Additel 500 to 10,000  R 5</t>
  </si>
  <si>
    <t>Pressure Additel 500 to 10,000  R 10</t>
  </si>
  <si>
    <t>Pressure Additel 500 to 10,000  R 25</t>
  </si>
  <si>
    <t>Pressure Additel 500 to 10,000  R 50</t>
  </si>
  <si>
    <t>Pressure Additel 500 to 10,000  R 100</t>
  </si>
  <si>
    <t>Pressure, oxy only 0 to 500  R 0.01</t>
  </si>
  <si>
    <t>Pressure, oxy only 0 to 500  R 0.05</t>
  </si>
  <si>
    <t>Pressure, oxy only 0 to 500  R 0.1</t>
  </si>
  <si>
    <t>Pressure, oxy only 0 to 500  R 0.5</t>
  </si>
  <si>
    <t>Pressure, oxy only 0 to 500  R 1</t>
  </si>
  <si>
    <t>Pressure, oxy only 0 to 500  R 2</t>
  </si>
  <si>
    <t>Pressure, oxy only 0 to 500  R 2.5</t>
  </si>
  <si>
    <t>Pressure, oxy only 0 to 500  R 5</t>
  </si>
  <si>
    <t>Pressure, oxy only 0 to 500  R 10</t>
  </si>
  <si>
    <t>Pressure M202 0 to 0.72 psi  R 0.001</t>
  </si>
  <si>
    <t>Pressure M202 0 to 0.72 psi  R 0.005</t>
  </si>
  <si>
    <t>Pressure M202 0 to 0.72 psi  R 0.01</t>
  </si>
  <si>
    <t>Pressure M202 0 to 0.72 psi  R 0.05</t>
  </si>
  <si>
    <t>Pressure M202 0 to 0.72 psi  R 0.1</t>
  </si>
  <si>
    <t>Vac M202 0 to 0.72 psi  R 0.001</t>
  </si>
  <si>
    <t>Vacuum</t>
  </si>
  <si>
    <t>Vac M202 0 to 0.72 psi  R 0.005</t>
  </si>
  <si>
    <t>Vac M202 0 to 0.72 psi  R 0.01</t>
  </si>
  <si>
    <t>Vac M202 0 to 0.72 psi  R 0.05</t>
  </si>
  <si>
    <t>Vac M202 0 to 0.72 psi  R 0.1</t>
  </si>
  <si>
    <t>Pressure M202 0.72 to 5 psi  R 0.001</t>
  </si>
  <si>
    <t>Pressure M202 0.72 to 5 psi  R 0.005</t>
  </si>
  <si>
    <t>Pressure M202 0.72 to 5 psi  R 0.01</t>
  </si>
  <si>
    <t>Pressure M202 0.72 to 5 psi  R 0.05</t>
  </si>
  <si>
    <t>Pressure M202 0.72 to 5 psi  R 0.1</t>
  </si>
  <si>
    <t>Pressure M202 0.72 to 5 psi  R 0.5</t>
  </si>
  <si>
    <t>Pressure inH2O, Crystal 0 to 45  R 0.01</t>
  </si>
  <si>
    <t>inH2O</t>
  </si>
  <si>
    <t>Pressure inH2O, Crystal 0 to 45  R 0.05</t>
  </si>
  <si>
    <t>Pressure inH2O, Crystal 0 to 45  R 0.1</t>
  </si>
  <si>
    <t>Pressure inH2O, Crystal 0 to 45  R 0.25</t>
  </si>
  <si>
    <t>Pressure inH2O, Crystal 0 to 45  R 0.5</t>
  </si>
  <si>
    <t>Pressure inH2O, Crystal 0 to 45  R 1</t>
  </si>
  <si>
    <t>Pressure Abs mmHg 0 to 900  R 0.01</t>
  </si>
  <si>
    <t>mmHg</t>
  </si>
  <si>
    <t>Pressure Abs mmHg 0 to 900  R 0.05</t>
  </si>
  <si>
    <t>Pressure Abs mmHg 0 to 900  R 0.1</t>
  </si>
  <si>
    <t>Pressure Abs mmHg 0 to 900  R 0.25</t>
  </si>
  <si>
    <t>Pressure Abs mmHg 0 to 900  R 0.5</t>
  </si>
  <si>
    <t>Pressure Abs mmHg 0 to 900  R 1</t>
  </si>
  <si>
    <t>Pressure Abs mmHg 0 to 900  R 10</t>
  </si>
  <si>
    <t>Pressure Abs psia 0 to 17.5  R 0.001</t>
  </si>
  <si>
    <t>psia</t>
  </si>
  <si>
    <t>Pressure Abs psia 0 to 17.5  R 0.01</t>
  </si>
  <si>
    <t>Pressure Abs psia 0 to 17.5  R 0.05</t>
  </si>
  <si>
    <t>Pressure Abs psia 0 to 17.5  R 0.1</t>
  </si>
  <si>
    <t>Pressure Abs psia 0 to 17.5  R 0.5</t>
  </si>
  <si>
    <t>Pressure Abs psia 0 to 17.5  R 1</t>
  </si>
  <si>
    <t>Pressure Abs hPa 0 to 1207  R 0.001</t>
  </si>
  <si>
    <t>hPa</t>
  </si>
  <si>
    <t>Pressure Abs hPa 0 to 1207  R 0.01</t>
  </si>
  <si>
    <t>Pressure Abs hPa 0 to 1207  R 0.05</t>
  </si>
  <si>
    <t>Pressure Abs hPa 0 to 1207  R 0.1</t>
  </si>
  <si>
    <t>Pressure Abs hPa 0 to 1207  R 0.5</t>
  </si>
  <si>
    <t>Pressure Abs hPa 0 to 1207  R 1</t>
  </si>
  <si>
    <t>Pressure Abs hPa 0 to 1207  R 10</t>
  </si>
  <si>
    <t>Pressure Abs ft alt 0 to 35000  R 1</t>
  </si>
  <si>
    <t>ft alt</t>
  </si>
  <si>
    <t>Pressure Abs ft alt 0 to 35000  R 5</t>
  </si>
  <si>
    <t>Pressure Abs ft alt 0 to 35000  R 10</t>
  </si>
  <si>
    <t>Pressure Abs ft alt 0 to 35000  R 25</t>
  </si>
  <si>
    <t>Pressure Abs ft alt 0 to 35000  R 50</t>
  </si>
  <si>
    <t>Pressure Abs ft alt 0 to 35000  R 100</t>
  </si>
  <si>
    <t>Pressure inH2O, D002 0 to 20  R 0.01</t>
  </si>
  <si>
    <t>Pressure inH2O, D002 0 to 20  R 0.05</t>
  </si>
  <si>
    <t>Pressure inH2O, D002 0 to 20  R 0.1</t>
  </si>
  <si>
    <t>Pressure inH2O, D002 0 to 20  R 0.25</t>
  </si>
  <si>
    <t>Pressure inH2O, D002 0 to 20  R 0.5</t>
  </si>
  <si>
    <t>Pressure inH2O, D002 0 to 20  R 1</t>
  </si>
  <si>
    <t>Pressure, Crystal 0 to 30  R 0.001</t>
  </si>
  <si>
    <t>Pressure, Crystal 0 to 30  R 0.005</t>
  </si>
  <si>
    <t>Pressure, Crystal 0 to 30  R 0.01</t>
  </si>
  <si>
    <t>Pressure, Crystal 0 to 30  R 0.05</t>
  </si>
  <si>
    <t>Pressure, Crystal 0 to 30  R 0.1</t>
  </si>
  <si>
    <t>Pressure, Crystal 0 to 30  R 0.5</t>
  </si>
  <si>
    <t>Pressure, Crystal 0 to 30  R 1</t>
  </si>
  <si>
    <t>Pressure, Crystal 0 to 30  R 2.5</t>
  </si>
  <si>
    <t>Pressure, Crystal 0 to 30  R 5</t>
  </si>
  <si>
    <t>Pressure, Crystal 0 to 830  R 0.01</t>
  </si>
  <si>
    <t>in H2O</t>
  </si>
  <si>
    <t>Pressure, Crystal 0 to 830  R 0.05</t>
  </si>
  <si>
    <t>Pressure, Crystal 0 to 830  R 0.1</t>
  </si>
  <si>
    <t>Pressure, Crystal 0 to 830  R 0.25</t>
  </si>
  <si>
    <t>Pressure, Crystal 0 to 830  R 0.5</t>
  </si>
  <si>
    <t>Pressure, Crystal 0 to 830  R 1</t>
  </si>
  <si>
    <t>Pressure, Crystal 0 to 830  R 2.5</t>
  </si>
  <si>
    <t>Pressure, Crystal 0 to 830  R 5</t>
  </si>
  <si>
    <t>Pressure, Crystal 0 to 830  R 10</t>
  </si>
  <si>
    <t xml:space="preserve">   R </t>
  </si>
  <si>
    <t xml:space="preserve"> </t>
  </si>
  <si>
    <t>Date</t>
  </si>
  <si>
    <t>Action Performed:</t>
  </si>
  <si>
    <t>By</t>
  </si>
  <si>
    <t>Validated all operations.</t>
  </si>
  <si>
    <t>SP</t>
  </si>
  <si>
    <t>companyname</t>
  </si>
  <si>
    <t>phonenumber</t>
  </si>
  <si>
    <t>companyid</t>
  </si>
  <si>
    <t>Michael Moore</t>
  </si>
  <si>
    <t>1137 Avenue N</t>
  </si>
  <si>
    <t>APEX ENGINEERING WICHITA DIV.</t>
  </si>
  <si>
    <t>1804 WEST 2ND STREET</t>
  </si>
  <si>
    <t>(316) 262-1494</t>
  </si>
  <si>
    <t>BRUNSON INSTRUMENT CO.</t>
  </si>
  <si>
    <t>AUTH-FLORENCE MANUFACTURING</t>
  </si>
  <si>
    <t>5935 CORPORATE DRIVE</t>
  </si>
  <si>
    <t>(800) 275-1747</t>
  </si>
  <si>
    <t>BODYCOTE THERMAL PROCESSING, INC.-WEST</t>
  </si>
  <si>
    <t>1009 S WEST STREET</t>
  </si>
  <si>
    <t>(316) 943-3288</t>
  </si>
  <si>
    <t>AXIOM ENGINEERING INC.</t>
  </si>
  <si>
    <t>CLARK MANUFACTURING</t>
  </si>
  <si>
    <t>COX MACHINE, INC - HARPER DIV</t>
  </si>
  <si>
    <t>949 N. HIGHWAY 14</t>
  </si>
  <si>
    <t>(316) 943-1342</t>
  </si>
  <si>
    <t>CHROME PLUS INT'L - WICHITA</t>
  </si>
  <si>
    <t>3939 W 29TH ST S</t>
  </si>
  <si>
    <t>(316) 944-3600</t>
  </si>
  <si>
    <t>TURBOCHARGER SOLUTIONS</t>
  </si>
  <si>
    <t>1648 W. MAGNOLIA RD.</t>
  </si>
  <si>
    <t>(785) 822-8177</t>
  </si>
  <si>
    <t>DYNAMIC N/C L.L.C.</t>
  </si>
  <si>
    <t>16531 SOUTHWEST 190th ROAD</t>
  </si>
  <si>
    <t>(316) 712-5028</t>
  </si>
  <si>
    <t>CROSS MANUFACTURING - HAYS DIVISION</t>
  </si>
  <si>
    <t>901 CANTERBURY DRIVE</t>
  </si>
  <si>
    <t>(785) 625-2585</t>
  </si>
  <si>
    <t>CROSS MFG., INC. LEWIS DIVISION</t>
  </si>
  <si>
    <t>DIVERSIFIED SERVICES</t>
  </si>
  <si>
    <t>27 CLARK AVE, IND. PARK #2</t>
  </si>
  <si>
    <t>(316) 262-2448</t>
  </si>
  <si>
    <t>D-J EXTRUDING</t>
  </si>
  <si>
    <t>723 E. SPRING</t>
  </si>
  <si>
    <t>(620) 456-3121</t>
  </si>
  <si>
    <t>D-J ENGINEERING, INC.</t>
  </si>
  <si>
    <t>219 W. SIXTH</t>
  </si>
  <si>
    <t>(316) 775-1212</t>
  </si>
  <si>
    <t>ACCURUS AEROSPACE WICHITA, LLC</t>
  </si>
  <si>
    <t>AERO-TECH ENGINEERING, INC.</t>
  </si>
  <si>
    <t>GKN PRECISION MACHINING, INC.</t>
  </si>
  <si>
    <t>429 N WEST ROAD</t>
  </si>
  <si>
    <t>(620) 326-5952</t>
  </si>
  <si>
    <t>BODYCOTE THERMAL PROCESSING, INC.-McLEAN</t>
  </si>
  <si>
    <t>PRODUCT MANUFACTURING CORPORATION - PARK CITY</t>
  </si>
  <si>
    <t>5615 N BROADWAY</t>
  </si>
  <si>
    <t>(316) 838-3970</t>
  </si>
  <si>
    <t>FIGEAC AERO</t>
  </si>
  <si>
    <t>9313 EAST 39TH STREET NORTH</t>
  </si>
  <si>
    <t>(316) 634-2500</t>
  </si>
  <si>
    <t>FREEMAN COMPANY</t>
  </si>
  <si>
    <t>ELECTRO-METHODS, INC.</t>
  </si>
  <si>
    <t>KANSAS GUN DRILLING, INC.</t>
  </si>
  <si>
    <t>2204 W. HARRY CT.</t>
  </si>
  <si>
    <t>(316) 943-4241</t>
  </si>
  <si>
    <t>JOHNSON GAGE &amp; INSPECTION, INC.</t>
  </si>
  <si>
    <t>CE MACHINE CO.</t>
  </si>
  <si>
    <t>LIGHTNING AEROSPACE LLC</t>
  </si>
  <si>
    <t>HARLOW AEROSTRUCTURES LLC</t>
  </si>
  <si>
    <t>GLOBE ENGINEERING CO.</t>
  </si>
  <si>
    <t>1539 S. ST. PAUL</t>
  </si>
  <si>
    <t>(316) 943-1266</t>
  </si>
  <si>
    <t>LYONS MANUFACTURING</t>
  </si>
  <si>
    <t>711 E MAIN</t>
  </si>
  <si>
    <t>(620) 257-2331</t>
  </si>
  <si>
    <t>LMI AEROSPACE HILLSIDE</t>
  </si>
  <si>
    <t>2853 S HILLSIDE</t>
  </si>
  <si>
    <t>(316) 682-4551</t>
  </si>
  <si>
    <t>KOCH-GLITSCH LP</t>
  </si>
  <si>
    <t>4111 EAST 37TH STREET NORTH</t>
  </si>
  <si>
    <t>(316) 828-3816</t>
  </si>
  <si>
    <t>KISER MANUFACTURING CO., INC.</t>
  </si>
  <si>
    <t>MILLING PRECISION TOOL</t>
  </si>
  <si>
    <t>MFCO HEAT TREAT - HARRY LOCATION</t>
  </si>
  <si>
    <t>MFCO-Aluminum Heat Treatment- Murdock</t>
  </si>
  <si>
    <t>MAYNARD INC. - WICHITA DIV.</t>
  </si>
  <si>
    <t>PERFEKTA, INC.</t>
  </si>
  <si>
    <t>PRECISION PRODUCTS</t>
  </si>
  <si>
    <t>2524 S LEONINE</t>
  </si>
  <si>
    <t>(316) 943-1314</t>
  </si>
  <si>
    <t>PRODUCT MANUFACTURING CORPORATION</t>
  </si>
  <si>
    <t>PRECISION TOOL IMPROVEMENTS CO.</t>
  </si>
  <si>
    <t>NWI WICHITA LLC</t>
  </si>
  <si>
    <t>3258 S HOOVER</t>
  </si>
  <si>
    <t>(316) 942-0432</t>
  </si>
  <si>
    <t>ORIZON AEROSTRUCTURES PROCESSING</t>
  </si>
  <si>
    <t>2526 W. 21st STREET</t>
  </si>
  <si>
    <t>(620) 305-2400</t>
  </si>
  <si>
    <t>OMNI AEROSPACE - WICHITA DIVISION</t>
  </si>
  <si>
    <t>3130 W. PAWNEE</t>
  </si>
  <si>
    <t>(316) 927-2700</t>
  </si>
  <si>
    <t>NWI KANSAS CITY LLC</t>
  </si>
  <si>
    <t>S&amp;S MANUFACTURING, INC</t>
  </si>
  <si>
    <t>PRYER AEROSPACE</t>
  </si>
  <si>
    <t>2230 N. SHERIDAN RD.</t>
  </si>
  <si>
    <t>(918) 835-8885</t>
  </si>
  <si>
    <t>TECT AEROSPACE WELLINGTON</t>
  </si>
  <si>
    <t>THE BRADBURY COMPANY</t>
  </si>
  <si>
    <t>1200 E COLE</t>
  </si>
  <si>
    <t>(620) 345-6394</t>
  </si>
  <si>
    <t>TAKAKO AMERICA CO., INC</t>
  </si>
  <si>
    <t>715 COREY ROAD</t>
  </si>
  <si>
    <t>(620) 663-1790</t>
  </si>
  <si>
    <t>TEXTRON AVIATION INC.</t>
  </si>
  <si>
    <t>SULLIVAN PRECISION METAL FINISHING</t>
  </si>
  <si>
    <t>WALDEN'S MACHINE, LLC</t>
  </si>
  <si>
    <t>3030 N. ERIE</t>
  </si>
  <si>
    <t>(918) 836-6317</t>
  </si>
  <si>
    <t>WESCON CONTROLS</t>
  </si>
  <si>
    <t>2533 S. WEST ST.</t>
  </si>
  <si>
    <t>(316) 239-3259</t>
  </si>
  <si>
    <t>WICHITA MACHINE PRODUCTS</t>
  </si>
  <si>
    <t>WICHITA AEROSPACE SPARES, INC.</t>
  </si>
  <si>
    <t>VANAM TOOL &amp; ENGINEERING</t>
  </si>
  <si>
    <t>5025 EASTON ROAD</t>
  </si>
  <si>
    <t>(816) 233-6622</t>
  </si>
  <si>
    <t>THYSSENKRUPP AEROSPACE - TMX</t>
  </si>
  <si>
    <t>UNITED MACHINE COMPANY</t>
  </si>
  <si>
    <t>602 N HYDRAULIC</t>
  </si>
  <si>
    <t>(316) 264-3367</t>
  </si>
  <si>
    <t>ZYXAXIS INC.</t>
  </si>
  <si>
    <t>GABRIEL NATOLITANO</t>
  </si>
  <si>
    <t>NIAR WERX MRO</t>
  </si>
  <si>
    <t>GARMIN</t>
  </si>
  <si>
    <t>1200 E 151ST ST</t>
  </si>
  <si>
    <t>(913) 440-2265</t>
  </si>
  <si>
    <t>categoryname</t>
  </si>
  <si>
    <t>Manufacturer</t>
  </si>
  <si>
    <t>Model No.</t>
  </si>
  <si>
    <t>Manufacturer2</t>
  </si>
  <si>
    <t>Portable Hardness Tester</t>
  </si>
  <si>
    <t>Clark</t>
  </si>
  <si>
    <t>CPT</t>
  </si>
  <si>
    <t>Rockwell Hardness Tester</t>
  </si>
  <si>
    <t>Unidentified</t>
  </si>
  <si>
    <t>GENERIC 574</t>
  </si>
  <si>
    <t>Wilson</t>
  </si>
  <si>
    <t>3JR</t>
  </si>
  <si>
    <t>Sun-Tec</t>
  </si>
  <si>
    <t>Portable</t>
  </si>
  <si>
    <t>Newage</t>
  </si>
  <si>
    <t>9391/9392</t>
  </si>
  <si>
    <t>Antonik</t>
  </si>
  <si>
    <t>RPT2</t>
  </si>
  <si>
    <t>05523</t>
  </si>
  <si>
    <t>CR-3e</t>
  </si>
  <si>
    <t>CR17401</t>
  </si>
  <si>
    <t>NI-600</t>
  </si>
  <si>
    <t>Affri</t>
  </si>
  <si>
    <t>RSD Mag</t>
  </si>
  <si>
    <t>2002T</t>
  </si>
  <si>
    <t>C2642</t>
  </si>
  <si>
    <t>Versitron</t>
  </si>
  <si>
    <t>7678/7690</t>
  </si>
  <si>
    <t>08815</t>
  </si>
  <si>
    <t>06616</t>
  </si>
  <si>
    <t>23-0100</t>
  </si>
  <si>
    <t>KMC-61</t>
  </si>
  <si>
    <t>4TT</t>
  </si>
  <si>
    <t>4JRARB</t>
  </si>
  <si>
    <t>4JSBB</t>
  </si>
  <si>
    <t>4JSBB-578</t>
  </si>
  <si>
    <t>Misawa Seiki</t>
  </si>
  <si>
    <t>06611</t>
  </si>
  <si>
    <t>3JR-97</t>
  </si>
  <si>
    <t>CRX-3</t>
  </si>
  <si>
    <t>CR24614</t>
  </si>
  <si>
    <t>07664</t>
  </si>
  <si>
    <t>34197R</t>
  </si>
  <si>
    <t>Buehler</t>
  </si>
  <si>
    <t>RB2000</t>
  </si>
  <si>
    <t>CR04137</t>
  </si>
  <si>
    <t>Accupro Gold</t>
  </si>
  <si>
    <t>06534051</t>
  </si>
  <si>
    <t>0001671</t>
  </si>
  <si>
    <t>Mitutoyo</t>
  </si>
  <si>
    <t>01981404</t>
  </si>
  <si>
    <t>09853</t>
  </si>
  <si>
    <t>PMI-0438</t>
  </si>
  <si>
    <t>CR0205</t>
  </si>
  <si>
    <t>07677</t>
  </si>
  <si>
    <t>07731</t>
  </si>
  <si>
    <t>CV-600A</t>
  </si>
  <si>
    <t>CR13312</t>
  </si>
  <si>
    <t>2003T</t>
  </si>
  <si>
    <t>R2K-0152</t>
  </si>
  <si>
    <t>08801</t>
  </si>
  <si>
    <t>03448</t>
  </si>
  <si>
    <t>Starrett</t>
  </si>
  <si>
    <t>WMI-HTST1</t>
  </si>
  <si>
    <t>4JR</t>
  </si>
  <si>
    <t>HR-200</t>
  </si>
  <si>
    <t>0063302</t>
  </si>
  <si>
    <t>6844/6668</t>
  </si>
  <si>
    <t>Indentron</t>
  </si>
  <si>
    <t>CR18439</t>
  </si>
  <si>
    <t>670H</t>
  </si>
  <si>
    <t>C2643</t>
  </si>
  <si>
    <t>CR21530 W-CPI-7003</t>
  </si>
  <si>
    <t>CR21545 W-CPI-1600</t>
  </si>
  <si>
    <t>AT130SRDS</t>
  </si>
  <si>
    <t>6633/41-7684</t>
  </si>
  <si>
    <t>NI-300C</t>
  </si>
  <si>
    <t>083754</t>
  </si>
  <si>
    <t>Instron</t>
  </si>
  <si>
    <t>Wilson Rockwell 2002T Automated</t>
  </si>
  <si>
    <t>R2K0001</t>
  </si>
  <si>
    <t>083751</t>
  </si>
  <si>
    <t>022697</t>
  </si>
  <si>
    <t>CR0182</t>
  </si>
  <si>
    <t>344R</t>
  </si>
  <si>
    <t>01351</t>
  </si>
  <si>
    <t>2000R</t>
  </si>
  <si>
    <t>R1317</t>
  </si>
  <si>
    <t>R2000P9932</t>
  </si>
  <si>
    <t>R2150-1</t>
  </si>
  <si>
    <t>W2K-0059</t>
  </si>
  <si>
    <t>3JR-4058</t>
  </si>
  <si>
    <t>01367</t>
  </si>
  <si>
    <t>940-131</t>
  </si>
  <si>
    <t>JH</t>
  </si>
  <si>
    <t>Added data validation rules.</t>
  </si>
  <si>
    <t>Serial No.</t>
  </si>
  <si>
    <t>customer lookup</t>
  </si>
  <si>
    <t>categoryname2</t>
  </si>
  <si>
    <t>companyid2</t>
  </si>
  <si>
    <t>FILTER</t>
  </si>
  <si>
    <t>filtered UUT dropdown contents</t>
  </si>
  <si>
    <t>Model FILTER</t>
  </si>
  <si>
    <t>SN FILTER</t>
  </si>
  <si>
    <t>Manufacturer FILTER</t>
  </si>
  <si>
    <t>categoryname FILTER</t>
  </si>
  <si>
    <t>companyid FILTER</t>
  </si>
  <si>
    <t>Model2</t>
  </si>
  <si>
    <t>SN2</t>
  </si>
  <si>
    <t>Phone No.:</t>
  </si>
  <si>
    <t>Customer PO:</t>
  </si>
  <si>
    <t>Improved data validation rules.</t>
  </si>
  <si>
    <t>(785) 742-7171</t>
  </si>
  <si>
    <t>1210 POTTAWATOMIE ST.</t>
  </si>
  <si>
    <t>WILDE TOOL CO., INC.</t>
  </si>
  <si>
    <t>(316) 522-7401</t>
  </si>
  <si>
    <t>3801 W 47th St S</t>
  </si>
  <si>
    <t>(316) 219-5862</t>
  </si>
  <si>
    <t>5725 N BROADWAY</t>
  </si>
  <si>
    <t>4626 W. MAY ST., BUILDING D</t>
  </si>
  <si>
    <t>(800) 203-8000</t>
  </si>
  <si>
    <t>1200 BLAKE DRIVE</t>
  </si>
  <si>
    <t>TW METALS, LLC - KANSAS DIVISION</t>
  </si>
  <si>
    <t>(316) 744-5000</t>
  </si>
  <si>
    <t>(316) 265-0603</t>
  </si>
  <si>
    <t>1935 WALKER</t>
  </si>
  <si>
    <t>TRINITY PRECISION INC.</t>
  </si>
  <si>
    <t>(316) 260-8808</t>
  </si>
  <si>
    <t>7709 E. HARRY</t>
  </si>
  <si>
    <t>TRAN AEROSPACE</t>
  </si>
  <si>
    <t>(316) 681-6779</t>
  </si>
  <si>
    <t>6151 N PROSPECT RD</t>
  </si>
  <si>
    <t>6811 SOUTH 204 STREET SUITE 350</t>
  </si>
  <si>
    <t>(800) 397-6394</t>
  </si>
  <si>
    <t>1643 S MAIZE ROAD</t>
  </si>
  <si>
    <t>14115 RUSS MEYER BLVD</t>
  </si>
  <si>
    <t>1 CESSNA BLVD</t>
  </si>
  <si>
    <t>9709 E CENTRAL</t>
  </si>
  <si>
    <t>5800 E PAWNEE</t>
  </si>
  <si>
    <t>(316) 347-0639</t>
  </si>
  <si>
    <t xml:space="preserve">2 CESSNA BLVD,   </t>
  </si>
  <si>
    <t>(620) 359-5000</t>
  </si>
  <si>
    <t>1515 N A ST</t>
  </si>
  <si>
    <t>1211 OLD ALBANY ROAD</t>
  </si>
  <si>
    <t>5545 N. MILL HEIGHTS DRIVE</t>
  </si>
  <si>
    <t>TECT - PARK CITY</t>
  </si>
  <si>
    <t>PO BOX 1278</t>
  </si>
  <si>
    <t>(512) 389-3840</t>
  </si>
  <si>
    <t>11700 STONEHOLLOW DR, STE 110</t>
  </si>
  <si>
    <t>SUPPLY TECHNOLOGIES LLC</t>
  </si>
  <si>
    <t>(440) 947-2095</t>
  </si>
  <si>
    <t>P.O. BOX 6476</t>
  </si>
  <si>
    <t>(316) 522-3333</t>
  </si>
  <si>
    <t>3855 S NORMAN</t>
  </si>
  <si>
    <t>SUNSHINE METALS, INC.</t>
  </si>
  <si>
    <t>3941 S NORMAN</t>
  </si>
  <si>
    <t>(620) 802-0209</t>
  </si>
  <si>
    <t>1816 E Wasp Rd</t>
  </si>
  <si>
    <t>STRAIGHTLINE HDD</t>
  </si>
  <si>
    <t>(316) 263-3500</t>
  </si>
  <si>
    <t>1023 S SANTA FE</t>
  </si>
  <si>
    <t>SINCLAIR &amp; SONS CUSTOM WELDING &amp; MACH.</t>
  </si>
  <si>
    <t>(316) 708-8956</t>
  </si>
  <si>
    <t>10203 W YORK</t>
  </si>
  <si>
    <t>SIMON J MACHINE TOOL LLC</t>
  </si>
  <si>
    <t>(316) 305-8581</t>
  </si>
  <si>
    <t>(316) 832-0210</t>
  </si>
  <si>
    <t>12550 W. 53rd St N.</t>
  </si>
  <si>
    <t>SHUTTLE AEROSPACE, INC.</t>
  </si>
  <si>
    <t>(620) 662-7221</t>
  </si>
  <si>
    <t>904 EAST WILLIAMS</t>
  </si>
  <si>
    <t>SHIELD INDUSTRIES INC.</t>
  </si>
  <si>
    <t>(620) 584-6418</t>
  </si>
  <si>
    <t>116 S TRACY</t>
  </si>
  <si>
    <t>SHACKELFORD MACHINE</t>
  </si>
  <si>
    <t>PO BOX 670</t>
  </si>
  <si>
    <t>(316) 200-5832</t>
  </si>
  <si>
    <t>2661 W. ESTHNER</t>
  </si>
  <si>
    <t>(316) 263-0841</t>
  </si>
  <si>
    <t>922 N. SANTA FE</t>
  </si>
  <si>
    <t>RICKMAN MACHINE CO.</t>
  </si>
  <si>
    <t>(316) 425-0079</t>
  </si>
  <si>
    <t>4327 W. MAY STREET</t>
  </si>
  <si>
    <t>REGASA AEROSPACE, INC.</t>
  </si>
  <si>
    <t>(316) 942-6699</t>
  </si>
  <si>
    <t>2615 ESTHNER CT</t>
  </si>
  <si>
    <t>R &amp; R AEROSPACE</t>
  </si>
  <si>
    <t>PO BOX 17034</t>
  </si>
  <si>
    <t>(316) 260-9980</t>
  </si>
  <si>
    <t>1901 SW BLVD</t>
  </si>
  <si>
    <t>QUIK TEK MACHINING LLC</t>
  </si>
  <si>
    <t>(316) 832-1389</t>
  </si>
  <si>
    <t>500 EAST 5TH STREET</t>
  </si>
  <si>
    <t>PROFESSIONAL MACHINE &amp; TOOL</t>
  </si>
  <si>
    <t>PO BOX 156</t>
  </si>
  <si>
    <t>(316) 651-7808</t>
  </si>
  <si>
    <t>4425 W MAY STREET, BUILDING A</t>
  </si>
  <si>
    <t>(316) 942-7931</t>
  </si>
  <si>
    <t>4425 W MAY ST., BLDG A</t>
  </si>
  <si>
    <t>(316) 425-3565</t>
  </si>
  <si>
    <t>3002 WEST PAWNEE, STE 104</t>
  </si>
  <si>
    <t>PREMIER PROCESSING</t>
  </si>
  <si>
    <t>(316) 209-7261</t>
  </si>
  <si>
    <t>1000 EMERSON</t>
  </si>
  <si>
    <t>(316) 263-2056</t>
  </si>
  <si>
    <t>480 E 21st N</t>
  </si>
  <si>
    <t>(620) 326-7481</t>
  </si>
  <si>
    <t>600 E 16th</t>
  </si>
  <si>
    <t>OXWELL, INC.</t>
  </si>
  <si>
    <t>PO BOX 588</t>
  </si>
  <si>
    <t>5545 N MILL HEIGHTS DRIVE</t>
  </si>
  <si>
    <t>4174 S OLIVER, Building 140H</t>
  </si>
  <si>
    <t>8351 N HYDRAULLIC</t>
  </si>
  <si>
    <t>NIAR - QUALITY CONTROL &amp; STRAIN GAGE LAB</t>
  </si>
  <si>
    <t>8351 N HYDRAULIC</t>
  </si>
  <si>
    <t>(316) 978-5207</t>
  </si>
  <si>
    <t>1845 FAIRMOUNT</t>
  </si>
  <si>
    <t>(785) 877-3529</t>
  </si>
  <si>
    <t>16596 U.S. HWY 36</t>
  </si>
  <si>
    <t>NATOMA MANUFACTURING, LLC</t>
  </si>
  <si>
    <t>(316) 945-1227</t>
  </si>
  <si>
    <t>2100 S. WEST ST.</t>
  </si>
  <si>
    <t>MPM, INC.</t>
  </si>
  <si>
    <t>(316) 265-0973</t>
  </si>
  <si>
    <t>4225 W 31ST ST. SOUTH</t>
  </si>
  <si>
    <t>PO BOX 3490</t>
  </si>
  <si>
    <t>(316) 282-0884</t>
  </si>
  <si>
    <t>900 W. FIRST - SUITE A</t>
  </si>
  <si>
    <t>MILLENNIUM MACHINE &amp; TOOL INC.</t>
  </si>
  <si>
    <t>(979) 968-9528</t>
  </si>
  <si>
    <t>390 S. REYNOLDS ST.</t>
  </si>
  <si>
    <t>MICO MACHINE COMPANY</t>
  </si>
  <si>
    <t>(316) 440-0990</t>
  </si>
  <si>
    <t>701 EAST MURDOCK</t>
  </si>
  <si>
    <t>1630 W. HARRY</t>
  </si>
  <si>
    <t>701 E. MURDOCK</t>
  </si>
  <si>
    <t>(316) 945-6700</t>
  </si>
  <si>
    <t>1721 S EISENHOWER</t>
  </si>
  <si>
    <t>METALFORM INDUSTRIES, INC.</t>
  </si>
  <si>
    <t>(620) 488-3930</t>
  </si>
  <si>
    <t>305 SOUTH FARMER</t>
  </si>
  <si>
    <t>METAL FORMING INC.</t>
  </si>
  <si>
    <t>PO BOX 487</t>
  </si>
  <si>
    <t>METAL FINISHING CO. -McLean</t>
  </si>
  <si>
    <t>METAL FINISHING CO.</t>
  </si>
  <si>
    <t>1425 S. McLEAN BLVD.</t>
  </si>
  <si>
    <t>(316) 267-7289</t>
  </si>
  <si>
    <t>(316) 425-2579</t>
  </si>
  <si>
    <t>3921 N BRIDGEPORT CIR</t>
  </si>
  <si>
    <t>METAL ARTS MACHINE CO. LLC</t>
  </si>
  <si>
    <t>(903) 983-1592</t>
  </si>
  <si>
    <t>703 OLD GLADEWATER STREET</t>
  </si>
  <si>
    <t>MERRITT PREFERRED COMPONENTS, INC.</t>
  </si>
  <si>
    <t>PO BOX 1209</t>
  </si>
  <si>
    <t>222 N. HYDRAULIC</t>
  </si>
  <si>
    <t>McGINTY MACHINE CO., INC.</t>
  </si>
  <si>
    <t>(316) 269-3344</t>
  </si>
  <si>
    <t>(316) 941-9490</t>
  </si>
  <si>
    <t>4422 W. WALKER ST.</t>
  </si>
  <si>
    <t>7125 S. MCGUIRE ST.</t>
  </si>
  <si>
    <t>(479) 443-6677</t>
  </si>
  <si>
    <t>7175 S. McGUIRE ST.</t>
  </si>
  <si>
    <t>MAYNARD INC.</t>
  </si>
  <si>
    <t>7125 S. McGUIRE ST.</t>
  </si>
  <si>
    <t>(316) 260-6066</t>
  </si>
  <si>
    <t>8219 W IRVING ST</t>
  </si>
  <si>
    <t>MAX AEROSTRUCTURES, LLC</t>
  </si>
  <si>
    <t>5233 NW 41st St</t>
  </si>
  <si>
    <t>MARTINREA RIVERSIDE, LLC</t>
  </si>
  <si>
    <t>(316) 282-0556</t>
  </si>
  <si>
    <t>2320 N OLIVER RD</t>
  </si>
  <si>
    <t>MANUFACTURING SOLUTIONS</t>
  </si>
  <si>
    <t>(316) 542-3166</t>
  </si>
  <si>
    <t>37515 WEST 15th SOUTH</t>
  </si>
  <si>
    <t>MANUFACTURING DEVELOPMENT, INC.</t>
  </si>
  <si>
    <t>PO BOX 550</t>
  </si>
  <si>
    <t>(316) 682-4551 X102</t>
  </si>
  <si>
    <t>2635 W. ESTHNER CT.</t>
  </si>
  <si>
    <t>LMI AEROSPACE ESTHNER</t>
  </si>
  <si>
    <t>(316) 295-4670</t>
  </si>
  <si>
    <t>6650 N BROADWAY</t>
  </si>
  <si>
    <t>(316) 265-7997</t>
  </si>
  <si>
    <t>710 E. 17TH ST. N.</t>
  </si>
  <si>
    <t>L S INDUSTRIES</t>
  </si>
  <si>
    <t>(316) 943-8989</t>
  </si>
  <si>
    <t>4206 W MAY</t>
  </si>
  <si>
    <t>KMG TOOL &amp; MACHINE</t>
  </si>
  <si>
    <t>(620) 435-6981</t>
  </si>
  <si>
    <t>601 E US 160</t>
  </si>
  <si>
    <t>PO BOX 315</t>
  </si>
  <si>
    <t>(316) 744-1083</t>
  </si>
  <si>
    <t>PO BOX 483</t>
  </si>
  <si>
    <t>JOHNSON CONTROLS-YORK</t>
  </si>
  <si>
    <t>(316) 832-6470</t>
  </si>
  <si>
    <t>3120 N. MEAD</t>
  </si>
  <si>
    <t>(316) 942-6600</t>
  </si>
  <si>
    <t>2525 S. LEONINE</t>
  </si>
  <si>
    <t>INTEGRATED COMPONENTS, INC.</t>
  </si>
  <si>
    <t>125 Buck Range Road</t>
  </si>
  <si>
    <t>HUSQVARNA FORESTRY PRODUCTS</t>
  </si>
  <si>
    <t>NO 1. POULAN DRIVE</t>
  </si>
  <si>
    <t>(316) 265-5268</t>
  </si>
  <si>
    <t>1501 S. MCLEAN</t>
  </si>
  <si>
    <t>PO BOX 304</t>
  </si>
  <si>
    <t>(316) 522-5426</t>
  </si>
  <si>
    <t>4201 S. 119th ST. W.</t>
  </si>
  <si>
    <t>H.M. DUNN AEROSYSTEMS</t>
  </si>
  <si>
    <t>(316) 942-6984</t>
  </si>
  <si>
    <t>3066 S. HOOVER</t>
  </si>
  <si>
    <t>H &amp; R PARTS CO., INC.</t>
  </si>
  <si>
    <t>(316) 838-1381</t>
  </si>
  <si>
    <t>1738 N. MOSLEY</t>
  </si>
  <si>
    <t>GODDARD MACHINE</t>
  </si>
  <si>
    <t>(316) 943-1269</t>
  </si>
  <si>
    <t>PO BOX 12407</t>
  </si>
  <si>
    <t>(800) 843-6807</t>
  </si>
  <si>
    <t>2008 E Highway 50</t>
  </si>
  <si>
    <t>PO BOX 57</t>
  </si>
  <si>
    <t>(316) 943-4217</t>
  </si>
  <si>
    <t>7016 PUEBLO SUITE A</t>
  </si>
  <si>
    <t>FMW INC.</t>
  </si>
  <si>
    <t>(316) 684-2875</t>
  </si>
  <si>
    <t>10800 E. CENTRAL</t>
  </si>
  <si>
    <t>FASTENAIR, LLC</t>
  </si>
  <si>
    <t>(620) 327-4911</t>
  </si>
  <si>
    <t>200 S RIDGE RD</t>
  </si>
  <si>
    <t>EXCEL INDUSTRIES</t>
  </si>
  <si>
    <t>4200 W. HARRY</t>
  </si>
  <si>
    <t>EXACTA AEROSPACE, INC.</t>
  </si>
  <si>
    <t>(316) 941-4200</t>
  </si>
  <si>
    <t>(316) 831-9937</t>
  </si>
  <si>
    <t>2952 N. ARKANSAS AVE</t>
  </si>
  <si>
    <t>ETEZAZI INDUSTRIES</t>
  </si>
  <si>
    <t>(714) 450-9100</t>
  </si>
  <si>
    <t>2125 E KATELLA AVE, SUITE 250</t>
  </si>
  <si>
    <t>ELEMENT WICHITA</t>
  </si>
  <si>
    <t>(316) 832-1600</t>
  </si>
  <si>
    <t>7447 W. 33RD ST. N.</t>
  </si>
  <si>
    <t>(316) 941-0400</t>
  </si>
  <si>
    <t>2600 SOUTH CUSTER</t>
  </si>
  <si>
    <t>ELECTROMECH TECHNOLOGIES</t>
  </si>
  <si>
    <t>(316) 942-6547</t>
  </si>
  <si>
    <t>4224 ESTHNER ST</t>
  </si>
  <si>
    <t>DL DYNAMIC LLC</t>
  </si>
  <si>
    <t>PO BOX 278</t>
  </si>
  <si>
    <t>D-J Aerospace, Inc., #12 Aim High Corner Commitment Street</t>
  </si>
  <si>
    <t>D-J AEROSPACE, INC. PHILIPPINES</t>
  </si>
  <si>
    <t>(620) 326-7655</t>
  </si>
  <si>
    <t>(316) 685-5337</t>
  </si>
  <si>
    <t>319 S. OAK ST.</t>
  </si>
  <si>
    <t>D &amp; S MANUFACTURING</t>
  </si>
  <si>
    <t>(316) 269-1553</t>
  </si>
  <si>
    <t>1714 S BAEHR</t>
  </si>
  <si>
    <t>D &amp; D MACHINE, INC.</t>
  </si>
  <si>
    <t>(620) 324-5525</t>
  </si>
  <si>
    <t>100 JAMES H. CROSS BLVD.</t>
  </si>
  <si>
    <t>11011 KING STREET, SUITE 210</t>
  </si>
  <si>
    <t>(316) 722-5838</t>
  </si>
  <si>
    <t>5338 W. 21ST N., SUITE 100</t>
  </si>
  <si>
    <t>COX MACHINE, INC - WICHITA DIV</t>
  </si>
  <si>
    <t>(316) 260-3690</t>
  </si>
  <si>
    <t>3525 W ESTHNER</t>
  </si>
  <si>
    <t>COMPLEXX MACHINING</t>
  </si>
  <si>
    <t>(620) 251-3880</t>
  </si>
  <si>
    <t>509 N. CLINE RD.</t>
  </si>
  <si>
    <t>COFFEYVILLE SEKTAM, INC.</t>
  </si>
  <si>
    <t>(316) 945-0111</t>
  </si>
  <si>
    <t>PO BOX 3100</t>
  </si>
  <si>
    <t>CNH AMERICA L.L.C. - CALIBRATION LAB</t>
  </si>
  <si>
    <t>(316) 941-2272</t>
  </si>
  <si>
    <t>3301 S. HOOVER ROAD</t>
  </si>
  <si>
    <t>7152 CENTRAL AVENUE</t>
  </si>
  <si>
    <t>CMT INC</t>
  </si>
  <si>
    <t>(316) 942-7665</t>
  </si>
  <si>
    <t>3713 W. 30TH ST. S.</t>
  </si>
  <si>
    <t>CHEYENNE MANUFACTURING INC.</t>
  </si>
  <si>
    <t>(620) 584-2381</t>
  </si>
  <si>
    <t>10400 S. 119TH ST. WEST</t>
  </si>
  <si>
    <t>CHARLES ENGINEERING</t>
  </si>
  <si>
    <t>PO BOX 369</t>
  </si>
  <si>
    <t>(316) 778-2114</t>
  </si>
  <si>
    <t>701A N MAIN ST</t>
  </si>
  <si>
    <t>CENTURION MANUFACTURING</t>
  </si>
  <si>
    <t>PO BOX 306</t>
  </si>
  <si>
    <t>(316) 942-8255</t>
  </si>
  <si>
    <t>2505 S. CUSTER</t>
  </si>
  <si>
    <t>CENTER INDUSTRIES CORP.</t>
  </si>
  <si>
    <t>PO BOX 17364</t>
  </si>
  <si>
    <t>(316) 942-7431</t>
  </si>
  <si>
    <t>4125 W. PAWNEE</t>
  </si>
  <si>
    <t>CECO, INC.</t>
  </si>
  <si>
    <t>PO BOX 2216</t>
  </si>
  <si>
    <t>(316) 942-0411</t>
  </si>
  <si>
    <t>1741 S. HOOVER CT</t>
  </si>
  <si>
    <t>(316) 522-5900</t>
  </si>
  <si>
    <t>3050 S. HYDRAULIC</t>
  </si>
  <si>
    <t>CASTLE METALS</t>
  </si>
  <si>
    <t>(316) 744-0481</t>
  </si>
  <si>
    <t>6045 N. BROADWAY</t>
  </si>
  <si>
    <t>CARLSON COMPANY, INC.</t>
  </si>
  <si>
    <t>(316) 942-9351</t>
  </si>
  <si>
    <t>2121 S. EDWARDS</t>
  </si>
  <si>
    <t>CAPPS MANUFACTURING INC.</t>
  </si>
  <si>
    <t>(316) 788-3300</t>
  </si>
  <si>
    <t>229 S. WATER ST.</t>
  </si>
  <si>
    <t>BRYTAM MANUFACTURING</t>
  </si>
  <si>
    <t>(816) 483-3187</t>
  </si>
  <si>
    <t>8000 E 23RD STREET</t>
  </si>
  <si>
    <t>(316) 262-6969</t>
  </si>
  <si>
    <t>700 E. 10TH ST. N.</t>
  </si>
  <si>
    <t>BRIJ SYSTEMS, LLC</t>
  </si>
  <si>
    <t>(316) 838-9351</t>
  </si>
  <si>
    <t>2750 S. ROCK ROAD</t>
  </si>
  <si>
    <t>BRALCO METALS</t>
  </si>
  <si>
    <t>(918) 884-8519</t>
  </si>
  <si>
    <t>1520 N. 170TH EAST AVENUE</t>
  </si>
  <si>
    <t>BODYCOTE THERMAL PROCESSING, INC-PINE ST</t>
  </si>
  <si>
    <t>(918) 627-7324</t>
  </si>
  <si>
    <t>12750 MERIT DRIVE, SUITE 1400</t>
  </si>
  <si>
    <t>(800) 258-5066</t>
  </si>
  <si>
    <t>4208 S. 74TH EAST AVENUE</t>
  </si>
  <si>
    <t>BODYCOTE THERMAL PROCESSING, INC.-TULSA</t>
  </si>
  <si>
    <t>(316) 267-0239</t>
  </si>
  <si>
    <t>1019 S McLEAN BLVD</t>
  </si>
  <si>
    <t>(316) 946-0300</t>
  </si>
  <si>
    <t>1831 S. HOOVER CT.</t>
  </si>
  <si>
    <t>B &amp; B AIRPARTS, INC.</t>
  </si>
  <si>
    <t>(316) 201-4717</t>
  </si>
  <si>
    <t>901 S. WEST STREET</t>
  </si>
  <si>
    <t>(580) 436-6444</t>
  </si>
  <si>
    <t>414 CHAMBER LOOP</t>
  </si>
  <si>
    <t>APEX COMPOSITES - OKLAHOMA DIV.</t>
  </si>
  <si>
    <t>(316) 945-7771</t>
  </si>
  <si>
    <t>2300 S. HOOVER</t>
  </si>
  <si>
    <t>AMI METALS, INC. - WICHITA DIVISION</t>
  </si>
  <si>
    <t>(800) 678-6061</t>
  </si>
  <si>
    <t>301 N Haven St.</t>
  </si>
  <si>
    <t>AMI METALS, INC. - WA DIVISION</t>
  </si>
  <si>
    <t>(817) 831-9586</t>
  </si>
  <si>
    <t>586 N. BEACH ST.</t>
  </si>
  <si>
    <t>AMI METALS, INC. - TX DIVISION</t>
  </si>
  <si>
    <t>(316) 264-2397</t>
  </si>
  <si>
    <t>1414 S. MOSLEY</t>
  </si>
  <si>
    <t>AMETEK B &amp; S AIRCRAFT PARTS &amp; ACC., INC.</t>
  </si>
  <si>
    <t>215 KEITH VALLEY RD</t>
  </si>
  <si>
    <t>AMETEK ADVANCED INDUSTRIES, INC.</t>
  </si>
  <si>
    <t>(316) 522-0424</t>
  </si>
  <si>
    <t>4550 SOUTHEAST BOULEVARD</t>
  </si>
  <si>
    <t>(316) 943-7441</t>
  </si>
  <si>
    <t>3617 WALKER</t>
  </si>
  <si>
    <t>ALBERTSON &amp; HEIN, INC.</t>
  </si>
  <si>
    <t>(316) 942-8604</t>
  </si>
  <si>
    <t>5555 N. 119th St. W.</t>
  </si>
  <si>
    <t>PO BOX 347</t>
  </si>
  <si>
    <t>(316) 943-6100</t>
  </si>
  <si>
    <t>1919 E NORTHERN ST</t>
  </si>
  <si>
    <t>AEROSPACE TURBINE ROTABLES, INC.</t>
  </si>
  <si>
    <t>2649 ESTHNER COURT</t>
  </si>
  <si>
    <t>AERO METAL FORMS, INC.</t>
  </si>
  <si>
    <t>(316) 262-3490</t>
  </si>
  <si>
    <t>2020 W. 2nd St.</t>
  </si>
  <si>
    <t>ADVANCED WELDING TECHNOLOGIES</t>
  </si>
  <si>
    <t>(316) 683-0266</t>
  </si>
  <si>
    <t>4011 E. 31 ST. SOUTH</t>
  </si>
  <si>
    <t>(316) 944-2211</t>
  </si>
  <si>
    <t>3838 W. MAY ST.</t>
  </si>
  <si>
    <t>ABSOLUTE DIMENSIONS</t>
  </si>
  <si>
    <t>1970 S West St, Suite 385</t>
  </si>
  <si>
    <t>P.O. BOX 844415</t>
  </si>
  <si>
    <t>AAR COMPONENT SERVICES - WELLINGTON</t>
  </si>
  <si>
    <t>(620) 326-5761</t>
  </si>
  <si>
    <t>411 N. WEST ROAD</t>
  </si>
  <si>
    <t>(316) 943-0731</t>
  </si>
  <si>
    <t>1702 S. KNIGHT</t>
  </si>
  <si>
    <t>3P PROCESSING, INC.</t>
  </si>
  <si>
    <t>count</t>
  </si>
  <si>
    <t>addrline2</t>
  </si>
  <si>
    <t>addrline1</t>
  </si>
  <si>
    <t>Address2</t>
  </si>
  <si>
    <t>Phone</t>
  </si>
  <si>
    <t>Address1</t>
  </si>
  <si>
    <t>(614) 203-3315</t>
  </si>
  <si>
    <t>filtered Address dropdown contents</t>
  </si>
  <si>
    <t>GENERIC 164</t>
  </si>
  <si>
    <t>C3083</t>
  </si>
  <si>
    <t>3JSBB1416</t>
  </si>
  <si>
    <t>RPT1</t>
  </si>
  <si>
    <t>Service Diamond</t>
  </si>
  <si>
    <t xml:space="preserve">Antonik </t>
  </si>
  <si>
    <t>HTC-001</t>
  </si>
  <si>
    <t>Fowler</t>
  </si>
  <si>
    <t>A130701090</t>
  </si>
  <si>
    <t>Rams Rockford</t>
  </si>
  <si>
    <t>4JR302</t>
  </si>
  <si>
    <t xml:space="preserve">Starrett </t>
  </si>
  <si>
    <t>0080302</t>
  </si>
  <si>
    <t>Spi</t>
  </si>
  <si>
    <t>3JR52</t>
  </si>
  <si>
    <t>4JR-4067</t>
  </si>
  <si>
    <t>United</t>
  </si>
  <si>
    <t>Tru-Blue II</t>
  </si>
  <si>
    <t>R574-00-1246</t>
  </si>
  <si>
    <t>Newage Versitron</t>
  </si>
  <si>
    <t>R2K-0099</t>
  </si>
  <si>
    <t>063284</t>
  </si>
  <si>
    <t>Accupro</t>
  </si>
  <si>
    <t>SEK011</t>
  </si>
  <si>
    <t>SEK050</t>
  </si>
  <si>
    <t>SEK1515</t>
  </si>
  <si>
    <t>SEK060</t>
  </si>
  <si>
    <t>R500AQ3466</t>
  </si>
  <si>
    <t>TBD2</t>
  </si>
  <si>
    <t>TBD3</t>
  </si>
  <si>
    <t>4JR4833</t>
  </si>
  <si>
    <t>81D185</t>
  </si>
  <si>
    <t>J15-4-40</t>
  </si>
  <si>
    <t>Phase II</t>
  </si>
  <si>
    <t>S909701</t>
  </si>
  <si>
    <t>12-50130</t>
  </si>
  <si>
    <t>Shars</t>
  </si>
  <si>
    <t>12-50082</t>
  </si>
  <si>
    <t>China</t>
  </si>
  <si>
    <t>DN103</t>
  </si>
  <si>
    <t>DN597</t>
  </si>
  <si>
    <t>3R1990</t>
  </si>
  <si>
    <t>Ames</t>
  </si>
  <si>
    <t>Clark CR-1</t>
  </si>
  <si>
    <t>CR0184</t>
  </si>
  <si>
    <t>3PR2710</t>
  </si>
  <si>
    <t>G &amp; R Technology</t>
  </si>
  <si>
    <t>FW-M-0430</t>
  </si>
  <si>
    <t>FW-M-0539</t>
  </si>
  <si>
    <t>Dsr-8</t>
  </si>
  <si>
    <t>81349 IV</t>
  </si>
  <si>
    <t>Insize</t>
  </si>
  <si>
    <t>3JR-7342</t>
  </si>
  <si>
    <t>C2995</t>
  </si>
  <si>
    <t>CV Instruments</t>
  </si>
  <si>
    <t>4JR634</t>
  </si>
  <si>
    <t>018</t>
  </si>
  <si>
    <t>0420</t>
  </si>
  <si>
    <t>Tru-Blue</t>
  </si>
  <si>
    <t>Rams</t>
  </si>
  <si>
    <t>10A-T10</t>
  </si>
  <si>
    <t>Laizhon</t>
  </si>
  <si>
    <t>020901</t>
  </si>
  <si>
    <t>3TTBB</t>
  </si>
  <si>
    <t>3JS-898</t>
  </si>
  <si>
    <t>CR 16390</t>
  </si>
  <si>
    <t>CR 9939</t>
  </si>
  <si>
    <t>CR0066</t>
  </si>
  <si>
    <t>3R</t>
  </si>
  <si>
    <t>SRA700</t>
  </si>
  <si>
    <t>HT-0264</t>
  </si>
  <si>
    <t>4JR-3952</t>
  </si>
  <si>
    <t>4JR-4171</t>
  </si>
  <si>
    <t>0001664</t>
  </si>
  <si>
    <t>0693</t>
  </si>
  <si>
    <t>Unspecified</t>
  </si>
  <si>
    <t>ENCO</t>
  </si>
  <si>
    <t>ProCheck</t>
  </si>
  <si>
    <t>4JR-4491</t>
  </si>
  <si>
    <t xml:space="preserve">Wilson </t>
  </si>
  <si>
    <t>97352503  LSM-5-053</t>
  </si>
  <si>
    <t>R574-00-0580</t>
  </si>
  <si>
    <t>G&amp;R Labs</t>
  </si>
  <si>
    <t>40-100177</t>
  </si>
  <si>
    <t>G &amp; R Technology Inc.</t>
  </si>
  <si>
    <t>40-100179   800007252</t>
  </si>
  <si>
    <t>40-100195</t>
  </si>
  <si>
    <t>ATS130HD</t>
  </si>
  <si>
    <t>65074 (10031817)</t>
  </si>
  <si>
    <t>083654</t>
  </si>
  <si>
    <t>083656</t>
  </si>
  <si>
    <t>083657</t>
  </si>
  <si>
    <t>083752</t>
  </si>
  <si>
    <t>09834</t>
  </si>
  <si>
    <t>BBC1835</t>
  </si>
  <si>
    <t>C2946</t>
  </si>
  <si>
    <t>C770</t>
  </si>
  <si>
    <t>R2000P1541</t>
  </si>
  <si>
    <t>R500DQ8062</t>
  </si>
  <si>
    <t>Wilson/Instron</t>
  </si>
  <si>
    <t>B523T</t>
  </si>
  <si>
    <t>R574-00-1650</t>
  </si>
  <si>
    <t>L-10042A</t>
  </si>
  <si>
    <t>4JR-3307</t>
  </si>
  <si>
    <t>DC7894</t>
  </si>
  <si>
    <t>CR-08204</t>
  </si>
  <si>
    <t>PH41010270037</t>
  </si>
  <si>
    <t>03753</t>
  </si>
  <si>
    <t>4JS@RB</t>
  </si>
  <si>
    <t>DCR-12</t>
  </si>
  <si>
    <t>12SSA</t>
  </si>
  <si>
    <t>TH550</t>
  </si>
  <si>
    <t>103R</t>
  </si>
  <si>
    <t>HR-300</t>
  </si>
  <si>
    <t>15-143-1</t>
  </si>
  <si>
    <t>HR-150A</t>
  </si>
  <si>
    <t>AT130RDS</t>
  </si>
  <si>
    <t>BT130R</t>
  </si>
  <si>
    <t>MZ</t>
  </si>
  <si>
    <t>3JS</t>
  </si>
  <si>
    <t>WH2002T</t>
  </si>
  <si>
    <t>NI-600C</t>
  </si>
  <si>
    <t>NI-400C</t>
  </si>
  <si>
    <t>206 RSD</t>
  </si>
  <si>
    <t>5TTARB</t>
  </si>
  <si>
    <t>DRM8</t>
  </si>
  <si>
    <t>P526T</t>
  </si>
  <si>
    <t>CR-8</t>
  </si>
  <si>
    <t>900-387 DNT</t>
  </si>
  <si>
    <t>C505R</t>
  </si>
  <si>
    <t>CPTXL</t>
  </si>
  <si>
    <t>I-4S</t>
  </si>
  <si>
    <t>AT130</t>
  </si>
  <si>
    <t>4-2</t>
  </si>
  <si>
    <t>3PR</t>
  </si>
  <si>
    <t>4JS</t>
  </si>
  <si>
    <t>C12A</t>
  </si>
  <si>
    <t>HR-100</t>
  </si>
  <si>
    <t>RH-150</t>
  </si>
  <si>
    <t>PHT-6005</t>
  </si>
  <si>
    <t>ISH-BRV-U</t>
  </si>
  <si>
    <t>HR-521</t>
  </si>
  <si>
    <t>3RJ</t>
  </si>
  <si>
    <t>ME-2</t>
  </si>
  <si>
    <t>100R</t>
  </si>
  <si>
    <t>C12AR</t>
  </si>
  <si>
    <t>4JRaRB</t>
  </si>
  <si>
    <t>4OUR</t>
  </si>
  <si>
    <t>II</t>
  </si>
  <si>
    <t>504-T</t>
  </si>
  <si>
    <t>CR-3a</t>
  </si>
  <si>
    <t>HRM-45DT</t>
  </si>
  <si>
    <t>1R</t>
  </si>
  <si>
    <t>M51ST 9120-251</t>
  </si>
  <si>
    <t>CE3R</t>
  </si>
  <si>
    <t>AERM</t>
  </si>
  <si>
    <t>HR-150</t>
  </si>
  <si>
    <t>NRSL</t>
  </si>
  <si>
    <t>4639-2030</t>
  </si>
  <si>
    <t>M-51ST</t>
  </si>
  <si>
    <t>RH-45</t>
  </si>
  <si>
    <t>Indentron NI-300C</t>
  </si>
  <si>
    <t>A656T</t>
  </si>
  <si>
    <t>A644T</t>
  </si>
  <si>
    <t>5JR</t>
  </si>
  <si>
    <t>2001T</t>
  </si>
  <si>
    <t>524T</t>
  </si>
  <si>
    <t>12A</t>
  </si>
  <si>
    <t>CV-600MBDL</t>
  </si>
  <si>
    <t>C523-S</t>
  </si>
  <si>
    <t>3YR</t>
  </si>
  <si>
    <t>AT130R</t>
  </si>
  <si>
    <t>DCR-8</t>
  </si>
  <si>
    <t>B503-R</t>
  </si>
  <si>
    <t>10A-R10</t>
  </si>
  <si>
    <t>4TTBB</t>
  </si>
  <si>
    <t>(501) 525-0268</t>
  </si>
  <si>
    <t>(214) 904-2462</t>
  </si>
  <si>
    <t>(816) 581-9973</t>
  </si>
  <si>
    <t>Tweaked data validation, added more UUT data and addresses</t>
  </si>
  <si>
    <t>Wichita, KS 67210</t>
  </si>
  <si>
    <t>Maize, KS 67101</t>
  </si>
  <si>
    <t>Wichita, KS 67203-5703</t>
  </si>
  <si>
    <t>Manhattan, KS 66503</t>
  </si>
  <si>
    <t>Wichita, KS 67213</t>
  </si>
  <si>
    <t>Dallas, TX 75251</t>
  </si>
  <si>
    <t>Kansas City, MO 64129</t>
  </si>
  <si>
    <t>Wichita, KS 67209</t>
  </si>
  <si>
    <t>Wichita, KS 67217</t>
  </si>
  <si>
    <t xml:space="preserve">,  </t>
  </si>
  <si>
    <t>Harper, KS 67058</t>
  </si>
  <si>
    <t>Wichita, KS 67205</t>
  </si>
  <si>
    <t>Overland Park, KS 66210</t>
  </si>
  <si>
    <t>Hays, KS 67601</t>
  </si>
  <si>
    <t>Lewis, KS 67552</t>
  </si>
  <si>
    <t>Wellington, KS 67152</t>
  </si>
  <si>
    <t>Augusta, KS 67010-0278</t>
  </si>
  <si>
    <t>Conway Springs, KS 67031</t>
  </si>
  <si>
    <t>Rose Hill, KS 67133</t>
  </si>
  <si>
    <t>Wichita, KS 67226</t>
  </si>
  <si>
    <t>Yankton, SD 57078</t>
  </si>
  <si>
    <t>Olathe, KS 66062</t>
  </si>
  <si>
    <t>Wellington, KS 67152-8047</t>
  </si>
  <si>
    <t>Wichita, KS 67277</t>
  </si>
  <si>
    <t>Wichita, KS 67201-0304</t>
  </si>
  <si>
    <t>Wichita, KS 67213-4303</t>
  </si>
  <si>
    <t>Argonia, KS 67004</t>
  </si>
  <si>
    <t>Wichita, KS 67220</t>
  </si>
  <si>
    <t>Wichita, KS 67219</t>
  </si>
  <si>
    <t>Wichita, KS 67216</t>
  </si>
  <si>
    <t>Lyons, KS 67554</t>
  </si>
  <si>
    <t>Fayetteville, AR 72704</t>
  </si>
  <si>
    <t>Wichita, KS 67209-2657</t>
  </si>
  <si>
    <t>Wichita, KS 67214</t>
  </si>
  <si>
    <t>Wichita, KS 67201-3490</t>
  </si>
  <si>
    <t>Thomasville, GA 31799</t>
  </si>
  <si>
    <t>Chanute, KS 66720</t>
  </si>
  <si>
    <t>Wichita, KS 67212</t>
  </si>
  <si>
    <t>Tulsa, OK 74115</t>
  </si>
  <si>
    <t>Hutchinson, KS 67501</t>
  </si>
  <si>
    <t>Thomasville, GA 31792</t>
  </si>
  <si>
    <t>Wichita, KS 67215</t>
  </si>
  <si>
    <t>Wichita, KS 67218</t>
  </si>
  <si>
    <t>Wichita, KS 67201</t>
  </si>
  <si>
    <t>Independence, KS 67301</t>
  </si>
  <si>
    <t>Moundridge, KS 67107</t>
  </si>
  <si>
    <t>Kent, WA 98032</t>
  </si>
  <si>
    <t>Park City, KS 67204</t>
  </si>
  <si>
    <t>Salina, KS 67401</t>
  </si>
  <si>
    <t>St. Joseph, MO 64507</t>
  </si>
  <si>
    <t>Park City, KS 67219</t>
  </si>
  <si>
    <t>Boston, MA 02284-4408</t>
  </si>
  <si>
    <t>Wichita, KS 67203</t>
  </si>
  <si>
    <t>Horsham, PA 19044-1408</t>
  </si>
  <si>
    <t>Wichita, KS 67211-3387</t>
  </si>
  <si>
    <t>Fort Worth, TX 76111</t>
  </si>
  <si>
    <t>Spokane, WA 99202-3808</t>
  </si>
  <si>
    <t>Spokane, WA 99202</t>
  </si>
  <si>
    <t>Ada, OK 74821</t>
  </si>
  <si>
    <t>Tulsa, OK 74145</t>
  </si>
  <si>
    <t>Tulsa, OK 74116</t>
  </si>
  <si>
    <t>Derby, KS 67037-1514</t>
  </si>
  <si>
    <t>Wichita, KS 67217-0364</t>
  </si>
  <si>
    <t>Benton, KS 67017</t>
  </si>
  <si>
    <t>Clearwater, KS 67026</t>
  </si>
  <si>
    <t>Hot Springs, AR 71913</t>
  </si>
  <si>
    <t>Lancaster, PA 17604-3100</t>
  </si>
  <si>
    <t>Coffeyville, KS 67337</t>
  </si>
  <si>
    <t>Subic Bay Freeport Zone,  67010</t>
  </si>
  <si>
    <t>Wichita, KS 67217-9960</t>
  </si>
  <si>
    <t>Anaheim, CA 92806</t>
  </si>
  <si>
    <t>Wichita, KS 67204</t>
  </si>
  <si>
    <t>Wichita, KS 67209-2730</t>
  </si>
  <si>
    <t>Hesston, KS 67062</t>
  </si>
  <si>
    <t>Wichita, KS 67206</t>
  </si>
  <si>
    <t>Wichita, KS 67215-1219</t>
  </si>
  <si>
    <t>Wichita, KS 67215-9100</t>
  </si>
  <si>
    <t>Nashville, AR 71852</t>
  </si>
  <si>
    <t>Milwaukee, WI 53201-0483</t>
  </si>
  <si>
    <t>Cheney, KS 67025-0550</t>
  </si>
  <si>
    <t>Newton, KS 67114-9552</t>
  </si>
  <si>
    <t>Riverside, MO 64150</t>
  </si>
  <si>
    <t>Fayetteville, AR 72704-5237</t>
  </si>
  <si>
    <t>Wichita, KS 67214-4818</t>
  </si>
  <si>
    <t>Kilgore, TX 75663</t>
  </si>
  <si>
    <t>Kilgore, TX 75662</t>
  </si>
  <si>
    <t>Wichita, AA 67214</t>
  </si>
  <si>
    <t>Belle Plaine, KS 67013</t>
  </si>
  <si>
    <t>La Grange, TX 78945</t>
  </si>
  <si>
    <t>Newton, KS 67114</t>
  </si>
  <si>
    <t>Norton, KS 67654</t>
  </si>
  <si>
    <t>Wichita, KS 67260-0093</t>
  </si>
  <si>
    <t>Wichita, KS 67213-1806</t>
  </si>
  <si>
    <t>Valley Center, KS 67147-0156</t>
  </si>
  <si>
    <t>Wichita, KS 67217-0034</t>
  </si>
  <si>
    <t>South Hutchinson, KS 67505</t>
  </si>
  <si>
    <t>Wichita, KS 67211</t>
  </si>
  <si>
    <t>Cleveland, OH 44101</t>
  </si>
  <si>
    <t>Austin, TX 78758</t>
  </si>
  <si>
    <t>Wichita, KS 67207</t>
  </si>
  <si>
    <t>Hiawatha, KS 66434</t>
  </si>
  <si>
    <t>Reformatted addresses</t>
  </si>
  <si>
    <t>40-100209</t>
  </si>
  <si>
    <t>Added Data Import feature, bug fix for Print Anyway functionality, and set order number as default filename on Save As.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</si>
</sst>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##\°\F"/>
    <numFmt numFmtId="166" formatCode="0.00&quot; µm&quot;"/>
    <numFmt numFmtId="167" formatCode="[$-409]mmmm\ d\,\ yyyy;@"/>
  </numFmts>
  <fonts count="34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Brussels Condensed"/>
      <family val="1"/>
    </font>
    <font>
      <b/>
      <sz val="10"/>
      <color theme="1"/>
      <name val="Calibri"/>
      <family val="2"/>
      <scheme val="minor"/>
    </font>
    <font>
      <sz val="9"/>
      <color theme="1"/>
      <name val="MS Serif"/>
      <family val="1"/>
    </font>
    <font>
      <b/>
      <sz val="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1"/>
      <name val="Brussels Condensed"/>
      <family val="1"/>
    </font>
    <font>
      <b/>
      <sz val="18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vertAlign val="superscript"/>
      <sz val="11"/>
      <color theme="1"/>
      <name val="Calibri"/>
      <family val="2"/>
    </font>
    <font>
      <b/>
      <sz val="11"/>
      <color rgb="FFFF0000"/>
      <name val="Brussels Condensed"/>
      <family val="1"/>
    </font>
    <font>
      <b/>
      <sz val="12"/>
      <color rgb="FFFF0000"/>
      <name val="Calibri"/>
      <family val="2"/>
      <scheme val="minor"/>
    </font>
    <font>
      <b/>
      <sz val="13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theme="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</borders>
  <cellStyleXfs count="3">
    <xf numFmtId="0" fontId="0" fillId="0" borderId="0"/>
    <xf numFmtId="0" fontId="13" fillId="0" borderId="0"/>
    <xf numFmtId="0" fontId="14" fillId="0" borderId="0"/>
  </cellStyleXfs>
  <cellXfs count="165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left" vertical="top" wrapText="1"/>
    </xf>
    <xf numFmtId="164" fontId="0" fillId="0" borderId="0" xfId="0" applyNumberFormat="1"/>
    <xf numFmtId="0" fontId="0" fillId="0" borderId="0" xfId="0" applyAlignment="1">
      <alignment horizontal="right"/>
    </xf>
    <xf numFmtId="0" fontId="4" fillId="0" borderId="0" xfId="0" applyFont="1"/>
    <xf numFmtId="0" fontId="0" fillId="0" borderId="1" xfId="0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5" fillId="0" borderId="0" xfId="0" applyFont="1"/>
    <xf numFmtId="164" fontId="8" fillId="0" borderId="0" xfId="0" applyNumberFormat="1" applyFont="1" applyAlignment="1">
      <alignment horizontal="center"/>
    </xf>
    <xf numFmtId="164" fontId="5" fillId="0" borderId="0" xfId="0" applyNumberFormat="1" applyFont="1" applyAlignment="1">
      <alignment horizontal="center"/>
    </xf>
    <xf numFmtId="49" fontId="5" fillId="0" borderId="0" xfId="0" applyNumberFormat="1" applyFont="1"/>
    <xf numFmtId="0" fontId="5" fillId="0" borderId="0" xfId="0" applyFont="1" applyAlignment="1">
      <alignment horizontal="center"/>
    </xf>
    <xf numFmtId="0" fontId="5" fillId="0" borderId="1" xfId="0" applyFont="1" applyBorder="1" applyAlignment="1">
      <alignment horizontal="right"/>
    </xf>
    <xf numFmtId="164" fontId="5" fillId="0" borderId="0" xfId="0" quotePrefix="1" applyNumberFormat="1" applyFont="1" applyAlignment="1">
      <alignment horizontal="center"/>
    </xf>
    <xf numFmtId="0" fontId="9" fillId="0" borderId="0" xfId="0" applyFont="1"/>
    <xf numFmtId="0" fontId="10" fillId="0" borderId="0" xfId="0" applyFont="1" applyAlignment="1">
      <alignment horizontal="center"/>
    </xf>
    <xf numFmtId="0" fontId="10" fillId="0" borderId="0" xfId="0" applyFont="1"/>
    <xf numFmtId="0" fontId="0" fillId="0" borderId="0" xfId="0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left"/>
    </xf>
    <xf numFmtId="0" fontId="9" fillId="0" borderId="0" xfId="0" applyFont="1" applyAlignment="1">
      <alignment horizontal="right"/>
    </xf>
    <xf numFmtId="164" fontId="0" fillId="0" borderId="0" xfId="0" applyNumberFormat="1" applyAlignment="1">
      <alignment horizontal="right"/>
    </xf>
    <xf numFmtId="164" fontId="15" fillId="0" borderId="0" xfId="0" applyNumberFormat="1" applyFont="1"/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11" fillId="0" borderId="0" xfId="0" applyFont="1" applyAlignment="1">
      <alignment horizontal="center"/>
    </xf>
    <xf numFmtId="0" fontId="4" fillId="3" borderId="0" xfId="0" applyFont="1" applyFill="1"/>
    <xf numFmtId="0" fontId="0" fillId="4" borderId="0" xfId="0" applyFill="1"/>
    <xf numFmtId="0" fontId="0" fillId="4" borderId="0" xfId="0" quotePrefix="1" applyFill="1"/>
    <xf numFmtId="0" fontId="4" fillId="4" borderId="0" xfId="0" applyFont="1" applyFill="1"/>
    <xf numFmtId="0" fontId="4" fillId="0" borderId="3" xfId="0" applyFont="1" applyBorder="1" applyAlignment="1">
      <alignment horizontal="right"/>
    </xf>
    <xf numFmtId="14" fontId="0" fillId="0" borderId="0" xfId="0" applyNumberFormat="1"/>
    <xf numFmtId="0" fontId="0" fillId="0" borderId="11" xfId="0" applyBorder="1"/>
    <xf numFmtId="0" fontId="0" fillId="0" borderId="12" xfId="0" applyBorder="1"/>
    <xf numFmtId="0" fontId="4" fillId="3" borderId="12" xfId="0" applyFont="1" applyFill="1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4" fillId="3" borderId="17" xfId="0" applyFont="1" applyFill="1" applyBorder="1"/>
    <xf numFmtId="0" fontId="0" fillId="0" borderId="18" xfId="0" applyBorder="1"/>
    <xf numFmtId="0" fontId="9" fillId="0" borderId="4" xfId="0" applyFont="1" applyBorder="1" applyAlignment="1">
      <alignment horizontal="center"/>
    </xf>
    <xf numFmtId="0" fontId="3" fillId="0" borderId="0" xfId="0" applyFont="1" applyAlignment="1">
      <alignment horizontal="center"/>
    </xf>
    <xf numFmtId="49" fontId="0" fillId="0" borderId="0" xfId="0" applyNumberFormat="1"/>
    <xf numFmtId="0" fontId="11" fillId="0" borderId="19" xfId="0" applyFont="1" applyBorder="1" applyAlignment="1">
      <alignment horizontal="center"/>
    </xf>
    <xf numFmtId="0" fontId="11" fillId="0" borderId="20" xfId="0" applyFont="1" applyBorder="1" applyAlignment="1">
      <alignment horizontal="center"/>
    </xf>
    <xf numFmtId="0" fontId="11" fillId="0" borderId="21" xfId="0" applyFont="1" applyBorder="1" applyAlignment="1">
      <alignment horizontal="center"/>
    </xf>
    <xf numFmtId="0" fontId="18" fillId="0" borderId="0" xfId="0" applyFont="1"/>
    <xf numFmtId="0" fontId="19" fillId="0" borderId="0" xfId="0" applyFont="1" applyAlignment="1">
      <alignment horizontal="center"/>
    </xf>
    <xf numFmtId="0" fontId="19" fillId="0" borderId="0" xfId="0" applyFont="1"/>
    <xf numFmtId="164" fontId="11" fillId="0" borderId="6" xfId="0" applyNumberFormat="1" applyFont="1" applyBorder="1" applyAlignment="1">
      <alignment horizontal="center"/>
    </xf>
    <xf numFmtId="164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1" xfId="0" applyBorder="1"/>
    <xf numFmtId="0" fontId="0" fillId="2" borderId="0" xfId="0" applyFill="1"/>
    <xf numFmtId="164" fontId="0" fillId="4" borderId="0" xfId="0" quotePrefix="1" applyNumberFormat="1" applyFill="1"/>
    <xf numFmtId="49" fontId="0" fillId="4" borderId="0" xfId="0" quotePrefix="1" applyNumberFormat="1" applyFill="1"/>
    <xf numFmtId="49" fontId="5" fillId="0" borderId="0" xfId="0" applyNumberFormat="1" applyFont="1" applyAlignment="1">
      <alignment horizontal="center"/>
    </xf>
    <xf numFmtId="164" fontId="5" fillId="0" borderId="0" xfId="0" applyNumberFormat="1" applyFont="1"/>
    <xf numFmtId="166" fontId="0" fillId="0" borderId="0" xfId="0" applyNumberFormat="1"/>
    <xf numFmtId="0" fontId="0" fillId="0" borderId="0" xfId="0" applyAlignment="1">
      <alignment horizontal="left" vertical="top" readingOrder="1"/>
    </xf>
    <xf numFmtId="0" fontId="11" fillId="2" borderId="1" xfId="0" applyFont="1" applyFill="1" applyBorder="1" applyAlignment="1" applyProtection="1">
      <alignment horizontal="left"/>
      <protection locked="0"/>
    </xf>
    <xf numFmtId="0" fontId="11" fillId="2" borderId="1" xfId="0" applyFont="1" applyFill="1" applyBorder="1" applyProtection="1">
      <protection locked="0"/>
    </xf>
    <xf numFmtId="0" fontId="0" fillId="2" borderId="1" xfId="0" applyFill="1" applyBorder="1" applyProtection="1">
      <protection locked="0"/>
    </xf>
    <xf numFmtId="14" fontId="11" fillId="2" borderId="1" xfId="0" applyNumberFormat="1" applyFont="1" applyFill="1" applyBorder="1" applyAlignment="1" applyProtection="1">
      <alignment horizontal="left"/>
      <protection locked="0"/>
    </xf>
    <xf numFmtId="165" fontId="11" fillId="2" borderId="1" xfId="0" applyNumberFormat="1" applyFont="1" applyFill="1" applyBorder="1" applyAlignment="1" applyProtection="1">
      <alignment horizontal="left"/>
      <protection locked="0"/>
    </xf>
    <xf numFmtId="9" fontId="11" fillId="2" borderId="1" xfId="0" applyNumberFormat="1" applyFont="1" applyFill="1" applyBorder="1" applyAlignment="1" applyProtection="1">
      <alignment horizontal="left"/>
      <protection locked="0"/>
    </xf>
    <xf numFmtId="49" fontId="11" fillId="2" borderId="1" xfId="0" applyNumberFormat="1" applyFont="1" applyFill="1" applyBorder="1" applyAlignment="1" applyProtection="1">
      <alignment horizontal="left"/>
      <protection locked="0"/>
    </xf>
    <xf numFmtId="164" fontId="5" fillId="2" borderId="1" xfId="0" applyNumberFormat="1" applyFont="1" applyFill="1" applyBorder="1" applyAlignment="1" applyProtection="1">
      <alignment horizontal="left" indent="1"/>
      <protection locked="0"/>
    </xf>
    <xf numFmtId="0" fontId="20" fillId="0" borderId="0" xfId="0" applyFont="1" applyAlignment="1">
      <alignment horizontal="left"/>
    </xf>
    <xf numFmtId="0" fontId="20" fillId="0" borderId="0" xfId="0" applyFont="1"/>
    <xf numFmtId="0" fontId="17" fillId="0" borderId="0" xfId="0" applyFont="1"/>
    <xf numFmtId="164" fontId="22" fillId="0" borderId="0" xfId="0" applyNumberFormat="1" applyFont="1" applyAlignment="1">
      <alignment horizontal="center"/>
    </xf>
    <xf numFmtId="164" fontId="5" fillId="6" borderId="1" xfId="0" applyNumberFormat="1" applyFont="1" applyFill="1" applyBorder="1" applyProtection="1">
      <protection locked="0"/>
    </xf>
    <xf numFmtId="164" fontId="5" fillId="6" borderId="1" xfId="0" applyNumberFormat="1" applyFont="1" applyFill="1" applyBorder="1" applyAlignment="1" applyProtection="1">
      <alignment horizontal="center"/>
      <protection locked="0"/>
    </xf>
    <xf numFmtId="0" fontId="10" fillId="0" borderId="0" xfId="0" applyFont="1" applyAlignment="1">
      <alignment horizontal="right"/>
    </xf>
    <xf numFmtId="164" fontId="15" fillId="0" borderId="0" xfId="0" quotePrefix="1" applyNumberFormat="1" applyFont="1"/>
    <xf numFmtId="0" fontId="12" fillId="0" borderId="0" xfId="0" applyFont="1" applyAlignment="1">
      <alignment horizontal="center"/>
    </xf>
    <xf numFmtId="0" fontId="23" fillId="0" borderId="0" xfId="0" applyFont="1"/>
    <xf numFmtId="49" fontId="11" fillId="0" borderId="0" xfId="0" applyNumberFormat="1" applyFont="1" applyAlignment="1">
      <alignment horizontal="center"/>
    </xf>
    <xf numFmtId="49" fontId="5" fillId="5" borderId="1" xfId="0" applyNumberFormat="1" applyFont="1" applyFill="1" applyBorder="1" applyProtection="1">
      <protection locked="0"/>
    </xf>
    <xf numFmtId="0" fontId="0" fillId="5" borderId="1" xfId="0" applyFill="1" applyBorder="1" applyProtection="1">
      <protection locked="0"/>
    </xf>
    <xf numFmtId="0" fontId="11" fillId="0" borderId="6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164" fontId="11" fillId="0" borderId="0" xfId="0" applyNumberFormat="1" applyFont="1"/>
    <xf numFmtId="0" fontId="0" fillId="0" borderId="0" xfId="0" applyAlignment="1">
      <alignment horizontal="left" vertical="top"/>
    </xf>
    <xf numFmtId="0" fontId="24" fillId="0" borderId="0" xfId="0" applyFont="1" applyAlignment="1">
      <alignment horizontal="left"/>
    </xf>
    <xf numFmtId="0" fontId="25" fillId="0" borderId="0" xfId="0" applyFont="1"/>
    <xf numFmtId="0" fontId="0" fillId="0" borderId="0" xfId="0" quotePrefix="1"/>
    <xf numFmtId="0" fontId="0" fillId="0" borderId="5" xfId="0" applyBorder="1"/>
    <xf numFmtId="0" fontId="0" fillId="0" borderId="6" xfId="0" applyBorder="1"/>
    <xf numFmtId="0" fontId="0" fillId="0" borderId="6" xfId="0" applyBorder="1" applyAlignment="1">
      <alignment horizontal="right"/>
    </xf>
    <xf numFmtId="0" fontId="0" fillId="0" borderId="19" xfId="0" applyBorder="1"/>
    <xf numFmtId="0" fontId="0" fillId="0" borderId="7" xfId="0" quotePrefix="1" applyBorder="1"/>
    <xf numFmtId="0" fontId="0" fillId="0" borderId="20" xfId="0" quotePrefix="1" applyBorder="1"/>
    <xf numFmtId="0" fontId="0" fillId="0" borderId="7" xfId="0" applyBorder="1"/>
    <xf numFmtId="0" fontId="0" fillId="0" borderId="20" xfId="0" applyBorder="1"/>
    <xf numFmtId="0" fontId="0" fillId="0" borderId="8" xfId="0" applyBorder="1"/>
    <xf numFmtId="0" fontId="28" fillId="0" borderId="0" xfId="0" applyFont="1"/>
    <xf numFmtId="0" fontId="27" fillId="0" borderId="0" xfId="0" quotePrefix="1" applyFont="1"/>
    <xf numFmtId="49" fontId="11" fillId="2" borderId="1" xfId="0" applyNumberFormat="1" applyFont="1" applyFill="1" applyBorder="1" applyProtection="1">
      <protection locked="0"/>
    </xf>
    <xf numFmtId="0" fontId="29" fillId="0" borderId="0" xfId="0" applyFont="1"/>
    <xf numFmtId="0" fontId="0" fillId="0" borderId="0" xfId="0" applyAlignment="1">
      <alignment wrapText="1"/>
    </xf>
    <xf numFmtId="0" fontId="30" fillId="7" borderId="22" xfId="0" applyFont="1" applyFill="1" applyBorder="1"/>
    <xf numFmtId="0" fontId="30" fillId="7" borderId="23" xfId="0" applyFont="1" applyFill="1" applyBorder="1"/>
    <xf numFmtId="0" fontId="30" fillId="7" borderId="23" xfId="0" applyFont="1" applyFill="1" applyBorder="1" applyAlignment="1">
      <alignment horizontal="right"/>
    </xf>
    <xf numFmtId="0" fontId="30" fillId="7" borderId="24" xfId="0" applyFont="1" applyFill="1" applyBorder="1"/>
    <xf numFmtId="0" fontId="30" fillId="7" borderId="23" xfId="0" applyFont="1" applyFill="1" applyBorder="1" applyAlignment="1">
      <alignment horizontal="left"/>
    </xf>
    <xf numFmtId="0" fontId="11" fillId="2" borderId="9" xfId="0" applyFont="1" applyFill="1" applyBorder="1" applyAlignment="1" applyProtection="1">
      <alignment horizontal="left"/>
      <protection locked="0"/>
    </xf>
    <xf numFmtId="0" fontId="11" fillId="2" borderId="9" xfId="0" applyFont="1" applyFill="1" applyBorder="1" applyProtection="1">
      <protection locked="0"/>
    </xf>
    <xf numFmtId="49" fontId="11" fillId="2" borderId="9" xfId="0" applyNumberFormat="1" applyFont="1" applyFill="1" applyBorder="1" applyProtection="1">
      <protection locked="0"/>
    </xf>
    <xf numFmtId="0" fontId="0" fillId="2" borderId="10" xfId="0" applyFill="1" applyBorder="1"/>
    <xf numFmtId="0" fontId="0" fillId="0" borderId="20" xfId="0" applyBorder="1" applyAlignment="1">
      <alignment horizontal="right"/>
    </xf>
    <xf numFmtId="0" fontId="16" fillId="0" borderId="20" xfId="0" applyFont="1" applyBorder="1" applyAlignment="1">
      <alignment horizontal="right"/>
    </xf>
    <xf numFmtId="0" fontId="19" fillId="2" borderId="9" xfId="0" applyFont="1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29" fillId="0" borderId="0" xfId="0" applyFont="1" applyAlignment="1" applyProtection="1">
      <alignment shrinkToFit="1"/>
      <protection hidden="1"/>
    </xf>
    <xf numFmtId="49" fontId="30" fillId="7" borderId="23" xfId="0" applyNumberFormat="1" applyFont="1" applyFill="1" applyBorder="1" applyAlignment="1">
      <alignment horizontal="lef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quotePrefix="1" applyNumberFormat="1"/>
    <xf numFmtId="0" fontId="30" fillId="7" borderId="22" xfId="0" applyFont="1" applyFill="1" applyBorder="1" applyAlignment="1">
      <alignment horizontal="left"/>
    </xf>
    <xf numFmtId="0" fontId="29" fillId="0" borderId="0" xfId="0" applyFont="1" applyProtection="1">
      <protection hidden="1"/>
    </xf>
    <xf numFmtId="0" fontId="26" fillId="0" borderId="0" xfId="0" quotePrefix="1" applyFont="1" applyAlignment="1">
      <alignment horizontal="right"/>
    </xf>
    <xf numFmtId="0" fontId="26" fillId="0" borderId="0" xfId="0" applyFont="1" applyAlignment="1">
      <alignment horizontal="right"/>
    </xf>
    <xf numFmtId="164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5" fillId="2" borderId="1" xfId="0" applyNumberFormat="1" applyFont="1" applyFill="1" applyBorder="1" applyAlignment="1" applyProtection="1">
      <alignment horizontal="center"/>
      <protection locked="0"/>
    </xf>
    <xf numFmtId="0" fontId="0" fillId="0" borderId="1" xfId="0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/>
    <xf numFmtId="0" fontId="0" fillId="5" borderId="9" xfId="0" applyFill="1" applyBorder="1" applyAlignment="1" applyProtection="1">
      <alignment horizontal="center"/>
      <protection locked="0"/>
    </xf>
    <xf numFmtId="0" fontId="0" fillId="5" borderId="2" xfId="0" applyFill="1" applyBorder="1" applyAlignment="1" applyProtection="1">
      <alignment horizontal="center"/>
      <protection locked="0"/>
    </xf>
    <xf numFmtId="0" fontId="0" fillId="5" borderId="10" xfId="0" applyFill="1" applyBorder="1" applyAlignment="1" applyProtection="1">
      <alignment horizontal="center"/>
      <protection locked="0"/>
    </xf>
    <xf numFmtId="0" fontId="21" fillId="0" borderId="0" xfId="0" applyFont="1" applyAlignment="1">
      <alignment horizontal="center"/>
    </xf>
    <xf numFmtId="0" fontId="0" fillId="2" borderId="9" xfId="0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2" borderId="10" xfId="0" applyFill="1" applyBorder="1" applyAlignment="1" applyProtection="1">
      <alignment horizontal="center"/>
      <protection locked="0"/>
    </xf>
    <xf numFmtId="0" fontId="1" fillId="0" borderId="0" xfId="0" applyFont="1" applyAlignment="1">
      <alignment horizontal="center"/>
    </xf>
    <xf numFmtId="0" fontId="11" fillId="0" borderId="0" xfId="0" applyFont="1" applyAlignment="1" applyProtection="1">
      <alignment horizontal="left" vertical="top" wrapText="1"/>
      <protection locked="0"/>
    </xf>
    <xf numFmtId="0" fontId="11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11" fillId="0" borderId="5" xfId="0" applyFont="1" applyBorder="1" applyAlignment="1">
      <alignment horizontal="center"/>
    </xf>
    <xf numFmtId="0" fontId="11" fillId="0" borderId="6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8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1" fillId="0" borderId="0" xfId="0" applyFont="1" applyAlignment="1">
      <alignment horizontal="left"/>
    </xf>
    <xf numFmtId="167" fontId="11" fillId="0" borderId="0" xfId="0" applyNumberFormat="1" applyFont="1" applyAlignment="1">
      <alignment horizontal="left"/>
    </xf>
    <xf numFmtId="165" fontId="11" fillId="0" borderId="0" xfId="0" applyNumberFormat="1" applyFont="1" applyAlignment="1">
      <alignment horizontal="left"/>
    </xf>
    <xf numFmtId="9" fontId="11" fillId="0" borderId="0" xfId="0" applyNumberFormat="1" applyFont="1" applyAlignment="1">
      <alignment horizontal="left"/>
    </xf>
    <xf numFmtId="0" fontId="23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>
      <alignment horizontal="left" vertical="top" wrapText="1"/>
    </xf>
    <xf numFmtId="0" fontId="16" fillId="0" borderId="0" xfId="0" applyFont="1" applyAlignment="1">
      <alignment horizontal="left" vertical="top" wrapText="1"/>
    </xf>
    <xf numFmtId="0" fontId="6" fillId="0" borderId="0" xfId="0" applyFont="1" applyAlignment="1">
      <alignment horizontal="center"/>
    </xf>
  </cellXfs>
  <cellStyles count="3">
    <cellStyle name="Normal" xfId="0" builtinId="0"/>
    <cellStyle name="Normal 2" xfId="2" xr:uid="{00000000-0005-0000-0000-000001000000}"/>
    <cellStyle name="Normal 3" xfId="1" xr:uid="{00000000-0005-0000-0000-000002000000}"/>
  </cellStyles>
  <dxfs count="1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</dxf>
    <dxf>
      <alignment horizontal="left" vertical="bottom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numFmt numFmtId="0" formatCode="General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Worksheet!$AA$4" lockText="1" noThreeD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6.jpeg"/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45</xdr:row>
          <xdr:rowOff>38100</xdr:rowOff>
        </xdr:from>
        <xdr:to>
          <xdr:col>18</xdr:col>
          <xdr:colOff>1076325</xdr:colOff>
          <xdr:row>46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Comments in Certs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6</xdr:row>
          <xdr:rowOff>152400</xdr:rowOff>
        </xdr:from>
        <xdr:to>
          <xdr:col>8</xdr:col>
          <xdr:colOff>542925</xdr:colOff>
          <xdr:row>7</xdr:row>
          <xdr:rowOff>171450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A2LA Accedited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180975</xdr:colOff>
          <xdr:row>10</xdr:row>
          <xdr:rowOff>76200</xdr:rowOff>
        </xdr:from>
        <xdr:to>
          <xdr:col>16</xdr:col>
          <xdr:colOff>447675</xdr:colOff>
          <xdr:row>11</xdr:row>
          <xdr:rowOff>123825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28575</xdr:rowOff>
        </xdr:from>
        <xdr:to>
          <xdr:col>18</xdr:col>
          <xdr:colOff>476250</xdr:colOff>
          <xdr:row>4</xdr:row>
          <xdr:rowOff>38100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Image" spid="_x0000_s3659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0267950" y="28575"/>
              <a:ext cx="1200150" cy="1114425"/>
            </a:xfrm>
            <a:prstGeom prst="rect">
              <a:avLst/>
            </a:prstGeom>
          </xdr:spPr>
        </xdr:pic>
        <xdr:clientData/>
      </xdr:twoCellAnchor>
    </mc:Choice>
    <mc:Fallback/>
  </mc:AlternateContent>
  <xdr:twoCellAnchor editAs="oneCell">
    <xdr:from>
      <xdr:col>0</xdr:col>
      <xdr:colOff>285750</xdr:colOff>
      <xdr:row>0</xdr:row>
      <xdr:rowOff>133350</xdr:rowOff>
    </xdr:from>
    <xdr:to>
      <xdr:col>3</xdr:col>
      <xdr:colOff>322928</xdr:colOff>
      <xdr:row>3</xdr:row>
      <xdr:rowOff>180975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133350"/>
          <a:ext cx="1742153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457200</xdr:colOff>
      <xdr:row>0</xdr:row>
      <xdr:rowOff>66675</xdr:rowOff>
    </xdr:from>
    <xdr:to>
      <xdr:col>14</xdr:col>
      <xdr:colOff>219075</xdr:colOff>
      <xdr:row>4</xdr:row>
      <xdr:rowOff>192788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648450" y="66675"/>
          <a:ext cx="2447925" cy="123101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457200</xdr:colOff>
          <xdr:row>0</xdr:row>
          <xdr:rowOff>190500</xdr:rowOff>
        </xdr:from>
        <xdr:to>
          <xdr:col>18</xdr:col>
          <xdr:colOff>438150</xdr:colOff>
          <xdr:row>5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Image" spid="_x0000_s8752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0125075" y="190500"/>
              <a:ext cx="1200150" cy="1114425"/>
            </a:xfrm>
            <a:prstGeom prst="rect">
              <a:avLst/>
            </a:prstGeom>
          </xdr:spPr>
        </xdr:pic>
        <xdr:clientData/>
      </xdr:twoCellAnchor>
    </mc:Choice>
    <mc:Fallback/>
  </mc:AlternateContent>
  <xdr:twoCellAnchor editAs="oneCell">
    <xdr:from>
      <xdr:col>0</xdr:col>
      <xdr:colOff>171450</xdr:colOff>
      <xdr:row>0</xdr:row>
      <xdr:rowOff>142875</xdr:rowOff>
    </xdr:from>
    <xdr:to>
      <xdr:col>3</xdr:col>
      <xdr:colOff>284828</xdr:colOff>
      <xdr:row>3</xdr:row>
      <xdr:rowOff>190500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42875"/>
          <a:ext cx="1742153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438150</xdr:colOff>
      <xdr:row>0</xdr:row>
      <xdr:rowOff>85725</xdr:rowOff>
    </xdr:from>
    <xdr:to>
      <xdr:col>14</xdr:col>
      <xdr:colOff>266700</xdr:colOff>
      <xdr:row>5</xdr:row>
      <xdr:rowOff>2288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34150" y="85725"/>
          <a:ext cx="2447925" cy="123101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285750</xdr:colOff>
      <xdr:row>1</xdr:row>
      <xdr:rowOff>9525</xdr:rowOff>
    </xdr:from>
    <xdr:to>
      <xdr:col>2</xdr:col>
      <xdr:colOff>1638300</xdr:colOff>
      <xdr:row>4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lum bright="100000" contrast="100000"/>
        </a:blip>
        <a:stretch>
          <a:fillRect/>
        </a:stretch>
      </xdr:blipFill>
      <xdr:spPr>
        <a:xfrm>
          <a:off x="2095500" y="200025"/>
          <a:ext cx="1352550" cy="1276350"/>
        </a:xfrm>
        <a:prstGeom prst="rect">
          <a:avLst/>
        </a:prstGeom>
      </xdr:spPr>
    </xdr:pic>
    <xdr:clientData/>
  </xdr:twoCellAnchor>
  <xdr:twoCellAnchor editAs="oneCell">
    <xdr:from>
      <xdr:col>0</xdr:col>
      <xdr:colOff>266700</xdr:colOff>
      <xdr:row>3</xdr:row>
      <xdr:rowOff>9525</xdr:rowOff>
    </xdr:from>
    <xdr:to>
      <xdr:col>2</xdr:col>
      <xdr:colOff>390525</xdr:colOff>
      <xdr:row>3</xdr:row>
      <xdr:rowOff>1107342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0" y="361950"/>
          <a:ext cx="1933575" cy="109781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0</xdr:rowOff>
    </xdr:from>
    <xdr:to>
      <xdr:col>2</xdr:col>
      <xdr:colOff>1247775</xdr:colOff>
      <xdr:row>13</xdr:row>
      <xdr:rowOff>68963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9600" y="2390775"/>
          <a:ext cx="2447925" cy="123101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06048E4-1462-481F-890D-08706FFA041C}" name="Table1" displayName="Table1" ref="A1:G232" totalsRowShown="0">
  <autoFilter ref="A1:G232" xr:uid="{306048E4-1462-481F-890D-08706FFA041C}"/>
  <tableColumns count="7">
    <tableColumn id="2" xr3:uid="{BA88C564-7293-4F7A-A2C2-5EE725FAC93F}" name="companyname"/>
    <tableColumn id="3" xr3:uid="{FFBB9069-4179-42D2-B360-76F6E4F959AE}" name="addrline1"/>
    <tableColumn id="4" xr3:uid="{D6625F5D-93F0-4C1D-990A-93B21149EBEB}" name="addrline2"/>
    <tableColumn id="5" xr3:uid="{2C9E81F5-D4AB-4D71-9D4D-7FBB30BEB833}" name="phonenumber"/>
    <tableColumn id="6" xr3:uid="{BE55CED8-CE0E-4A3A-811E-BC801A368AD1}" name="count"/>
    <tableColumn id="7" xr3:uid="{659A8AB8-0106-409D-9D51-77722A6CFEC7}" name="FILTER" dataDxfId="15">
      <calculatedColumnFormula array="1">IFERROR(OR(_xlfn._xlws.FILTER(Table6[companyid FILTER],Table6[companyid]=Table1[[#This Row],[companyid]])),FALSE)</calculatedColumnFormula>
    </tableColumn>
    <tableColumn id="8" xr3:uid="{DFE5B117-FB14-409C-A234-7F57D8AC0CB9}" name="companyi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D881628-7282-4D77-BAFA-649AE65F969F}" name="Table6" displayName="Table6" ref="A1:O315" totalsRowShown="0" headerRowDxfId="12">
  <autoFilter ref="A1:O315" xr:uid="{ED881628-7282-4D77-BAFA-649AE65F969F}"/>
  <sortState xmlns:xlrd2="http://schemas.microsoft.com/office/spreadsheetml/2017/richdata2" ref="A2:O315">
    <sortCondition ref="B1:B315"/>
  </sortState>
  <tableColumns count="15">
    <tableColumn id="1" xr3:uid="{13FA22EF-FC47-40DB-A2FF-5D50E755C594}" name="companyid"/>
    <tableColumn id="2" xr3:uid="{CAFDED62-1421-4E73-B6F4-1E35C46D0739}" name="categoryname"/>
    <tableColumn id="3" xr3:uid="{BDFB3B72-511A-4C7A-84FE-1DFA94BF1EBB}" name="Manufacturer"/>
    <tableColumn id="4" xr3:uid="{F4465E40-97E0-4F36-83F6-23E4F946CC65}" name="Model No." dataDxfId="11"/>
    <tableColumn id="5" xr3:uid="{51C18AEB-AFA1-40C6-99F7-31918CDAD643}" name="Serial No." dataDxfId="10"/>
    <tableColumn id="16" xr3:uid="{FFB7175C-ED75-4B9F-BEC5-83968A309C8A}" name="companyid2" dataDxfId="9">
      <calculatedColumnFormula>IFERROR(Table6[[#This Row],[companyid]]=Sheet3!$N$20,TRUE)</calculatedColumnFormula>
    </tableColumn>
    <tableColumn id="13" xr3:uid="{CC10DF6B-814B-4265-B224-9576F82CE6C8}" name="categoryname2" dataDxfId="8">
      <calculatedColumnFormula>OR(Worksheet!$D$5="",Worksheet!$D$5=Table6[[#This Row],[categoryname]])</calculatedColumnFormula>
    </tableColumn>
    <tableColumn id="12" xr3:uid="{98E27DFC-7E03-45B7-94AF-FB45BF292C56}" name="Manufacturer2" dataDxfId="7">
      <calculatedColumnFormula>OR(Worksheet!$D$7="",Worksheet!$D$7=Table6[[#This Row],[Manufacturer]])</calculatedColumnFormula>
    </tableColumn>
    <tableColumn id="14" xr3:uid="{CA054403-3098-4B4E-8A8D-C8CAFEC2B7C3}" name="Model2" dataDxfId="6">
      <calculatedColumnFormula>OR(Worksheet!$G$7="",Worksheet!$G$7=Table6[[#This Row],[Model No.]])</calculatedColumnFormula>
    </tableColumn>
    <tableColumn id="15" xr3:uid="{518BC2A9-019F-42EB-A45C-C4CF4B038E5F}" name="SN2" dataDxfId="5">
      <calculatedColumnFormula>OR(Worksheet!$D$8="",Worksheet!$D$8=Table6[[#This Row],[Serial No.]])</calculatedColumnFormula>
    </tableColumn>
    <tableColumn id="6" xr3:uid="{5C77DBEA-26A2-4AC0-8265-0418C3F4F4C5}" name="companyid FILTER" dataDxfId="4">
      <calculatedColumnFormula>AND(Table6[[#This Row],[categoryname2]:[SN2]])</calculatedColumnFormula>
    </tableColumn>
    <tableColumn id="7" xr3:uid="{03409555-2DFD-41BD-AA31-CEEE3C506752}" name="categoryname FILTER" dataDxfId="3">
      <calculatedColumnFormula>AND(Table6[[#This Row],[companyid2]],Table6[[#This Row],[Manufacturer2]:[SN2]])</calculatedColumnFormula>
    </tableColumn>
    <tableColumn id="8" xr3:uid="{D61C1540-467D-4DAB-A0EE-6046A4ABA245}" name="Manufacturer FILTER" dataDxfId="2">
      <calculatedColumnFormula>AND(Table6[[#This Row],[companyid2]:[categoryname2]],Table6[[#This Row],[Model2]:[SN2]])</calculatedColumnFormula>
    </tableColumn>
    <tableColumn id="9" xr3:uid="{22D13A03-D734-4738-ADD3-2DDC6F38CEBF}" name="Model FILTER" dataDxfId="1">
      <calculatedColumnFormula>AND(Table6[[#This Row],[companyid2]:[Manufacturer2]],Table6[[#This Row],[SN2]])</calculatedColumnFormula>
    </tableColumn>
    <tableColumn id="10" xr3:uid="{22EA9B94-FD09-42B7-BBB1-F8CAC3A70E43}" name="SN FILTER" dataDxfId="0">
      <calculatedColumnFormula>AND(Table6[[#This Row],[companyid2]:[Model2]])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customProperty" Target="../customProperty2.bin"/><Relationship Id="rId7" Type="http://schemas.openxmlformats.org/officeDocument/2006/relationships/ctrlProp" Target="../ctrlProps/ctrlProp2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.bin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.bin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3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8.bin"/><Relationship Id="rId2" Type="http://schemas.openxmlformats.org/officeDocument/2006/relationships/customProperty" Target="../customProperty7.bin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0.bin"/><Relationship Id="rId2" Type="http://schemas.openxmlformats.org/officeDocument/2006/relationships/customProperty" Target="../customProperty9.bin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2.bin"/><Relationship Id="rId2" Type="http://schemas.openxmlformats.org/officeDocument/2006/relationships/customProperty" Target="../customProperty11.bin"/><Relationship Id="rId1" Type="http://schemas.openxmlformats.org/officeDocument/2006/relationships/printerSettings" Target="../printerSettings/printerSettings6.bin"/><Relationship Id="rId4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4.bin"/><Relationship Id="rId2" Type="http://schemas.openxmlformats.org/officeDocument/2006/relationships/customProperty" Target="../customProperty13.bin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90"/>
  <sheetViews>
    <sheetView view="pageBreakPreview" topLeftCell="I1" zoomScaleNormal="100" zoomScaleSheetLayoutView="100" workbookViewId="0">
      <selection activeCell="AE20" sqref="AE20"/>
    </sheetView>
  </sheetViews>
  <sheetFormatPr defaultRowHeight="15" x14ac:dyDescent="0.25"/>
  <cols>
    <col min="1" max="1" width="13.5703125" customWidth="1"/>
    <col min="6" max="7" width="9.28515625" bestFit="1" customWidth="1"/>
    <col min="8" max="9" width="10.42578125" customWidth="1"/>
    <col min="10" max="13" width="9.28515625" bestFit="1" customWidth="1"/>
    <col min="14" max="14" width="11.85546875" bestFit="1" customWidth="1"/>
    <col min="15" max="15" width="9.140625" customWidth="1"/>
    <col min="16" max="17" width="9.42578125" bestFit="1" customWidth="1"/>
    <col min="19" max="19" width="22.140625" customWidth="1"/>
    <col min="20" max="20" width="18.7109375" customWidth="1"/>
    <col min="21" max="26" width="8.42578125" customWidth="1"/>
    <col min="27" max="27" width="8.140625" style="4" customWidth="1"/>
    <col min="28" max="28" width="9.28515625" customWidth="1"/>
    <col min="30" max="30" width="8" customWidth="1"/>
  </cols>
  <sheetData>
    <row r="1" spans="1:28" ht="21" x14ac:dyDescent="0.35">
      <c r="A1" s="125" t="b" cm="1">
        <f t="array" ref="A1">RegExMatch(D3,"^(56561-)?\d{6}(\.\d{2})?(-\d{2})?$")</f>
        <v>0</v>
      </c>
      <c r="B1" s="143" t="s">
        <v>0</v>
      </c>
      <c r="C1" s="143"/>
      <c r="D1" s="143"/>
      <c r="E1" s="143"/>
      <c r="F1" s="143"/>
      <c r="G1" s="143"/>
      <c r="H1" s="143"/>
      <c r="I1" s="143"/>
      <c r="J1" s="143"/>
      <c r="K1" s="143"/>
      <c r="L1" s="143"/>
      <c r="M1" s="143"/>
      <c r="N1" s="143"/>
      <c r="O1" s="143"/>
      <c r="P1" s="139" t="s">
        <v>1</v>
      </c>
      <c r="Q1" s="139"/>
      <c r="R1" s="139"/>
      <c r="S1" s="139"/>
      <c r="W1" t="s">
        <v>2</v>
      </c>
    </row>
    <row r="2" spans="1:28" ht="26.25" x14ac:dyDescent="0.4">
      <c r="A2" s="90"/>
      <c r="B2" s="133" t="s">
        <v>3</v>
      </c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89" t="s">
        <v>4</v>
      </c>
      <c r="Q2" s="45"/>
      <c r="R2" s="45"/>
      <c r="U2" s="17" t="s">
        <v>5</v>
      </c>
      <c r="V2" s="18" t="s">
        <v>6</v>
      </c>
      <c r="W2" s="18"/>
      <c r="X2" s="18"/>
      <c r="Y2" s="18"/>
      <c r="Z2" s="18"/>
    </row>
    <row r="3" spans="1:28" ht="15.75" x14ac:dyDescent="0.25">
      <c r="C3" s="4" t="s">
        <v>7</v>
      </c>
      <c r="D3" s="111"/>
      <c r="E3" s="98"/>
      <c r="F3" s="116" t="s">
        <v>671</v>
      </c>
      <c r="G3" s="114"/>
      <c r="K3" s="4" t="s">
        <v>8</v>
      </c>
      <c r="L3" s="65"/>
      <c r="N3" s="134"/>
      <c r="O3" s="134"/>
      <c r="P3" s="72" t="s">
        <v>10</v>
      </c>
      <c r="U3" s="4" t="s">
        <v>11</v>
      </c>
      <c r="V3" s="66"/>
      <c r="W3" s="57"/>
      <c r="X3" s="57"/>
      <c r="Y3" s="57"/>
      <c r="Z3" s="57"/>
    </row>
    <row r="4" spans="1:28" ht="15.75" x14ac:dyDescent="0.25">
      <c r="C4" s="4" t="s">
        <v>12</v>
      </c>
      <c r="D4" s="117"/>
      <c r="E4" s="98"/>
      <c r="F4" s="115" t="s">
        <v>13</v>
      </c>
      <c r="G4" s="118"/>
      <c r="K4" s="119" t="str">
        <f>IFERROR(VLOOKUP($D$4,Table1[],2,FALSE),"")</f>
        <v/>
      </c>
      <c r="L4" s="20"/>
      <c r="N4" s="135"/>
      <c r="O4" s="135"/>
      <c r="P4" s="73" t="s">
        <v>14</v>
      </c>
      <c r="U4" s="4" t="s">
        <v>15</v>
      </c>
      <c r="V4" s="66"/>
      <c r="W4" s="57"/>
      <c r="X4" s="57"/>
      <c r="Y4" s="57"/>
      <c r="Z4" s="57"/>
      <c r="AA4" s="32" t="b">
        <v>1</v>
      </c>
    </row>
    <row r="5" spans="1:28" ht="15.75" x14ac:dyDescent="0.25">
      <c r="C5" s="4" t="s">
        <v>16</v>
      </c>
      <c r="D5" s="112"/>
      <c r="E5" s="98"/>
      <c r="F5" s="115" t="s">
        <v>17</v>
      </c>
      <c r="G5" s="118"/>
      <c r="K5" s="119" t="str">
        <f>IFERROR(VLOOKUP($D$4,Table1[],3,FALSE),"")</f>
        <v/>
      </c>
      <c r="M5" s="4" t="s">
        <v>18</v>
      </c>
      <c r="N5" s="65"/>
      <c r="P5" s="73" t="s">
        <v>19</v>
      </c>
      <c r="U5" s="4" t="s">
        <v>20</v>
      </c>
      <c r="V5" s="66"/>
      <c r="W5" s="57"/>
      <c r="X5" s="57"/>
      <c r="Y5" s="57"/>
      <c r="Z5" s="57"/>
    </row>
    <row r="6" spans="1:28" ht="15.75" x14ac:dyDescent="0.25">
      <c r="C6" s="4" t="s">
        <v>21</v>
      </c>
      <c r="D6" s="113"/>
      <c r="E6" s="98"/>
      <c r="F6" s="115" t="s">
        <v>670</v>
      </c>
      <c r="G6" s="118"/>
      <c r="I6" t="s">
        <v>425</v>
      </c>
      <c r="K6" s="119" t="str">
        <f>IFERROR(VLOOKUP($D$4,Table1[],4,FALSE),"")</f>
        <v/>
      </c>
      <c r="M6" s="4" t="s">
        <v>22</v>
      </c>
      <c r="N6" s="67"/>
      <c r="P6" s="73" t="s">
        <v>23</v>
      </c>
      <c r="U6" s="4" t="s">
        <v>24</v>
      </c>
      <c r="V6" s="66"/>
      <c r="W6" s="57"/>
      <c r="X6" s="57"/>
      <c r="Y6" s="57"/>
      <c r="Z6" s="57"/>
    </row>
    <row r="7" spans="1:28" ht="15.75" x14ac:dyDescent="0.25">
      <c r="C7" s="4" t="s">
        <v>25</v>
      </c>
      <c r="D7" s="103"/>
      <c r="F7" s="4" t="s">
        <v>26</v>
      </c>
      <c r="G7" s="66"/>
      <c r="I7" s="104" t="str">
        <f>CONCATENATE(D7," ",G7)</f>
        <v xml:space="preserve"> </v>
      </c>
      <c r="M7" s="4" t="s">
        <v>27</v>
      </c>
      <c r="N7" s="67"/>
      <c r="P7" s="73" t="s">
        <v>28</v>
      </c>
      <c r="U7" s="4" t="s">
        <v>29</v>
      </c>
      <c r="V7" s="66"/>
      <c r="W7" s="57"/>
      <c r="X7" s="57"/>
      <c r="Y7" s="57"/>
      <c r="Z7" s="57"/>
    </row>
    <row r="8" spans="1:28" ht="15.75" x14ac:dyDescent="0.25">
      <c r="C8" s="4" t="s">
        <v>30</v>
      </c>
      <c r="D8" s="70"/>
      <c r="M8" s="4" t="s">
        <v>31</v>
      </c>
      <c r="N8" s="68"/>
      <c r="P8" s="73" t="s">
        <v>32</v>
      </c>
      <c r="U8" s="4" t="s">
        <v>33</v>
      </c>
      <c r="V8" s="66"/>
      <c r="W8" s="57"/>
      <c r="X8" s="57"/>
      <c r="Y8" s="57"/>
      <c r="Z8" s="57"/>
    </row>
    <row r="9" spans="1:28" ht="15.75" x14ac:dyDescent="0.25">
      <c r="C9" s="4" t="s">
        <v>34</v>
      </c>
      <c r="D9" s="65"/>
      <c r="H9" t="s">
        <v>35</v>
      </c>
      <c r="J9" s="65" t="s">
        <v>42</v>
      </c>
      <c r="M9" s="4" t="s">
        <v>37</v>
      </c>
      <c r="N9" s="69"/>
      <c r="P9" s="73" t="s">
        <v>38</v>
      </c>
      <c r="U9" s="4"/>
    </row>
    <row r="10" spans="1:28" x14ac:dyDescent="0.25">
      <c r="B10" s="130" t="s">
        <v>39</v>
      </c>
      <c r="C10" s="130"/>
      <c r="D10" s="130"/>
      <c r="E10" s="130"/>
      <c r="F10" s="130"/>
      <c r="G10" s="130"/>
      <c r="H10" s="130"/>
      <c r="I10" s="130"/>
      <c r="J10" s="130"/>
      <c r="K10" s="130"/>
      <c r="L10" s="130"/>
      <c r="M10" s="130"/>
      <c r="N10" s="130"/>
      <c r="O10" s="130"/>
      <c r="P10" s="19"/>
      <c r="Q10" s="19"/>
      <c r="R10" s="19"/>
      <c r="U10" s="78" t="s">
        <v>40</v>
      </c>
      <c r="V10" s="18" t="s">
        <v>6</v>
      </c>
      <c r="W10" s="18"/>
      <c r="X10" s="18"/>
      <c r="Y10" s="18"/>
      <c r="Z10" s="18"/>
    </row>
    <row r="11" spans="1:28" x14ac:dyDescent="0.25">
      <c r="C11" s="4" t="s">
        <v>41</v>
      </c>
      <c r="D11" s="66" t="s">
        <v>36</v>
      </c>
      <c r="H11" s="4" t="s">
        <v>43</v>
      </c>
      <c r="I11" s="4"/>
      <c r="J11" t="str">
        <f>IF(D11="Yes","ASTM E-110-14","ASTM E18-24")</f>
        <v>ASTM E-110-14</v>
      </c>
      <c r="U11" s="4" t="s">
        <v>15</v>
      </c>
      <c r="V11" s="66"/>
      <c r="W11" s="57"/>
      <c r="X11" s="57"/>
      <c r="Y11" s="57"/>
      <c r="Z11" s="57"/>
    </row>
    <row r="12" spans="1:28" x14ac:dyDescent="0.25">
      <c r="E12" s="4" t="s">
        <v>44</v>
      </c>
      <c r="F12" t="s">
        <v>45</v>
      </c>
      <c r="M12" s="4" t="s">
        <v>46</v>
      </c>
      <c r="N12" s="5" t="s">
        <v>47</v>
      </c>
      <c r="O12" s="5"/>
      <c r="P12" s="5"/>
      <c r="Q12" s="5"/>
      <c r="R12" s="5"/>
      <c r="U12" s="4" t="s">
        <v>20</v>
      </c>
      <c r="V12" s="66"/>
      <c r="W12" s="57"/>
      <c r="X12" s="57"/>
      <c r="Y12" s="57"/>
      <c r="Z12" s="57"/>
    </row>
    <row r="13" spans="1:28" x14ac:dyDescent="0.25">
      <c r="B13" s="130" t="s">
        <v>39</v>
      </c>
      <c r="C13" s="130"/>
      <c r="D13" s="130"/>
      <c r="E13" s="130"/>
      <c r="F13" s="130"/>
      <c r="G13" s="130"/>
      <c r="H13" s="130"/>
      <c r="I13" s="130"/>
      <c r="J13" s="130"/>
      <c r="K13" s="130"/>
      <c r="L13" s="130"/>
      <c r="M13" s="130"/>
      <c r="N13" s="130"/>
      <c r="O13" s="130"/>
      <c r="P13" s="19"/>
      <c r="Q13" s="19"/>
      <c r="R13" s="19"/>
      <c r="U13" s="4" t="s">
        <v>24</v>
      </c>
      <c r="V13" s="66"/>
      <c r="W13" s="57"/>
      <c r="X13" s="57"/>
      <c r="Y13" s="57"/>
      <c r="Z13" s="57"/>
    </row>
    <row r="14" spans="1:28" ht="15.75" x14ac:dyDescent="0.25">
      <c r="B14" t="s">
        <v>48</v>
      </c>
      <c r="F14" s="64" t="s">
        <v>93</v>
      </c>
      <c r="G14" s="64"/>
      <c r="H14" s="64"/>
      <c r="I14" s="64"/>
      <c r="J14" s="64"/>
      <c r="K14" s="64"/>
      <c r="L14" s="64"/>
      <c r="M14" s="21"/>
      <c r="N14" s="21"/>
      <c r="O14" s="21"/>
      <c r="P14" s="5"/>
      <c r="Q14" s="5"/>
      <c r="R14" s="5"/>
      <c r="U14" s="4" t="s">
        <v>49</v>
      </c>
      <c r="V14" s="66"/>
      <c r="W14" s="57"/>
      <c r="X14" s="57"/>
      <c r="Y14" s="57"/>
      <c r="Z14" s="57"/>
    </row>
    <row r="15" spans="1:28" ht="15.75" x14ac:dyDescent="0.25">
      <c r="B15" t="s">
        <v>50</v>
      </c>
      <c r="F15" s="70"/>
      <c r="G15" s="70"/>
      <c r="H15" s="70"/>
      <c r="I15" s="70"/>
      <c r="J15" s="70"/>
      <c r="K15" s="70"/>
      <c r="L15" s="70"/>
      <c r="M15" s="82"/>
      <c r="N15" s="82"/>
      <c r="O15" s="82"/>
      <c r="P15" s="19"/>
      <c r="Q15" s="19"/>
      <c r="R15" s="19"/>
      <c r="U15" s="4" t="s">
        <v>33</v>
      </c>
      <c r="V15" s="66"/>
      <c r="W15" s="57"/>
      <c r="X15" s="57"/>
      <c r="Y15" s="57"/>
      <c r="Z15" s="57"/>
    </row>
    <row r="16" spans="1:28" x14ac:dyDescent="0.25">
      <c r="B16" s="132" t="s">
        <v>51</v>
      </c>
      <c r="C16" s="132"/>
      <c r="D16" s="132" t="s">
        <v>52</v>
      </c>
      <c r="E16" s="132"/>
      <c r="F16" s="56" t="s">
        <v>53</v>
      </c>
      <c r="G16" s="56" t="s">
        <v>54</v>
      </c>
      <c r="J16" s="6" t="s">
        <v>55</v>
      </c>
      <c r="K16" s="6" t="s">
        <v>56</v>
      </c>
      <c r="L16" s="6" t="s">
        <v>57</v>
      </c>
      <c r="M16" s="6" t="s">
        <v>58</v>
      </c>
      <c r="N16" s="6" t="s">
        <v>59</v>
      </c>
      <c r="O16" s="7" t="s">
        <v>60</v>
      </c>
      <c r="P16" s="6" t="s">
        <v>61</v>
      </c>
      <c r="Q16" s="6" t="s">
        <v>62</v>
      </c>
      <c r="R16" s="8" t="s">
        <v>63</v>
      </c>
      <c r="AB16" s="4"/>
    </row>
    <row r="17" spans="1:35" ht="15" customHeight="1" x14ac:dyDescent="0.25">
      <c r="B17" s="13" t="s">
        <v>64</v>
      </c>
      <c r="C17" s="13" t="s">
        <v>65</v>
      </c>
      <c r="F17" s="74" t="s">
        <v>66</v>
      </c>
      <c r="J17" s="74" t="s">
        <v>67</v>
      </c>
      <c r="K17" s="9"/>
      <c r="L17" s="9"/>
      <c r="M17" s="9"/>
      <c r="N17" s="9"/>
      <c r="O17" s="10" t="s">
        <v>68</v>
      </c>
      <c r="P17" s="9"/>
      <c r="Q17" s="10" t="s">
        <v>69</v>
      </c>
      <c r="R17" s="9"/>
      <c r="S17" s="128"/>
      <c r="T17" s="128"/>
      <c r="U17" s="29" t="s">
        <v>70</v>
      </c>
      <c r="V17" s="29" t="s">
        <v>71</v>
      </c>
      <c r="W17" s="29" t="s">
        <v>72</v>
      </c>
      <c r="X17" s="29" t="s">
        <v>73</v>
      </c>
      <c r="Y17" s="29" t="s">
        <v>74</v>
      </c>
      <c r="Z17" s="29" t="s">
        <v>75</v>
      </c>
      <c r="AA17" s="4" t="s">
        <v>76</v>
      </c>
      <c r="AB17" s="22" t="s">
        <v>77</v>
      </c>
      <c r="AC17" s="22" t="s">
        <v>78</v>
      </c>
      <c r="AE17" s="16" t="s">
        <v>79</v>
      </c>
      <c r="AF17" s="16" t="s">
        <v>62</v>
      </c>
      <c r="AG17" s="16" t="s">
        <v>80</v>
      </c>
      <c r="AH17" s="16" t="s">
        <v>81</v>
      </c>
      <c r="AI17" s="16" t="s">
        <v>82</v>
      </c>
    </row>
    <row r="18" spans="1:35" ht="16.5" customHeight="1" x14ac:dyDescent="0.3">
      <c r="A18" s="4" t="str">
        <f>IF($B18="HRA","&lt; 70",IF($B18="HRBW","&lt; 60",IF($B18="HRC","&lt; 35",IF($B18="HREW","&lt; 84",IF($B18="HRFW","&lt; 80",IF($B18="HRHW","&lt; 96",IF($B18="HR15N","&lt; 78",IF($B18="HR30N","&lt; 55",IF($B18="HR45N","&lt; 37",IF($B18="HR15TW","&lt; 81",IF($B18="HR30TW","&lt; 57",IF($B18="HR45TW","&lt; 33",""))))))))))))</f>
        <v>&lt; 35</v>
      </c>
      <c r="B18" s="14" t="str">
        <f>IFERROR(IF(F$14="","",F$14),"")</f>
        <v>HRC</v>
      </c>
      <c r="C18" s="71"/>
      <c r="D18" s="131"/>
      <c r="E18" s="131"/>
      <c r="F18" s="76"/>
      <c r="G18" s="76"/>
      <c r="H18" s="101"/>
      <c r="I18" s="102" t="str">
        <f>IFERROR(IF(AA18&lt;AH18,"AF ERROR",IF(AA18&gt;AI18,"AF ERROR",IF(Y18&gt;AG18,"AF REPEAT",""))),"")</f>
        <v>AF ERROR</v>
      </c>
      <c r="J18" s="77"/>
      <c r="K18" s="77"/>
      <c r="L18" s="77"/>
      <c r="M18" s="77"/>
      <c r="N18" s="77"/>
      <c r="O18" s="11" t="str">
        <f>IFERROR(IF(B18="","",AB18-AC18),"")</f>
        <v/>
      </c>
      <c r="P18" s="15" t="str">
        <f>IFERROR(IF(B18="","",AVERAGE(J18:N18)),"")</f>
        <v/>
      </c>
      <c r="Q18" s="11" t="str">
        <f>IFERROR(IF(B18="","",P18-C18),"")</f>
        <v/>
      </c>
      <c r="R18" s="13" t="str">
        <f>CONCATENATE(AE18,"/",AF18)</f>
        <v>2.0/±1.0</v>
      </c>
      <c r="S18" s="79" t="str">
        <f>IF(O18&gt;AG18,"OOT REPEATABILITY"," ")</f>
        <v>OOT REPEATABILITY</v>
      </c>
      <c r="T18" s="79" t="str">
        <f>IF(Q18&lt;AH18,"OOT ERROR",IF(Q18&gt;AI18,"OOT ERROR",""))</f>
        <v>OOT ERROR</v>
      </c>
      <c r="U18" s="30" t="str">
        <f>IFERROR(ROUND((MAX((SQRT(((((STDEV(J18:N18))/SQRT(5))*2.87/2)^2)+((((VLOOKUP(B18,'MUG Table'!$P$104:$R$115,3,FALSE))+(P18*(0)))*0.5)^2))*2),(VLOOKUP(B18,'MUG Table'!$P$104:$R$115,2,FALSE))+(0*P18))),2-(1+INT(LOG10(ABS((MAX((SQRT(((((STDEV(J18:N18))/SQRT(5))*2.87/2)^2)+((((VLOOKUP(B18,'MUG Table'!$P$104:$R$115,3,FALSE))+(P18*(0)))*0.5)^2))*2),(VLOOKUP(B18,'MUG Table'!$P$104:$R$115,2,FALSE))+(0*P18)))))))),"")</f>
        <v/>
      </c>
      <c r="V18" s="30" t="str">
        <f>IFERROR(ROUND((MAX((SQRT(((((STDEV(F18:G18))/SQRT(2))*2.87/2)^2)+((((VLOOKUP(B18,'MUG Table'!$P$104:$R$115,3,FALSE))+(Z18*(0)))*0.5)^2))*2),(VLOOKUP(B18,'MUG Table'!$P$104:$R$115,2,FALSE))+(0*Z18))),2-(1+INT(LOG10(ABS((MAX((SQRT(((((STDEV(F18:G18))/SQRT(2))*2.87/2)^2)+((((VLOOKUP(B18,'MUG Table'!$P$104:$R$115,3,FALSE))+(Z18*(0)))*0.5)^2))*2),(VLOOKUP(B18,'MUG Table'!$P$104:$R$115,2,FALSE))+(0*Z18)))))))),"")</f>
        <v/>
      </c>
      <c r="W18" s="58" t="str">
        <f>IF(F18&gt;0,MAX(F18:G18),"")</f>
        <v/>
      </c>
      <c r="X18" s="30" t="str">
        <f>IF(F18&gt;0,MIN(F18:G18),"")</f>
        <v/>
      </c>
      <c r="Y18" s="58" t="str">
        <f>IF(F18&gt;0,W18-X18,"")</f>
        <v/>
      </c>
      <c r="Z18" s="58" t="str">
        <f>IF(F18&gt;0,AVERAGE(W18,X18),"")</f>
        <v/>
      </c>
      <c r="AA18" s="23" t="str">
        <f>IFERROR(Z18-C18,"")</f>
        <v/>
      </c>
      <c r="AB18" s="3" t="str">
        <f>IF(J18&gt;0,MAX(J18:N18),"")</f>
        <v/>
      </c>
      <c r="AC18" s="23" t="str">
        <f>IF(J18&gt;0,MIN(J18:N18),"")</f>
        <v/>
      </c>
      <c r="AE18" t="str">
        <f>IF($B18="HRA","2.0",IF($B18="HRBW","2.0",IF($B18="HRC","2.0",IF($B18="HREW","1.5",IF($B18="HRFW","1.5",IF($B18="HRHW","2.0",IF($B18="HR15N","2.0",IF($B18="HR30N","2.0",IF($B18="HR45N","2.0",IF($B18="HR15TW","2.0",IF($B18="HR30TW","2.0",IF($B18="HR45TW","2.0",""))))))))))))</f>
        <v>2.0</v>
      </c>
      <c r="AF18" t="str">
        <f>IF($B18="HRA","±1.0",IF($B18="HRBW","±2.5",IF($B18="HRC","±1.0",IF($B18="HREW","±1.0",IF($B18="HRFW","±1.0",IF($B18="HRHW","±1.0",IF($B18="HR15N","±1.0",IF($B18="HR30N","±1.0",IF($B18="HR45N","±1.0",IF($B18="HR15TW","±1.5",IF($B18="HR30TW","±1.5",IF($B18="HR45TW","±1.5",""))))))))))))</f>
        <v>±1.0</v>
      </c>
      <c r="AG18">
        <f>IF($B18="HRA",2,IF($B18="HRBW",2,IF($B18="HRC",2,IF($B18="HREW",1.5,IF($B18="HRFW",1.5,IF($B18="HRHW",2,IF($B18="HR15N",2,IF($B18="HR30N",2,IF($B18="HR45N",2,IF($B18="HR15TW",2,IF($B18="HR30TW",2,IF($B18="HR45TW",2,""))))))))))))</f>
        <v>2</v>
      </c>
      <c r="AH18">
        <f>IF($B18="HRA",-1,IF($B18="HRBW",-2.5,IF($B18="HRC",-1,IF($B18="HREW",-1,IF($B18="HRFW",-1,IF($B18="HRHW",-1,IF($B18="HR15N",-1,IF($B18="HR30N",-1,IF($B18="HR45N",-1,IF($B18="HR15TW",-1.5,IF($B18="HR30TW",-1.5,IF($B18="HR45TW",-1.5,""))))))))))))</f>
        <v>-1</v>
      </c>
      <c r="AI18">
        <f>IF($B18="HRA",1,IF($B18="HRBW",2.5,IF($B18="HRC",1,IF($B18="HREW",1,IF($B18="HRFW",1,IF($B18="HRHW",1,IF($B18="HR15N",1,IF($B18="HR30N",1,IF($B18="HR45N",1,IF($B18="HR15TW",1.5,IF($B18="HR30TW",1.5,IF($B18="HR45TW",1.5,""))))))))))))</f>
        <v>1</v>
      </c>
    </row>
    <row r="19" spans="1:35" ht="16.5" customHeight="1" x14ac:dyDescent="0.3">
      <c r="A19" s="4" t="str">
        <f>IF($B19="HRA","≥ 70 and &lt; 80",IF($B19="HRBW","≥ 60 and &lt; 88",IF($B19="HRC","≥ 35 and &lt; 60",IF($B19="HREW","≥ 84 and &lt; 93",IF($B19="HRFW","≥ 80 and &lt; 94",IF($B19="HRHW","≥ 96",IF($B19="HR15N","≥ 78 and &lt; 90",IF($B19="HR30N","≥ 55 and &lt; 77",IF($B19="HR45N","≥ 37 and &lt; 66",IF($B19="HR15TW","≥ 81 and &lt; 87",IF($B19="HR30TW","≥ 57 and &lt; 70",IF($B19="HR45TW","≥ 33 and &lt; 53",""))))))))))))</f>
        <v>≥ 35 and &lt; 60</v>
      </c>
      <c r="B19" s="14" t="str">
        <f t="shared" ref="B19:B20" si="0">IF(F$14="","",F$14)</f>
        <v>HRC</v>
      </c>
      <c r="C19" s="71"/>
      <c r="D19" s="131"/>
      <c r="E19" s="131"/>
      <c r="F19" s="76"/>
      <c r="G19" s="76"/>
      <c r="H19" s="101" t="str">
        <f>IF(AND(C19-C18&lt;5,C19&gt;0),"Too Close","")</f>
        <v/>
      </c>
      <c r="I19" s="102" t="str">
        <f t="shared" ref="I19:I20" si="1">IFERROR(IF(AA19&lt;AH19,"AF ERROR",IF(AA19&gt;AI19,"AF ERROR",IF(Y19&gt;AG19,"AF REPEAT",""))),"")</f>
        <v>AF ERROR</v>
      </c>
      <c r="J19" s="77"/>
      <c r="K19" s="77"/>
      <c r="L19" s="77"/>
      <c r="M19" s="77"/>
      <c r="N19" s="77"/>
      <c r="O19" s="11" t="str">
        <f t="shared" ref="O19:O20" si="2">IFERROR(IF(B19="","",AB19-AC19),"")</f>
        <v/>
      </c>
      <c r="P19" s="15" t="str">
        <f t="shared" ref="P19:P20" si="3">IFERROR(IF(B19="","",AVERAGE(J19:N19)),"")</f>
        <v/>
      </c>
      <c r="Q19" s="11" t="str">
        <f t="shared" ref="Q19:Q20" si="4">IFERROR(IF(B19="","",P19-C19),"")</f>
        <v/>
      </c>
      <c r="R19" s="13" t="str">
        <f>CONCATENATE(AE19,"/",AF19)</f>
        <v>1.5/±1.0</v>
      </c>
      <c r="S19" s="24" t="str">
        <f>IF(O19&gt;AG19,"OOT REPEATABILITY"," ")</f>
        <v>OOT REPEATABILITY</v>
      </c>
      <c r="T19" s="24" t="str">
        <f>IF(Q19&lt;AH19,"OOT ERROR",IF(Q19&gt;AI19,"OOT ERROR",""))</f>
        <v>OOT ERROR</v>
      </c>
      <c r="U19" s="30" t="str">
        <f>IFERROR(ROUND((MAX((SQRT(((((STDEV(J19:N19))/SQRT(5))*2.87/2)^2)+((((VLOOKUP(B19,'MUG Table'!$P$104:$R$115,3,FALSE))+(P19*(0)))*0.5)^2))*2),(VLOOKUP(B19,'MUG Table'!$P$104:$R$115,2,FALSE))+(0*P19))),2-(1+INT(LOG10(ABS((MAX((SQRT(((((STDEV(J19:N19))/SQRT(5))*2.87/2)^2)+((((VLOOKUP(B19,'MUG Table'!$P$104:$R$115,3,FALSE))+(P19*(0)))*0.5)^2))*2),(VLOOKUP(B19,'MUG Table'!$P$104:$R$115,2,FALSE))+(0*P19)))))))),"")</f>
        <v/>
      </c>
      <c r="V19" s="30" t="str">
        <f>IFERROR(ROUND((MAX((SQRT(((((STDEV(F19:G19))/SQRT(2))*2.87/2)^2)+((((VLOOKUP(B19,'MUG Table'!$P$104:$R$115,3,FALSE))+(Z19*(0)))*0.5)^2))*2),(VLOOKUP(B19,'MUG Table'!$P$104:$R$115,2,FALSE))+(0*Z19))),2-(1+INT(LOG10(ABS((MAX((SQRT(((((STDEV(F19:G19))/SQRT(2))*2.87/2)^2)+((((VLOOKUP(B19,'MUG Table'!$P$104:$R$115,3,FALSE))+(Z19*(0)))*0.5)^2))*2),(VLOOKUP(B19,'MUG Table'!$P$104:$R$115,2,FALSE))+(0*Z19)))))))),"")</f>
        <v/>
      </c>
      <c r="W19" s="58" t="str">
        <f t="shared" ref="W19:W44" si="5">IF(F19&gt;0,MAX(F19:G19),"")</f>
        <v/>
      </c>
      <c r="X19" s="30" t="str">
        <f t="shared" ref="X19:X44" si="6">IF(F19&gt;0,MIN(F19:G19),"")</f>
        <v/>
      </c>
      <c r="Y19" s="58" t="str">
        <f t="shared" ref="Y19:Y44" si="7">IF(F19&gt;0,W19-X19,"")</f>
        <v/>
      </c>
      <c r="Z19" s="58" t="str">
        <f t="shared" ref="Z19:Z44" si="8">IF(F19&gt;0,AVERAGE(W19,X19),"")</f>
        <v/>
      </c>
      <c r="AA19" s="23" t="str">
        <f t="shared" ref="AA19:AA20" si="9">IFERROR(Z19-C19,"")</f>
        <v/>
      </c>
      <c r="AB19" s="3" t="str">
        <f t="shared" ref="AB19:AB20" si="10">IF(J19&gt;0,MAX(J19:N19),"")</f>
        <v/>
      </c>
      <c r="AC19" s="23" t="str">
        <f t="shared" ref="AC19:AC20" si="11">IF(J19&gt;0,MIN(J19:N19),"")</f>
        <v/>
      </c>
      <c r="AE19" t="str">
        <f>IF($B19="HRA","1.5",IF($B19="HRBW","1.5",IF($B19="HRC","1.5",IF($B19="HREW","1.5",IF($B19="HRFW","1.5",IF($B19="HRHW","2.0",IF($B19="HR15N","1.5",IF($B19="HR30N","1.5",IF($B19="HR45N","1.5",IF($B19="HR15TW","1.5",IF($B19="HR30TW","1.5",IF($B19="HR45TW","1.5",""))))))))))))</f>
        <v>1.5</v>
      </c>
      <c r="AF19" t="str">
        <f>IF(B19="HRA","±1.0",IF(B19="HRBW","±2.5",IF(B19="HRC","±1.0",IF(B19="HREW","±1.0",IF(B19="HRFW","±1.0",IF(B19="HRHW","±1.0",IF(B19="HR15N","±1.0",IF(B19="HR30N","±1.0",IF(B19="HR45N","±1.0",IF(B19="HR15TW","±1.0",IF(B19="HR30TW","±1.0",IF(B19="HR45TW","±1.0",""))))))))))))</f>
        <v>±1.0</v>
      </c>
      <c r="AG19">
        <f>IF($B19="HRA",1.5,IF($B19="HRBW",1.5,IF($B19="HRC",1.5,IF($B19="HREW",1.5,IF($B19="HRFW",1.5,IF($B19="HRHW",2,IF($B19="HR15N",1.5,IF($B19="HR30N",1.5,IF($B19="HR45N",1.5,IF($B19="HR15TW",1.5,IF($B19="HR30TW",1.5,IF($B19="HR45TW",1.5,""))))))))))))</f>
        <v>1.5</v>
      </c>
      <c r="AH19">
        <f>IF($B19="HRA",-1,IF($B19="HRBW",-2.5,IF($B19="HRC",-1,IF($B19="HREW",-1,IF($B19="HRFW",-1,IF($B19="HRHW",-1,IF($B19="HR15N",-1,IF($B19="HR30N",-1,IF($B19="HR45N",-1,IF($B19="HR15TW",-1,IF($B19="HR30TW",-1,IF($B19="HR45TW",-1,""))))))))))))</f>
        <v>-1</v>
      </c>
      <c r="AI19">
        <f>IF($B19="HRA",1,IF($B19="HRBW",2.5,IF($B19="HRC",1,IF($B19="HREW",1,IF($B19="HRFW",1,IF($B19="HRHW",1,IF($B19="HR15N",1,IF($B19="HR30N",1,IF($B19="HR45N",1,IF($B19="HR15TW",1,IF($B19="HR30TW",1,IF($B19="HR45TW",1,""))))))))))))</f>
        <v>1</v>
      </c>
    </row>
    <row r="20" spans="1:35" ht="16.5" customHeight="1" x14ac:dyDescent="0.3">
      <c r="A20" s="4" t="str">
        <f>IF($B20="HRA","≥  80",IF($B20="HRBW","≥  88",IF($B20="HRC","≥ 60",IF($B20="HREW","≥ 93",IF($B20="HRFW","≥ 94",IF($B20="HRHW","no test",IF($B20="HR15N","≥ 90",IF($B20="HR30N","≥ 77",IF($B20="HR45N","≥ 66",IF($B20="HR15TW","≥ 87",IF($B20="HR30TW","≥ 70",IF($B20="HR45TW","≥ 53",""))))))))))))</f>
        <v>≥ 60</v>
      </c>
      <c r="B20" s="14" t="str">
        <f t="shared" si="0"/>
        <v>HRC</v>
      </c>
      <c r="C20" s="71"/>
      <c r="D20" s="131"/>
      <c r="E20" s="131"/>
      <c r="F20" s="76"/>
      <c r="G20" s="76"/>
      <c r="H20" s="101" t="str">
        <f>IF(AND(C20-C19&lt;5,C20&gt;0),"Too Close","")</f>
        <v/>
      </c>
      <c r="I20" s="102" t="str">
        <f t="shared" si="1"/>
        <v>AF ERROR</v>
      </c>
      <c r="J20" s="77"/>
      <c r="K20" s="77"/>
      <c r="L20" s="77"/>
      <c r="M20" s="77"/>
      <c r="N20" s="77"/>
      <c r="O20" s="11" t="str">
        <f t="shared" si="2"/>
        <v/>
      </c>
      <c r="P20" s="15" t="str">
        <f t="shared" si="3"/>
        <v/>
      </c>
      <c r="Q20" s="11" t="str">
        <f t="shared" si="4"/>
        <v/>
      </c>
      <c r="R20" s="13" t="str">
        <f>CONCATENATE(AE20,"/",AF20)</f>
        <v>1.0/±0.5</v>
      </c>
      <c r="S20" s="24" t="str">
        <f>IF(O20&gt;AG20,"OOT REPEATABILITY"," ")</f>
        <v>OOT REPEATABILITY</v>
      </c>
      <c r="T20" s="24" t="str">
        <f>IF(Q20&lt;AH20,"OOT ERROR",IF(Q20&gt;AI20,"OOT ERROR",""))</f>
        <v>OOT ERROR</v>
      </c>
      <c r="U20" s="30" t="str">
        <f>IFERROR(ROUND((MAX((SQRT(((((STDEV(J20:N20))/SQRT(5))*2.87/2)^2)+((((VLOOKUP(B20,'MUG Table'!$P$104:$R$115,3,FALSE))+(P20*(0)))*0.5)^2))*2),(VLOOKUP(B20,'MUG Table'!$P$104:$R$115,2,FALSE))+(0*P20))),2-(1+INT(LOG10(ABS((MAX((SQRT(((((STDEV(J20:N20))/SQRT(5))*2.87/2)^2)+((((VLOOKUP(B20,'MUG Table'!$P$104:$R$115,3,FALSE))+(P20*(0)))*0.5)^2))*2),(VLOOKUP(B20,'MUG Table'!$P$104:$R$115,2,FALSE))+(0*P20)))))))),"")</f>
        <v/>
      </c>
      <c r="V20" s="30" t="str">
        <f>IFERROR(ROUND((MAX((SQRT(((((STDEV(F20:G20))/SQRT(2))*2.87/2)^2)+((((VLOOKUP(B20,'MUG Table'!$P$104:$R$115,3,FALSE))+(Z20*(0)))*0.5)^2))*2),(VLOOKUP(B20,'MUG Table'!$P$104:$R$115,2,FALSE))+(0*Z20))),2-(1+INT(LOG10(ABS((MAX((SQRT(((((STDEV(F20:G20))/SQRT(2))*2.87/2)^2)+((((VLOOKUP(B20,'MUG Table'!$P$104:$R$115,3,FALSE))+(Z20*(0)))*0.5)^2))*2),(VLOOKUP(B20,'MUG Table'!$P$104:$R$115,2,FALSE))+(0*Z20)))))))),"")</f>
        <v/>
      </c>
      <c r="W20" s="58" t="str">
        <f t="shared" si="5"/>
        <v/>
      </c>
      <c r="X20" s="30" t="str">
        <f t="shared" si="6"/>
        <v/>
      </c>
      <c r="Y20" s="58" t="str">
        <f t="shared" si="7"/>
        <v/>
      </c>
      <c r="Z20" s="58" t="str">
        <f t="shared" si="8"/>
        <v/>
      </c>
      <c r="AA20" s="23" t="str">
        <f t="shared" si="9"/>
        <v/>
      </c>
      <c r="AB20" s="3" t="str">
        <f t="shared" si="10"/>
        <v/>
      </c>
      <c r="AC20" s="23" t="str">
        <f t="shared" si="11"/>
        <v/>
      </c>
      <c r="AE20" t="str">
        <f>IF($B20="HRA","1.0",IF($B20="HRBW","1.5",IF($B20="HRC","1.0",IF($B20="HREW","1.0",IF($B20="HRFW","1.0",IF($B20="HRHW","1.5",IF($B20="HR15N","1.0",IF($B20="HR30N","1.0",IF($B20="HR45N","1.0",IF($B20="HR15TW","1.5",IF($B20="HR30TW","1.5",IF($B20="HR45TW","1.5",""))))))))))))</f>
        <v>1.0</v>
      </c>
      <c r="AF20" t="str">
        <f>IF(B20="HRA","±0.5",IF(B20="HRBW","±1.0",IF(B20="HRC","±0.5",IF(B20="HREW","±1.0",IF(B20="HRFW","±1.0",IF(B20="HRHW","±1.0",IF(B20="HR15N","±0.7",IF(B20="HR30N","±0.7",IF(B20="HR45N","±0.7",IF(B20="HR15TW","±1.0",IF(B20="HR30TW","±1.0",IF(B20="HR45TW","±1.0",""))))))))))))</f>
        <v>±0.5</v>
      </c>
      <c r="AG20">
        <f>IF($B20="HRA",1,IF($B20="HRBW",1.5,IF($B20="HRC",1,IF($B20="HREW",1,IF($B20="HRFW",1,IF($B20="HRHW",1.5,IF($B20="HR15N",1,IF($B20="HR30N",1,IF($B20="HR45N",1,IF($B20="HR15TW",1.5,IF($B20="HR30TW",1.5,IF($B20="HR45TW",1.5,""))))))))))))</f>
        <v>1</v>
      </c>
      <c r="AH20">
        <f>IF($B20="HRA",-0.5,IF($B20="HRBW",-1,IF($B20="HRC",-0.5,IF($B20="HREW",-1,IF($B20="HRFW",-1,IF($B20="HRHW",-1,IF($B20="HR15N",-0.7,IF($B20="HR30N",-0.7,IF($B20="HR45N",-0.7,IF($B20="HR15TW",-1,IF($B20="HR30TW",-1,IF($B20="HR45TW",-1,""))))))))))))</f>
        <v>-0.5</v>
      </c>
      <c r="AI20">
        <f>IF($B20="HRA",0.5,IF($B20="HRBW",1,IF($B20="HRC",0.5,IF($B20="HREW",1,IF($B20="HRFW",1,IF($B20="HRHW",1,IF($B20="HR15N",0.7,IF($B20="HR30N",0.7,IF($B20="HR45N",0.7,IF($B20="HR15TW",1,IF($B20="HR30TW",1,IF($B20="HR45TW",1,""))))))))))))</f>
        <v>0.5</v>
      </c>
    </row>
    <row r="21" spans="1:35" ht="14.1" customHeight="1" x14ac:dyDescent="0.25">
      <c r="A21" s="4"/>
      <c r="B21" s="126" t="str">
        <f>IF(F$14="HRA",B54,IF(F$14="HRBW",C54,IF(F$14="HRC",D54,IF(F$14="HREW",E54,IF(F$14="HRFW",F54,IF(F$14="HRHW",G54,IF(F$14="HR15N",H54,IF(F$14="HR30N",I54,IF(F$14="HR45N",J54,IF(F$14="HR15TW",K54,IF(F$14="HR30TW",L54,IF(F$14="HR45TW",M54,""))))))))))))</f>
        <v>WRONG VALUE</v>
      </c>
      <c r="C21" s="127"/>
      <c r="D21" s="129"/>
      <c r="E21" s="129"/>
      <c r="F21" s="11"/>
      <c r="G21" s="11"/>
      <c r="H21" s="75"/>
      <c r="I21" s="102"/>
      <c r="J21" s="11"/>
      <c r="K21" s="11"/>
      <c r="L21" s="9"/>
      <c r="M21" s="9"/>
      <c r="N21" s="11"/>
      <c r="O21" s="12"/>
      <c r="P21" s="12"/>
      <c r="Q21" s="12"/>
      <c r="R21" s="12"/>
      <c r="S21" s="3"/>
      <c r="T21" s="3"/>
      <c r="U21" s="29"/>
      <c r="V21" s="29"/>
      <c r="W21" s="58" t="str">
        <f t="shared" si="5"/>
        <v/>
      </c>
      <c r="X21" s="30" t="str">
        <f t="shared" si="6"/>
        <v/>
      </c>
      <c r="Y21" s="58" t="str">
        <f t="shared" si="7"/>
        <v/>
      </c>
      <c r="Z21" s="58" t="str">
        <f t="shared" si="8"/>
        <v/>
      </c>
      <c r="AA21" s="23"/>
      <c r="AB21" s="3" t="str">
        <f t="shared" ref="AB21:AB41" si="12">IF(F21&gt;0,MAX(J21:N21),"")</f>
        <v/>
      </c>
      <c r="AC21" s="23" t="str">
        <f t="shared" ref="AC21:AC41" si="13">IF(F21&gt;0,MIN(J21:N21),"")</f>
        <v/>
      </c>
    </row>
    <row r="22" spans="1:35" ht="16.5" customHeight="1" x14ac:dyDescent="0.3">
      <c r="A22" s="4" t="str">
        <f>IF($B22="HRA","&lt; 70",IF($B22="HRBW","&lt; 60",IF($B22="HRC","&lt; 35",IF($B22="HREW","&lt; 84",IF($B22="HRFW","&lt; 80",IF($B22="HRHW","&lt; 96",IF($B22="HR15N","&lt; 78",IF($B22="HR30N","&lt; 55",IF($B22="HR45N","&lt; 37",IF($B22="HR15TW","&lt; 81",IF($B22="HR30TW","&lt; 57",IF($B22="HR45TW","&lt; 33",""))))))))))))</f>
        <v/>
      </c>
      <c r="B22" s="14" t="str">
        <f>IF(G$14="","",G$14)</f>
        <v/>
      </c>
      <c r="C22" s="71"/>
      <c r="D22" s="131"/>
      <c r="E22" s="131"/>
      <c r="F22" s="76"/>
      <c r="G22" s="76"/>
      <c r="H22" s="101"/>
      <c r="I22" s="102" t="str">
        <f t="shared" ref="I22:I24" si="14">IFERROR(IF(AA22&lt;AH22,"AF ERROR",IF(AA22&gt;AI22,"AF ERROR",IF(Y22&gt;AG22,"AF REPEAT",""))),"")</f>
        <v/>
      </c>
      <c r="J22" s="77"/>
      <c r="K22" s="77"/>
      <c r="L22" s="77"/>
      <c r="M22" s="77"/>
      <c r="N22" s="77"/>
      <c r="O22" s="11" t="str">
        <f t="shared" ref="O22:O24" si="15">IFERROR(IF(B22="","",AB22-AC22),"")</f>
        <v/>
      </c>
      <c r="P22" s="15" t="str">
        <f t="shared" ref="P22:P24" si="16">IFERROR(IF(B22="","",AVERAGE(J22:N22)),"")</f>
        <v/>
      </c>
      <c r="Q22" s="11" t="str">
        <f t="shared" ref="Q22:Q24" si="17">IFERROR(IF(B22="","",P22-C22),"")</f>
        <v/>
      </c>
      <c r="R22" s="13" t="str">
        <f t="shared" ref="R22:R24" si="18">CONCATENATE(AE22,"/",AF22)</f>
        <v>/</v>
      </c>
      <c r="S22" s="79" t="str">
        <f t="shared" ref="S22:S24" si="19">IF(O22&gt;AG22,"OOT REPEATABILITY"," ")</f>
        <v xml:space="preserve"> </v>
      </c>
      <c r="T22" s="79" t="str">
        <f t="shared" ref="T22:T24" si="20">IF(Q22&lt;AH22,"OOT ERROR",IF(Q22&gt;AI22,"OOT ERROR",""))</f>
        <v/>
      </c>
      <c r="U22" s="30" t="str">
        <f>IFERROR(ROUND((MAX((SQRT(((((STDEV(J22:N22))/SQRT(5))*2.87/2)^2)+((((VLOOKUP(B22,'MUG Table'!$P$104:$R$115,3,FALSE))+(P22*(0)))*0.5)^2))*2),(VLOOKUP(B22,'MUG Table'!$P$104:$R$115,2,FALSE))+(0*P22))),2-(1+INT(LOG10(ABS((MAX((SQRT(((((STDEV(J22:N22))/SQRT(5))*2.87/2)^2)+((((VLOOKUP(B22,'MUG Table'!$P$104:$R$115,3,FALSE))+(P22*(0)))*0.5)^2))*2),(VLOOKUP(B22,'MUG Table'!$P$104:$R$115,2,FALSE))+(0*P22)))))))),"")</f>
        <v/>
      </c>
      <c r="V22" s="30" t="str">
        <f>IFERROR(ROUND((MAX((SQRT(((((STDEV(F22:G22))/SQRT(2))*2.87/2)^2)+((((VLOOKUP(B22,'MUG Table'!$P$104:$R$115,3,FALSE))+(Z22*(0)))*0.5)^2))*2),(VLOOKUP(B22,'MUG Table'!$P$104:$R$115,2,FALSE))+(0*Z22))),2-(1+INT(LOG10(ABS((MAX((SQRT(((((STDEV(F22:G22))/SQRT(2))*2.87/2)^2)+((((VLOOKUP(B22,'MUG Table'!$P$104:$R$115,3,FALSE))+(Z22*(0)))*0.5)^2))*2),(VLOOKUP(B22,'MUG Table'!$P$104:$R$115,2,FALSE))+(0*Z22)))))))),"")</f>
        <v/>
      </c>
      <c r="W22" s="58" t="str">
        <f t="shared" si="5"/>
        <v/>
      </c>
      <c r="X22" s="30" t="str">
        <f t="shared" si="6"/>
        <v/>
      </c>
      <c r="Y22" s="58" t="str">
        <f t="shared" si="7"/>
        <v/>
      </c>
      <c r="Z22" s="58" t="str">
        <f t="shared" si="8"/>
        <v/>
      </c>
      <c r="AA22" s="23" t="str">
        <f t="shared" ref="AA22:AA44" si="21">IFERROR(Z22-C22,"")</f>
        <v/>
      </c>
      <c r="AB22" s="3" t="str">
        <f>IF(J22&gt;0,MAX(J22:N22),"")</f>
        <v/>
      </c>
      <c r="AC22" s="23" t="str">
        <f>IF(J22&gt;0,MIN(J22:N22),"")</f>
        <v/>
      </c>
      <c r="AE22" t="str">
        <f>IF(B22="HRA","2.0",IF(B22="HRBW","2.0",IF(B22="HRC","2.0",IF(B22="HREW","1.5",IF(B22="HRFW","1.5",IF(B22="HRHW","2.0",IF(B22="HR15N","2.0",IF(B22="HR30N","2.0",IF(B22="HR45N","2.0",IF(B22="HR15TW","2.0",IF(B22="HR30TW","2.0",IF(B22="HR45TW","2.0",""))))))))))))</f>
        <v/>
      </c>
      <c r="AF22" t="str">
        <f>IF($B22="HRA","±1.0",IF($B22="HRBW","±2.5",IF($B22="HRC","±1.0",IF($B22="HREW","±1.0",IF($B22="HRFW","±1.0",IF($B22="HRHW","±1.0",IF($B22="HR15N","±1.0",IF($B22="HR30N","±1.0",IF($B22="HR45N","±1.0",IF($B22="HR15TW","±1.5",IF($B22="HR30TW","±1.5",IF($B22="HR45TW","±1.5",""))))))))))))</f>
        <v/>
      </c>
      <c r="AG22" t="str">
        <f>IF($B22="HRA",2,IF($B22="HRBW",2,IF($B22="HRC",2,IF($B22="HREW",1.5,IF($B22="HRFW",1.5,IF($B22="HRHW",2,IF($B22="HR15N",2,IF($B22="HR30N",2,IF($B22="HR45N",2,IF($B22="HR15TW",2,IF($B22="HR30TW",2,IF($B22="HR45TW",2,""))))))))))))</f>
        <v/>
      </c>
      <c r="AH22" t="str">
        <f>IF($B22="HRA",-1,IF($B22="HRBW",-2.5,IF($B22="HRC",-1,IF($B22="HREW",-1,IF($B22="HRFW",-1,IF($B22="HRHW",-1,IF($B22="HR15N",-1,IF($B22="HR30N",-1,IF($B22="HR45N",-1,IF($B22="HR15TW",-1.5,IF($B22="HR30TW",-1.5,IF($B22="HR45TW",-1.5,""))))))))))))</f>
        <v/>
      </c>
      <c r="AI22" t="str">
        <f>IF($B22="HRA",1,IF($B22="HRBW",2.5,IF($B22="HRC",1,IF($B22="HREW",1,IF($B22="HRFW",1,IF($B22="HRHW",1,IF($B22="HR15N",1,IF($B22="HR30N",1,IF($B22="HR45N",1,IF($B22="HR15TW",1.5,IF($B22="HR30TW",1.5,IF($B22="HR45TW",1.5,""))))))))))))</f>
        <v/>
      </c>
    </row>
    <row r="23" spans="1:35" ht="16.5" customHeight="1" x14ac:dyDescent="0.3">
      <c r="A23" s="4" t="str">
        <f>IF($B23="HRA","≥ 70 and &lt; 80",IF($B23="HRBW","≥ 60 and &lt; 88",IF($B23="HRC","≥ 35 and &lt; 60",IF($B23="HREW","≥ 84 and &lt; 93",IF($B23="HRFW","≥ 80 and &lt; 94",IF($B23="HRHW","≥ 96",IF($B23="HR15N","≥ 78 and &lt; 90",IF($B23="HR30N","≥ 55 and &lt; 77",IF($B23="HR45N","≥ 37 and &lt; 66",IF($B23="HR15TW","≥ 81 and &lt; 87",IF($B23="HR30TW","≥ 57 and &lt; 70",IF($B23="HR45TW","≥ 33 and &lt; 53",""))))))))))))</f>
        <v/>
      </c>
      <c r="B23" s="14" t="str">
        <f t="shared" ref="B23:B24" si="22">IF(G$14="","",G$14)</f>
        <v/>
      </c>
      <c r="C23" s="71"/>
      <c r="D23" s="131"/>
      <c r="E23" s="131"/>
      <c r="F23" s="76"/>
      <c r="G23" s="76"/>
      <c r="H23" s="101" t="str">
        <f>IF(AND(C23-C22&lt;5,C23&gt;0),"Too Close","")</f>
        <v/>
      </c>
      <c r="I23" s="102" t="str">
        <f t="shared" si="14"/>
        <v/>
      </c>
      <c r="J23" s="77"/>
      <c r="K23" s="77"/>
      <c r="L23" s="77"/>
      <c r="M23" s="77"/>
      <c r="N23" s="77"/>
      <c r="O23" s="11" t="str">
        <f t="shared" si="15"/>
        <v/>
      </c>
      <c r="P23" s="15" t="str">
        <f t="shared" si="16"/>
        <v/>
      </c>
      <c r="Q23" s="11" t="str">
        <f t="shared" si="17"/>
        <v/>
      </c>
      <c r="R23" s="13" t="str">
        <f t="shared" si="18"/>
        <v>/</v>
      </c>
      <c r="S23" s="24" t="str">
        <f t="shared" si="19"/>
        <v xml:space="preserve"> </v>
      </c>
      <c r="T23" s="24" t="str">
        <f t="shared" si="20"/>
        <v/>
      </c>
      <c r="U23" s="30" t="str">
        <f>IFERROR(ROUND((MAX((SQRT(((((STDEV(J23:N23))/SQRT(5))*2.87/2)^2)+((((VLOOKUP(B23,'MUG Table'!$P$104:$R$115,3,FALSE))+(P23*(0)))*0.5)^2))*2),(VLOOKUP(B23,'MUG Table'!$P$104:$R$115,2,FALSE))+(0*P23))),2-(1+INT(LOG10(ABS((MAX((SQRT(((((STDEV(J23:N23))/SQRT(5))*2.87/2)^2)+((((VLOOKUP(B23,'MUG Table'!$P$104:$R$115,3,FALSE))+(P23*(0)))*0.5)^2))*2),(VLOOKUP(B23,'MUG Table'!$P$104:$R$115,2,FALSE))+(0*P23)))))))),"")</f>
        <v/>
      </c>
      <c r="V23" s="30" t="str">
        <f>IFERROR(ROUND((MAX((SQRT(((((STDEV(F23:G23))/SQRT(2))*2.87/2)^2)+((((VLOOKUP(B23,'MUG Table'!$P$104:$R$115,3,FALSE))+(Z23*(0)))*0.5)^2))*2),(VLOOKUP(B23,'MUG Table'!$P$104:$R$115,2,FALSE))+(0*Z23))),2-(1+INT(LOG10(ABS((MAX((SQRT(((((STDEV(F23:G23))/SQRT(2))*2.87/2)^2)+((((VLOOKUP(B23,'MUG Table'!$P$104:$R$115,3,FALSE))+(Z23*(0)))*0.5)^2))*2),(VLOOKUP(B23,'MUG Table'!$P$104:$R$115,2,FALSE))+(0*Z23)))))))),"")</f>
        <v/>
      </c>
      <c r="W23" s="58" t="str">
        <f t="shared" si="5"/>
        <v/>
      </c>
      <c r="X23" s="30" t="str">
        <f t="shared" si="6"/>
        <v/>
      </c>
      <c r="Y23" s="58" t="str">
        <f t="shared" si="7"/>
        <v/>
      </c>
      <c r="Z23" s="58" t="str">
        <f t="shared" si="8"/>
        <v/>
      </c>
      <c r="AA23" s="23" t="str">
        <f t="shared" si="21"/>
        <v/>
      </c>
      <c r="AB23" s="3" t="str">
        <f t="shared" ref="AB23:AB24" si="23">IF(J23&gt;0,MAX(J23:N23),"")</f>
        <v/>
      </c>
      <c r="AC23" s="23" t="str">
        <f t="shared" ref="AC23:AC24" si="24">IF(J23&gt;0,MIN(J23:N23),"")</f>
        <v/>
      </c>
      <c r="AE23" t="str">
        <f>IF(B23="HRA","1.5",IF(B23="HRBW","1.5",IF(B23="HRC","1.5",IF(B23="HREW","1.5",IF(B23="HRFW","1.5",IF(B23="HRHW","2.0",IF(B23="HR15N","1.5",IF(B23="HR30N","1.5",IF(B23="HR45N","1.5",IF(B23="HR15TW","1.5",IF(B23="HR30TW","1.5",IF(B23="HR45TW","1.5",""))))))))))))</f>
        <v/>
      </c>
      <c r="AF23" t="str">
        <f>IF(B23="HRA","±1.0",IF(B23="HRBW","±2.5",IF(B23="HRC","±1.0",IF(B23="HREW","±1.0",IF(B23="HRFW","±1.0",IF(B23="HRHW","±1.0",IF(B23="HR15N","±1.0",IF(B23="HR30N","±1.0",IF(B23="HR45N","±1.0",IF(B23="HR15TW","±1.0",IF(B23="HR30TW","±1.0",IF(B23="HR45TW","±1.0",""))))))))))))</f>
        <v/>
      </c>
      <c r="AG23" t="str">
        <f>IF($B23="HRA",1.5,IF($B23="HRBW",1.5,IF($B23="HRC",1.5,IF($B23="HREW",1.5,IF($B23="HRFW",1.5,IF($B23="HRHW",2,IF($B23="HR15N",1.5,IF($B23="HR30N",1.5,IF($B23="HR45N",1.5,IF($B23="HR15TW",1.5,IF($B23="HR30TW",1.5,IF($B23="HR45TW",1.5,""))))))))))))</f>
        <v/>
      </c>
      <c r="AH23" t="str">
        <f>IF($B23="HRA",-1,IF($B23="HRBW",-2.5,IF($B23="HRC",-1,IF($B23="HREW",-1,IF($B23="HRFW",-1,IF($B23="HRHW",-1,IF($B23="HR15N",-1,IF($B23="HR30N",-1,IF($B23="HR45N",-1,IF($B23="HR15TW",-1,IF($B23="HR30TW",-1,IF($B23="HR45TW",-1,""))))))))))))</f>
        <v/>
      </c>
      <c r="AI23" t="str">
        <f>IF($B23="HRA",1,IF($B23="HRBW",2.5,IF($B23="HRC",1,IF($B23="HREW",1,IF($B23="HRFW",1,IF($B23="HRHW",1,IF($B23="HR15N",1,IF($B23="HR30N",1,IF($B23="HR45N",1,IF($B23="HR15TW",1,IF($B23="HR30TW",1,IF($B23="HR45TW",1,""))))))))))))</f>
        <v/>
      </c>
    </row>
    <row r="24" spans="1:35" ht="16.5" customHeight="1" x14ac:dyDescent="0.3">
      <c r="A24" s="4" t="str">
        <f>IF($B24="HRA","≥  80",IF($B24="HRBW","≥  88",IF($B24="HRC","≥ 60",IF($B24="HREW","≥ 93",IF($B24="HRFW","≥ 94",IF($B24="HRHW","no test",IF($B24="HR15N","≥ 90",IF($B24="HR30N","≥ 77",IF($B24="HR45N","≥ 66",IF($B24="HR15TW","≥ 87",IF($B24="HR30TW","≥ 70",IF($B24="HR45TW","≥ 53",""))))))))))))</f>
        <v/>
      </c>
      <c r="B24" s="14" t="str">
        <f t="shared" si="22"/>
        <v/>
      </c>
      <c r="C24" s="71"/>
      <c r="D24" s="131"/>
      <c r="E24" s="131"/>
      <c r="F24" s="76"/>
      <c r="G24" s="76"/>
      <c r="H24" s="101" t="str">
        <f>IF(AND(C24-C23&lt;5,C24&gt;0),"Too Close","")</f>
        <v/>
      </c>
      <c r="I24" s="102" t="str">
        <f t="shared" si="14"/>
        <v/>
      </c>
      <c r="J24" s="77"/>
      <c r="K24" s="77"/>
      <c r="L24" s="77"/>
      <c r="M24" s="77"/>
      <c r="N24" s="77"/>
      <c r="O24" s="11" t="str">
        <f t="shared" si="15"/>
        <v/>
      </c>
      <c r="P24" s="15" t="str">
        <f t="shared" si="16"/>
        <v/>
      </c>
      <c r="Q24" s="11" t="str">
        <f t="shared" si="17"/>
        <v/>
      </c>
      <c r="R24" s="13" t="str">
        <f t="shared" si="18"/>
        <v>/</v>
      </c>
      <c r="S24" s="24" t="str">
        <f t="shared" si="19"/>
        <v xml:space="preserve"> </v>
      </c>
      <c r="T24" s="24" t="str">
        <f t="shared" si="20"/>
        <v/>
      </c>
      <c r="U24" s="30" t="str">
        <f>IFERROR(ROUND((MAX((SQRT(((((STDEV(J24:N24))/SQRT(5))*2.87/2)^2)+((((VLOOKUP(B24,'MUG Table'!$P$104:$R$115,3,FALSE))+(P24*(0)))*0.5)^2))*2),(VLOOKUP(B24,'MUG Table'!$P$104:$R$115,2,FALSE))+(0*P24))),2-(1+INT(LOG10(ABS((MAX((SQRT(((((STDEV(J24:N24))/SQRT(5))*2.87/2)^2)+((((VLOOKUP(B24,'MUG Table'!$P$104:$R$115,3,FALSE))+(P24*(0)))*0.5)^2))*2),(VLOOKUP(B24,'MUG Table'!$P$104:$R$115,2,FALSE))+(0*P24)))))))),"")</f>
        <v/>
      </c>
      <c r="V24" s="30" t="str">
        <f>IFERROR(ROUND((MAX((SQRT(((((STDEV(F24:G24))/SQRT(2))*2.87/2)^2)+((((VLOOKUP(B24,'MUG Table'!$P$104:$R$115,3,FALSE))+(Z24*(0)))*0.5)^2))*2),(VLOOKUP(B24,'MUG Table'!$P$104:$R$115,2,FALSE))+(0*Z24))),2-(1+INT(LOG10(ABS((MAX((SQRT(((((STDEV(F24:G24))/SQRT(2))*2.87/2)^2)+((((VLOOKUP(B24,'MUG Table'!$P$104:$R$115,3,FALSE))+(Z24*(0)))*0.5)^2))*2),(VLOOKUP(B24,'MUG Table'!$P$104:$R$115,2,FALSE))+(0*Z24)))))))),"")</f>
        <v/>
      </c>
      <c r="W24" s="58" t="str">
        <f t="shared" si="5"/>
        <v/>
      </c>
      <c r="X24" s="30" t="str">
        <f t="shared" si="6"/>
        <v/>
      </c>
      <c r="Y24" s="58" t="str">
        <f t="shared" si="7"/>
        <v/>
      </c>
      <c r="Z24" s="58" t="str">
        <f t="shared" si="8"/>
        <v/>
      </c>
      <c r="AA24" s="23" t="str">
        <f t="shared" si="21"/>
        <v/>
      </c>
      <c r="AB24" s="3" t="str">
        <f t="shared" si="23"/>
        <v/>
      </c>
      <c r="AC24" s="23" t="str">
        <f t="shared" si="24"/>
        <v/>
      </c>
      <c r="AE24" t="str">
        <f>IF(B24="HRA","1.0",IF(B24="HRBW","1.5",IF(B24="HRC","1.0",IF(B24="HREW","1.0",IF(B24="HRFW","1.0",IF(B24="HRHW","1.5",IF(B24="HR15N","1.0",IF(B24="HR30N","1.0",IF(B24="HR45N","1.0",IF(B24="HR15TW","1.5",IF(B24="HR30TW","1.5",IF(B24="HR45TW","1.5",""))))))))))))</f>
        <v/>
      </c>
      <c r="AF24" t="str">
        <f>IF(B24="HRA","±0.5",IF(B24="HRBW","±1.0",IF(B24="HRC","±0.5",IF(B24="HREW","±1.0",IF(B24="HRFW","±1.0",IF(B24="HRHW","±1.0",IF(B24="HR15N","±0.7",IF(B24="HR30N","±0.7",IF(B24="HR45N","±0.7",IF(B24="HR15TW","±1.0",IF(B24="HR30TW","±1.0",IF(B24="HR45TW","±1.0",""))))))))))))</f>
        <v/>
      </c>
      <c r="AG24" t="str">
        <f>IF($B24="HRA",1,IF($B24="HRBW",1.5,IF($B24="HRC",1,IF($B24="HREW",1,IF($B24="HRFW",1,IF($B24="HRHW",1.5,IF($B24="HR15N",1,IF($B24="HR30N",1,IF($B24="HR45N",1,IF($B24="HR15TW",1.5,IF($B24="HR30TW",1.5,IF($B24="HR45TW",1.5,""))))))))))))</f>
        <v/>
      </c>
      <c r="AH24" t="str">
        <f>IF($B24="HRA",-0.5,IF($B24="HRBW",-1,IF($B24="HRC",-0.5,IF($B24="HREW",-1,IF($B24="HRFW",-1,IF($B24="HRHW",-1,IF($B24="HR15N",-0.7,IF($B24="HR30N",-0.7,IF($B24="HR45N",-0.7,IF($B24="HR15TW",-1,IF($B24="HR30TW",-1,IF($B24="HR45TW",-1,""))))))))))))</f>
        <v/>
      </c>
      <c r="AI24" t="str">
        <f>IF($B24="HRA",0.5,IF($B24="HRBW",1,IF($B24="HRC",0.5,IF($B24="HREW",1,IF($B24="HRFW",1,IF($B24="HRHW",1,IF($B24="HR15N",0.7,IF($B24="HR30N",0.7,IF($B24="HR45N",0.7,IF($B24="HR15TW",1,IF($B24="HR30TW",1,IF($B24="HR45TW",1,""))))))))))))</f>
        <v/>
      </c>
    </row>
    <row r="25" spans="1:35" ht="14.1" customHeight="1" x14ac:dyDescent="0.25">
      <c r="A25" s="4"/>
      <c r="B25" s="126" t="str">
        <f>IF(G$14="HRA",B60,IF(G$14="HRBW",C60,IF(G$14="HRC",D60,IF(G$14="HREW",E60,IF(G$14="HRFW",F60,IF(G$14="HRHW",G60,IF(G$14="HR15N",H60,IF(G$14="HR30N",I60,IF(G$14="HR45N",J60,IF(G$14="HR15TW",K60,IF(G$14="HR30TW",L60,IF(G$14="HR45TW",M60,""))))))))))))</f>
        <v/>
      </c>
      <c r="C25" s="127"/>
      <c r="D25" s="129"/>
      <c r="E25" s="129"/>
      <c r="F25" s="3"/>
      <c r="G25" s="3"/>
      <c r="H25" s="74"/>
      <c r="I25" s="102"/>
      <c r="J25" s="11"/>
      <c r="K25" s="11"/>
      <c r="L25" s="9"/>
      <c r="M25" s="9"/>
      <c r="N25" s="11"/>
      <c r="O25" s="12"/>
      <c r="P25" s="12"/>
      <c r="Q25" s="12"/>
      <c r="R25" s="12"/>
      <c r="S25" s="3"/>
      <c r="T25" s="3"/>
      <c r="U25" s="29"/>
      <c r="V25" s="29"/>
      <c r="W25" s="58" t="str">
        <f t="shared" si="5"/>
        <v/>
      </c>
      <c r="X25" s="30" t="str">
        <f t="shared" si="6"/>
        <v/>
      </c>
      <c r="Y25" s="58" t="str">
        <f t="shared" si="7"/>
        <v/>
      </c>
      <c r="Z25" s="58" t="str">
        <f t="shared" si="8"/>
        <v/>
      </c>
      <c r="AA25" s="23"/>
      <c r="AB25" s="3" t="str">
        <f t="shared" si="12"/>
        <v/>
      </c>
      <c r="AC25" s="23" t="str">
        <f t="shared" si="13"/>
        <v/>
      </c>
    </row>
    <row r="26" spans="1:35" ht="16.5" customHeight="1" x14ac:dyDescent="0.3">
      <c r="A26" s="4" t="str">
        <f>IF($B26="HRA","&lt; 70",IF($B26="HRBW","&lt; 60",IF($B26="HRC","&lt; 35",IF($B26="HREW","&lt; 84",IF($B26="HRFW","&lt; 80",IF($B26="HRHW","&lt; 96",IF($B26="HR15N","&lt; 78",IF($B26="HR30N","&lt; 55",IF($B26="HR45N","&lt; 37",IF($B26="HR15TW","&lt; 81",IF($B26="HR30TW","&lt; 57",IF($B26="HR45TW","&lt; 33",""))))))))))))</f>
        <v/>
      </c>
      <c r="B26" s="14" t="str">
        <f>IF(H$14="","",H$14)</f>
        <v/>
      </c>
      <c r="C26" s="71"/>
      <c r="D26" s="131"/>
      <c r="E26" s="131"/>
      <c r="F26" s="76"/>
      <c r="G26" s="76"/>
      <c r="H26" s="101"/>
      <c r="I26" s="102" t="str">
        <f t="shared" ref="I26:I28" si="25">IFERROR(IF(AA26&lt;AH26,"AF ERROR",IF(AA26&gt;AI26,"AF ERROR",IF(Y26&gt;AG26,"AF REPEAT",""))),"")</f>
        <v/>
      </c>
      <c r="J26" s="77"/>
      <c r="K26" s="77"/>
      <c r="L26" s="77"/>
      <c r="M26" s="77"/>
      <c r="N26" s="77"/>
      <c r="O26" s="11" t="str">
        <f t="shared" ref="O26:O28" si="26">IFERROR(IF(B26="","",AB26-AC26),"")</f>
        <v/>
      </c>
      <c r="P26" s="15" t="str">
        <f t="shared" ref="P26:P28" si="27">IFERROR(IF(B26="","",AVERAGE(J26:N26)),"")</f>
        <v/>
      </c>
      <c r="Q26" s="11" t="str">
        <f t="shared" ref="Q26:Q28" si="28">IFERROR(IF(B26="","",P26-C26),"")</f>
        <v/>
      </c>
      <c r="R26" s="13" t="str">
        <f t="shared" ref="R26:R28" si="29">CONCATENATE(AE26,"/",AF26)</f>
        <v>/</v>
      </c>
      <c r="S26" s="79" t="str">
        <f t="shared" ref="S26:S28" si="30">IF(O26&gt;AG26,"OOT REPEATABILITY"," ")</f>
        <v xml:space="preserve"> </v>
      </c>
      <c r="T26" s="79" t="str">
        <f t="shared" ref="T26:T28" si="31">IF(Q26&lt;AH26,"OOT ERROR",IF(Q26&gt;AI26,"OOT ERROR",""))</f>
        <v/>
      </c>
      <c r="U26" s="30" t="str">
        <f>IFERROR(ROUND((MAX((SQRT(((((STDEV(J26:N26))/SQRT(5))*2.87/2)^2)+((((VLOOKUP(B26,'MUG Table'!$P$104:$R$115,3,FALSE))+(P26*(0)))*0.5)^2))*2),(VLOOKUP(B26,'MUG Table'!$P$104:$R$115,2,FALSE))+(0*P26))),2-(1+INT(LOG10(ABS((MAX((SQRT(((((STDEV(J26:N26))/SQRT(5))*2.87/2)^2)+((((VLOOKUP(B26,'MUG Table'!$P$104:$R$115,3,FALSE))+(P26*(0)))*0.5)^2))*2),(VLOOKUP(B26,'MUG Table'!$P$104:$R$115,2,FALSE))+(0*P26)))))))),"")</f>
        <v/>
      </c>
      <c r="V26" s="30" t="str">
        <f>IFERROR(ROUND((MAX((SQRT(((((STDEV(F26:G26))/SQRT(2))*2.87/2)^2)+((((VLOOKUP(B26,'MUG Table'!$P$104:$R$115,3,FALSE))+(Z26*(0)))*0.5)^2))*2),(VLOOKUP(B26,'MUG Table'!$P$104:$R$115,2,FALSE))+(0*Z26))),2-(1+INT(LOG10(ABS((MAX((SQRT(((((STDEV(F26:G26))/SQRT(2))*2.87/2)^2)+((((VLOOKUP(B26,'MUG Table'!$P$104:$R$115,3,FALSE))+(Z26*(0)))*0.5)^2))*2),(VLOOKUP(B26,'MUG Table'!$P$104:$R$115,2,FALSE))+(0*Z26)))))))),"")</f>
        <v/>
      </c>
      <c r="W26" s="58" t="str">
        <f t="shared" si="5"/>
        <v/>
      </c>
      <c r="X26" s="30" t="str">
        <f t="shared" si="6"/>
        <v/>
      </c>
      <c r="Y26" s="58" t="str">
        <f t="shared" si="7"/>
        <v/>
      </c>
      <c r="Z26" s="58" t="str">
        <f t="shared" si="8"/>
        <v/>
      </c>
      <c r="AA26" s="23" t="str">
        <f t="shared" ref="AA26" si="32">IFERROR(Z26-C26,"")</f>
        <v/>
      </c>
      <c r="AB26" s="3" t="str">
        <f>IF(J26&gt;0,MAX(J26:N26),"")</f>
        <v/>
      </c>
      <c r="AC26" s="23" t="str">
        <f>IF(J26&gt;0,MIN(J26:N26),"")</f>
        <v/>
      </c>
      <c r="AE26" t="str">
        <f>IF(B26="HRA","2.0",IF(B26="HRBW","2.0",IF(B26="HRC","2.0",IF(B26="HREW","1.5",IF(B26="HRFW","1.5",IF(B26="HRHW","2.0",IF(B26="HR15N","2.0",IF(B26="HR30N","2.0",IF(B26="HR45N","2.0",IF(B26="HR15TW","2.0",IF(B26="HR30TW","2.0",IF(B26="HR45TW","2.0",""))))))))))))</f>
        <v/>
      </c>
      <c r="AF26" t="str">
        <f>IF($B26="HRA","±1.0",IF($B26="HRBW","±2.5",IF($B26="HRC","±1.0",IF($B26="HREW","±1.0",IF($B26="HRFW","±1.0",IF($B26="HRHW","±1.0",IF($B26="HR15N","±1.0",IF($B26="HR30N","±1.0",IF($B26="HR45N","±1.0",IF($B26="HR15TW","±1.5",IF($B26="HR30TW","±1.5",IF($B26="HR45TW","±1.5",""))))))))))))</f>
        <v/>
      </c>
      <c r="AG26" t="str">
        <f>IF($B26="HRA",2,IF($B26="HRBW",2,IF($B26="HRC",2,IF($B26="HREW",1.5,IF($B26="HRFW",1.5,IF($B26="HRHW",2,IF($B26="HR15N",2,IF($B26="HR30N",2,IF($B26="HR45N",2,IF($B26="HR15TW",2,IF($B26="HR30TW",2,IF($B26="HR45TW",2,""))))))))))))</f>
        <v/>
      </c>
      <c r="AH26" t="str">
        <f>IF($B26="HRA",-1,IF($B26="HRBW",-2.5,IF($B26="HRC",-1,IF($B26="HREW",-1,IF($B26="HRFW",-1,IF($B26="HRHW",-1,IF($B26="HR15N",-1,IF($B26="HR30N",-1,IF($B26="HR45N",-1,IF($B26="HR15TW",-1.5,IF($B26="HR30TW",-1.5,IF($B26="HR45TW",-1.5,""))))))))))))</f>
        <v/>
      </c>
      <c r="AI26" t="str">
        <f>IF($B26="HRA",1,IF($B26="HRBW",2.5,IF($B26="HRC",1,IF($B26="HREW",1,IF($B26="HRFW",1,IF($B26="HRHW",1,IF($B26="HR15N",1,IF($B26="HR30N",1,IF($B26="HR45N",1,IF($B26="HR15TW",1.5,IF($B26="HR30TW",1.5,IF($B26="HR45TW",1.5,""))))))))))))</f>
        <v/>
      </c>
    </row>
    <row r="27" spans="1:35" ht="16.5" customHeight="1" x14ac:dyDescent="0.3">
      <c r="A27" s="4" t="str">
        <f>IF($B27="HRA","≥ 70 and &lt; 80",IF($B27="HRBW","≥ 60 and &lt; 88",IF($B27="HRC","≥ 35 and &lt; 60",IF($B27="HREW","≥ 84 and &lt; 93",IF($B27="HRFW","≥ 80 and &lt; 94",IF($B27="HRHW","≥ 96",IF($B27="HR15N","≥ 78 and &lt; 90",IF($B27="HR30N","≥ 55 and &lt; 77",IF($B27="HR45N","≥ 37 and &lt; 66",IF($B27="HR15TW","≥ 81 and &lt; 87",IF($B27="HR30TW","≥ 57 and &lt; 70",IF($B27="HR45TW","≥ 33 and &lt; 53",""))))))))))))</f>
        <v/>
      </c>
      <c r="B27" s="14" t="str">
        <f>IF(H$14="","",H$14)</f>
        <v/>
      </c>
      <c r="C27" s="71"/>
      <c r="D27" s="131"/>
      <c r="E27" s="131"/>
      <c r="F27" s="76"/>
      <c r="G27" s="76"/>
      <c r="H27" s="101" t="str">
        <f>IF(AND(C27-C26&lt;5,C27&gt;0),"Too Close","")</f>
        <v/>
      </c>
      <c r="I27" s="102" t="str">
        <f t="shared" si="25"/>
        <v/>
      </c>
      <c r="J27" s="77"/>
      <c r="K27" s="77"/>
      <c r="L27" s="77"/>
      <c r="M27" s="77"/>
      <c r="N27" s="77"/>
      <c r="O27" s="11" t="str">
        <f t="shared" si="26"/>
        <v/>
      </c>
      <c r="P27" s="15" t="str">
        <f t="shared" si="27"/>
        <v/>
      </c>
      <c r="Q27" s="11" t="str">
        <f t="shared" si="28"/>
        <v/>
      </c>
      <c r="R27" s="13" t="str">
        <f t="shared" si="29"/>
        <v>/</v>
      </c>
      <c r="S27" s="24" t="str">
        <f t="shared" si="30"/>
        <v xml:space="preserve"> </v>
      </c>
      <c r="T27" s="24" t="str">
        <f t="shared" si="31"/>
        <v/>
      </c>
      <c r="U27" s="30" t="str">
        <f>IFERROR(ROUND((MAX((SQRT(((((STDEV(J27:N27))/SQRT(5))*2.87/2)^2)+((((VLOOKUP(B27,'MUG Table'!$P$104:$R$115,3,FALSE))+(P27*(0)))*0.5)^2))*2),(VLOOKUP(B27,'MUG Table'!$P$104:$R$115,2,FALSE))+(0*P27))),2-(1+INT(LOG10(ABS((MAX((SQRT(((((STDEV(J27:N27))/SQRT(5))*2.87/2)^2)+((((VLOOKUP(B27,'MUG Table'!$P$104:$R$115,3,FALSE))+(P27*(0)))*0.5)^2))*2),(VLOOKUP(B27,'MUG Table'!$P$104:$R$115,2,FALSE))+(0*P27)))))))),"")</f>
        <v/>
      </c>
      <c r="V27" s="30" t="str">
        <f>IFERROR(ROUND((MAX((SQRT(((((STDEV(F27:G27))/SQRT(2))*2.87/2)^2)+((((VLOOKUP(B27,'MUG Table'!$P$104:$R$115,3,FALSE))+(Z27*(0)))*0.5)^2))*2),(VLOOKUP(B27,'MUG Table'!$P$104:$R$115,2,FALSE))+(0*Z27))),2-(1+INT(LOG10(ABS((MAX((SQRT(((((STDEV(F27:G27))/SQRT(2))*2.87/2)^2)+((((VLOOKUP(B27,'MUG Table'!$P$104:$R$115,3,FALSE))+(Z27*(0)))*0.5)^2))*2),(VLOOKUP(B27,'MUG Table'!$P$104:$R$115,2,FALSE))+(0*Z27)))))))),"")</f>
        <v/>
      </c>
      <c r="W27" s="58" t="str">
        <f t="shared" si="5"/>
        <v/>
      </c>
      <c r="X27" s="30" t="str">
        <f t="shared" si="6"/>
        <v/>
      </c>
      <c r="Y27" s="58" t="str">
        <f t="shared" si="7"/>
        <v/>
      </c>
      <c r="Z27" s="58" t="str">
        <f t="shared" si="8"/>
        <v/>
      </c>
      <c r="AA27" s="23" t="str">
        <f t="shared" si="21"/>
        <v/>
      </c>
      <c r="AB27" s="3" t="str">
        <f t="shared" ref="AB27:AB28" si="33">IF(J27&gt;0,MAX(J27:N27),"")</f>
        <v/>
      </c>
      <c r="AC27" s="23" t="str">
        <f t="shared" ref="AC27:AC28" si="34">IF(J27&gt;0,MIN(J27:N27),"")</f>
        <v/>
      </c>
      <c r="AE27" t="str">
        <f>IF(B27="HRA","1.5",IF(B27="HRBW","1.5",IF(B27="HRC","1.5",IF(B27="HREW","1.5",IF(B27="HRFW","1.5",IF(B27="HRHW","2.0",IF(B27="HR15N","1.5",IF(B27="HR30N","1.5",IF(B27="HR45N","1.5",IF(B27="HR15TW","1.5",IF(B27="HR30TW","1.5",IF(B27="HR45TW","1.5",""))))))))))))</f>
        <v/>
      </c>
      <c r="AF27" t="str">
        <f>IF(B27="HRA","±1.0",IF(B27="HRBW","±2.5",IF(B27="HRC","±1.0",IF(B27="HREW","±1.0",IF(B27="HRFW","±1.0",IF(B27="HRHW","±1.0",IF(B27="HR15N","±1.0",IF(B27="HR30N","±1.0",IF(B27="HR45N","±1.0",IF(B27="HR15TW","±1.0",IF(B27="HR30TW","±1.0",IF(B27="HR45TW","±1.0",""))))))))))))</f>
        <v/>
      </c>
      <c r="AG27" t="str">
        <f>IF($B27="HRA",1.5,IF($B27="HRBW",1.5,IF($B27="HRC",1.5,IF($B27="HREW",1.5,IF($B27="HRFW",1.5,IF($B27="HRHW",2,IF($B27="HR15N",1.5,IF($B27="HR30N",1.5,IF($B27="HR45N",1.5,IF($B27="HR15TW",1.5,IF($B27="HR30TW",1.5,IF($B27="HR45TW",1.5,""))))))))))))</f>
        <v/>
      </c>
      <c r="AH27" t="str">
        <f>IF($B27="HRA",-1,IF($B27="HRBW",-2.5,IF($B27="HRC",-1,IF($B27="HREW",-1,IF($B27="HRFW",-1,IF($B27="HRHW",-1,IF($B27="HR15N",-1,IF($B27="HR30N",-1,IF($B27="HR45N",-1,IF($B27="HR15TW",-1,IF($B27="HR30TW",-1,IF($B27="HR45TW",-1,""))))))))))))</f>
        <v/>
      </c>
      <c r="AI27" t="str">
        <f>IF($B27="HRA",1,IF($B27="HRBW",2.5,IF($B27="HRC",1,IF($B27="HREW",1,IF($B27="HRFW",1,IF($B27="HRHW",1,IF($B27="HR15N",1,IF($B27="HR30N",1,IF($B27="HR45N",1,IF($B27="HR15TW",1,IF($B27="HR30TW",1,IF($B27="HR45TW",1,""))))))))))))</f>
        <v/>
      </c>
    </row>
    <row r="28" spans="1:35" ht="16.5" customHeight="1" x14ac:dyDescent="0.3">
      <c r="A28" s="4" t="str">
        <f>IF($B28="HRA","≥  80",IF($B28="HRBW","≥  88",IF($B28="HRC","≥ 60",IF($B28="HREW","≥ 93",IF($B28="HRFW","≥ 94",IF($B28="HRHW","no test",IF($B28="HR15N","≥ 90",IF($B28="HR30N","≥ 77",IF($B28="HR45N","≥ 66",IF($B28="HR15TW","≥ 87",IF($B28="HR30TW","≥ 70",IF($B28="HR45TW","≥ 53",""))))))))))))</f>
        <v/>
      </c>
      <c r="B28" s="14" t="str">
        <f>IF(H$14="","",H$14)</f>
        <v/>
      </c>
      <c r="C28" s="71"/>
      <c r="D28" s="131"/>
      <c r="E28" s="131"/>
      <c r="F28" s="76"/>
      <c r="G28" s="76"/>
      <c r="H28" s="101" t="str">
        <f>IF(AND(C28-C27&lt;5,C28&gt;0),"Too Close","")</f>
        <v/>
      </c>
      <c r="I28" s="102" t="str">
        <f t="shared" si="25"/>
        <v/>
      </c>
      <c r="J28" s="77"/>
      <c r="K28" s="77"/>
      <c r="L28" s="77"/>
      <c r="M28" s="77"/>
      <c r="N28" s="77"/>
      <c r="O28" s="11" t="str">
        <f t="shared" si="26"/>
        <v/>
      </c>
      <c r="P28" s="15" t="str">
        <f t="shared" si="27"/>
        <v/>
      </c>
      <c r="Q28" s="11" t="str">
        <f t="shared" si="28"/>
        <v/>
      </c>
      <c r="R28" s="13" t="str">
        <f t="shared" si="29"/>
        <v>/</v>
      </c>
      <c r="S28" s="24" t="str">
        <f t="shared" si="30"/>
        <v xml:space="preserve"> </v>
      </c>
      <c r="T28" s="24" t="str">
        <f t="shared" si="31"/>
        <v/>
      </c>
      <c r="U28" s="30" t="str">
        <f>IFERROR(ROUND((MAX((SQRT(((((STDEV(J28:N28))/SQRT(5))*2.87/2)^2)+((((VLOOKUP(B28,'MUG Table'!$P$104:$R$115,3,FALSE))+(P28*(0)))*0.5)^2))*2),(VLOOKUP(B28,'MUG Table'!$P$104:$R$115,2,FALSE))+(0*P28))),2-(1+INT(LOG10(ABS((MAX((SQRT(((((STDEV(J28:N28))/SQRT(5))*2.87/2)^2)+((((VLOOKUP(B28,'MUG Table'!$P$104:$R$115,3,FALSE))+(P28*(0)))*0.5)^2))*2),(VLOOKUP(B28,'MUG Table'!$P$104:$R$115,2,FALSE))+(0*P28)))))))),"")</f>
        <v/>
      </c>
      <c r="V28" s="30" t="str">
        <f>IFERROR(ROUND((MAX((SQRT(((((STDEV(F28:G28))/SQRT(2))*2.87/2)^2)+((((VLOOKUP(B28,'MUG Table'!$P$104:$R$115,3,FALSE))+(Z28*(0)))*0.5)^2))*2),(VLOOKUP(B28,'MUG Table'!$P$104:$R$115,2,FALSE))+(0*Z28))),2-(1+INT(LOG10(ABS((MAX((SQRT(((((STDEV(F28:G28))/SQRT(2))*2.87/2)^2)+((((VLOOKUP(B28,'MUG Table'!$P$104:$R$115,3,FALSE))+(Z28*(0)))*0.5)^2))*2),(VLOOKUP(B28,'MUG Table'!$P$104:$R$115,2,FALSE))+(0*Z28)))))))),"")</f>
        <v/>
      </c>
      <c r="W28" s="58" t="str">
        <f t="shared" si="5"/>
        <v/>
      </c>
      <c r="X28" s="30" t="str">
        <f t="shared" si="6"/>
        <v/>
      </c>
      <c r="Y28" s="58" t="str">
        <f t="shared" si="7"/>
        <v/>
      </c>
      <c r="Z28" s="58" t="str">
        <f t="shared" si="8"/>
        <v/>
      </c>
      <c r="AA28" s="23" t="str">
        <f t="shared" si="21"/>
        <v/>
      </c>
      <c r="AB28" s="3" t="str">
        <f t="shared" si="33"/>
        <v/>
      </c>
      <c r="AC28" s="23" t="str">
        <f t="shared" si="34"/>
        <v/>
      </c>
      <c r="AE28" t="str">
        <f>IF(B28="HRA","1.0",IF(B28="HRBW","1.5",IF(B28="HRC","1.0",IF(B28="HREW","1.0",IF(B28="HRFW","1.0",IF(B28="HRHW","1.5",IF(B28="HR15N","1.0",IF(B28="HR30N","1.0",IF(B28="HR45N","1.0",IF(B28="HR15TW","1.5",IF(B28="HR30TW","1.5",IF(B28="HR45TW","1.5",""))))))))))))</f>
        <v/>
      </c>
      <c r="AF28" t="str">
        <f>IF(B28="HRA","±0.5",IF(B28="HRBW","±1.0",IF(B28="HRC","±0.5",IF(B28="HREW","±1.0",IF(B28="HRFW","±1.0",IF(B28="HRHW","±1.0",IF(B28="HR15N","±0.7",IF(B28="HR30N","±0.7",IF(B28="HR45N","±0.7",IF(B28="HR15TW","±1.0",IF(B28="HR30TW","±1.0",IF(B28="HR45TW","±1.0",""))))))))))))</f>
        <v/>
      </c>
      <c r="AG28" t="str">
        <f>IF($B28="HRA",1,IF($B28="HRBW",1.5,IF($B28="HRC",1,IF($B28="HREW",1,IF($B28="HRFW",1,IF($B28="HRHW",1.5,IF($B28="HR15N",1,IF($B28="HR30N",1,IF($B28="HR45N",1,IF($B28="HR15TW",1.5,IF($B28="HR30TW",1.5,IF($B28="HR45TW",1.5,""))))))))))))</f>
        <v/>
      </c>
      <c r="AH28" t="str">
        <f>IF($B28="HRA",-0.5,IF($B28="HRBW",-1,IF($B28="HRC",-0.5,IF($B28="HREW",-1,IF($B28="HRFW",-1,IF($B28="HRHW",-1,IF($B28="HR15N",-0.7,IF($B28="HR30N",-0.7,IF($B28="HR45N",-0.7,IF($B28="HR15TW",-1,IF($B28="HR30TW",-1,IF($B28="HR45TW",-1,""))))))))))))</f>
        <v/>
      </c>
      <c r="AI28" t="str">
        <f>IF($B28="HRA",0.5,IF($B28="HRBW",1,IF($B28="HRC",0.5,IF($B28="HREW",1,IF($B28="HRFW",1,IF($B28="HRHW",1,IF($B28="HR15N",0.7,IF($B28="HR30N",0.7,IF($B28="HR45N",0.7,IF($B28="HR15TW",1,IF($B28="HR30TW",1,IF($B28="HR45TW",1,""))))))))))))</f>
        <v/>
      </c>
    </row>
    <row r="29" spans="1:35" ht="14.1" customHeight="1" x14ac:dyDescent="0.25">
      <c r="A29" s="4"/>
      <c r="B29" s="126" t="str">
        <f>IF(H$14="HRA",B66,IF(H$14="HRBW",C66,IF(H$14="HRC",D66,IF(H$14="HREW",E66,IF(H$14="HRFW",F66,IF(H$14="HRHW",G66,IF(H$14="HR15N",H66,IF(H$14="HR30N",I66,IF(H$14="HR45N",J66,IF(H$14="HR15TW",K66,IF(H$14="HR30TW",L66,IF(H$14="HR45TW",M66,""))))))))))))</f>
        <v/>
      </c>
      <c r="C29" s="127"/>
      <c r="D29" s="129"/>
      <c r="E29" s="129"/>
      <c r="F29" s="3"/>
      <c r="G29" s="3"/>
      <c r="H29" s="74"/>
      <c r="I29" s="102"/>
      <c r="J29" s="11"/>
      <c r="K29" s="11"/>
      <c r="L29" s="9"/>
      <c r="M29" s="9"/>
      <c r="N29" s="11"/>
      <c r="O29" s="12"/>
      <c r="P29" s="12"/>
      <c r="Q29" s="12"/>
      <c r="R29" s="12"/>
      <c r="S29" s="3"/>
      <c r="T29" s="3"/>
      <c r="U29" s="29"/>
      <c r="V29" s="29"/>
      <c r="W29" s="58" t="str">
        <f t="shared" si="5"/>
        <v/>
      </c>
      <c r="X29" s="30" t="str">
        <f t="shared" si="6"/>
        <v/>
      </c>
      <c r="Y29" s="58" t="str">
        <f t="shared" si="7"/>
        <v/>
      </c>
      <c r="Z29" s="58" t="str">
        <f t="shared" si="8"/>
        <v/>
      </c>
      <c r="AA29" s="23"/>
      <c r="AB29" s="3" t="str">
        <f t="shared" si="12"/>
        <v/>
      </c>
      <c r="AC29" s="23" t="str">
        <f t="shared" si="13"/>
        <v/>
      </c>
    </row>
    <row r="30" spans="1:35" ht="16.5" customHeight="1" x14ac:dyDescent="0.3">
      <c r="A30" s="4" t="str">
        <f>IF($B30="HRA","&lt; 70",IF($B30="HRBW","&lt; 60",IF($B30="HRC","&lt; 35",IF($B30="HREW","&lt; 84",IF($B30="HRFW","&lt; 80",IF($B30="HRHW","&lt; 96",IF($B30="HR15N","&lt; 78",IF($B30="HR30N","&lt; 55",IF($B30="HR45N","&lt; 37",IF($B30="HR15TW","&lt; 81",IF($B30="HR30TW","&lt; 57",IF($B30="HR45TW","&lt; 33",""))))))))))))</f>
        <v/>
      </c>
      <c r="B30" s="14" t="str">
        <f>IF(I$14="","",I$14)</f>
        <v/>
      </c>
      <c r="C30" s="71"/>
      <c r="D30" s="131"/>
      <c r="E30" s="131"/>
      <c r="F30" s="76"/>
      <c r="G30" s="76"/>
      <c r="H30" s="101"/>
      <c r="I30" s="102" t="str">
        <f t="shared" ref="I30:I32" si="35">IFERROR(IF(AA30&lt;AH30,"AF ERROR",IF(AA30&gt;AI30,"AF ERROR",IF(Y30&gt;AG30,"AF REPEAT",""))),"")</f>
        <v/>
      </c>
      <c r="J30" s="77"/>
      <c r="K30" s="77"/>
      <c r="L30" s="77"/>
      <c r="M30" s="77"/>
      <c r="N30" s="77"/>
      <c r="O30" s="11" t="str">
        <f t="shared" ref="O30:O32" si="36">IFERROR(IF(B30="","",AB30-AC30),"")</f>
        <v/>
      </c>
      <c r="P30" s="15" t="str">
        <f t="shared" ref="P30:P32" si="37">IFERROR(IF(B30="","",AVERAGE(J30:N30)),"")</f>
        <v/>
      </c>
      <c r="Q30" s="11" t="str">
        <f t="shared" ref="Q30:Q32" si="38">IFERROR(IF(B30="","",P30-C30),"")</f>
        <v/>
      </c>
      <c r="R30" s="13" t="str">
        <f t="shared" ref="R30:R32" si="39">CONCATENATE(AE30,"/",AF30)</f>
        <v>/</v>
      </c>
      <c r="S30" s="79" t="str">
        <f t="shared" ref="S30:S32" si="40">IF(O30&gt;AG30,"OOT REPEATABILITY"," ")</f>
        <v xml:space="preserve"> </v>
      </c>
      <c r="T30" s="79" t="str">
        <f t="shared" ref="T30:T32" si="41">IF(Q30&lt;AH30,"OOT ERROR",IF(Q30&gt;AI30,"OOT ERROR",""))</f>
        <v/>
      </c>
      <c r="U30" s="30" t="str">
        <f>IFERROR(ROUND((MAX((SQRT(((((STDEV(J30:N30))/SQRT(5))*2.87/2)^2)+((((VLOOKUP(B30,'MUG Table'!$P$104:$R$115,3,FALSE))+(P30*(0)))*0.5)^2))*2),(VLOOKUP(B30,'MUG Table'!$P$104:$R$115,2,FALSE))+(0*P30))),2-(1+INT(LOG10(ABS((MAX((SQRT(((((STDEV(J30:N30))/SQRT(5))*2.87/2)^2)+((((VLOOKUP(B30,'MUG Table'!$P$104:$R$115,3,FALSE))+(P30*(0)))*0.5)^2))*2),(VLOOKUP(B30,'MUG Table'!$P$104:$R$115,2,FALSE))+(0*P30)))))))),"")</f>
        <v/>
      </c>
      <c r="V30" s="30" t="str">
        <f>IFERROR(ROUND((MAX((SQRT(((((STDEV(F30:G30))/SQRT(2))*2.87/2)^2)+((((VLOOKUP(B30,'MUG Table'!$P$104:$R$115,3,FALSE))+(Z30*(0)))*0.5)^2))*2),(VLOOKUP(B30,'MUG Table'!$P$104:$R$115,2,FALSE))+(0*Z30))),2-(1+INT(LOG10(ABS((MAX((SQRT(((((STDEV(F30:G30))/SQRT(2))*2.87/2)^2)+((((VLOOKUP(B30,'MUG Table'!$P$104:$R$115,3,FALSE))+(Z30*(0)))*0.5)^2))*2),(VLOOKUP(B30,'MUG Table'!$P$104:$R$115,2,FALSE))+(0*Z30)))))))),"")</f>
        <v/>
      </c>
      <c r="W30" s="58" t="str">
        <f t="shared" si="5"/>
        <v/>
      </c>
      <c r="X30" s="30" t="str">
        <f t="shared" si="6"/>
        <v/>
      </c>
      <c r="Y30" s="58" t="str">
        <f t="shared" si="7"/>
        <v/>
      </c>
      <c r="Z30" s="58" t="str">
        <f t="shared" si="8"/>
        <v/>
      </c>
      <c r="AA30" s="23" t="str">
        <f t="shared" ref="AA30" si="42">IFERROR(Z30-C30,"")</f>
        <v/>
      </c>
      <c r="AB30" s="3" t="str">
        <f>IF(J30&gt;0,MAX(J30:N30),"")</f>
        <v/>
      </c>
      <c r="AC30" s="23" t="str">
        <f>IF(J30&gt;0,MIN(J30:N30),"")</f>
        <v/>
      </c>
      <c r="AE30" t="str">
        <f>IF(B30="HRA","2.0",IF(B30="HRBW","2.0",IF(B30="HRC","2.0",IF(B30="HREW","1.5",IF(B30="HRFW","1.5",IF(B30="HRHW","2.0",IF(B30="HR15N","2.0",IF(B30="HR30N","2.0",IF(B30="HR45N","2.0",IF(B30="HR15TW","2.0",IF(B30="HR30TW","2.0",IF(B30="HR45TW","2.0",""))))))))))))</f>
        <v/>
      </c>
      <c r="AF30" t="str">
        <f>IF($B30="HRA","±1.0",IF($B30="HRBW","±2.5",IF($B30="HRC","±1.0",IF($B30="HREW","±1.0",IF($B30="HRFW","±1.0",IF($B30="HRHW","±1.0",IF($B30="HR15N","±1.0",IF($B30="HR30N","±1.0",IF($B30="HR45N","±1.0",IF($B30="HR15TW","±1.5",IF($B30="HR30TW","±1.5",IF($B30="HR45TW","±1.5",""))))))))))))</f>
        <v/>
      </c>
      <c r="AG30" t="str">
        <f>IF($B30="HRA",2,IF($B30="HRBW",2,IF($B30="HRC",2,IF($B30="HREW",1.5,IF($B30="HRFW",1.5,IF($B30="HRHW",2,IF($B30="HR15N",2,IF($B30="HR30N",2,IF($B30="HR45N",2,IF($B30="HR15TW",2,IF($B30="HR30TW",2,IF($B30="HR45TW",2,""))))))))))))</f>
        <v/>
      </c>
      <c r="AH30" t="str">
        <f>IF($B30="HRA",-1,IF($B30="HRBW",-2.5,IF($B30="HRC",-1,IF($B30="HREW",-1,IF($B30="HRFW",-1,IF($B30="HRHW",-1,IF($B30="HR15N",-1,IF($B30="HR30N",-1,IF($B30="HR45N",-1,IF($B30="HR15TW",-1.5,IF($B30="HR30TW",-1.5,IF($B30="HR45TW",-1.5,""))))))))))))</f>
        <v/>
      </c>
      <c r="AI30" t="str">
        <f>IF($B30="HRA",1,IF($B30="HRBW",2.5,IF($B30="HRC",1,IF($B30="HREW",1,IF($B30="HRFW",1,IF($B30="HRHW",1,IF($B30="HR15N",1,IF($B30="HR30N",1,IF($B30="HR45N",1,IF($B30="HR15TW",1.5,IF($B30="HR30TW",1.5,IF($B30="HR45TW",1.5,""))))))))))))</f>
        <v/>
      </c>
    </row>
    <row r="31" spans="1:35" ht="16.5" customHeight="1" x14ac:dyDescent="0.3">
      <c r="A31" s="4" t="str">
        <f>IF($B31="HRA","≥ 70 and &lt; 80",IF($B31="HRBW","≥ 60 and &lt; 88",IF($B31="HRC","≥ 35 and &lt; 60",IF($B31="HREW","≥ 84 and &lt; 93",IF($B31="HRFW","≥ 80 and &lt; 94",IF($B31="HRHW","≥ 96",IF($B31="HR15N","≥ 78 and &lt; 90",IF($B31="HR30N","≥ 55 and &lt; 77",IF($B31="HR45N","≥ 37 and &lt; 66",IF($B31="HR15TW","≥ 81 and &lt; 87",IF($B31="HR30TW","≥ 57 and &lt; 70",IF($B31="HR45TW","≥ 33 and &lt; 53",""))))))))))))</f>
        <v/>
      </c>
      <c r="B31" s="14" t="str">
        <f>IF(I$14="","",I$14)</f>
        <v/>
      </c>
      <c r="C31" s="71"/>
      <c r="D31" s="131"/>
      <c r="E31" s="131"/>
      <c r="F31" s="76"/>
      <c r="G31" s="76"/>
      <c r="H31" s="101" t="str">
        <f>IF(AND(C31-C30&lt;5,C31&gt;0),"Too Close","")</f>
        <v/>
      </c>
      <c r="I31" s="102" t="str">
        <f t="shared" si="35"/>
        <v/>
      </c>
      <c r="J31" s="77"/>
      <c r="K31" s="77"/>
      <c r="L31" s="77"/>
      <c r="M31" s="77"/>
      <c r="N31" s="77"/>
      <c r="O31" s="11" t="str">
        <f t="shared" si="36"/>
        <v/>
      </c>
      <c r="P31" s="15" t="str">
        <f t="shared" si="37"/>
        <v/>
      </c>
      <c r="Q31" s="11" t="str">
        <f t="shared" si="38"/>
        <v/>
      </c>
      <c r="R31" s="13" t="str">
        <f t="shared" si="39"/>
        <v>/</v>
      </c>
      <c r="S31" s="24" t="str">
        <f t="shared" si="40"/>
        <v xml:space="preserve"> </v>
      </c>
      <c r="T31" s="24" t="str">
        <f t="shared" si="41"/>
        <v/>
      </c>
      <c r="U31" s="30" t="str">
        <f>IFERROR(ROUND((MAX((SQRT(((((STDEV(J31:N31))/SQRT(5))*2.87/2)^2)+((((VLOOKUP(B31,'MUG Table'!$P$104:$R$115,3,FALSE))+(P31*(0)))*0.5)^2))*2),(VLOOKUP(B31,'MUG Table'!$P$104:$R$115,2,FALSE))+(0*P31))),2-(1+INT(LOG10(ABS((MAX((SQRT(((((STDEV(J31:N31))/SQRT(5))*2.87/2)^2)+((((VLOOKUP(B31,'MUG Table'!$P$104:$R$115,3,FALSE))+(P31*(0)))*0.5)^2))*2),(VLOOKUP(B31,'MUG Table'!$P$104:$R$115,2,FALSE))+(0*P31)))))))),"")</f>
        <v/>
      </c>
      <c r="V31" s="30" t="str">
        <f>IFERROR(ROUND((MAX((SQRT(((((STDEV(F31:G31))/SQRT(2))*2.87/2)^2)+((((VLOOKUP(B31,'MUG Table'!$P$104:$R$115,3,FALSE))+(Z31*(0)))*0.5)^2))*2),(VLOOKUP(B31,'MUG Table'!$P$104:$R$115,2,FALSE))+(0*Z31))),2-(1+INT(LOG10(ABS((MAX((SQRT(((((STDEV(F31:G31))/SQRT(2))*2.87/2)^2)+((((VLOOKUP(B31,'MUG Table'!$P$104:$R$115,3,FALSE))+(Z31*(0)))*0.5)^2))*2),(VLOOKUP(B31,'MUG Table'!$P$104:$R$115,2,FALSE))+(0*Z31)))))))),"")</f>
        <v/>
      </c>
      <c r="W31" s="58" t="str">
        <f t="shared" si="5"/>
        <v/>
      </c>
      <c r="X31" s="30" t="str">
        <f t="shared" si="6"/>
        <v/>
      </c>
      <c r="Y31" s="58" t="str">
        <f t="shared" si="7"/>
        <v/>
      </c>
      <c r="Z31" s="58" t="str">
        <f t="shared" si="8"/>
        <v/>
      </c>
      <c r="AA31" s="23" t="str">
        <f t="shared" si="21"/>
        <v/>
      </c>
      <c r="AB31" s="3" t="str">
        <f t="shared" ref="AB31:AB32" si="43">IF(J31&gt;0,MAX(J31:N31),"")</f>
        <v/>
      </c>
      <c r="AC31" s="23" t="str">
        <f t="shared" ref="AC31:AC32" si="44">IF(J31&gt;0,MIN(J31:N31),"")</f>
        <v/>
      </c>
      <c r="AE31" t="str">
        <f>IF(B31="HRA","1.5",IF(B31="HRBW","1.5",IF(B31="HRC","1.5",IF(B31="HREW","1.5",IF(B31="HRFW","1.5",IF(B31="HRHW","2.0",IF(B31="HR15N","1.5",IF(B31="HR30N","1.5",IF(B31="HR45N","1.5",IF(B31="HR15TW","1.5",IF(B31="HR30TW","1.5",IF(B31="HR45TW","1.5",""))))))))))))</f>
        <v/>
      </c>
      <c r="AF31" t="str">
        <f>IF(B31="HRA","±1.0",IF(B31="HRBW","±2.5",IF(B31="HRC","±1.0",IF(B31="HREW","±1.0",IF(B31="HRFW","±1.0",IF(B31="HRHW","±1.0",IF(B31="HR15N","±1.0",IF(B31="HR30N","±1.0",IF(B31="HR45N","±1.0",IF(B31="HR15TW","±1.0",IF(B31="HR30TW","±1.0",IF(B31="HR45TW","±1.0",""))))))))))))</f>
        <v/>
      </c>
      <c r="AG31" t="str">
        <f>IF($B31="HRA",1.5,IF($B31="HRBW",1.5,IF($B31="HRC",1.5,IF($B31="HREW",1.5,IF($B31="HRFW",1.5,IF($B31="HRHW",2,IF($B31="HR15N",1.5,IF($B31="HR30N",1.5,IF($B31="HR45N",1.5,IF($B31="HR15TW",1.5,IF($B31="HR30TW",1.5,IF($B31="HR45TW",1.5,""))))))))))))</f>
        <v/>
      </c>
      <c r="AH31" t="str">
        <f>IF($B31="HRA",-1,IF($B31="HRBW",-2.5,IF($B31="HRC",-1,IF($B31="HREW",-1,IF($B31="HRFW",-1,IF($B31="HRHW",-1,IF($B31="HR15N",-1,IF($B31="HR30N",-1,IF($B31="HR45N",-1,IF($B31="HR15TW",-1,IF($B31="HR30TW",-1,IF($B31="HR45TW",-1,""))))))))))))</f>
        <v/>
      </c>
      <c r="AI31" t="str">
        <f>IF($B31="HRA",1,IF($B31="HRBW",2.5,IF($B31="HRC",1,IF($B31="HREW",1,IF($B31="HRFW",1,IF($B31="HRHW",1,IF($B31="HR15N",1,IF($B31="HR30N",1,IF($B31="HR45N",1,IF($B31="HR15TW",1,IF($B31="HR30TW",1,IF($B31="HR45TW",1,""))))))))))))</f>
        <v/>
      </c>
    </row>
    <row r="32" spans="1:35" ht="16.5" customHeight="1" x14ac:dyDescent="0.3">
      <c r="A32" s="4" t="str">
        <f>IF($B32="HRA","≥  80",IF($B32="HRBW","≥  88",IF($B32="HRC","≥ 60",IF($B32="HREW","≥ 93",IF($B32="HRFW","≥ 94",IF($B32="HRHW","no test",IF($B32="HR15N","≥ 90",IF($B32="HR30N","≥ 77",IF($B32="HR45N","≥ 66",IF($B32="HR15TW","≥ 87",IF($B32="HR30TW","≥ 70",IF($B32="HR45TW","≥ 53",""))))))))))))</f>
        <v/>
      </c>
      <c r="B32" s="14" t="str">
        <f>IF(I$14="","",I$14)</f>
        <v/>
      </c>
      <c r="C32" s="71"/>
      <c r="D32" s="131"/>
      <c r="E32" s="131"/>
      <c r="F32" s="76"/>
      <c r="G32" s="76"/>
      <c r="H32" s="101" t="str">
        <f>IF(AND(C32-C31&lt;5,C32&gt;0),"Too Close","")</f>
        <v/>
      </c>
      <c r="I32" s="102" t="str">
        <f t="shared" si="35"/>
        <v/>
      </c>
      <c r="J32" s="77"/>
      <c r="K32" s="77"/>
      <c r="L32" s="77"/>
      <c r="M32" s="77"/>
      <c r="N32" s="77"/>
      <c r="O32" s="11" t="str">
        <f t="shared" si="36"/>
        <v/>
      </c>
      <c r="P32" s="15" t="str">
        <f t="shared" si="37"/>
        <v/>
      </c>
      <c r="Q32" s="11" t="str">
        <f t="shared" si="38"/>
        <v/>
      </c>
      <c r="R32" s="13" t="str">
        <f t="shared" si="39"/>
        <v>/</v>
      </c>
      <c r="S32" s="24" t="str">
        <f t="shared" si="40"/>
        <v xml:space="preserve"> </v>
      </c>
      <c r="T32" s="24" t="str">
        <f t="shared" si="41"/>
        <v/>
      </c>
      <c r="U32" s="30" t="str">
        <f>IFERROR(ROUND((MAX((SQRT(((((STDEV(J32:N32))/SQRT(5))*2.87/2)^2)+((((VLOOKUP(B32,'MUG Table'!$P$104:$R$115,3,FALSE))+(P32*(0)))*0.5)^2))*2),(VLOOKUP(B32,'MUG Table'!$P$104:$R$115,2,FALSE))+(0*P32))),2-(1+INT(LOG10(ABS((MAX((SQRT(((((STDEV(J32:N32))/SQRT(5))*2.87/2)^2)+((((VLOOKUP(B32,'MUG Table'!$P$104:$R$115,3,FALSE))+(P32*(0)))*0.5)^2))*2),(VLOOKUP(B32,'MUG Table'!$P$104:$R$115,2,FALSE))+(0*P32)))))))),"")</f>
        <v/>
      </c>
      <c r="V32" s="30" t="str">
        <f>IFERROR(ROUND((MAX((SQRT(((((STDEV(F32:G32))/SQRT(2))*2.87/2)^2)+((((VLOOKUP(B32,'MUG Table'!$P$104:$R$115,3,FALSE))+(Z32*(0)))*0.5)^2))*2),(VLOOKUP(B32,'MUG Table'!$P$104:$R$115,2,FALSE))+(0*Z32))),2-(1+INT(LOG10(ABS((MAX((SQRT(((((STDEV(F32:G32))/SQRT(2))*2.87/2)^2)+((((VLOOKUP(B32,'MUG Table'!$P$104:$R$115,3,FALSE))+(Z32*(0)))*0.5)^2))*2),(VLOOKUP(B32,'MUG Table'!$P$104:$R$115,2,FALSE))+(0*Z32)))))))),"")</f>
        <v/>
      </c>
      <c r="W32" s="58" t="str">
        <f t="shared" si="5"/>
        <v/>
      </c>
      <c r="X32" s="30" t="str">
        <f t="shared" si="6"/>
        <v/>
      </c>
      <c r="Y32" s="58" t="str">
        <f t="shared" si="7"/>
        <v/>
      </c>
      <c r="Z32" s="58" t="str">
        <f t="shared" si="8"/>
        <v/>
      </c>
      <c r="AA32" s="23" t="str">
        <f t="shared" si="21"/>
        <v/>
      </c>
      <c r="AB32" s="3" t="str">
        <f t="shared" si="43"/>
        <v/>
      </c>
      <c r="AC32" s="23" t="str">
        <f t="shared" si="44"/>
        <v/>
      </c>
      <c r="AE32" t="str">
        <f>IF(B32="HRA","1.0",IF(B32="HRBW","1.5",IF(B32="HRC","1.0",IF(B32="HREW","1.0",IF(B32="HRFW","1.0",IF(B32="HRHW","1.5",IF(B32="HR15N","1.0",IF(B32="HR30N","1.0",IF(B32="HR45N","1.0",IF(B32="HR15TW","1.5",IF(B32="HR30TW","1.5",IF(B32="HR45TW","1.5",""))))))))))))</f>
        <v/>
      </c>
      <c r="AF32" t="str">
        <f>IF(B32="HRA","±0.5",IF(B32="HRBW","±1.0",IF(B32="HRC","±0.5",IF(B32="HREW","±1.0",IF(B32="HRFW","±1.0",IF(B32="HRHW","±1.0",IF(B32="HR15N","±0.7",IF(B32="HR30N","±0.7",IF(B32="HR45N","±0.7",IF(B32="HR15TW","±1.0",IF(B32="HR30TW","±1.0",IF(B32="HR45TW","±1.0",""))))))))))))</f>
        <v/>
      </c>
      <c r="AG32" t="str">
        <f>IF($B32="HRA",1,IF($B32="HRBW",1.5,IF($B32="HRC",1,IF($B32="HREW",1,IF($B32="HRFW",1,IF($B32="HRHW",1.5,IF($B32="HR15N",1,IF($B32="HR30N",1,IF($B32="HR45N",1,IF($B32="HR15TW",1.5,IF($B32="HR30TW",1.5,IF($B32="HR45TW",1.5,""))))))))))))</f>
        <v/>
      </c>
      <c r="AH32" t="str">
        <f>IF($B32="HRA",-0.5,IF($B32="HRBW",-1,IF($B32="HRC",-0.5,IF($B32="HREW",-1,IF($B32="HRFW",-1,IF($B32="HRHW",-1,IF($B32="HR15N",-0.7,IF($B32="HR30N",-0.7,IF($B32="HR45N",-0.7,IF($B32="HR15TW",-1,IF($B32="HR30TW",-1,IF($B32="HR45TW",-1,""))))))))))))</f>
        <v/>
      </c>
      <c r="AI32" t="str">
        <f>IF($B32="HRA",0.5,IF($B32="HRBW",1,IF($B32="HRC",0.5,IF($B32="HREW",1,IF($B32="HRFW",1,IF($B32="HRHW",1,IF($B32="HR15N",0.7,IF($B32="HR30N",0.7,IF($B32="HR45N",0.7,IF($B32="HR15TW",1,IF($B32="HR30TW",1,IF($B32="HR45TW",1,""))))))))))))</f>
        <v/>
      </c>
    </row>
    <row r="33" spans="1:35" ht="14.1" customHeight="1" x14ac:dyDescent="0.25">
      <c r="A33" s="4"/>
      <c r="B33" s="126" t="str">
        <f>IF(I$14="HRA",B72,IF(I$14="HRBW",C72,IF(I$14="HRC",D72,IF(I$14="HREW",E72,IF(I$14="HRFW",F72,IF(I$14="HRHW",G72,IF(I$14="HR15N",H72,IF(I$14="HR30N",I72,IF(I$14="HR45N",J72,IF(I$14="HR15TW",K72,IF(I$14="HR30TW",L72,IF(I$14="HR45TW",M72,""))))))))))))</f>
        <v/>
      </c>
      <c r="C33" s="127"/>
      <c r="D33" s="129"/>
      <c r="E33" s="129"/>
      <c r="F33" s="3"/>
      <c r="G33" s="3"/>
      <c r="H33" s="74"/>
      <c r="I33" s="102"/>
      <c r="J33" s="11"/>
      <c r="K33" s="11"/>
      <c r="L33" s="9"/>
      <c r="M33" s="9"/>
      <c r="N33" s="11"/>
      <c r="O33" s="12"/>
      <c r="P33" s="12"/>
      <c r="Q33" s="12"/>
      <c r="R33" s="12"/>
      <c r="S33" s="3"/>
      <c r="T33" s="3"/>
      <c r="U33" s="29"/>
      <c r="V33" s="29"/>
      <c r="W33" s="58" t="str">
        <f t="shared" si="5"/>
        <v/>
      </c>
      <c r="X33" s="30" t="str">
        <f t="shared" si="6"/>
        <v/>
      </c>
      <c r="Y33" s="58" t="str">
        <f t="shared" si="7"/>
        <v/>
      </c>
      <c r="Z33" s="58" t="str">
        <f t="shared" si="8"/>
        <v/>
      </c>
      <c r="AA33" s="23"/>
      <c r="AB33" s="3" t="str">
        <f t="shared" si="12"/>
        <v/>
      </c>
      <c r="AC33" s="23" t="str">
        <f t="shared" si="13"/>
        <v/>
      </c>
    </row>
    <row r="34" spans="1:35" ht="16.5" customHeight="1" x14ac:dyDescent="0.3">
      <c r="A34" s="4" t="str">
        <f>IF($B34="HRA","&lt; 70",IF($B34="HRBW","&lt; 60",IF($B34="HRC","&lt; 35",IF($B34="HREW","&lt; 84",IF($B34="HRFW","&lt; 80",IF($B34="HRHW","&lt; 96",IF($B34="HR15N","&lt; 78",IF($B34="HR30N","&lt; 55",IF($B34="HR45N","&lt; 37",IF($B34="HR15TW","&lt; 81",IF($B34="HR30TW","&lt; 57",IF($B34="HR45TW","&lt; 33",""))))))))))))</f>
        <v/>
      </c>
      <c r="B34" s="14" t="str">
        <f>IF(J$14="","",J$14)</f>
        <v/>
      </c>
      <c r="C34" s="71"/>
      <c r="D34" s="131"/>
      <c r="E34" s="131"/>
      <c r="F34" s="76"/>
      <c r="G34" s="76"/>
      <c r="H34" s="101"/>
      <c r="I34" s="102" t="str">
        <f t="shared" ref="I34:I36" si="45">IFERROR(IF(AA34&lt;AH34,"AF ERROR",IF(AA34&gt;AI34,"AF ERROR",IF(Y34&gt;AG34,"AF REPEAT",""))),"")</f>
        <v/>
      </c>
      <c r="J34" s="77"/>
      <c r="K34" s="77"/>
      <c r="L34" s="77"/>
      <c r="M34" s="77"/>
      <c r="N34" s="77"/>
      <c r="O34" s="11" t="str">
        <f t="shared" ref="O34:O36" si="46">IFERROR(IF(B34="","",AB34-AC34),"")</f>
        <v/>
      </c>
      <c r="P34" s="15" t="str">
        <f t="shared" ref="P34:P36" si="47">IFERROR(IF(B34="","",AVERAGE(J34:N34)),"")</f>
        <v/>
      </c>
      <c r="Q34" s="11" t="str">
        <f t="shared" ref="Q34:Q36" si="48">IFERROR(IF(B34="","",P34-C34),"")</f>
        <v/>
      </c>
      <c r="R34" s="13" t="str">
        <f t="shared" ref="R34:R36" si="49">CONCATENATE(AE34,"/",AF34)</f>
        <v>/</v>
      </c>
      <c r="S34" s="79" t="str">
        <f t="shared" ref="S34:S36" si="50">IF(O34&gt;AG34,"OOT REPEATABILITY"," ")</f>
        <v xml:space="preserve"> </v>
      </c>
      <c r="T34" s="79" t="str">
        <f t="shared" ref="T34:T36" si="51">IF(Q34&lt;AH34,"OOT ERROR",IF(Q34&gt;AI34,"OOT ERROR",""))</f>
        <v/>
      </c>
      <c r="U34" s="30" t="str">
        <f>IFERROR(ROUND((MAX((SQRT(((((STDEV(J34:N34))/SQRT(5))*2.87/2)^2)+((((VLOOKUP(B34,'MUG Table'!$P$104:$R$115,3,FALSE))+(P34*(0)))*0.5)^2))*2),(VLOOKUP(B34,'MUG Table'!$P$104:$R$115,2,FALSE))+(0*P34))),2-(1+INT(LOG10(ABS((MAX((SQRT(((((STDEV(J34:N34))/SQRT(5))*2.87/2)^2)+((((VLOOKUP(B34,'MUG Table'!$P$104:$R$115,3,FALSE))+(P34*(0)))*0.5)^2))*2),(VLOOKUP(B34,'MUG Table'!$P$104:$R$115,2,FALSE))+(0*P34)))))))),"")</f>
        <v/>
      </c>
      <c r="V34" s="30" t="str">
        <f>IFERROR(ROUND((MAX((SQRT(((((STDEV(F34:G34))/SQRT(2))*2.87/2)^2)+((((VLOOKUP(B34,'MUG Table'!$P$104:$R$115,3,FALSE))+(Z34*(0)))*0.5)^2))*2),(VLOOKUP(B34,'MUG Table'!$P$104:$R$115,2,FALSE))+(0*Z34))),2-(1+INT(LOG10(ABS((MAX((SQRT(((((STDEV(F34:G34))/SQRT(2))*2.87/2)^2)+((((VLOOKUP(B34,'MUG Table'!$P$104:$R$115,3,FALSE))+(Z34*(0)))*0.5)^2))*2),(VLOOKUP(B34,'MUG Table'!$P$104:$R$115,2,FALSE))+(0*Z34)))))))),"")</f>
        <v/>
      </c>
      <c r="W34" s="58" t="str">
        <f t="shared" si="5"/>
        <v/>
      </c>
      <c r="X34" s="30" t="str">
        <f t="shared" si="6"/>
        <v/>
      </c>
      <c r="Y34" s="58" t="str">
        <f t="shared" si="7"/>
        <v/>
      </c>
      <c r="Z34" s="58" t="str">
        <f t="shared" si="8"/>
        <v/>
      </c>
      <c r="AA34" s="23" t="str">
        <f t="shared" ref="AA34" si="52">IFERROR(Z34-C34,"")</f>
        <v/>
      </c>
      <c r="AB34" s="3" t="str">
        <f>IF(J34&gt;0,MAX(J34:N34),"")</f>
        <v/>
      </c>
      <c r="AC34" s="23" t="str">
        <f>IF(J34&gt;0,MIN(J34:N34),"")</f>
        <v/>
      </c>
      <c r="AE34" t="str">
        <f>IF(B34="HRA","2.0",IF(B34="HRBW","2.0",IF(B34="HRC","2.0",IF(B34="HREW","1.5",IF(B34="HRFW","1.5",IF(B34="HRHW","2.0",IF(B34="HR15N","2.0",IF(B34="HR30N","2.0",IF(B34="HR45N","2.0",IF(B34="HR15TW","2.0",IF(B34="HR30TW","2.0",IF(B34="HR45TW","2.0",""))))))))))))</f>
        <v/>
      </c>
      <c r="AF34" t="str">
        <f>IF($B34="HRA","±1.0",IF($B34="HRBW","±2.5",IF($B34="HRC","±1.0",IF($B34="HREW","±1.0",IF($B34="HRFW","±1.0",IF($B34="HRHW","±1.0",IF($B34="HR15N","±1.0",IF($B34="HR30N","±1.0",IF($B34="HR45N","±1.0",IF($B34="HR15TW","±1.5",IF($B34="HR30TW","±1.5",IF($B34="HR45TW","±1.5",""))))))))))))</f>
        <v/>
      </c>
      <c r="AG34" t="str">
        <f>IF($B34="HRA",2,IF($B34="HRBW",2,IF($B34="HRC",2,IF($B34="HREW",1.5,IF($B34="HRFW",1.5,IF($B34="HRHW",2,IF($B34="HR15N",2,IF($B34="HR30N",2,IF($B34="HR45N",2,IF($B34="HR15TW",2,IF($B34="HR30TW",2,IF($B34="HR45TW",2,""))))))))))))</f>
        <v/>
      </c>
      <c r="AH34" t="str">
        <f>IF($B34="HRA",-1,IF($B34="HRBW",-2.5,IF($B34="HRC",-1,IF($B34="HREW",-1,IF($B34="HRFW",-1,IF($B34="HRHW",-1,IF($B34="HR15N",-1,IF($B34="HR30N",-1,IF($B34="HR45N",-1,IF($B34="HR15TW",-1.5,IF($B34="HR30TW",-1.5,IF($B34="HR45TW",-1.5,""))))))))))))</f>
        <v/>
      </c>
      <c r="AI34" t="str">
        <f>IF($B34="HRA",1,IF($B34="HRBW",2.5,IF($B34="HRC",1,IF($B34="HREW",1,IF($B34="HRFW",1,IF($B34="HRHW",1,IF($B34="HR15N",1,IF($B34="HR30N",1,IF($B34="HR45N",1,IF($B34="HR15TW",1.5,IF($B34="HR30TW",1.5,IF($B34="HR45TW",1.5,""))))))))))))</f>
        <v/>
      </c>
    </row>
    <row r="35" spans="1:35" ht="16.5" customHeight="1" x14ac:dyDescent="0.3">
      <c r="A35" s="4" t="str">
        <f>IF($B35="HRA","≥ 70 and &lt; 80",IF($B35="HRBW","≥ 60 and &lt; 88",IF($B35="HRC","≥ 35 and &lt; 60",IF($B35="HREW","≥ 84 and &lt; 93",IF($B35="HRFW","≥ 80 and &lt; 94",IF($B35="HRHW","≥ 96",IF($B35="HR15N","≥ 78 and &lt; 90",IF($B35="HR30N","≥ 55 and &lt; 77",IF($B35="HR45N","≥ 37 and &lt; 66",IF($B35="HR15TW","≥ 81 and &lt; 87",IF($B35="HR30TW","≥ 57 and &lt; 70",IF($B35="HR45TW","≥ 33 and &lt; 53",""))))))))))))</f>
        <v/>
      </c>
      <c r="B35" s="14" t="str">
        <f t="shared" ref="B35:B36" si="53">IF(J$14="","",J$14)</f>
        <v/>
      </c>
      <c r="C35" s="71"/>
      <c r="D35" s="131"/>
      <c r="E35" s="131"/>
      <c r="F35" s="76"/>
      <c r="G35" s="76"/>
      <c r="H35" s="101" t="str">
        <f>IF(AND(C35-C34&lt;5,C35&gt;0),"Too Close","")</f>
        <v/>
      </c>
      <c r="I35" s="102" t="str">
        <f t="shared" si="45"/>
        <v/>
      </c>
      <c r="J35" s="77"/>
      <c r="K35" s="77"/>
      <c r="L35" s="77"/>
      <c r="M35" s="77"/>
      <c r="N35" s="77"/>
      <c r="O35" s="11" t="str">
        <f t="shared" si="46"/>
        <v/>
      </c>
      <c r="P35" s="15" t="str">
        <f t="shared" si="47"/>
        <v/>
      </c>
      <c r="Q35" s="11" t="str">
        <f t="shared" si="48"/>
        <v/>
      </c>
      <c r="R35" s="13" t="str">
        <f t="shared" si="49"/>
        <v>/</v>
      </c>
      <c r="S35" s="24" t="str">
        <f t="shared" si="50"/>
        <v xml:space="preserve"> </v>
      </c>
      <c r="T35" s="24" t="str">
        <f t="shared" si="51"/>
        <v/>
      </c>
      <c r="U35" s="30" t="str">
        <f>IFERROR(ROUND((MAX((SQRT(((((STDEV(J35:N35))/SQRT(5))*2.87/2)^2)+((((VLOOKUP(B35,'MUG Table'!$P$104:$R$115,3,FALSE))+(P35*(0)))*0.5)^2))*2),(VLOOKUP(B35,'MUG Table'!$P$104:$R$115,2,FALSE))+(0*P35))),2-(1+INT(LOG10(ABS((MAX((SQRT(((((STDEV(J35:N35))/SQRT(5))*2.87/2)^2)+((((VLOOKUP(B35,'MUG Table'!$P$104:$R$115,3,FALSE))+(P35*(0)))*0.5)^2))*2),(VLOOKUP(B35,'MUG Table'!$P$104:$R$115,2,FALSE))+(0*P35)))))))),"")</f>
        <v/>
      </c>
      <c r="V35" s="30" t="str">
        <f>IFERROR(ROUND((MAX((SQRT(((((STDEV(F35:G35))/SQRT(2))*2.87/2)^2)+((((VLOOKUP(B35,'MUG Table'!$P$104:$R$115,3,FALSE))+(Z35*(0)))*0.5)^2))*2),(VLOOKUP(B35,'MUG Table'!$P$104:$R$115,2,FALSE))+(0*Z35))),2-(1+INT(LOG10(ABS((MAX((SQRT(((((STDEV(F35:G35))/SQRT(2))*2.87/2)^2)+((((VLOOKUP(B35,'MUG Table'!$P$104:$R$115,3,FALSE))+(Z35*(0)))*0.5)^2))*2),(VLOOKUP(B35,'MUG Table'!$P$104:$R$115,2,FALSE))+(0*Z35)))))))),"")</f>
        <v/>
      </c>
      <c r="W35" s="58" t="str">
        <f t="shared" si="5"/>
        <v/>
      </c>
      <c r="X35" s="30" t="str">
        <f t="shared" si="6"/>
        <v/>
      </c>
      <c r="Y35" s="58" t="str">
        <f t="shared" si="7"/>
        <v/>
      </c>
      <c r="Z35" s="58" t="str">
        <f t="shared" si="8"/>
        <v/>
      </c>
      <c r="AA35" s="23" t="str">
        <f t="shared" si="21"/>
        <v/>
      </c>
      <c r="AB35" s="3" t="str">
        <f t="shared" ref="AB35:AB36" si="54">IF(J35&gt;0,MAX(J35:N35),"")</f>
        <v/>
      </c>
      <c r="AC35" s="23" t="str">
        <f t="shared" ref="AC35:AC36" si="55">IF(J35&gt;0,MIN(J35:N35),"")</f>
        <v/>
      </c>
      <c r="AE35" t="str">
        <f>IF(B35="HRA","1.5",IF(B35="HRBW","1.5",IF(B35="HRC","1.5",IF(B35="HREW","1.5",IF(B35="HRFW","1.5",IF(B35="HRHW","2.0",IF(B35="HR15N","1.5",IF(B35="HR30N","1.5",IF(B35="HR45N","1.5",IF(B35="HR15TW","1.5",IF(B35="HR30TW","1.5",IF(B35="HR45TW","1.5",""))))))))))))</f>
        <v/>
      </c>
      <c r="AF35" t="str">
        <f>IF(B35="HRA","±1.0",IF(B35="HRBW","±2.5",IF(B35="HRC","±1.0",IF(B35="HREW","±1.0",IF(B35="HRFW","±1.0",IF(B35="HRHW","±1.0",IF(B35="HR15N","±1.0",IF(B35="HR30N","±1.0",IF(B35="HR45N","±1.0",IF(B35="HR15TW","±1.0",IF(B35="HR30TW","±1.0",IF(B35="HR45TW","±1.0",""))))))))))))</f>
        <v/>
      </c>
      <c r="AG35" t="str">
        <f>IF($B35="HRA",1.5,IF($B35="HRBW",1.5,IF($B35="HRC",1.5,IF($B35="HREW",1.5,IF($B35="HRFW",1.5,IF($B35="HRHW",2,IF($B35="HR15N",1.5,IF($B35="HR30N",1.5,IF($B35="HR45N",1.5,IF($B35="HR15TW",1.5,IF($B35="HR30TW",1.5,IF($B35="HR45TW",1.5,""))))))))))))</f>
        <v/>
      </c>
      <c r="AH35" t="str">
        <f>IF($B35="HRA",-1,IF($B35="HRBW",-2.5,IF($B35="HRC",-1,IF($B35="HREW",-1,IF($B35="HRFW",-1,IF($B35="HRHW",-1,IF($B35="HR15N",-1,IF($B35="HR30N",-1,IF($B35="HR45N",-1,IF($B35="HR15TW",-1,IF($B35="HR30TW",-1,IF($B35="HR45TW",-1,""))))))))))))</f>
        <v/>
      </c>
      <c r="AI35" t="str">
        <f>IF($B35="HRA",1,IF($B35="HRBW",2.5,IF($B35="HRC",1,IF($B35="HREW",1,IF($B35="HRFW",1,IF($B35="HRHW",1,IF($B35="HR15N",1,IF($B35="HR30N",1,IF($B35="HR45N",1,IF($B35="HR15TW",1,IF($B35="HR30TW",1,IF($B35="HR45TW",1,""))))))))))))</f>
        <v/>
      </c>
    </row>
    <row r="36" spans="1:35" ht="16.5" customHeight="1" x14ac:dyDescent="0.3">
      <c r="A36" s="4" t="str">
        <f>IF($B36="HRA","≥  80",IF($B36="HRBW","≥  88",IF($B36="HRC","≥ 60",IF($B36="HREW","≥ 93",IF($B36="HRFW","≥ 94",IF($B36="HRHW","no test",IF($B36="HR15N","≥ 90",IF($B36="HR30N","≥ 77",IF($B36="HR45N","≥ 66",IF($B36="HR15TW","≥ 87",IF($B36="HR30TW","≥ 70",IF($B36="HR45TW","≥ 53",""))))))))))))</f>
        <v/>
      </c>
      <c r="B36" s="14" t="str">
        <f t="shared" si="53"/>
        <v/>
      </c>
      <c r="C36" s="71"/>
      <c r="D36" s="131"/>
      <c r="E36" s="131"/>
      <c r="F36" s="76"/>
      <c r="G36" s="76"/>
      <c r="H36" s="101" t="str">
        <f>IF(AND(C36-C35&lt;5,C36&gt;0),"Too Close","")</f>
        <v/>
      </c>
      <c r="I36" s="102" t="str">
        <f t="shared" si="45"/>
        <v/>
      </c>
      <c r="J36" s="77"/>
      <c r="K36" s="77"/>
      <c r="L36" s="77"/>
      <c r="M36" s="77"/>
      <c r="N36" s="77"/>
      <c r="O36" s="11" t="str">
        <f t="shared" si="46"/>
        <v/>
      </c>
      <c r="P36" s="15" t="str">
        <f t="shared" si="47"/>
        <v/>
      </c>
      <c r="Q36" s="11" t="str">
        <f t="shared" si="48"/>
        <v/>
      </c>
      <c r="R36" s="13" t="str">
        <f t="shared" si="49"/>
        <v>/</v>
      </c>
      <c r="S36" s="24" t="str">
        <f t="shared" si="50"/>
        <v xml:space="preserve"> </v>
      </c>
      <c r="T36" s="24" t="str">
        <f t="shared" si="51"/>
        <v/>
      </c>
      <c r="U36" s="30" t="str">
        <f>IFERROR(ROUND((MAX((SQRT(((((STDEV(J36:N36))/SQRT(5))*2.87/2)^2)+((((VLOOKUP(B36,'MUG Table'!$P$104:$R$115,3,FALSE))+(P36*(0)))*0.5)^2))*2),(VLOOKUP(B36,'MUG Table'!$P$104:$R$115,2,FALSE))+(0*P36))),2-(1+INT(LOG10(ABS((MAX((SQRT(((((STDEV(J36:N36))/SQRT(5))*2.87/2)^2)+((((VLOOKUP(B36,'MUG Table'!$P$104:$R$115,3,FALSE))+(P36*(0)))*0.5)^2))*2),(VLOOKUP(B36,'MUG Table'!$P$104:$R$115,2,FALSE))+(0*P36)))))))),"")</f>
        <v/>
      </c>
      <c r="V36" s="30" t="str">
        <f>IFERROR(ROUND((MAX((SQRT(((((STDEV(F36:G36))/SQRT(2))*2.87/2)^2)+((((VLOOKUP(B36,'MUG Table'!$P$104:$R$115,3,FALSE))+(Z36*(0)))*0.5)^2))*2),(VLOOKUP(B36,'MUG Table'!$P$104:$R$115,2,FALSE))+(0*Z36))),2-(1+INT(LOG10(ABS((MAX((SQRT(((((STDEV(F36:G36))/SQRT(2))*2.87/2)^2)+((((VLOOKUP(B36,'MUG Table'!$P$104:$R$115,3,FALSE))+(Z36*(0)))*0.5)^2))*2),(VLOOKUP(B36,'MUG Table'!$P$104:$R$115,2,FALSE))+(0*Z36)))))))),"")</f>
        <v/>
      </c>
      <c r="W36" s="58" t="str">
        <f t="shared" si="5"/>
        <v/>
      </c>
      <c r="X36" s="30" t="str">
        <f t="shared" si="6"/>
        <v/>
      </c>
      <c r="Y36" s="58" t="str">
        <f t="shared" si="7"/>
        <v/>
      </c>
      <c r="Z36" s="58" t="str">
        <f t="shared" si="8"/>
        <v/>
      </c>
      <c r="AA36" s="23" t="str">
        <f t="shared" si="21"/>
        <v/>
      </c>
      <c r="AB36" s="3" t="str">
        <f t="shared" si="54"/>
        <v/>
      </c>
      <c r="AC36" s="23" t="str">
        <f t="shared" si="55"/>
        <v/>
      </c>
      <c r="AE36" t="str">
        <f>IF(B36="HRA","1.0",IF(B36="HRBW","1.5",IF(B36="HRC","1.0",IF(B36="HREW","1.0",IF(B36="HRFW","1.0",IF(B36="HRHW","1.5",IF(B36="HR15N","1.0",IF(B36="HR30N","1.0",IF(B36="HR45N","1.0",IF(B36="HR15TW","1.5",IF(B36="HR30TW","1.5",IF(B36="HR45TW","1.5",""))))))))))))</f>
        <v/>
      </c>
      <c r="AF36" t="str">
        <f>IF(B36="HRA","±0.5",IF(B36="HRBW","±1.0",IF(B36="HRC","±0.5",IF(B36="HREW","±1.0",IF(B36="HRFW","±1.0",IF(B36="HRHW","±1.0",IF(B36="HR15N","±0.7",IF(B36="HR30N","±0.7",IF(B36="HR45N","±0.7",IF(B36="HR15TW","±1.0",IF(B36="HR30TW","±1.0",IF(B36="HR45TW","±1.0",""))))))))))))</f>
        <v/>
      </c>
      <c r="AG36" t="str">
        <f>IF($B36="HRA",1,IF($B36="HRBW",1.5,IF($B36="HRC",1,IF($B36="HREW",1,IF($B36="HRFW",1,IF($B36="HRHW",1.5,IF($B36="HR15N",1,IF($B36="HR30N",1,IF($B36="HR45N",1,IF($B36="HR15TW",1.5,IF($B36="HR30TW",1.5,IF($B36="HR45TW",1.5,""))))))))))))</f>
        <v/>
      </c>
      <c r="AH36" t="str">
        <f>IF($B36="HRA",-0.5,IF($B36="HRBW",-1,IF($B36="HRC",-0.5,IF($B36="HREW",-1,IF($B36="HRFW",-1,IF($B36="HRHW",-1,IF($B36="HR15N",-0.7,IF($B36="HR30N",-0.7,IF($B36="HR45N",-0.7,IF($B36="HR15TW",-1,IF($B36="HR30TW",-1,IF($B36="HR45TW",-1,""))))))))))))</f>
        <v/>
      </c>
      <c r="AI36" t="str">
        <f>IF($B36="HRA",0.5,IF($B36="HRBW",1,IF($B36="HRC",0.5,IF($B36="HREW",1,IF($B36="HRFW",1,IF($B36="HRHW",1,IF($B36="HR15N",0.7,IF($B36="HR30N",0.7,IF($B36="HR45N",0.7,IF($B36="HR15TW",1,IF($B36="HR30TW",1,IF($B36="HR45TW",1,""))))))))))))</f>
        <v/>
      </c>
    </row>
    <row r="37" spans="1:35" ht="14.1" customHeight="1" x14ac:dyDescent="0.25">
      <c r="A37" s="4"/>
      <c r="B37" s="126" t="str">
        <f>IF(J$14="HRA",B78,IF(J$14="HRBW",C78,IF(J$14="HRC",D78,IF(J$14="HREW",E78,IF(J$14="HRFW",F78,IF(J$14="HRHW",G78,IF(J$14="HR15N",H78,IF(J$14="HR30N",I78,IF(J$14="HR45N",J78,IF(J$14="HR15TW",K78,IF(J$14="HR30TW",L78,IF(J$14="HR45TW",M78,""))))))))))))</f>
        <v/>
      </c>
      <c r="C37" s="127"/>
      <c r="D37" s="129"/>
      <c r="E37" s="129"/>
      <c r="F37" s="3"/>
      <c r="G37" s="3"/>
      <c r="H37" s="74"/>
      <c r="I37" s="102"/>
      <c r="J37" s="11"/>
      <c r="K37" s="11"/>
      <c r="L37" s="9"/>
      <c r="M37" s="9"/>
      <c r="N37" s="11"/>
      <c r="O37" s="12"/>
      <c r="P37" s="12"/>
      <c r="Q37" s="12"/>
      <c r="R37" s="12"/>
      <c r="S37" s="3"/>
      <c r="T37" s="3"/>
      <c r="U37" s="29"/>
      <c r="V37" s="29"/>
      <c r="W37" s="58" t="str">
        <f t="shared" si="5"/>
        <v/>
      </c>
      <c r="X37" s="30" t="str">
        <f t="shared" si="6"/>
        <v/>
      </c>
      <c r="Y37" s="58" t="str">
        <f t="shared" si="7"/>
        <v/>
      </c>
      <c r="Z37" s="58" t="str">
        <f t="shared" si="8"/>
        <v/>
      </c>
      <c r="AA37" s="23"/>
      <c r="AB37" s="3" t="str">
        <f t="shared" si="12"/>
        <v/>
      </c>
      <c r="AC37" s="23" t="str">
        <f t="shared" si="13"/>
        <v/>
      </c>
    </row>
    <row r="38" spans="1:35" ht="16.5" customHeight="1" x14ac:dyDescent="0.3">
      <c r="A38" s="4" t="str">
        <f>IF($B38="HRA","&lt; 70",IF($B38="HRBW","&lt; 60",IF($B38="HRC","&lt; 35",IF($B38="HREW","&lt; 84",IF($B38="HRFW","&lt; 80",IF($B38="HRHW","&lt; 96",IF($B38="HR15N","&lt; 78",IF($B38="HR30N","&lt; 55",IF($B38="HR45N","&lt; 37",IF($B38="HR15TW","&lt; 81",IF($B38="HR30TW","&lt; 57",IF($B38="HR45TW","&lt; 33",""))))))))))))</f>
        <v/>
      </c>
      <c r="B38" s="14" t="str">
        <f>IF(K$14="","",K$14)</f>
        <v/>
      </c>
      <c r="C38" s="71"/>
      <c r="D38" s="131"/>
      <c r="E38" s="131"/>
      <c r="F38" s="76"/>
      <c r="G38" s="76"/>
      <c r="H38" s="101"/>
      <c r="I38" s="102" t="str">
        <f t="shared" ref="I38:I40" si="56">IFERROR(IF(AA38&lt;AH38,"AF ERROR",IF(AA38&gt;AI38,"AF ERROR",IF(Y38&gt;AG38,"AF REPEAT",""))),"")</f>
        <v/>
      </c>
      <c r="J38" s="77"/>
      <c r="K38" s="77"/>
      <c r="L38" s="77"/>
      <c r="M38" s="77"/>
      <c r="N38" s="77"/>
      <c r="O38" s="11" t="str">
        <f t="shared" ref="O38:O40" si="57">IFERROR(IF(B38="","",AB38-AC38),"")</f>
        <v/>
      </c>
      <c r="P38" s="15" t="str">
        <f t="shared" ref="P38:P40" si="58">IFERROR(IF(B38="","",AVERAGE(J38:N38)),"")</f>
        <v/>
      </c>
      <c r="Q38" s="11" t="str">
        <f t="shared" ref="Q38:Q40" si="59">IFERROR(IF(B38="","",P38-C38),"")</f>
        <v/>
      </c>
      <c r="R38" s="13" t="str">
        <f t="shared" ref="R38:R40" si="60">CONCATENATE(AE38,"/",AF38)</f>
        <v>/</v>
      </c>
      <c r="S38" s="79" t="str">
        <f t="shared" ref="S38:S40" si="61">IF(O38&gt;AG38,"OOT REPEATABILITY"," ")</f>
        <v xml:space="preserve"> </v>
      </c>
      <c r="T38" s="79" t="str">
        <f t="shared" ref="T38:T40" si="62">IF(Q38&lt;AH38,"OOT ERROR",IF(Q38&gt;AI38,"OOT ERROR",""))</f>
        <v/>
      </c>
      <c r="U38" s="30" t="str">
        <f>IFERROR(ROUND((MAX((SQRT(((((STDEV(J38:N38))/SQRT(5))*2.87/2)^2)+((((VLOOKUP(B38,'MUG Table'!$P$104:$R$115,3,FALSE))+(P38*(0)))*0.5)^2))*2),(VLOOKUP(B38,'MUG Table'!$P$104:$R$115,2,FALSE))+(0*P38))),2-(1+INT(LOG10(ABS((MAX((SQRT(((((STDEV(J38:N38))/SQRT(5))*2.87/2)^2)+((((VLOOKUP(B38,'MUG Table'!$P$104:$R$115,3,FALSE))+(P38*(0)))*0.5)^2))*2),(VLOOKUP(B38,'MUG Table'!$P$104:$R$115,2,FALSE))+(0*P38)))))))),"")</f>
        <v/>
      </c>
      <c r="V38" s="30" t="str">
        <f>IFERROR(ROUND((MAX((SQRT(((((STDEV(F38:G38))/SQRT(2))*2.87/2)^2)+((((VLOOKUP(B38,'MUG Table'!$P$104:$R$115,3,FALSE))+(Z38*(0)))*0.5)^2))*2),(VLOOKUP(B38,'MUG Table'!$P$104:$R$115,2,FALSE))+(0*Z38))),2-(1+INT(LOG10(ABS((MAX((SQRT(((((STDEV(F38:G38))/SQRT(2))*2.87/2)^2)+((((VLOOKUP(B38,'MUG Table'!$P$104:$R$115,3,FALSE))+(Z38*(0)))*0.5)^2))*2),(VLOOKUP(B38,'MUG Table'!$P$104:$R$115,2,FALSE))+(0*Z38)))))))),"")</f>
        <v/>
      </c>
      <c r="W38" s="58" t="str">
        <f t="shared" si="5"/>
        <v/>
      </c>
      <c r="X38" s="30" t="str">
        <f t="shared" si="6"/>
        <v/>
      </c>
      <c r="Y38" s="58" t="str">
        <f t="shared" si="7"/>
        <v/>
      </c>
      <c r="Z38" s="58" t="str">
        <f t="shared" si="8"/>
        <v/>
      </c>
      <c r="AA38" s="23" t="str">
        <f t="shared" ref="AA38" si="63">IFERROR(Z38-C38,"")</f>
        <v/>
      </c>
      <c r="AB38" s="3" t="str">
        <f>IF(J38&gt;0,MAX(J38:N38),"")</f>
        <v/>
      </c>
      <c r="AC38" s="23" t="str">
        <f>IF(J38&gt;0,MIN(J38:N38),"")</f>
        <v/>
      </c>
      <c r="AE38" t="str">
        <f>IF(B38="HRA","2.0",IF(B38="HRBW","2.0",IF(B38="HRC","2.0",IF(B38="HREW","1.5",IF(B38="HRFW","1.5",IF(B38="HRHW","2.0",IF(B38="HR15N","2.0",IF(B38="HR30N","2.0",IF(B38="HR45N","2.0",IF(B38="HR15TW","2.0",IF(B38="HR30TW","2.0",IF(B38="HR45TW","2.0",""))))))))))))</f>
        <v/>
      </c>
      <c r="AF38" t="str">
        <f>IF($B38="HRA","±1.0",IF($B38="HRBW","±2.5",IF($B38="HRC","±1.0",IF($B38="HREW","±1.0",IF($B38="HRFW","±1.0",IF($B38="HRHW","±1.0",IF($B38="HR15N","±1.0",IF($B38="HR30N","±1.0",IF($B38="HR45N","±1.0",IF($B38="HR15TW","±1.5",IF($B38="HR30TW","±1.5",IF($B38="HR45TW","±1.5",""))))))))))))</f>
        <v/>
      </c>
      <c r="AG38" t="str">
        <f>IF($B38="HRA",2,IF($B38="HRBW",2,IF($B38="HRC",2,IF($B38="HREW",1.5,IF($B38="HRFW",1.5,IF($B38="HRHW",2,IF($B38="HR15N",2,IF($B38="HR30N",2,IF($B38="HR45N",2,IF($B38="HR15TW",2,IF($B38="HR30TW",2,IF($B38="HR45TW",2,""))))))))))))</f>
        <v/>
      </c>
      <c r="AH38" t="str">
        <f>IF($B38="HRA",-1,IF($B38="HRBW",-2.5,IF($B38="HRC",-1,IF($B38="HREW",-1,IF($B38="HRFW",-1,IF($B38="HRHW",-1,IF($B38="HR15N",-1,IF($B38="HR30N",-1,IF($B38="HR45N",-1,IF($B38="HR15TW",-1.5,IF($B38="HR30TW",-1.5,IF($B38="HR45TW",-1.5,""))))))))))))</f>
        <v/>
      </c>
      <c r="AI38" t="str">
        <f>IF($B38="HRA",1,IF($B38="HRBW",2.5,IF($B38="HRC",1,IF($B38="HREW",1,IF($B38="HRFW",1,IF($B38="HRHW",1,IF($B38="HR15N",1,IF($B38="HR30N",1,IF($B38="HR45N",1,IF($B38="HR15TW",1.5,IF($B38="HR30TW",1.5,IF($B38="HR45TW",1.5,""))))))))))))</f>
        <v/>
      </c>
    </row>
    <row r="39" spans="1:35" ht="16.5" customHeight="1" x14ac:dyDescent="0.3">
      <c r="A39" s="4" t="str">
        <f>IF($B39="HRA","≥ 70 and &lt; 80",IF($B39="HRBW","≥ 60 and &lt; 88",IF($B39="HRC","≥ 35 and &lt; 60",IF($B39="HREW","≥ 84 and &lt; 93",IF($B39="HRFW","≥ 80 and &lt; 94",IF($B39="HRHW","≥ 96",IF($B39="HR15N","≥ 78 and &lt; 90",IF($B39="HR30N","≥ 55 and &lt; 77",IF($B39="HR45N","≥ 37 and &lt; 66",IF($B39="HR15TW","≥ 81 and &lt; 87",IF($B39="HR30TW","≥ 57 and &lt; 70",IF($B39="HR45TW","≥ 33 and &lt; 53",""))))))))))))</f>
        <v/>
      </c>
      <c r="B39" s="14" t="str">
        <f>IF(K$14="","",K$14)</f>
        <v/>
      </c>
      <c r="C39" s="71"/>
      <c r="D39" s="131"/>
      <c r="E39" s="131"/>
      <c r="F39" s="76"/>
      <c r="G39" s="76"/>
      <c r="H39" s="101" t="str">
        <f>IF(AND(C39-C38&lt;5,C39&gt;0),"Too Close","")</f>
        <v/>
      </c>
      <c r="I39" s="102" t="str">
        <f t="shared" si="56"/>
        <v/>
      </c>
      <c r="J39" s="77"/>
      <c r="K39" s="77"/>
      <c r="L39" s="77"/>
      <c r="M39" s="77"/>
      <c r="N39" s="77"/>
      <c r="O39" s="11" t="str">
        <f t="shared" si="57"/>
        <v/>
      </c>
      <c r="P39" s="15" t="str">
        <f t="shared" si="58"/>
        <v/>
      </c>
      <c r="Q39" s="11" t="str">
        <f t="shared" si="59"/>
        <v/>
      </c>
      <c r="R39" s="13" t="str">
        <f t="shared" si="60"/>
        <v>/</v>
      </c>
      <c r="S39" s="24" t="str">
        <f t="shared" si="61"/>
        <v xml:space="preserve"> </v>
      </c>
      <c r="T39" s="24" t="str">
        <f t="shared" si="62"/>
        <v/>
      </c>
      <c r="U39" s="30" t="str">
        <f>IFERROR(ROUND((MAX((SQRT(((((STDEV(J39:N39))/SQRT(5))*2.87/2)^2)+((((VLOOKUP(B39,'MUG Table'!$P$104:$R$115,3,FALSE))+(P39*(0)))*0.5)^2))*2),(VLOOKUP(B39,'MUG Table'!$P$104:$R$115,2,FALSE))+(0*P39))),2-(1+INT(LOG10(ABS((MAX((SQRT(((((STDEV(J39:N39))/SQRT(5))*2.87/2)^2)+((((VLOOKUP(B39,'MUG Table'!$P$104:$R$115,3,FALSE))+(P39*(0)))*0.5)^2))*2),(VLOOKUP(B39,'MUG Table'!$P$104:$R$115,2,FALSE))+(0*P39)))))))),"")</f>
        <v/>
      </c>
      <c r="V39" s="30" t="str">
        <f>IFERROR(ROUND((MAX((SQRT(((((STDEV(F39:G39))/SQRT(2))*2.87/2)^2)+((((VLOOKUP(B39,'MUG Table'!$P$104:$R$115,3,FALSE))+(Z39*(0)))*0.5)^2))*2),(VLOOKUP(B39,'MUG Table'!$P$104:$R$115,2,FALSE))+(0*Z39))),2-(1+INT(LOG10(ABS((MAX((SQRT(((((STDEV(F39:G39))/SQRT(2))*2.87/2)^2)+((((VLOOKUP(B39,'MUG Table'!$P$104:$R$115,3,FALSE))+(Z39*(0)))*0.5)^2))*2),(VLOOKUP(B39,'MUG Table'!$P$104:$R$115,2,FALSE))+(0*Z39)))))))),"")</f>
        <v/>
      </c>
      <c r="W39" s="58" t="str">
        <f t="shared" si="5"/>
        <v/>
      </c>
      <c r="X39" s="30" t="str">
        <f t="shared" si="6"/>
        <v/>
      </c>
      <c r="Y39" s="58" t="str">
        <f t="shared" si="7"/>
        <v/>
      </c>
      <c r="Z39" s="58" t="str">
        <f t="shared" si="8"/>
        <v/>
      </c>
      <c r="AA39" s="23" t="str">
        <f t="shared" si="21"/>
        <v/>
      </c>
      <c r="AB39" s="3" t="str">
        <f t="shared" ref="AB39:AB40" si="64">IF(J39&gt;0,MAX(J39:N39),"")</f>
        <v/>
      </c>
      <c r="AC39" s="23" t="str">
        <f t="shared" ref="AC39:AC40" si="65">IF(J39&gt;0,MIN(J39:N39),"")</f>
        <v/>
      </c>
      <c r="AE39" t="str">
        <f>IF(B39="HRA","1.5",IF(B39="HRBW","1.5",IF(B39="HRC","1.5",IF(B39="HREW","1.5",IF(B39="HRFW","1.5",IF(B39="HRHW","2.0",IF(B39="HR15N","1.5",IF(B39="HR30N","1.5",IF(B39="HR45N","1.5",IF(B39="HR15TW","1.5",IF(B39="HR30TW","1.5",IF(B39="HR45TW","1.5",""))))))))))))</f>
        <v/>
      </c>
      <c r="AF39" t="str">
        <f>IF(B39="HRA","±1.0",IF(B39="HRBW","±2.5",IF(B39="HRC","±1.0",IF(B39="HREW","±1.0",IF(B39="HRFW","±1.0",IF(B39="HRHW","±1.0",IF(B39="HR15N","±1.0",IF(B39="HR30N","±1.0",IF(B39="HR45N","±1.0",IF(B39="HR15TW","±1.0",IF(B39="HR30TW","±1.0",IF(B39="HR45TW","±1.0",""))))))))))))</f>
        <v/>
      </c>
      <c r="AG39" t="str">
        <f>IF($B39="HRA",1.5,IF($B39="HRBW",1.5,IF($B39="HRC",1.5,IF($B39="HREW",1.5,IF($B39="HRFW",1.5,IF($B39="HRHW",2,IF($B39="HR15N",1.5,IF($B39="HR30N",1.5,IF($B39="HR45N",1.5,IF($B39="HR15TW",1.5,IF($B39="HR30TW",1.5,IF($B39="HR45TW",1.5,""))))))))))))</f>
        <v/>
      </c>
      <c r="AH39" t="str">
        <f>IF($B39="HRA",-1,IF($B39="HRBW",-2.5,IF($B39="HRC",-1,IF($B39="HREW",-1,IF($B39="HRFW",-1,IF($B39="HRHW",-1,IF($B39="HR15N",-1,IF($B39="HR30N",-1,IF($B39="HR45N",-1,IF($B39="HR15TW",-1,IF($B39="HR30TW",-1,IF($B39="HR45TW",-1,""))))))))))))</f>
        <v/>
      </c>
      <c r="AI39" t="str">
        <f>IF($B39="HRA",1,IF($B39="HRBW",2.5,IF($B39="HRC",1,IF($B39="HREW",1,IF($B39="HRFW",1,IF($B39="HRHW",1,IF($B39="HR15N",1,IF($B39="HR30N",1,IF($B39="HR45N",1,IF($B39="HR15TW",1,IF($B39="HR30TW",1,IF($B39="HR45TW",1,""))))))))))))</f>
        <v/>
      </c>
    </row>
    <row r="40" spans="1:35" ht="16.5" customHeight="1" x14ac:dyDescent="0.3">
      <c r="A40" s="4" t="str">
        <f>IF($B40="HRA","≥  80",IF($B40="HRBW","≥  88",IF($B40="HRC","≥ 60",IF($B40="HREW","≥ 93",IF($B40="HRFW","≥ 94",IF($B40="HRHW","no test",IF($B40="HR15N","≥ 90",IF($B40="HR30N","≥ 77",IF($B40="HR45N","≥ 66",IF($B40="HR15TW","≥ 87",IF($B40="HR30TW","≥ 70",IF($B40="HR45TW","≥ 53",""))))))))))))</f>
        <v/>
      </c>
      <c r="B40" s="14" t="str">
        <f>IF(K$14="","",K$14)</f>
        <v/>
      </c>
      <c r="C40" s="71"/>
      <c r="D40" s="131"/>
      <c r="E40" s="131"/>
      <c r="F40" s="76"/>
      <c r="G40" s="76"/>
      <c r="H40" s="101" t="str">
        <f>IF(AND(C40-C39&lt;5,C40&gt;0),"Too Close","")</f>
        <v/>
      </c>
      <c r="I40" s="102" t="str">
        <f t="shared" si="56"/>
        <v/>
      </c>
      <c r="J40" s="77"/>
      <c r="K40" s="77"/>
      <c r="L40" s="77"/>
      <c r="M40" s="77"/>
      <c r="N40" s="77"/>
      <c r="O40" s="11" t="str">
        <f t="shared" si="57"/>
        <v/>
      </c>
      <c r="P40" s="15" t="str">
        <f t="shared" si="58"/>
        <v/>
      </c>
      <c r="Q40" s="11" t="str">
        <f t="shared" si="59"/>
        <v/>
      </c>
      <c r="R40" s="13" t="str">
        <f t="shared" si="60"/>
        <v>/</v>
      </c>
      <c r="S40" s="24" t="str">
        <f t="shared" si="61"/>
        <v xml:space="preserve"> </v>
      </c>
      <c r="T40" s="24" t="str">
        <f t="shared" si="62"/>
        <v/>
      </c>
      <c r="U40" s="30" t="str">
        <f>IFERROR(ROUND((MAX((SQRT(((((STDEV(J40:N40))/SQRT(5))*2.87/2)^2)+((((VLOOKUP(B40,'MUG Table'!$P$104:$R$115,3,FALSE))+(P40*(0)))*0.5)^2))*2),(VLOOKUP(B40,'MUG Table'!$P$104:$R$115,2,FALSE))+(0*P40))),2-(1+INT(LOG10(ABS((MAX((SQRT(((((STDEV(J40:N40))/SQRT(5))*2.87/2)^2)+((((VLOOKUP(B40,'MUG Table'!$P$104:$R$115,3,FALSE))+(P40*(0)))*0.5)^2))*2),(VLOOKUP(B40,'MUG Table'!$P$104:$R$115,2,FALSE))+(0*P40)))))))),"")</f>
        <v/>
      </c>
      <c r="V40" s="30" t="str">
        <f>IFERROR(ROUND((MAX((SQRT(((((STDEV(F40:G40))/SQRT(2))*2.87/2)^2)+((((VLOOKUP(B40,'MUG Table'!$P$104:$R$115,3,FALSE))+(Z40*(0)))*0.5)^2))*2),(VLOOKUP(B40,'MUG Table'!$P$104:$R$115,2,FALSE))+(0*Z40))),2-(1+INT(LOG10(ABS((MAX((SQRT(((((STDEV(F40:G40))/SQRT(2))*2.87/2)^2)+((((VLOOKUP(B40,'MUG Table'!$P$104:$R$115,3,FALSE))+(Z40*(0)))*0.5)^2))*2),(VLOOKUP(B40,'MUG Table'!$P$104:$R$115,2,FALSE))+(0*Z40)))))))),"")</f>
        <v/>
      </c>
      <c r="W40" s="58" t="str">
        <f t="shared" si="5"/>
        <v/>
      </c>
      <c r="X40" s="30" t="str">
        <f t="shared" si="6"/>
        <v/>
      </c>
      <c r="Y40" s="58" t="str">
        <f t="shared" si="7"/>
        <v/>
      </c>
      <c r="Z40" s="58" t="str">
        <f t="shared" si="8"/>
        <v/>
      </c>
      <c r="AA40" s="23" t="str">
        <f t="shared" si="21"/>
        <v/>
      </c>
      <c r="AB40" s="3" t="str">
        <f t="shared" si="64"/>
        <v/>
      </c>
      <c r="AC40" s="23" t="str">
        <f t="shared" si="65"/>
        <v/>
      </c>
      <c r="AE40" t="str">
        <f>IF(B40="HRA","1.0",IF(B40="HRBW","1.5",IF(B40="HRC","1.0",IF(B40="HREW","1.0",IF(B40="HRFW","1.0",IF(B40="HRHW","1.5",IF(B40="HR15N","1.0",IF(B40="HR30N","1.0",IF(B40="HR45N","1.0",IF(B40="HR15TW","1.5",IF(B40="HR30TW","1.5",IF(B40="HR45TW","1.5",""))))))))))))</f>
        <v/>
      </c>
      <c r="AF40" t="str">
        <f>IF(B40="HRA","±0.5",IF(B40="HRBW","±1.0",IF(B40="HRC","±0.5",IF(B40="HREW","±1.0",IF(B40="HRFW","±1.0",IF(B40="HRHW","±1.0",IF(B40="HR15N","±0.7",IF(B40="HR30N","±0.7",IF(B40="HR45N","±0.7",IF(B40="HR15TW","±1.0",IF(B40="HR30TW","±1.0",IF(B40="HR45TW","±1.0",""))))))))))))</f>
        <v/>
      </c>
      <c r="AG40" t="str">
        <f>IF($B40="HRA",1,IF($B40="HRBW",1.5,IF($B40="HRC",1,IF($B40="HREW",1,IF($B40="HRFW",1,IF($B40="HRHW",1.5,IF($B40="HR15N",1,IF($B40="HR30N",1,IF($B40="HR45N",1,IF($B40="HR15TW",1.5,IF($B40="HR30TW",1.5,IF($B40="HR45TW",1.5,""))))))))))))</f>
        <v/>
      </c>
      <c r="AH40" t="str">
        <f>IF($B40="HRA",-0.5,IF($B40="HRBW",-1,IF($B40="HRC",-0.5,IF($B40="HREW",-1,IF($B40="HRFW",-1,IF($B40="HRHW",-1,IF($B40="HR15N",-0.7,IF($B40="HR30N",-0.7,IF($B40="HR45N",-0.7,IF($B40="HR15TW",-1,IF($B40="HR30TW",-1,IF($B40="HR45TW",-1,""))))))))))))</f>
        <v/>
      </c>
      <c r="AI40" t="str">
        <f>IF($B40="HRA",0.5,IF($B40="HRBW",1,IF($B40="HRC",0.5,IF($B40="HREW",1,IF($B40="HRFW",1,IF($B40="HRHW",1,IF($B40="HR15N",0.7,IF($B40="HR30N",0.7,IF($B40="HR45N",0.7,IF($B40="HR15TW",1,IF($B40="HR30TW",1,IF($B40="HR45TW",1,""))))))))))))</f>
        <v/>
      </c>
    </row>
    <row r="41" spans="1:35" ht="14.1" customHeight="1" x14ac:dyDescent="0.25">
      <c r="A41" s="4"/>
      <c r="B41" s="126" t="str">
        <f>IF(K$14="HRA",B84,IF(K$14="HRBW",C84,IF(K$14="HRC",D84,IF(K$14="HREW",E84,IF(K$14="HRFW",F84,IF(K$14="HRHW",G84,IF(K$14="HR15N",H84,IF(K$14="HR30N",I84,IF(K$14="HR45N",J84,IF(K$14="HR15TW",K84,IF(K$14="HR30TW",L84,IF(K$14="HR45TW",M84,""))))))))))))</f>
        <v/>
      </c>
      <c r="C41" s="127"/>
      <c r="D41" s="129"/>
      <c r="E41" s="129"/>
      <c r="F41" s="3"/>
      <c r="G41" s="3"/>
      <c r="H41" s="74"/>
      <c r="I41" s="102"/>
      <c r="J41" s="11"/>
      <c r="K41" s="11"/>
      <c r="L41" s="9"/>
      <c r="M41" s="9"/>
      <c r="N41" s="11"/>
      <c r="O41" s="12"/>
      <c r="P41" s="12"/>
      <c r="Q41" s="12"/>
      <c r="R41" s="12"/>
      <c r="S41" s="3"/>
      <c r="T41" s="3"/>
      <c r="U41" s="29"/>
      <c r="V41" s="29"/>
      <c r="W41" s="58" t="str">
        <f t="shared" si="5"/>
        <v/>
      </c>
      <c r="X41" s="30" t="str">
        <f t="shared" si="6"/>
        <v/>
      </c>
      <c r="Y41" s="58" t="str">
        <f t="shared" si="7"/>
        <v/>
      </c>
      <c r="Z41" s="58" t="str">
        <f t="shared" si="8"/>
        <v/>
      </c>
      <c r="AA41" s="23"/>
      <c r="AB41" s="3" t="str">
        <f t="shared" si="12"/>
        <v/>
      </c>
      <c r="AC41" s="23" t="str">
        <f t="shared" si="13"/>
        <v/>
      </c>
    </row>
    <row r="42" spans="1:35" ht="16.5" customHeight="1" x14ac:dyDescent="0.3">
      <c r="A42" s="4" t="str">
        <f>IF($B42="HRA","&lt; 70",IF($B42="HRBW","&lt; 60",IF($B42="HRC","&lt; 35",IF($B42="HREW","&lt; 84",IF($B42="HRFW","&lt; 80",IF($B42="HRHW","&lt; 96",IF($B42="HR15N","&lt; 78",IF($B42="HR30N","&lt; 55",IF($B42="HR45N","&lt; 37",IF($B42="HR15TW","&lt; 81",IF($B42="HR30TW","&lt; 57",IF($B42="HR45TW","&lt; 33",""))))))))))))</f>
        <v/>
      </c>
      <c r="B42" s="14" t="str">
        <f>IF(L$14="","",L$14)</f>
        <v/>
      </c>
      <c r="C42" s="71"/>
      <c r="D42" s="131"/>
      <c r="E42" s="131"/>
      <c r="F42" s="76"/>
      <c r="G42" s="76"/>
      <c r="H42" s="101"/>
      <c r="I42" s="102" t="str">
        <f t="shared" ref="I42:I44" si="66">IFERROR(IF(AA42&lt;AH42,"AF ERROR",IF(AA42&gt;AI42,"AF ERROR",IF(Y42&gt;AG42,"AF REPEAT",""))),"")</f>
        <v/>
      </c>
      <c r="J42" s="77"/>
      <c r="K42" s="77"/>
      <c r="L42" s="77"/>
      <c r="M42" s="77"/>
      <c r="N42" s="77"/>
      <c r="O42" s="11" t="str">
        <f t="shared" ref="O42:O44" si="67">IFERROR(IF(B42="","",AB42-AC42),"")</f>
        <v/>
      </c>
      <c r="P42" s="15" t="str">
        <f t="shared" ref="P42:P44" si="68">IFERROR(IF(B42="","",AVERAGE(J42:N42)),"")</f>
        <v/>
      </c>
      <c r="Q42" s="11" t="str">
        <f t="shared" ref="Q42:Q44" si="69">IFERROR(IF(B42="","",P42-C42),"")</f>
        <v/>
      </c>
      <c r="R42" s="13" t="str">
        <f t="shared" ref="R42:R44" si="70">CONCATENATE(AE42,"/",AF42)</f>
        <v>/</v>
      </c>
      <c r="S42" s="79" t="str">
        <f t="shared" ref="S42:S44" si="71">IF(O42&gt;AG42,"OOT REPEATABILITY"," ")</f>
        <v xml:space="preserve"> </v>
      </c>
      <c r="T42" s="79" t="str">
        <f t="shared" ref="T42:T44" si="72">IF(Q42&lt;AH42,"OOT ERROR",IF(Q42&gt;AI42,"OOT ERROR",""))</f>
        <v/>
      </c>
      <c r="U42" s="30" t="str">
        <f>IFERROR(ROUND((MAX((SQRT(((((STDEV(J42:N42))/SQRT(5))*2.87/2)^2)+((((VLOOKUP(B42,'MUG Table'!$P$104:$R$115,3,FALSE))+(P42*(0)))*0.5)^2))*2),(VLOOKUP(B42,'MUG Table'!$P$104:$R$115,2,FALSE))+(0*P42))),2-(1+INT(LOG10(ABS((MAX((SQRT(((((STDEV(J42:N42))/SQRT(5))*2.87/2)^2)+((((VLOOKUP(B42,'MUG Table'!$P$104:$R$115,3,FALSE))+(P42*(0)))*0.5)^2))*2),(VLOOKUP(B42,'MUG Table'!$P$104:$R$115,2,FALSE))+(0*P42)))))))),"")</f>
        <v/>
      </c>
      <c r="V42" s="30" t="str">
        <f>IFERROR(ROUND((MAX((SQRT(((((STDEV(F42:G42))/SQRT(2))*2.87/2)^2)+((((VLOOKUP(B42,'MUG Table'!$P$104:$R$115,3,FALSE))+(Z42*(0)))*0.5)^2))*2),(VLOOKUP(B42,'MUG Table'!$P$104:$R$115,2,FALSE))+(0*Z42))),2-(1+INT(LOG10(ABS((MAX((SQRT(((((STDEV(F42:G42))/SQRT(2))*2.87/2)^2)+((((VLOOKUP(B42,'MUG Table'!$P$104:$R$115,3,FALSE))+(Z42*(0)))*0.5)^2))*2),(VLOOKUP(B42,'MUG Table'!$P$104:$R$115,2,FALSE))+(0*Z42)))))))),"")</f>
        <v/>
      </c>
      <c r="W42" s="58" t="str">
        <f t="shared" si="5"/>
        <v/>
      </c>
      <c r="X42" s="30" t="str">
        <f t="shared" si="6"/>
        <v/>
      </c>
      <c r="Y42" s="58" t="str">
        <f t="shared" si="7"/>
        <v/>
      </c>
      <c r="Z42" s="58" t="str">
        <f t="shared" si="8"/>
        <v/>
      </c>
      <c r="AA42" s="23" t="str">
        <f t="shared" ref="AA42" si="73">IFERROR(Z42-C42,"")</f>
        <v/>
      </c>
      <c r="AB42" s="3" t="str">
        <f>IF(J42&gt;0,MAX(J42:N42),"")</f>
        <v/>
      </c>
      <c r="AC42" s="23" t="str">
        <f>IF(J42&gt;0,MIN(J42:N42),"")</f>
        <v/>
      </c>
      <c r="AE42" t="str">
        <f>IF(B42="HRA","2.0",IF(B42="HRBW","2.0",IF(B42="HRC","2.0",IF(B42="HREW","1.5",IF(B42="HRFW","1.5",IF(B42="HRHW","2.0",IF(B42="HR15N","2.0",IF(B42="HR30N","2.0",IF(B42="HR45N","2.0",IF(B42="HR15TW","2.0",IF(B42="HR30TW","2.0",IF(B42="HR45TW","2.0",""))))))))))))</f>
        <v/>
      </c>
      <c r="AF42" t="str">
        <f>IF($B42="HRA","±1.0",IF($B42="HRBW","±2.5",IF($B42="HRC","±1.0",IF($B42="HREW","±1.0",IF($B42="HRFW","±1.0",IF($B42="HRHW","±1.0",IF($B42="HR15N","±1.0",IF($B42="HR30N","±1.0",IF($B42="HR45N","±1.0",IF($B42="HR15TW","±1.5",IF($B42="HR30TW","±1.5",IF($B42="HR45TW","±1.5",""))))))))))))</f>
        <v/>
      </c>
      <c r="AG42" t="str">
        <f>IF($B42="HRA",2,IF($B42="HRBW",2,IF($B42="HRC",2,IF($B42="HREW",1.5,IF($B42="HRFW",1.5,IF($B42="HRHW",2,IF($B42="HR15N",2,IF($B42="HR30N",2,IF($B42="HR45N",2,IF($B42="HR15TW",2,IF($B42="HR30TW",2,IF($B42="HR45TW",2,""))))))))))))</f>
        <v/>
      </c>
      <c r="AH42" t="str">
        <f>IF($B42="HRA",-1,IF($B42="HRBW",-2.5,IF($B42="HRC",-1,IF($B42="HREW",-1,IF($B42="HRFW",-1,IF($B42="HRHW",-1,IF($B42="HR15N",-1,IF($B42="HR30N",-1,IF($B42="HR45N",-1,IF($B42="HR15TW",-1.5,IF($B42="HR30TW",-1.5,IF($B42="HR45TW",-1.5,""))))))))))))</f>
        <v/>
      </c>
      <c r="AI42" t="str">
        <f>IF($B42="HRA",1,IF($B42="HRBW",2.5,IF($B42="HRC",1,IF($B42="HREW",1,IF($B42="HRFW",1,IF($B42="HRHW",1,IF($B42="HR15N",1,IF($B42="HR30N",1,IF($B42="HR45N",1,IF($B42="HR15TW",1.5,IF($B42="HR30TW",1.5,IF($B42="HR45TW",1.5,""))))))))))))</f>
        <v/>
      </c>
    </row>
    <row r="43" spans="1:35" ht="16.5" customHeight="1" x14ac:dyDescent="0.3">
      <c r="A43" s="4" t="str">
        <f>IF($B43="HRA","≥ 70 and &lt; 80",IF($B43="HRBW","≥ 60 and &lt; 88",IF($B43="HRC","≥ 35 and &lt; 60",IF($B43="HREW","≥ 84 and &lt; 93",IF($B43="HRFW","≥ 80 and &lt; 94",IF($B43="HRHW","≥ 96",IF($B43="HR15N","≥ 78 and &lt; 90",IF($B43="HR30N","≥ 55 and &lt; 77",IF($B43="HR45N","≥ 37 and &lt; 66",IF($B43="HR15TW","≥ 81 and &lt; 87",IF($B43="HR30TW","≥ 57 and &lt; 70",IF($B43="HR45TW","≥ 33 and &lt; 53",""))))))))))))</f>
        <v/>
      </c>
      <c r="B43" s="14" t="str">
        <f>IF(L$14="","",L$14)</f>
        <v/>
      </c>
      <c r="C43" s="71"/>
      <c r="D43" s="131"/>
      <c r="E43" s="131"/>
      <c r="F43" s="76"/>
      <c r="G43" s="76"/>
      <c r="H43" s="101" t="str">
        <f>IF(AND(C43-C42&lt;5,C43&gt;0),"Too Close","")</f>
        <v/>
      </c>
      <c r="I43" s="102" t="str">
        <f t="shared" si="66"/>
        <v/>
      </c>
      <c r="J43" s="77"/>
      <c r="K43" s="77"/>
      <c r="L43" s="77"/>
      <c r="M43" s="77"/>
      <c r="N43" s="77"/>
      <c r="O43" s="11" t="str">
        <f t="shared" si="67"/>
        <v/>
      </c>
      <c r="P43" s="15" t="str">
        <f t="shared" si="68"/>
        <v/>
      </c>
      <c r="Q43" s="11" t="str">
        <f t="shared" si="69"/>
        <v/>
      </c>
      <c r="R43" s="13" t="str">
        <f t="shared" si="70"/>
        <v>/</v>
      </c>
      <c r="S43" s="24" t="str">
        <f t="shared" si="71"/>
        <v xml:space="preserve"> </v>
      </c>
      <c r="T43" s="24" t="str">
        <f t="shared" si="72"/>
        <v/>
      </c>
      <c r="U43" s="30" t="str">
        <f>IFERROR(ROUND((MAX((SQRT(((((STDEV(J43:N43))/SQRT(5))*2.87/2)^2)+((((VLOOKUP(B43,'MUG Table'!$P$104:$R$115,3,FALSE))+(P43*(0)))*0.5)^2))*2),(VLOOKUP(B43,'MUG Table'!$P$104:$R$115,2,FALSE))+(0*P43))),2-(1+INT(LOG10(ABS((MAX((SQRT(((((STDEV(J43:N43))/SQRT(5))*2.87/2)^2)+((((VLOOKUP(B43,'MUG Table'!$P$104:$R$115,3,FALSE))+(P43*(0)))*0.5)^2))*2),(VLOOKUP(B43,'MUG Table'!$P$104:$R$115,2,FALSE))+(0*P43)))))))),"")</f>
        <v/>
      </c>
      <c r="V43" s="30" t="str">
        <f>IFERROR(ROUND((MAX((SQRT(((((STDEV(F43:G43))/SQRT(2))*2.87/2)^2)+((((VLOOKUP(B43,'MUG Table'!$P$104:$R$115,3,FALSE))+(Z43*(0)))*0.5)^2))*2),(VLOOKUP(B43,'MUG Table'!$P$104:$R$115,2,FALSE))+(0*Z43))),2-(1+INT(LOG10(ABS((MAX((SQRT(((((STDEV(F43:G43))/SQRT(2))*2.87/2)^2)+((((VLOOKUP(B43,'MUG Table'!$P$104:$R$115,3,FALSE))+(Z43*(0)))*0.5)^2))*2),(VLOOKUP(B43,'MUG Table'!$P$104:$R$115,2,FALSE))+(0*Z43)))))))),"")</f>
        <v/>
      </c>
      <c r="W43" s="58" t="str">
        <f t="shared" si="5"/>
        <v/>
      </c>
      <c r="X43" s="30" t="str">
        <f t="shared" si="6"/>
        <v/>
      </c>
      <c r="Y43" s="58" t="str">
        <f t="shared" si="7"/>
        <v/>
      </c>
      <c r="Z43" s="58" t="str">
        <f t="shared" si="8"/>
        <v/>
      </c>
      <c r="AA43" s="23" t="str">
        <f t="shared" si="21"/>
        <v/>
      </c>
      <c r="AB43" s="3" t="str">
        <f t="shared" ref="AB43:AB44" si="74">IF(J43&gt;0,MAX(J43:N43),"")</f>
        <v/>
      </c>
      <c r="AC43" s="23" t="str">
        <f t="shared" ref="AC43:AC44" si="75">IF(J43&gt;0,MIN(J43:N43),"")</f>
        <v/>
      </c>
      <c r="AE43" t="str">
        <f>IF(B43="HRA","1.5",IF(B43="HRBW","1.5",IF(B43="HRC","1.5",IF(B43="HREW","1.5",IF(B43="HRFW","1.5",IF(B43="HRHW","2.0",IF(B43="HR15N","1.5",IF(B43="HR30N","1.5",IF(B43="HR45N","1.5",IF(B43="HR15TW","1.5",IF(B43="HR30TW","1.5",IF(B43="HR45TW","1.5",""))))))))))))</f>
        <v/>
      </c>
      <c r="AF43" t="str">
        <f>IF(B43="HRA","±1.0",IF(B43="HRBW","±2.5",IF(B43="HRC","±1.0",IF(B43="HREW","±1.0",IF(B43="HRFW","±1.0",IF(B43="HRHW","±1.0",IF(B43="HR15N","±1.0",IF(B43="HR30N","±1.0",IF(B43="HR45N","±1.0",IF(B43="HR15TW","±1.0",IF(B43="HR30TW","±1.0",IF(B43="HR45TW","±1.0",""))))))))))))</f>
        <v/>
      </c>
      <c r="AG43" t="str">
        <f>IF($B43="HRA",1.5,IF($B43="HRBW",1.5,IF($B43="HRC",1.5,IF($B43="HREW",1.5,IF($B43="HRFW",1.5,IF($B43="HRHW",2,IF($B43="HR15N",1.5,IF($B43="HR30N",1.5,IF($B43="HR45N",1.5,IF($B43="HR15TW",1.5,IF($B43="HR30TW",1.5,IF($B43="HR45TW",1.5,""))))))))))))</f>
        <v/>
      </c>
      <c r="AH43" t="str">
        <f>IF($B43="HRA",-1,IF($B43="HRBW",-2.5,IF($B43="HRC",-1,IF($B43="HREW",-1,IF($B43="HRFW",-1,IF($B43="HRHW",-1,IF($B43="HR15N",-1,IF($B43="HR30N",-1,IF($B43="HR45N",-1,IF($B43="HR15TW",-1,IF($B43="HR30TW",-1,IF($B43="HR45TW",-1,""))))))))))))</f>
        <v/>
      </c>
      <c r="AI43" t="str">
        <f>IF($B43="HRA",1,IF($B43="HRBW",2.5,IF($B43="HRC",1,IF($B43="HREW",1,IF($B43="HRFW",1,IF($B43="HRHW",1,IF($B43="HR15N",1,IF($B43="HR30N",1,IF($B43="HR45N",1,IF($B43="HR15TW",1,IF($B43="HR30TW",1,IF($B43="HR45TW",1,""))))))))))))</f>
        <v/>
      </c>
    </row>
    <row r="44" spans="1:35" ht="16.5" customHeight="1" x14ac:dyDescent="0.3">
      <c r="A44" s="4" t="str">
        <f>IF($B44="HRA","≥  80",IF($B44="HRBW","≥  88",IF($B44="HRC","≥ 60",IF($B44="HREW","≥ 93",IF($B44="HRFW","≥ 94",IF($B44="HRHW","no test",IF($B44="HR15N","≥ 90",IF($B44="HR30N","≥ 77",IF($B44="HR45N","≥ 66",IF($B44="HR15TW","≥ 87",IF($B44="HR30TW","≥ 70",IF($B44="HR45TW","≥ 53",""))))))))))))</f>
        <v/>
      </c>
      <c r="B44" s="14" t="str">
        <f>IF(L$14="","",L$14)</f>
        <v/>
      </c>
      <c r="C44" s="71"/>
      <c r="D44" s="131"/>
      <c r="E44" s="131"/>
      <c r="F44" s="76"/>
      <c r="G44" s="76"/>
      <c r="H44" s="101" t="str">
        <f>IF(AND(C44-C43&lt;5,C44&gt;0),"Too Close","")</f>
        <v/>
      </c>
      <c r="I44" s="102" t="str">
        <f t="shared" si="66"/>
        <v/>
      </c>
      <c r="J44" s="77"/>
      <c r="K44" s="77"/>
      <c r="L44" s="77"/>
      <c r="M44" s="77"/>
      <c r="N44" s="77"/>
      <c r="O44" s="11" t="str">
        <f t="shared" si="67"/>
        <v/>
      </c>
      <c r="P44" s="15" t="str">
        <f t="shared" si="68"/>
        <v/>
      </c>
      <c r="Q44" s="11" t="str">
        <f t="shared" si="69"/>
        <v/>
      </c>
      <c r="R44" s="13" t="str">
        <f t="shared" si="70"/>
        <v>/</v>
      </c>
      <c r="S44" s="24" t="str">
        <f t="shared" si="71"/>
        <v xml:space="preserve"> </v>
      </c>
      <c r="T44" s="24" t="str">
        <f t="shared" si="72"/>
        <v/>
      </c>
      <c r="U44" s="30" t="str">
        <f>IFERROR(ROUND((MAX((SQRT(((((STDEV(J44:N44))/SQRT(5))*2.87/2)^2)+((((VLOOKUP(B44,'MUG Table'!$P$104:$R$115,3,FALSE))+(P44*(0)))*0.5)^2))*2),(VLOOKUP(B44,'MUG Table'!$P$104:$R$115,2,FALSE))+(0*P44))),2-(1+INT(LOG10(ABS((MAX((SQRT(((((STDEV(J44:N44))/SQRT(5))*2.87/2)^2)+((((VLOOKUP(B44,'MUG Table'!$P$104:$R$115,3,FALSE))+(P44*(0)))*0.5)^2))*2),(VLOOKUP(B44,'MUG Table'!$P$104:$R$115,2,FALSE))+(0*P44)))))))),"")</f>
        <v/>
      </c>
      <c r="V44" s="30" t="str">
        <f>IFERROR(ROUND((MAX((SQRT(((((STDEV(F44:G44))/SQRT(2))*2.87/2)^2)+((((VLOOKUP(B44,'MUG Table'!$P$104:$R$115,3,FALSE))+(Z44*(0)))*0.5)^2))*2),(VLOOKUP(B44,'MUG Table'!$P$104:$R$115,2,FALSE))+(0*Z44))),2-(1+INT(LOG10(ABS((MAX((SQRT(((((STDEV(F44:G44))/SQRT(2))*2.87/2)^2)+((((VLOOKUP(B44,'MUG Table'!$P$104:$R$115,3,FALSE))+(Z44*(0)))*0.5)^2))*2),(VLOOKUP(B44,'MUG Table'!$P$104:$R$115,2,FALSE))+(0*Z44)))))))),"")</f>
        <v/>
      </c>
      <c r="W44" s="58" t="str">
        <f t="shared" si="5"/>
        <v/>
      </c>
      <c r="X44" s="30" t="str">
        <f t="shared" si="6"/>
        <v/>
      </c>
      <c r="Y44" s="58" t="str">
        <f t="shared" si="7"/>
        <v/>
      </c>
      <c r="Z44" s="58" t="str">
        <f t="shared" si="8"/>
        <v/>
      </c>
      <c r="AA44" s="23" t="str">
        <f t="shared" si="21"/>
        <v/>
      </c>
      <c r="AB44" s="3" t="str">
        <f t="shared" si="74"/>
        <v/>
      </c>
      <c r="AC44" s="23" t="str">
        <f t="shared" si="75"/>
        <v/>
      </c>
      <c r="AE44" t="str">
        <f>IF(B44="HRA","1.0",IF(B44="HRBW","1.5",IF(B44="HRC","1.0",IF(B44="HREW","1.0",IF(B44="HRFW","1.0",IF(B44="HRHW","1.5",IF(B44="HR15N","1.0",IF(B44="HR30N","1.0",IF(B44="HR45N","1.0",IF(B44="HR15TW","1.5",IF(B44="HR30TW","1.5",IF(B44="HR45TW","1.5",""))))))))))))</f>
        <v/>
      </c>
      <c r="AF44" t="str">
        <f>IF(B44="HRA","±0.5",IF(B44="HRBW","±1.0",IF(B44="HRC","±0.5",IF(B44="HREW","±1.0",IF(B44="HRFW","±1.0",IF(B44="HRHW","±1.0",IF(B44="HR15N","±0.7",IF(B44="HR30N","±0.7",IF(B44="HR45N","±0.7",IF(B44="HR15TW","±1.0",IF(B44="HR30TW","±1.0",IF(B44="HR45TW","±1.0",""))))))))))))</f>
        <v/>
      </c>
      <c r="AG44" t="str">
        <f>IF($B44="HRA",1,IF($B44="HRBW",1.5,IF($B44="HRC",1,IF($B44="HREW",1,IF($B44="HRFW",1,IF($B44="HRHW",1.5,IF($B44="HR15N",1,IF($B44="HR30N",1,IF($B44="HR45N",1,IF($B44="HR15TW",1.5,IF($B44="HR30TW",1.5,IF($B44="HR45TW",1.5,""))))))))))))</f>
        <v/>
      </c>
      <c r="AH44" t="str">
        <f>IF($B44="HRA",-0.5,IF($B44="HRBW",-1,IF($B44="HRC",-0.5,IF($B44="HREW",-1,IF($B44="HRFW",-1,IF($B44="HRHW",-1,IF($B44="HR15N",-0.7,IF($B44="HR30N",-0.7,IF($B44="HR45N",-0.7,IF($B44="HR15TW",-1,IF($B44="HR30TW",-1,IF($B44="HR45TW",-1,""))))))))))))</f>
        <v/>
      </c>
      <c r="AI44" t="str">
        <f>IF($B44="HRA",0.5,IF($B44="HRBW",1,IF($B44="HRC",0.5,IF($B44="HREW",1,IF($B44="HRFW",1,IF($B44="HRHW",1,IF($B44="HR15N",0.7,IF($B44="HR30N",0.7,IF($B44="HR45N",0.7,IF($B44="HR15TW",1,IF($B44="HR30TW",1,IF($B44="HR45TW",1,""))))))))))))</f>
        <v/>
      </c>
    </row>
    <row r="45" spans="1:35" ht="16.5" customHeight="1" x14ac:dyDescent="0.25">
      <c r="A45" s="4"/>
      <c r="B45" s="126" t="str">
        <f>IF(L$14="HRA",B90,IF(L$14="HRBW",C90,IF(L$14="HRC",D90,IF(L$14="HREW",E90,IF(L$14="HRFW",F90,IF(L$14="HRHW",G90,IF(L$14="HR15N",H90,IF(L$14="HR30N",I90,IF(L$14="HR45N",J90,IF(L$14="HR15TW",K90,IF(L$14="HR30TW",L90,IF(L$14="HR45TW",M90,""))))))))))))</f>
        <v/>
      </c>
      <c r="C45" s="127"/>
      <c r="D45" s="60"/>
      <c r="E45" s="60"/>
      <c r="F45" s="61"/>
      <c r="G45" s="61"/>
      <c r="J45" s="11"/>
      <c r="K45" s="11"/>
      <c r="L45" s="11"/>
      <c r="M45" s="11"/>
      <c r="N45" s="11"/>
      <c r="O45" s="11"/>
      <c r="P45" s="15"/>
      <c r="Q45" s="11"/>
      <c r="R45" s="13"/>
      <c r="S45" s="24"/>
      <c r="T45" s="24"/>
      <c r="U45" s="30"/>
      <c r="V45" s="30"/>
      <c r="W45" s="58"/>
      <c r="X45" s="59"/>
      <c r="Y45" s="58"/>
      <c r="Z45" s="58"/>
      <c r="AA45" s="23"/>
      <c r="AB45" s="3"/>
      <c r="AC45" s="23"/>
    </row>
    <row r="46" spans="1:35" ht="16.5" customHeight="1" x14ac:dyDescent="0.25">
      <c r="A46" t="s">
        <v>83</v>
      </c>
      <c r="B46" s="136" t="s">
        <v>84</v>
      </c>
      <c r="C46" s="137"/>
      <c r="D46" s="137"/>
      <c r="E46" s="137"/>
      <c r="F46" s="137"/>
      <c r="G46" s="137"/>
      <c r="H46" s="137"/>
      <c r="I46" s="137"/>
      <c r="J46" s="137"/>
      <c r="K46" s="137"/>
      <c r="L46" s="138"/>
      <c r="M46" s="9"/>
      <c r="N46" s="11" t="s">
        <v>85</v>
      </c>
      <c r="O46" s="83" t="s">
        <v>86</v>
      </c>
      <c r="P46" s="12"/>
      <c r="Q46" s="12"/>
      <c r="R46" s="12"/>
      <c r="U46" s="29"/>
      <c r="V46" s="29"/>
      <c r="W46" s="29"/>
      <c r="X46" s="29"/>
      <c r="Y46" s="29"/>
      <c r="Z46" s="29"/>
    </row>
    <row r="47" spans="1:35" x14ac:dyDescent="0.25">
      <c r="A47" s="4" t="s">
        <v>87</v>
      </c>
      <c r="B47" s="140" t="s">
        <v>88</v>
      </c>
      <c r="C47" s="141"/>
      <c r="D47" s="141"/>
      <c r="E47" s="141"/>
      <c r="F47" s="141"/>
      <c r="G47" s="141"/>
      <c r="H47" s="141"/>
      <c r="I47" s="141"/>
      <c r="J47" s="141"/>
      <c r="K47" s="141"/>
      <c r="L47" s="142"/>
      <c r="N47" t="s">
        <v>89</v>
      </c>
      <c r="O47" s="84" t="s">
        <v>90</v>
      </c>
    </row>
    <row r="48" spans="1:35" x14ac:dyDescent="0.25">
      <c r="B48" s="91"/>
      <c r="G48" s="4"/>
    </row>
    <row r="49" spans="1:18" x14ac:dyDescent="0.25">
      <c r="A49">
        <v>1</v>
      </c>
      <c r="B49" s="92" t="s">
        <v>91</v>
      </c>
      <c r="C49" s="93" t="s">
        <v>92</v>
      </c>
      <c r="D49" s="93" t="s">
        <v>93</v>
      </c>
      <c r="E49" s="93" t="s">
        <v>94</v>
      </c>
      <c r="F49" s="93" t="s">
        <v>95</v>
      </c>
      <c r="G49" s="94" t="s">
        <v>96</v>
      </c>
      <c r="H49" s="93" t="s">
        <v>97</v>
      </c>
      <c r="I49" s="93" t="s">
        <v>98</v>
      </c>
      <c r="J49" s="93" t="s">
        <v>99</v>
      </c>
      <c r="K49" s="93" t="s">
        <v>100</v>
      </c>
      <c r="L49" s="93" t="s">
        <v>101</v>
      </c>
      <c r="M49" s="95" t="s">
        <v>102</v>
      </c>
    </row>
    <row r="50" spans="1:18" x14ac:dyDescent="0.25">
      <c r="B50" s="96" t="str">
        <f>IF($C18&lt;70,"",1)</f>
        <v/>
      </c>
      <c r="C50" s="91" t="str">
        <f>IF($C18&lt;60,"",1)</f>
        <v/>
      </c>
      <c r="D50" s="91" t="str">
        <f>IF($C18&lt;35,"",1)</f>
        <v/>
      </c>
      <c r="E50" s="91" t="str">
        <f>IF($C18&lt;84,"",1)</f>
        <v/>
      </c>
      <c r="F50" s="91" t="str">
        <f>IF($C18&lt;80,"",1)</f>
        <v/>
      </c>
      <c r="G50" s="91" t="str">
        <f>IF($C18&lt;96,"",1)</f>
        <v/>
      </c>
      <c r="H50" s="91" t="str">
        <f>IF($C18&lt;78,"",1)</f>
        <v/>
      </c>
      <c r="I50" s="91" t="str">
        <f>IF($C18&lt;55,"",1)</f>
        <v/>
      </c>
      <c r="J50" s="91" t="str">
        <f>IF($C18&lt;37,"",1)</f>
        <v/>
      </c>
      <c r="K50" s="91" t="str">
        <f>IF($C18&lt;81,"",1)</f>
        <v/>
      </c>
      <c r="L50" s="91" t="str">
        <f>IF($C18&lt;57,"",1)</f>
        <v/>
      </c>
      <c r="M50" s="97" t="str">
        <f>IF($C18&lt;33,"",1)</f>
        <v/>
      </c>
    </row>
    <row r="51" spans="1:18" x14ac:dyDescent="0.25">
      <c r="B51" s="96">
        <f>IF(AND($C19&gt;=70,$C19&lt;80),"",1)</f>
        <v>1</v>
      </c>
      <c r="C51" s="91">
        <f>IF(AND($C19&gt;=60,$C19&lt;88),"",1)</f>
        <v>1</v>
      </c>
      <c r="D51" s="91">
        <f>IF(AND($C19&gt;=35,$C19&lt;60),"",1)</f>
        <v>1</v>
      </c>
      <c r="E51" s="91">
        <f>IF(AND($C19&gt;=84,$C19&lt;93),"",1)</f>
        <v>1</v>
      </c>
      <c r="F51" s="91">
        <f>IF(AND($C19&gt;=80,$C19&lt;94),"",1)</f>
        <v>1</v>
      </c>
      <c r="G51" s="91">
        <f>IF($C19&gt;=96,"",1)</f>
        <v>1</v>
      </c>
      <c r="H51" s="91">
        <f>IF(AND($C19&gt;=78,$C19&lt;90),"",1)</f>
        <v>1</v>
      </c>
      <c r="I51" s="91">
        <f>IF(AND($C19&gt;=55,$C19&lt;77),"",1)</f>
        <v>1</v>
      </c>
      <c r="J51" s="91">
        <f>IF(AND($C19&gt;=37,$C19&lt;66),"",1)</f>
        <v>1</v>
      </c>
      <c r="K51" s="91">
        <f>IF(AND($C19&gt;=81,$C19&lt;87),"",1)</f>
        <v>1</v>
      </c>
      <c r="L51" s="91">
        <f>IF(AND($C19&gt;=57,$C19&lt;70),"",1)</f>
        <v>1</v>
      </c>
      <c r="M51" s="97">
        <f>IF(AND($C19&gt;=33,$C19&lt;53),"",1)</f>
        <v>1</v>
      </c>
    </row>
    <row r="52" spans="1:18" x14ac:dyDescent="0.25">
      <c r="B52" s="96">
        <f>IF($C20&gt;=80,"",1)</f>
        <v>1</v>
      </c>
      <c r="C52" s="91">
        <f>IF($C20&gt;=88,"",1)</f>
        <v>1</v>
      </c>
      <c r="D52" s="91">
        <f>IF($C20&gt;=60,"",1)</f>
        <v>1</v>
      </c>
      <c r="E52" s="91">
        <f>IF($C20&gt;=93,"",1)</f>
        <v>1</v>
      </c>
      <c r="F52" s="91">
        <f>IF($C20&gt;=94,"",1)</f>
        <v>1</v>
      </c>
      <c r="G52" s="91"/>
      <c r="H52" s="91">
        <f>IF($C20&gt;=90,"",1)</f>
        <v>1</v>
      </c>
      <c r="I52" s="91">
        <f>IF($C20&gt;=77,"",1)</f>
        <v>1</v>
      </c>
      <c r="J52" s="91">
        <f>IF($C20&gt;=66,"",1)</f>
        <v>1</v>
      </c>
      <c r="K52" s="91">
        <f>IF($C20&gt;=87,"",1)</f>
        <v>1</v>
      </c>
      <c r="L52" s="91">
        <f>IF($C20&gt;=70,"",1)</f>
        <v>1</v>
      </c>
      <c r="M52" s="97">
        <f>IF($C20&gt;=53,"",1)</f>
        <v>1</v>
      </c>
    </row>
    <row r="53" spans="1:18" x14ac:dyDescent="0.25">
      <c r="B53" s="98">
        <f t="shared" ref="B53:M53" si="76">SUM(B50:B52)</f>
        <v>2</v>
      </c>
      <c r="C53">
        <f t="shared" si="76"/>
        <v>2</v>
      </c>
      <c r="D53">
        <f t="shared" si="76"/>
        <v>2</v>
      </c>
      <c r="E53">
        <f t="shared" si="76"/>
        <v>2</v>
      </c>
      <c r="F53">
        <f t="shared" si="76"/>
        <v>2</v>
      </c>
      <c r="G53">
        <f t="shared" si="76"/>
        <v>1</v>
      </c>
      <c r="H53">
        <f t="shared" si="76"/>
        <v>2</v>
      </c>
      <c r="I53">
        <f t="shared" si="76"/>
        <v>2</v>
      </c>
      <c r="J53">
        <f t="shared" si="76"/>
        <v>2</v>
      </c>
      <c r="K53">
        <f t="shared" si="76"/>
        <v>2</v>
      </c>
      <c r="L53">
        <f t="shared" si="76"/>
        <v>2</v>
      </c>
      <c r="M53" s="99">
        <f t="shared" si="76"/>
        <v>2</v>
      </c>
    </row>
    <row r="54" spans="1:18" x14ac:dyDescent="0.25">
      <c r="B54" s="100" t="str">
        <f>IF(B53&gt;0,"WRONG VALUE","")</f>
        <v>WRONG VALUE</v>
      </c>
      <c r="C54" s="100" t="str">
        <f t="shared" ref="C54:M54" si="77">IF(C53&gt;0,"WRONG VALUE","")</f>
        <v>WRONG VALUE</v>
      </c>
      <c r="D54" s="100" t="str">
        <f t="shared" si="77"/>
        <v>WRONG VALUE</v>
      </c>
      <c r="E54" s="100" t="str">
        <f t="shared" si="77"/>
        <v>WRONG VALUE</v>
      </c>
      <c r="F54" s="100" t="str">
        <f t="shared" si="77"/>
        <v>WRONG VALUE</v>
      </c>
      <c r="G54" s="100" t="str">
        <f t="shared" si="77"/>
        <v>WRONG VALUE</v>
      </c>
      <c r="H54" s="100" t="str">
        <f t="shared" si="77"/>
        <v>WRONG VALUE</v>
      </c>
      <c r="I54" s="100" t="str">
        <f t="shared" si="77"/>
        <v>WRONG VALUE</v>
      </c>
      <c r="J54" s="100" t="str">
        <f t="shared" si="77"/>
        <v>WRONG VALUE</v>
      </c>
      <c r="K54" s="100" t="str">
        <f t="shared" si="77"/>
        <v>WRONG VALUE</v>
      </c>
      <c r="L54" s="100" t="str">
        <f t="shared" si="77"/>
        <v>WRONG VALUE</v>
      </c>
      <c r="M54" s="100" t="str">
        <f t="shared" si="77"/>
        <v>WRONG VALUE</v>
      </c>
    </row>
    <row r="55" spans="1:18" x14ac:dyDescent="0.25">
      <c r="A55">
        <v>2</v>
      </c>
      <c r="B55" s="92" t="s">
        <v>91</v>
      </c>
      <c r="C55" s="93" t="s">
        <v>92</v>
      </c>
      <c r="D55" s="93" t="s">
        <v>93</v>
      </c>
      <c r="E55" s="93" t="s">
        <v>94</v>
      </c>
      <c r="F55" s="93" t="s">
        <v>95</v>
      </c>
      <c r="G55" s="94" t="s">
        <v>96</v>
      </c>
      <c r="H55" s="93" t="s">
        <v>97</v>
      </c>
      <c r="I55" s="93" t="s">
        <v>98</v>
      </c>
      <c r="J55" s="93" t="s">
        <v>99</v>
      </c>
      <c r="K55" s="93" t="s">
        <v>100</v>
      </c>
      <c r="L55" s="93" t="s">
        <v>101</v>
      </c>
      <c r="M55" s="95" t="s">
        <v>102</v>
      </c>
    </row>
    <row r="56" spans="1:18" ht="9" customHeight="1" x14ac:dyDescent="0.25">
      <c r="B56" s="96" t="str">
        <f>IF($C22&lt;70,"",1)</f>
        <v/>
      </c>
      <c r="C56" s="91" t="str">
        <f>IF($C22&lt;60,"",1)</f>
        <v/>
      </c>
      <c r="D56" s="91" t="str">
        <f>IF($C22&lt;35,"",1)</f>
        <v/>
      </c>
      <c r="E56" s="91" t="str">
        <f>IF($C22&lt;84,"",1)</f>
        <v/>
      </c>
      <c r="F56" s="91" t="str">
        <f>IF($C22&lt;80,"",1)</f>
        <v/>
      </c>
      <c r="G56" s="91" t="str">
        <f>IF($C22&lt;96,"",1)</f>
        <v/>
      </c>
      <c r="H56" s="91" t="str">
        <f>IF($C22&lt;78,"",1)</f>
        <v/>
      </c>
      <c r="I56" s="91" t="str">
        <f>IF($C22&lt;55,"",1)</f>
        <v/>
      </c>
      <c r="J56" s="91" t="str">
        <f>IF($C22&lt;37,"",1)</f>
        <v/>
      </c>
      <c r="K56" s="91" t="str">
        <f>IF($C22&lt;81,"",1)</f>
        <v/>
      </c>
      <c r="L56" s="91" t="str">
        <f>IF($C22&lt;57,"",1)</f>
        <v/>
      </c>
      <c r="M56" s="97" t="str">
        <f>IF($C22&lt;33,"",1)</f>
        <v/>
      </c>
    </row>
    <row r="57" spans="1:18" ht="9.75" customHeight="1" x14ac:dyDescent="0.25">
      <c r="B57" s="96">
        <f>IF(AND($C23&gt;=70,$C23&lt;80),"",1)</f>
        <v>1</v>
      </c>
      <c r="C57" s="91">
        <f>IF(AND($C23&gt;=60,$C23&lt;88),"",1)</f>
        <v>1</v>
      </c>
      <c r="D57" s="91">
        <f>IF(AND($C23&gt;=35,$C23&lt;60),"",1)</f>
        <v>1</v>
      </c>
      <c r="E57" s="91">
        <f>IF(AND($C23&gt;=84,$C23&lt;93),"",1)</f>
        <v>1</v>
      </c>
      <c r="F57" s="91">
        <f>IF(AND($C23&gt;=80,$C23&lt;94),"",1)</f>
        <v>1</v>
      </c>
      <c r="G57" s="91">
        <f>IF($C23&gt;=96,"",1)</f>
        <v>1</v>
      </c>
      <c r="H57" s="91">
        <f>IF(AND($C23&gt;=78,$C23&lt;90),"",1)</f>
        <v>1</v>
      </c>
      <c r="I57" s="91">
        <f>IF(AND($C23&gt;=55,$C23&lt;77),"",1)</f>
        <v>1</v>
      </c>
      <c r="J57" s="91">
        <f>IF(AND($C23&gt;=37,$C23&lt;66),"",1)</f>
        <v>1</v>
      </c>
      <c r="K57" s="91">
        <f>IF(AND($C23&gt;=81,$C23&lt;87),"",1)</f>
        <v>1</v>
      </c>
      <c r="L57" s="91">
        <f>IF(AND($C23&gt;=57,$C23&lt;70),"",1)</f>
        <v>1</v>
      </c>
      <c r="M57" s="97">
        <f>IF(AND($C23&gt;=33,$C23&lt;53),"",1)</f>
        <v>1</v>
      </c>
    </row>
    <row r="58" spans="1:18" ht="9" customHeight="1" x14ac:dyDescent="0.25">
      <c r="B58" s="96">
        <f>IF($C24&gt;=80,"",1)</f>
        <v>1</v>
      </c>
      <c r="C58" s="91">
        <f>IF($C24&gt;=88,"",1)</f>
        <v>1</v>
      </c>
      <c r="D58" s="91">
        <f>IF($C24&gt;=60,"",1)</f>
        <v>1</v>
      </c>
      <c r="E58" s="91">
        <f>IF($C24&gt;=93,"",1)</f>
        <v>1</v>
      </c>
      <c r="F58" s="91">
        <f>IF($C24&gt;=94,"",1)</f>
        <v>1</v>
      </c>
      <c r="G58" s="91"/>
      <c r="H58" s="91">
        <f>IF($C24&gt;=90,"",1)</f>
        <v>1</v>
      </c>
      <c r="I58" s="91">
        <f>IF($C24&gt;=77,"",1)</f>
        <v>1</v>
      </c>
      <c r="J58" s="91">
        <f>IF($C24&gt;=66,"",1)</f>
        <v>1</v>
      </c>
      <c r="K58" s="91">
        <f>IF($C24&gt;=87,"",1)</f>
        <v>1</v>
      </c>
      <c r="L58" s="91">
        <f>IF($C24&gt;=70,"",1)</f>
        <v>1</v>
      </c>
      <c r="M58" s="97">
        <f>IF($C24&gt;=53,"",1)</f>
        <v>1</v>
      </c>
    </row>
    <row r="59" spans="1:18" x14ac:dyDescent="0.25">
      <c r="B59" s="98">
        <f t="shared" ref="B59:M59" si="78">SUM(B56:B58)</f>
        <v>2</v>
      </c>
      <c r="C59">
        <f t="shared" si="78"/>
        <v>2</v>
      </c>
      <c r="D59">
        <f t="shared" si="78"/>
        <v>2</v>
      </c>
      <c r="E59">
        <f t="shared" si="78"/>
        <v>2</v>
      </c>
      <c r="F59">
        <f t="shared" si="78"/>
        <v>2</v>
      </c>
      <c r="G59">
        <f t="shared" si="78"/>
        <v>1</v>
      </c>
      <c r="H59">
        <f t="shared" si="78"/>
        <v>2</v>
      </c>
      <c r="I59">
        <f t="shared" si="78"/>
        <v>2</v>
      </c>
      <c r="J59">
        <f t="shared" si="78"/>
        <v>2</v>
      </c>
      <c r="K59">
        <f t="shared" si="78"/>
        <v>2</v>
      </c>
      <c r="L59">
        <f t="shared" si="78"/>
        <v>2</v>
      </c>
      <c r="M59" s="99">
        <f t="shared" si="78"/>
        <v>2</v>
      </c>
    </row>
    <row r="60" spans="1:18" x14ac:dyDescent="0.25">
      <c r="B60" s="100" t="str">
        <f>IF(B59&gt;0,"WRONG VALUE","")</f>
        <v>WRONG VALUE</v>
      </c>
      <c r="C60" s="100" t="str">
        <f t="shared" ref="C60" si="79">IF(C59&gt;0,"WRONG VALUE","")</f>
        <v>WRONG VALUE</v>
      </c>
      <c r="D60" s="100" t="str">
        <f t="shared" ref="D60" si="80">IF(D59&gt;0,"WRONG VALUE","")</f>
        <v>WRONG VALUE</v>
      </c>
      <c r="E60" s="100" t="str">
        <f t="shared" ref="E60" si="81">IF(E59&gt;0,"WRONG VALUE","")</f>
        <v>WRONG VALUE</v>
      </c>
      <c r="F60" s="100" t="str">
        <f t="shared" ref="F60" si="82">IF(F59&gt;0,"WRONG VALUE","")</f>
        <v>WRONG VALUE</v>
      </c>
      <c r="G60" s="100" t="str">
        <f t="shared" ref="G60" si="83">IF(G59&gt;0,"WRONG VALUE","")</f>
        <v>WRONG VALUE</v>
      </c>
      <c r="H60" s="100" t="str">
        <f t="shared" ref="H60" si="84">IF(H59&gt;0,"WRONG VALUE","")</f>
        <v>WRONG VALUE</v>
      </c>
      <c r="I60" s="100" t="str">
        <f t="shared" ref="I60" si="85">IF(I59&gt;0,"WRONG VALUE","")</f>
        <v>WRONG VALUE</v>
      </c>
      <c r="J60" s="100" t="str">
        <f t="shared" ref="J60" si="86">IF(J59&gt;0,"WRONG VALUE","")</f>
        <v>WRONG VALUE</v>
      </c>
      <c r="K60" s="100" t="str">
        <f t="shared" ref="K60" si="87">IF(K59&gt;0,"WRONG VALUE","")</f>
        <v>WRONG VALUE</v>
      </c>
      <c r="L60" s="100" t="str">
        <f t="shared" ref="L60" si="88">IF(L59&gt;0,"WRONG VALUE","")</f>
        <v>WRONG VALUE</v>
      </c>
      <c r="M60" s="100" t="str">
        <f t="shared" ref="M60" si="89">IF(M59&gt;0,"WRONG VALUE","")</f>
        <v>WRONG VALUE</v>
      </c>
    </row>
    <row r="61" spans="1:18" ht="15.75" customHeight="1" x14ac:dyDescent="0.25">
      <c r="A61">
        <v>3</v>
      </c>
      <c r="B61" s="92" t="s">
        <v>91</v>
      </c>
      <c r="C61" s="93" t="s">
        <v>92</v>
      </c>
      <c r="D61" s="93" t="s">
        <v>93</v>
      </c>
      <c r="E61" s="93" t="s">
        <v>94</v>
      </c>
      <c r="F61" s="93" t="s">
        <v>95</v>
      </c>
      <c r="G61" s="94" t="s">
        <v>96</v>
      </c>
      <c r="H61" s="93" t="s">
        <v>97</v>
      </c>
      <c r="I61" s="93" t="s">
        <v>98</v>
      </c>
      <c r="J61" s="93" t="s">
        <v>99</v>
      </c>
      <c r="K61" s="93" t="s">
        <v>100</v>
      </c>
      <c r="L61" s="93" t="s">
        <v>101</v>
      </c>
      <c r="M61" s="95" t="s">
        <v>102</v>
      </c>
    </row>
    <row r="62" spans="1:18" ht="11.25" customHeight="1" x14ac:dyDescent="0.25">
      <c r="B62" s="96" t="str">
        <f>IF($C26&lt;70,"",1)</f>
        <v/>
      </c>
      <c r="C62" s="91" t="str">
        <f>IF($C26&lt;60,"",1)</f>
        <v/>
      </c>
      <c r="D62" s="91" t="str">
        <f>IF($C26&lt;35,"",1)</f>
        <v/>
      </c>
      <c r="E62" s="91" t="str">
        <f>IF($C26&lt;84,"",1)</f>
        <v/>
      </c>
      <c r="F62" s="91" t="str">
        <f>IF($C26&lt;80,"",1)</f>
        <v/>
      </c>
      <c r="G62" s="91" t="str">
        <f>IF($C26&lt;96,"",1)</f>
        <v/>
      </c>
      <c r="H62" s="91" t="str">
        <f>IF($C26&lt;78,"",1)</f>
        <v/>
      </c>
      <c r="I62" s="91" t="str">
        <f>IF($C26&lt;55,"",1)</f>
        <v/>
      </c>
      <c r="J62" s="91" t="str">
        <f>IF($C26&lt;37,"",1)</f>
        <v/>
      </c>
      <c r="K62" s="91" t="str">
        <f>IF($C26&lt;81,"",1)</f>
        <v/>
      </c>
      <c r="L62" s="91" t="str">
        <f>IF($C26&lt;57,"",1)</f>
        <v/>
      </c>
      <c r="M62" s="97" t="str">
        <f>IF($C26&lt;33,"",1)</f>
        <v/>
      </c>
    </row>
    <row r="63" spans="1:18" x14ac:dyDescent="0.25">
      <c r="B63" s="96">
        <f>IF(AND($C27&gt;=70,$C27&lt;80),"",1)</f>
        <v>1</v>
      </c>
      <c r="C63" s="91">
        <f>IF(AND($C27&gt;=60,$C27&lt;88),"",1)</f>
        <v>1</v>
      </c>
      <c r="D63" s="91">
        <f>IF(AND($C27&gt;=35,$C27&lt;60),"",1)</f>
        <v>1</v>
      </c>
      <c r="E63" s="91">
        <f>IF(AND($C27&gt;=84,$C27&lt;93),"",1)</f>
        <v>1</v>
      </c>
      <c r="F63" s="91">
        <f>IF(AND($C27&gt;=80,$C27&lt;94),"",1)</f>
        <v>1</v>
      </c>
      <c r="G63" s="91">
        <f>IF($C27&gt;=96,"",1)</f>
        <v>1</v>
      </c>
      <c r="H63" s="91">
        <f>IF(AND($C27&gt;=78,$C27&lt;90),"",1)</f>
        <v>1</v>
      </c>
      <c r="I63" s="91">
        <f>IF(AND($C27&gt;=55,$C27&lt;77),"",1)</f>
        <v>1</v>
      </c>
      <c r="J63" s="91">
        <f>IF(AND($C27&gt;=37,$C27&lt;66),"",1)</f>
        <v>1</v>
      </c>
      <c r="K63" s="91">
        <f>IF(AND($C27&gt;=81,$C27&lt;87),"",1)</f>
        <v>1</v>
      </c>
      <c r="L63" s="91">
        <f>IF(AND($C27&gt;=57,$C27&lt;70),"",1)</f>
        <v>1</v>
      </c>
      <c r="M63" s="97">
        <f>IF(AND($C27&gt;=33,$C27&lt;53),"",1)</f>
        <v>1</v>
      </c>
    </row>
    <row r="64" spans="1:18" x14ac:dyDescent="0.25">
      <c r="B64" s="96">
        <f>IF($C28&gt;=80,"",1)</f>
        <v>1</v>
      </c>
      <c r="C64" s="91">
        <f>IF($C28&gt;=88,"",1)</f>
        <v>1</v>
      </c>
      <c r="D64" s="91">
        <f>IF($C28&gt;=60,"",1)</f>
        <v>1</v>
      </c>
      <c r="E64" s="91">
        <f>IF($C28&gt;=93,"",1)</f>
        <v>1</v>
      </c>
      <c r="F64" s="91">
        <f>IF($C28&gt;=94,"",1)</f>
        <v>1</v>
      </c>
      <c r="G64" s="91"/>
      <c r="H64" s="91">
        <f>IF($C28&gt;=90,"",1)</f>
        <v>1</v>
      </c>
      <c r="I64" s="91">
        <f>IF($C28&gt;=77,"",1)</f>
        <v>1</v>
      </c>
      <c r="J64" s="91">
        <f>IF($C28&gt;=66,"",1)</f>
        <v>1</v>
      </c>
      <c r="K64" s="91">
        <f>IF($C28&gt;=87,"",1)</f>
        <v>1</v>
      </c>
      <c r="L64" s="91">
        <f>IF($C28&gt;=70,"",1)</f>
        <v>1</v>
      </c>
      <c r="M64" s="97">
        <f>IF($C28&gt;=53,"",1)</f>
        <v>1</v>
      </c>
      <c r="N64" s="2"/>
      <c r="O64" s="2"/>
      <c r="P64" s="2"/>
      <c r="Q64" s="2"/>
      <c r="R64" s="2"/>
    </row>
    <row r="65" spans="1:18" x14ac:dyDescent="0.25">
      <c r="B65" s="98">
        <f t="shared" ref="B65:M65" si="90">SUM(B62:B64)</f>
        <v>2</v>
      </c>
      <c r="C65">
        <f t="shared" si="90"/>
        <v>2</v>
      </c>
      <c r="D65">
        <f t="shared" si="90"/>
        <v>2</v>
      </c>
      <c r="E65">
        <f t="shared" si="90"/>
        <v>2</v>
      </c>
      <c r="F65">
        <f t="shared" si="90"/>
        <v>2</v>
      </c>
      <c r="G65">
        <f t="shared" si="90"/>
        <v>1</v>
      </c>
      <c r="H65">
        <f t="shared" si="90"/>
        <v>2</v>
      </c>
      <c r="I65">
        <f t="shared" si="90"/>
        <v>2</v>
      </c>
      <c r="J65">
        <f t="shared" si="90"/>
        <v>2</v>
      </c>
      <c r="K65">
        <f t="shared" si="90"/>
        <v>2</v>
      </c>
      <c r="L65">
        <f t="shared" si="90"/>
        <v>2</v>
      </c>
      <c r="M65" s="99">
        <f t="shared" si="90"/>
        <v>2</v>
      </c>
    </row>
    <row r="66" spans="1:18" x14ac:dyDescent="0.25">
      <c r="B66" s="100" t="str">
        <f>IF(B65&gt;0,"WRONG VALUE","")</f>
        <v>WRONG VALUE</v>
      </c>
      <c r="C66" s="100" t="str">
        <f t="shared" ref="C66" si="91">IF(C65&gt;0,"WRONG VALUE","")</f>
        <v>WRONG VALUE</v>
      </c>
      <c r="D66" s="100" t="str">
        <f t="shared" ref="D66" si="92">IF(D65&gt;0,"WRONG VALUE","")</f>
        <v>WRONG VALUE</v>
      </c>
      <c r="E66" s="100" t="str">
        <f t="shared" ref="E66" si="93">IF(E65&gt;0,"WRONG VALUE","")</f>
        <v>WRONG VALUE</v>
      </c>
      <c r="F66" s="100" t="str">
        <f t="shared" ref="F66" si="94">IF(F65&gt;0,"WRONG VALUE","")</f>
        <v>WRONG VALUE</v>
      </c>
      <c r="G66" s="100" t="str">
        <f t="shared" ref="G66" si="95">IF(G65&gt;0,"WRONG VALUE","")</f>
        <v>WRONG VALUE</v>
      </c>
      <c r="H66" s="100" t="str">
        <f t="shared" ref="H66" si="96">IF(H65&gt;0,"WRONG VALUE","")</f>
        <v>WRONG VALUE</v>
      </c>
      <c r="I66" s="100" t="str">
        <f t="shared" ref="I66" si="97">IF(I65&gt;0,"WRONG VALUE","")</f>
        <v>WRONG VALUE</v>
      </c>
      <c r="J66" s="100" t="str">
        <f t="shared" ref="J66" si="98">IF(J65&gt;0,"WRONG VALUE","")</f>
        <v>WRONG VALUE</v>
      </c>
      <c r="K66" s="100" t="str">
        <f t="shared" ref="K66" si="99">IF(K65&gt;0,"WRONG VALUE","")</f>
        <v>WRONG VALUE</v>
      </c>
      <c r="L66" s="100" t="str">
        <f t="shared" ref="L66" si="100">IF(L65&gt;0,"WRONG VALUE","")</f>
        <v>WRONG VALUE</v>
      </c>
      <c r="M66" s="100" t="str">
        <f t="shared" ref="M66" si="101">IF(M65&gt;0,"WRONG VALUE","")</f>
        <v>WRONG VALUE</v>
      </c>
      <c r="N66" s="2"/>
      <c r="O66" s="2"/>
      <c r="P66" s="2"/>
      <c r="Q66" s="2"/>
      <c r="R66" s="2"/>
    </row>
    <row r="67" spans="1:18" x14ac:dyDescent="0.25">
      <c r="A67">
        <v>4</v>
      </c>
      <c r="B67" s="92" t="s">
        <v>91</v>
      </c>
      <c r="C67" s="93" t="s">
        <v>92</v>
      </c>
      <c r="D67" s="93" t="s">
        <v>93</v>
      </c>
      <c r="E67" s="93" t="s">
        <v>94</v>
      </c>
      <c r="F67" s="93" t="s">
        <v>95</v>
      </c>
      <c r="G67" s="94" t="s">
        <v>96</v>
      </c>
      <c r="H67" s="93" t="s">
        <v>97</v>
      </c>
      <c r="I67" s="93" t="s">
        <v>98</v>
      </c>
      <c r="J67" s="93" t="s">
        <v>99</v>
      </c>
      <c r="K67" s="93" t="s">
        <v>100</v>
      </c>
      <c r="L67" s="93" t="s">
        <v>101</v>
      </c>
      <c r="M67" s="95" t="s">
        <v>102</v>
      </c>
      <c r="N67" s="2"/>
      <c r="O67" s="2"/>
      <c r="P67" s="2"/>
      <c r="Q67" s="2"/>
      <c r="R67" s="2"/>
    </row>
    <row r="68" spans="1:18" x14ac:dyDescent="0.25">
      <c r="B68" s="96" t="str">
        <f>IF($C30&lt;70,"",1)</f>
        <v/>
      </c>
      <c r="C68" s="91" t="str">
        <f>IF($C30&lt;60,"",1)</f>
        <v/>
      </c>
      <c r="D68" s="91" t="str">
        <f>IF($C30&lt;35,"",1)</f>
        <v/>
      </c>
      <c r="E68" s="91" t="str">
        <f>IF($C30&lt;84,"",1)</f>
        <v/>
      </c>
      <c r="F68" s="91" t="str">
        <f>IF($C30&lt;80,"",1)</f>
        <v/>
      </c>
      <c r="G68" s="91" t="str">
        <f>IF($C30&lt;96,"",1)</f>
        <v/>
      </c>
      <c r="H68" s="91" t="str">
        <f>IF($C30&lt;78,"",1)</f>
        <v/>
      </c>
      <c r="I68" s="91" t="str">
        <f>IF($C30&lt;55,"",1)</f>
        <v/>
      </c>
      <c r="J68" s="91" t="str">
        <f>IF($C30&lt;37,"",1)</f>
        <v/>
      </c>
      <c r="K68" s="91" t="str">
        <f>IF($C30&lt;81,"",1)</f>
        <v/>
      </c>
      <c r="L68" s="91" t="str">
        <f>IF($C30&lt;57,"",1)</f>
        <v/>
      </c>
      <c r="M68" s="97" t="str">
        <f>IF($C30&lt;33,"",1)</f>
        <v/>
      </c>
    </row>
    <row r="69" spans="1:18" x14ac:dyDescent="0.25">
      <c r="B69" s="96">
        <f>IF(AND($C31&gt;=70,$C31&lt;80),"",1)</f>
        <v>1</v>
      </c>
      <c r="C69" s="91">
        <f>IF(AND($C31&gt;=60,$C31&lt;88),"",1)</f>
        <v>1</v>
      </c>
      <c r="D69" s="91">
        <f>IF(AND($C31&gt;=35,$C31&lt;60),"",1)</f>
        <v>1</v>
      </c>
      <c r="E69" s="91">
        <f>IF(AND($C31&gt;=84,$C31&lt;93),"",1)</f>
        <v>1</v>
      </c>
      <c r="F69" s="91">
        <f>IF(AND($C31&gt;=80,$C31&lt;94),"",1)</f>
        <v>1</v>
      </c>
      <c r="G69" s="91">
        <f>IF($C31&gt;=96,"",1)</f>
        <v>1</v>
      </c>
      <c r="H69" s="91">
        <f>IF(AND($C31&gt;=78,$C31&lt;90),"",1)</f>
        <v>1</v>
      </c>
      <c r="I69" s="91">
        <f>IF(AND($C31&gt;=55,$C31&lt;77),"",1)</f>
        <v>1</v>
      </c>
      <c r="J69" s="91">
        <f>IF(AND($C31&gt;=37,$C31&lt;66),"",1)</f>
        <v>1</v>
      </c>
      <c r="K69" s="91">
        <f>IF(AND($C31&gt;=81,$C31&lt;87),"",1)</f>
        <v>1</v>
      </c>
      <c r="L69" s="91">
        <f>IF(AND($C31&gt;=57,$C31&lt;70),"",1)</f>
        <v>1</v>
      </c>
      <c r="M69" s="97">
        <f>IF(AND($C31&gt;=33,$C31&lt;53),"",1)</f>
        <v>1</v>
      </c>
    </row>
    <row r="70" spans="1:18" x14ac:dyDescent="0.25">
      <c r="B70" s="96">
        <f>IF($C32&gt;=80,"",1)</f>
        <v>1</v>
      </c>
      <c r="C70" s="91">
        <f>IF($C32&gt;=88,"",1)</f>
        <v>1</v>
      </c>
      <c r="D70" s="91">
        <f>IF($C32&gt;=60,"",1)</f>
        <v>1</v>
      </c>
      <c r="E70" s="91">
        <f>IF($C32&gt;=93,"",1)</f>
        <v>1</v>
      </c>
      <c r="F70" s="91">
        <f>IF($C32&gt;=94,"",1)</f>
        <v>1</v>
      </c>
      <c r="G70" s="91"/>
      <c r="H70" s="91">
        <f>IF($C32&gt;=90,"",1)</f>
        <v>1</v>
      </c>
      <c r="I70" s="91">
        <f>IF($C32&gt;=77,"",1)</f>
        <v>1</v>
      </c>
      <c r="J70" s="91">
        <f>IF($C32&gt;=66,"",1)</f>
        <v>1</v>
      </c>
      <c r="K70" s="91">
        <f>IF($C32&gt;=87,"",1)</f>
        <v>1</v>
      </c>
      <c r="L70" s="91">
        <f>IF($C32&gt;=70,"",1)</f>
        <v>1</v>
      </c>
      <c r="M70" s="97">
        <f>IF($C32&gt;=53,"",1)</f>
        <v>1</v>
      </c>
    </row>
    <row r="71" spans="1:18" x14ac:dyDescent="0.25">
      <c r="B71" s="98">
        <f t="shared" ref="B71:M71" si="102">SUM(B68:B70)</f>
        <v>2</v>
      </c>
      <c r="C71">
        <f t="shared" si="102"/>
        <v>2</v>
      </c>
      <c r="D71">
        <f t="shared" si="102"/>
        <v>2</v>
      </c>
      <c r="E71">
        <f t="shared" si="102"/>
        <v>2</v>
      </c>
      <c r="F71">
        <f t="shared" si="102"/>
        <v>2</v>
      </c>
      <c r="G71">
        <f t="shared" si="102"/>
        <v>1</v>
      </c>
      <c r="H71">
        <f t="shared" si="102"/>
        <v>2</v>
      </c>
      <c r="I71">
        <f t="shared" si="102"/>
        <v>2</v>
      </c>
      <c r="J71">
        <f t="shared" si="102"/>
        <v>2</v>
      </c>
      <c r="K71">
        <f t="shared" si="102"/>
        <v>2</v>
      </c>
      <c r="L71">
        <f t="shared" si="102"/>
        <v>2</v>
      </c>
      <c r="M71" s="99">
        <f t="shared" si="102"/>
        <v>2</v>
      </c>
    </row>
    <row r="72" spans="1:18" x14ac:dyDescent="0.25">
      <c r="B72" s="100" t="str">
        <f>IF(B71&gt;0,"WRONG VALUE","")</f>
        <v>WRONG VALUE</v>
      </c>
      <c r="C72" s="100" t="str">
        <f t="shared" ref="C72" si="103">IF(C71&gt;0,"WRONG VALUE","")</f>
        <v>WRONG VALUE</v>
      </c>
      <c r="D72" s="100" t="str">
        <f t="shared" ref="D72" si="104">IF(D71&gt;0,"WRONG VALUE","")</f>
        <v>WRONG VALUE</v>
      </c>
      <c r="E72" s="100" t="str">
        <f t="shared" ref="E72" si="105">IF(E71&gt;0,"WRONG VALUE","")</f>
        <v>WRONG VALUE</v>
      </c>
      <c r="F72" s="100" t="str">
        <f t="shared" ref="F72" si="106">IF(F71&gt;0,"WRONG VALUE","")</f>
        <v>WRONG VALUE</v>
      </c>
      <c r="G72" s="100" t="str">
        <f t="shared" ref="G72" si="107">IF(G71&gt;0,"WRONG VALUE","")</f>
        <v>WRONG VALUE</v>
      </c>
      <c r="H72" s="100" t="str">
        <f t="shared" ref="H72" si="108">IF(H71&gt;0,"WRONG VALUE","")</f>
        <v>WRONG VALUE</v>
      </c>
      <c r="I72" s="100" t="str">
        <f t="shared" ref="I72" si="109">IF(I71&gt;0,"WRONG VALUE","")</f>
        <v>WRONG VALUE</v>
      </c>
      <c r="J72" s="100" t="str">
        <f t="shared" ref="J72" si="110">IF(J71&gt;0,"WRONG VALUE","")</f>
        <v>WRONG VALUE</v>
      </c>
      <c r="K72" s="100" t="str">
        <f t="shared" ref="K72" si="111">IF(K71&gt;0,"WRONG VALUE","")</f>
        <v>WRONG VALUE</v>
      </c>
      <c r="L72" s="100" t="str">
        <f t="shared" ref="L72" si="112">IF(L71&gt;0,"WRONG VALUE","")</f>
        <v>WRONG VALUE</v>
      </c>
      <c r="M72" s="100" t="str">
        <f t="shared" ref="M72" si="113">IF(M71&gt;0,"WRONG VALUE","")</f>
        <v>WRONG VALUE</v>
      </c>
    </row>
    <row r="73" spans="1:18" x14ac:dyDescent="0.25">
      <c r="A73">
        <v>5</v>
      </c>
      <c r="B73" s="92" t="s">
        <v>91</v>
      </c>
      <c r="C73" s="93" t="s">
        <v>92</v>
      </c>
      <c r="D73" s="93" t="s">
        <v>93</v>
      </c>
      <c r="E73" s="93" t="s">
        <v>94</v>
      </c>
      <c r="F73" s="93" t="s">
        <v>95</v>
      </c>
      <c r="G73" s="94" t="s">
        <v>96</v>
      </c>
      <c r="H73" s="93" t="s">
        <v>97</v>
      </c>
      <c r="I73" s="93" t="s">
        <v>98</v>
      </c>
      <c r="J73" s="93" t="s">
        <v>99</v>
      </c>
      <c r="K73" s="93" t="s">
        <v>100</v>
      </c>
      <c r="L73" s="93" t="s">
        <v>101</v>
      </c>
      <c r="M73" s="95" t="s">
        <v>102</v>
      </c>
    </row>
    <row r="74" spans="1:18" x14ac:dyDescent="0.25">
      <c r="B74" s="96" t="str">
        <f>IF($C34&lt;70,"",1)</f>
        <v/>
      </c>
      <c r="C74" s="91" t="str">
        <f>IF($C34&lt;60,"",1)</f>
        <v/>
      </c>
      <c r="D74" s="91" t="str">
        <f>IF($C34&lt;35,"",1)</f>
        <v/>
      </c>
      <c r="E74" s="91" t="str">
        <f>IF($C34&lt;84,"",1)</f>
        <v/>
      </c>
      <c r="F74" s="91" t="str">
        <f>IF($C34&lt;80,"",1)</f>
        <v/>
      </c>
      <c r="G74" s="91" t="str">
        <f>IF($C34&lt;96,"",1)</f>
        <v/>
      </c>
      <c r="H74" s="91" t="str">
        <f>IF($C34&lt;78,"",1)</f>
        <v/>
      </c>
      <c r="I74" s="91" t="str">
        <f>IF($C34&lt;55,"",1)</f>
        <v/>
      </c>
      <c r="J74" s="91" t="str">
        <f>IF($C34&lt;37,"",1)</f>
        <v/>
      </c>
      <c r="K74" s="91" t="str">
        <f>IF($C34&lt;81,"",1)</f>
        <v/>
      </c>
      <c r="L74" s="91" t="str">
        <f>IF($C34&lt;57,"",1)</f>
        <v/>
      </c>
      <c r="M74" s="97" t="str">
        <f>IF($C34&lt;33,"",1)</f>
        <v/>
      </c>
    </row>
    <row r="75" spans="1:18" x14ac:dyDescent="0.25">
      <c r="B75" s="96">
        <f>IF(AND($C35&gt;=70,$C35&lt;80),"",1)</f>
        <v>1</v>
      </c>
      <c r="C75" s="91">
        <f>IF(AND($C35&gt;=60,$C35&lt;88),"",1)</f>
        <v>1</v>
      </c>
      <c r="D75" s="91">
        <f>IF(AND($C35&gt;=35,$C35&lt;60),"",1)</f>
        <v>1</v>
      </c>
      <c r="E75" s="91">
        <f>IF(AND($C35&gt;=84,$C35&lt;93),"",1)</f>
        <v>1</v>
      </c>
      <c r="F75" s="91">
        <f>IF(AND($C35&gt;=80,$C35&lt;94),"",1)</f>
        <v>1</v>
      </c>
      <c r="G75" s="91">
        <f>IF($C35&gt;=96,"",1)</f>
        <v>1</v>
      </c>
      <c r="H75" s="91">
        <f>IF(AND($C35&gt;=78,$C35&lt;90),"",1)</f>
        <v>1</v>
      </c>
      <c r="I75" s="91">
        <f>IF(AND($C35&gt;=55,$C35&lt;77),"",1)</f>
        <v>1</v>
      </c>
      <c r="J75" s="91">
        <f>IF(AND($C35&gt;=37,$C35&lt;66),"",1)</f>
        <v>1</v>
      </c>
      <c r="K75" s="91">
        <f>IF(AND($C35&gt;=81,$C35&lt;87),"",1)</f>
        <v>1</v>
      </c>
      <c r="L75" s="91">
        <f>IF(AND($C35&gt;=57,$C35&lt;70),"",1)</f>
        <v>1</v>
      </c>
      <c r="M75" s="97">
        <f>IF(AND($C35&gt;=33,$C35&lt;53),"",1)</f>
        <v>1</v>
      </c>
    </row>
    <row r="76" spans="1:18" x14ac:dyDescent="0.25">
      <c r="B76" s="96">
        <f>IF($C36&gt;=80,"",1)</f>
        <v>1</v>
      </c>
      <c r="C76" s="91">
        <f>IF($C36&gt;=88,"",1)</f>
        <v>1</v>
      </c>
      <c r="D76" s="91">
        <f>IF($C36&gt;=60,"",1)</f>
        <v>1</v>
      </c>
      <c r="E76" s="91">
        <f>IF($C36&gt;=93,"",1)</f>
        <v>1</v>
      </c>
      <c r="F76" s="91">
        <f>IF($C36&gt;=94,"",1)</f>
        <v>1</v>
      </c>
      <c r="G76" s="91"/>
      <c r="H76" s="91">
        <f>IF($C36&gt;=90,"",1)</f>
        <v>1</v>
      </c>
      <c r="I76" s="91">
        <f>IF($C36&gt;=77,"",1)</f>
        <v>1</v>
      </c>
      <c r="J76" s="91">
        <f>IF($C36&gt;=66,"",1)</f>
        <v>1</v>
      </c>
      <c r="K76" s="91">
        <f>IF($C36&gt;=87,"",1)</f>
        <v>1</v>
      </c>
      <c r="L76" s="91">
        <f>IF($C36&gt;=70,"",1)</f>
        <v>1</v>
      </c>
      <c r="M76" s="97">
        <f>IF($C36&gt;=53,"",1)</f>
        <v>1</v>
      </c>
    </row>
    <row r="77" spans="1:18" x14ac:dyDescent="0.25">
      <c r="B77" s="98">
        <f t="shared" ref="B77:M77" si="114">SUM(B74:B76)</f>
        <v>2</v>
      </c>
      <c r="C77">
        <f t="shared" si="114"/>
        <v>2</v>
      </c>
      <c r="D77">
        <f t="shared" si="114"/>
        <v>2</v>
      </c>
      <c r="E77">
        <f t="shared" si="114"/>
        <v>2</v>
      </c>
      <c r="F77">
        <f t="shared" si="114"/>
        <v>2</v>
      </c>
      <c r="G77">
        <f t="shared" si="114"/>
        <v>1</v>
      </c>
      <c r="H77">
        <f t="shared" si="114"/>
        <v>2</v>
      </c>
      <c r="I77">
        <f t="shared" si="114"/>
        <v>2</v>
      </c>
      <c r="J77">
        <f t="shared" si="114"/>
        <v>2</v>
      </c>
      <c r="K77">
        <f t="shared" si="114"/>
        <v>2</v>
      </c>
      <c r="L77">
        <f t="shared" si="114"/>
        <v>2</v>
      </c>
      <c r="M77" s="99">
        <f t="shared" si="114"/>
        <v>2</v>
      </c>
    </row>
    <row r="78" spans="1:18" x14ac:dyDescent="0.25">
      <c r="B78" s="100" t="str">
        <f>IF(B77&gt;0,"WRONG VALUE","")</f>
        <v>WRONG VALUE</v>
      </c>
      <c r="C78" s="100" t="str">
        <f t="shared" ref="C78" si="115">IF(C77&gt;0,"WRONG VALUE","")</f>
        <v>WRONG VALUE</v>
      </c>
      <c r="D78" s="100" t="str">
        <f t="shared" ref="D78" si="116">IF(D77&gt;0,"WRONG VALUE","")</f>
        <v>WRONG VALUE</v>
      </c>
      <c r="E78" s="100" t="str">
        <f t="shared" ref="E78" si="117">IF(E77&gt;0,"WRONG VALUE","")</f>
        <v>WRONG VALUE</v>
      </c>
      <c r="F78" s="100" t="str">
        <f t="shared" ref="F78" si="118">IF(F77&gt;0,"WRONG VALUE","")</f>
        <v>WRONG VALUE</v>
      </c>
      <c r="G78" s="100" t="str">
        <f t="shared" ref="G78" si="119">IF(G77&gt;0,"WRONG VALUE","")</f>
        <v>WRONG VALUE</v>
      </c>
      <c r="H78" s="100" t="str">
        <f t="shared" ref="H78" si="120">IF(H77&gt;0,"WRONG VALUE","")</f>
        <v>WRONG VALUE</v>
      </c>
      <c r="I78" s="100" t="str">
        <f t="shared" ref="I78" si="121">IF(I77&gt;0,"WRONG VALUE","")</f>
        <v>WRONG VALUE</v>
      </c>
      <c r="J78" s="100" t="str">
        <f t="shared" ref="J78" si="122">IF(J77&gt;0,"WRONG VALUE","")</f>
        <v>WRONG VALUE</v>
      </c>
      <c r="K78" s="100" t="str">
        <f t="shared" ref="K78" si="123">IF(K77&gt;0,"WRONG VALUE","")</f>
        <v>WRONG VALUE</v>
      </c>
      <c r="L78" s="100" t="str">
        <f t="shared" ref="L78" si="124">IF(L77&gt;0,"WRONG VALUE","")</f>
        <v>WRONG VALUE</v>
      </c>
      <c r="M78" s="100" t="str">
        <f t="shared" ref="M78" si="125">IF(M77&gt;0,"WRONG VALUE","")</f>
        <v>WRONG VALUE</v>
      </c>
    </row>
    <row r="79" spans="1:18" x14ac:dyDescent="0.25">
      <c r="A79">
        <v>6</v>
      </c>
      <c r="B79" s="92" t="s">
        <v>91</v>
      </c>
      <c r="C79" s="93" t="s">
        <v>92</v>
      </c>
      <c r="D79" s="93" t="s">
        <v>93</v>
      </c>
      <c r="E79" s="93" t="s">
        <v>94</v>
      </c>
      <c r="F79" s="93" t="s">
        <v>95</v>
      </c>
      <c r="G79" s="94" t="s">
        <v>96</v>
      </c>
      <c r="H79" s="93" t="s">
        <v>97</v>
      </c>
      <c r="I79" s="93" t="s">
        <v>98</v>
      </c>
      <c r="J79" s="93" t="s">
        <v>99</v>
      </c>
      <c r="K79" s="93" t="s">
        <v>100</v>
      </c>
      <c r="L79" s="93" t="s">
        <v>101</v>
      </c>
      <c r="M79" s="95" t="s">
        <v>102</v>
      </c>
    </row>
    <row r="80" spans="1:18" x14ac:dyDescent="0.25">
      <c r="B80" s="96" t="str">
        <f>IF($C38&lt;70,"",1)</f>
        <v/>
      </c>
      <c r="C80" s="91" t="str">
        <f>IF($C38&lt;60,"",1)</f>
        <v/>
      </c>
      <c r="D80" s="91" t="str">
        <f>IF($C38&lt;35,"",1)</f>
        <v/>
      </c>
      <c r="E80" s="91" t="str">
        <f>IF($C38&lt;84,"",1)</f>
        <v/>
      </c>
      <c r="F80" s="91" t="str">
        <f>IF($C38&lt;80,"",1)</f>
        <v/>
      </c>
      <c r="G80" s="91" t="str">
        <f>IF($C38&lt;96,"",1)</f>
        <v/>
      </c>
      <c r="H80" s="91" t="str">
        <f>IF($C38&lt;78,"",1)</f>
        <v/>
      </c>
      <c r="I80" s="91" t="str">
        <f>IF($C38&lt;55,"",1)</f>
        <v/>
      </c>
      <c r="J80" s="91" t="str">
        <f>IF($C38&lt;37,"",1)</f>
        <v/>
      </c>
      <c r="K80" s="91" t="str">
        <f>IF($C38&lt;81,"",1)</f>
        <v/>
      </c>
      <c r="L80" s="91" t="str">
        <f>IF($C38&lt;57,"",1)</f>
        <v/>
      </c>
      <c r="M80" s="97" t="str">
        <f>IF($C38&lt;33,"",1)</f>
        <v/>
      </c>
    </row>
    <row r="81" spans="1:13" x14ac:dyDescent="0.25">
      <c r="B81" s="96">
        <f>IF(AND($C39&gt;=70,$C39&lt;80),"",1)</f>
        <v>1</v>
      </c>
      <c r="C81" s="91">
        <f>IF(AND($C39&gt;=60,$C39&lt;88),"",1)</f>
        <v>1</v>
      </c>
      <c r="D81" s="91">
        <f>IF(AND($C39&gt;=35,$C39&lt;60),"",1)</f>
        <v>1</v>
      </c>
      <c r="E81" s="91">
        <f>IF(AND($C39&gt;=84,$C39&lt;93),"",1)</f>
        <v>1</v>
      </c>
      <c r="F81" s="91">
        <f>IF(AND($C39&gt;=80,$C39&lt;94),"",1)</f>
        <v>1</v>
      </c>
      <c r="G81" s="91">
        <f>IF($C39&gt;=96,"",1)</f>
        <v>1</v>
      </c>
      <c r="H81" s="91">
        <f>IF(AND($C39&gt;=78,$C39&lt;90),"",1)</f>
        <v>1</v>
      </c>
      <c r="I81" s="91">
        <f>IF(AND($C39&gt;=55,$C39&lt;77),"",1)</f>
        <v>1</v>
      </c>
      <c r="J81" s="91">
        <f>IF(AND($C39&gt;=37,$C39&lt;66),"",1)</f>
        <v>1</v>
      </c>
      <c r="K81" s="91">
        <f>IF(AND($C39&gt;=81,$C39&lt;87),"",1)</f>
        <v>1</v>
      </c>
      <c r="L81" s="91">
        <f>IF(AND($C39&gt;=57,$C39&lt;70),"",1)</f>
        <v>1</v>
      </c>
      <c r="M81" s="97">
        <f>IF(AND($C39&gt;=33,$C39&lt;53),"",1)</f>
        <v>1</v>
      </c>
    </row>
    <row r="82" spans="1:13" x14ac:dyDescent="0.25">
      <c r="B82" s="96">
        <f>IF($C40&gt;=80,"",1)</f>
        <v>1</v>
      </c>
      <c r="C82" s="91">
        <f>IF($C40&gt;=88,"",1)</f>
        <v>1</v>
      </c>
      <c r="D82" s="91">
        <f>IF($C40&gt;=60,"",1)</f>
        <v>1</v>
      </c>
      <c r="E82" s="91">
        <f>IF($C40&gt;=93,"",1)</f>
        <v>1</v>
      </c>
      <c r="F82" s="91">
        <f>IF($C40&gt;=94,"",1)</f>
        <v>1</v>
      </c>
      <c r="G82" s="91"/>
      <c r="H82" s="91">
        <f>IF($C40&gt;=90,"",1)</f>
        <v>1</v>
      </c>
      <c r="I82" s="91">
        <f>IF($C40&gt;=77,"",1)</f>
        <v>1</v>
      </c>
      <c r="J82" s="91">
        <f>IF($C40&gt;=66,"",1)</f>
        <v>1</v>
      </c>
      <c r="K82" s="91">
        <f>IF($C40&gt;=87,"",1)</f>
        <v>1</v>
      </c>
      <c r="L82" s="91">
        <f>IF($C40&gt;=70,"",1)</f>
        <v>1</v>
      </c>
      <c r="M82" s="97">
        <f>IF($C40&gt;=53,"",1)</f>
        <v>1</v>
      </c>
    </row>
    <row r="83" spans="1:13" x14ac:dyDescent="0.25">
      <c r="B83" s="98">
        <f t="shared" ref="B83:M83" si="126">SUM(B80:B82)</f>
        <v>2</v>
      </c>
      <c r="C83">
        <f t="shared" si="126"/>
        <v>2</v>
      </c>
      <c r="D83">
        <f t="shared" si="126"/>
        <v>2</v>
      </c>
      <c r="E83">
        <f t="shared" si="126"/>
        <v>2</v>
      </c>
      <c r="F83">
        <f t="shared" si="126"/>
        <v>2</v>
      </c>
      <c r="G83">
        <f t="shared" si="126"/>
        <v>1</v>
      </c>
      <c r="H83">
        <f t="shared" si="126"/>
        <v>2</v>
      </c>
      <c r="I83">
        <f t="shared" si="126"/>
        <v>2</v>
      </c>
      <c r="J83">
        <f t="shared" si="126"/>
        <v>2</v>
      </c>
      <c r="K83">
        <f t="shared" si="126"/>
        <v>2</v>
      </c>
      <c r="L83">
        <f t="shared" si="126"/>
        <v>2</v>
      </c>
      <c r="M83" s="99">
        <f t="shared" si="126"/>
        <v>2</v>
      </c>
    </row>
    <row r="84" spans="1:13" x14ac:dyDescent="0.25">
      <c r="B84" s="100" t="str">
        <f>IF(B83&gt;0,"WRONG VALUE","")</f>
        <v>WRONG VALUE</v>
      </c>
      <c r="C84" s="100" t="str">
        <f t="shared" ref="C84" si="127">IF(C83&gt;0,"WRONG VALUE","")</f>
        <v>WRONG VALUE</v>
      </c>
      <c r="D84" s="100" t="str">
        <f t="shared" ref="D84" si="128">IF(D83&gt;0,"WRONG VALUE","")</f>
        <v>WRONG VALUE</v>
      </c>
      <c r="E84" s="100" t="str">
        <f t="shared" ref="E84" si="129">IF(E83&gt;0,"WRONG VALUE","")</f>
        <v>WRONG VALUE</v>
      </c>
      <c r="F84" s="100" t="str">
        <f t="shared" ref="F84" si="130">IF(F83&gt;0,"WRONG VALUE","")</f>
        <v>WRONG VALUE</v>
      </c>
      <c r="G84" s="100" t="str">
        <f t="shared" ref="G84" si="131">IF(G83&gt;0,"WRONG VALUE","")</f>
        <v>WRONG VALUE</v>
      </c>
      <c r="H84" s="100" t="str">
        <f t="shared" ref="H84" si="132">IF(H83&gt;0,"WRONG VALUE","")</f>
        <v>WRONG VALUE</v>
      </c>
      <c r="I84" s="100" t="str">
        <f t="shared" ref="I84" si="133">IF(I83&gt;0,"WRONG VALUE","")</f>
        <v>WRONG VALUE</v>
      </c>
      <c r="J84" s="100" t="str">
        <f t="shared" ref="J84" si="134">IF(J83&gt;0,"WRONG VALUE","")</f>
        <v>WRONG VALUE</v>
      </c>
      <c r="K84" s="100" t="str">
        <f t="shared" ref="K84" si="135">IF(K83&gt;0,"WRONG VALUE","")</f>
        <v>WRONG VALUE</v>
      </c>
      <c r="L84" s="100" t="str">
        <f t="shared" ref="L84" si="136">IF(L83&gt;0,"WRONG VALUE","")</f>
        <v>WRONG VALUE</v>
      </c>
      <c r="M84" s="100" t="str">
        <f t="shared" ref="M84" si="137">IF(M83&gt;0,"WRONG VALUE","")</f>
        <v>WRONG VALUE</v>
      </c>
    </row>
    <row r="85" spans="1:13" x14ac:dyDescent="0.25">
      <c r="A85">
        <v>7</v>
      </c>
      <c r="B85" s="92" t="s">
        <v>91</v>
      </c>
      <c r="C85" s="93" t="s">
        <v>92</v>
      </c>
      <c r="D85" s="93" t="s">
        <v>93</v>
      </c>
      <c r="E85" s="93" t="s">
        <v>94</v>
      </c>
      <c r="F85" s="93" t="s">
        <v>95</v>
      </c>
      <c r="G85" s="94" t="s">
        <v>96</v>
      </c>
      <c r="H85" s="93" t="s">
        <v>97</v>
      </c>
      <c r="I85" s="93" t="s">
        <v>98</v>
      </c>
      <c r="J85" s="93" t="s">
        <v>99</v>
      </c>
      <c r="K85" s="93" t="s">
        <v>100</v>
      </c>
      <c r="L85" s="93" t="s">
        <v>101</v>
      </c>
      <c r="M85" s="95" t="s">
        <v>102</v>
      </c>
    </row>
    <row r="86" spans="1:13" x14ac:dyDescent="0.25">
      <c r="B86" s="96" t="str">
        <f>IF($C42&lt;70,"",1)</f>
        <v/>
      </c>
      <c r="C86" s="91" t="str">
        <f>IF($C42&lt;60,"",1)</f>
        <v/>
      </c>
      <c r="D86" s="91" t="str">
        <f>IF($C42&lt;35,"",1)</f>
        <v/>
      </c>
      <c r="E86" s="91" t="str">
        <f>IF($C42&lt;84,"",1)</f>
        <v/>
      </c>
      <c r="F86" s="91" t="str">
        <f>IF($C42&lt;80,"",1)</f>
        <v/>
      </c>
      <c r="G86" s="91" t="str">
        <f>IF($C42&lt;96,"",1)</f>
        <v/>
      </c>
      <c r="H86" s="91" t="str">
        <f>IF($C42&lt;78,"",1)</f>
        <v/>
      </c>
      <c r="I86" s="91" t="str">
        <f>IF($C42&lt;55,"",1)</f>
        <v/>
      </c>
      <c r="J86" s="91" t="str">
        <f>IF($C42&lt;37,"",1)</f>
        <v/>
      </c>
      <c r="K86" s="91" t="str">
        <f>IF($C42&lt;81,"",1)</f>
        <v/>
      </c>
      <c r="L86" s="91" t="str">
        <f>IF($C42&lt;57,"",1)</f>
        <v/>
      </c>
      <c r="M86" s="97" t="str">
        <f>IF($C42&lt;33,"",1)</f>
        <v/>
      </c>
    </row>
    <row r="87" spans="1:13" x14ac:dyDescent="0.25">
      <c r="B87" s="96">
        <f>IF(AND($C43&gt;=70,$C43&lt;80),"",1)</f>
        <v>1</v>
      </c>
      <c r="C87" s="91">
        <f>IF(AND($C43&gt;=60,$C43&lt;88),"",1)</f>
        <v>1</v>
      </c>
      <c r="D87" s="91">
        <f>IF(AND($C43&gt;=35,$C43&lt;60),"",1)</f>
        <v>1</v>
      </c>
      <c r="E87" s="91">
        <f>IF(AND($C43&gt;=84,$C43&lt;93),"",1)</f>
        <v>1</v>
      </c>
      <c r="F87" s="91">
        <f>IF(AND($C43&gt;=80,$C43&lt;94),"",1)</f>
        <v>1</v>
      </c>
      <c r="G87" s="91">
        <f>IF($C43&gt;=96,"",1)</f>
        <v>1</v>
      </c>
      <c r="H87" s="91">
        <f>IF(AND($C43&gt;=78,$C43&lt;90),"",1)</f>
        <v>1</v>
      </c>
      <c r="I87" s="91">
        <f>IF(AND($C43&gt;=55,$C43&lt;77),"",1)</f>
        <v>1</v>
      </c>
      <c r="J87" s="91">
        <f>IF(AND($C43&gt;=37,$C43&lt;66),"",1)</f>
        <v>1</v>
      </c>
      <c r="K87" s="91">
        <f>IF(AND($C43&gt;=81,$C43&lt;87),"",1)</f>
        <v>1</v>
      </c>
      <c r="L87" s="91">
        <f>IF(AND($C43&gt;=57,$C43&lt;70),"",1)</f>
        <v>1</v>
      </c>
      <c r="M87" s="97">
        <f>IF(AND($C43&gt;=33,$C43&lt;53),"",1)</f>
        <v>1</v>
      </c>
    </row>
    <row r="88" spans="1:13" x14ac:dyDescent="0.25">
      <c r="B88" s="96">
        <f>IF($C44&gt;=80,"",1)</f>
        <v>1</v>
      </c>
      <c r="C88" s="91">
        <f>IF($C44&gt;=88,"",1)</f>
        <v>1</v>
      </c>
      <c r="D88" s="91">
        <f>IF($C44&gt;=60,"",1)</f>
        <v>1</v>
      </c>
      <c r="E88" s="91">
        <f>IF($C44&gt;=93,"",1)</f>
        <v>1</v>
      </c>
      <c r="F88" s="91">
        <f>IF($C44&gt;=94,"",1)</f>
        <v>1</v>
      </c>
      <c r="G88" s="91"/>
      <c r="H88" s="91">
        <f>IF($C44&gt;=90,"",1)</f>
        <v>1</v>
      </c>
      <c r="I88" s="91">
        <f>IF($C44&gt;=77,"",1)</f>
        <v>1</v>
      </c>
      <c r="J88" s="91">
        <f>IF($C44&gt;=66,"",1)</f>
        <v>1</v>
      </c>
      <c r="K88" s="91">
        <f>IF($C44&gt;=87,"",1)</f>
        <v>1</v>
      </c>
      <c r="L88" s="91">
        <f>IF($C44&gt;=70,"",1)</f>
        <v>1</v>
      </c>
      <c r="M88" s="97">
        <f>IF($C44&gt;=53,"",1)</f>
        <v>1</v>
      </c>
    </row>
    <row r="89" spans="1:13" x14ac:dyDescent="0.25">
      <c r="B89" s="98">
        <f t="shared" ref="B89:M89" si="138">SUM(B86:B88)</f>
        <v>2</v>
      </c>
      <c r="C89">
        <f t="shared" si="138"/>
        <v>2</v>
      </c>
      <c r="D89">
        <f t="shared" si="138"/>
        <v>2</v>
      </c>
      <c r="E89">
        <f t="shared" si="138"/>
        <v>2</v>
      </c>
      <c r="F89">
        <f t="shared" si="138"/>
        <v>2</v>
      </c>
      <c r="G89">
        <f t="shared" si="138"/>
        <v>1</v>
      </c>
      <c r="H89">
        <f t="shared" si="138"/>
        <v>2</v>
      </c>
      <c r="I89">
        <f t="shared" si="138"/>
        <v>2</v>
      </c>
      <c r="J89">
        <f t="shared" si="138"/>
        <v>2</v>
      </c>
      <c r="K89">
        <f t="shared" si="138"/>
        <v>2</v>
      </c>
      <c r="L89">
        <f t="shared" si="138"/>
        <v>2</v>
      </c>
      <c r="M89" s="99">
        <f t="shared" si="138"/>
        <v>2</v>
      </c>
    </row>
    <row r="90" spans="1:13" x14ac:dyDescent="0.25">
      <c r="B90" s="100" t="str">
        <f>IF(B89&gt;0,"WRONG VALUE","")</f>
        <v>WRONG VALUE</v>
      </c>
      <c r="C90" s="100" t="str">
        <f t="shared" ref="C90" si="139">IF(C89&gt;0,"WRONG VALUE","")</f>
        <v>WRONG VALUE</v>
      </c>
      <c r="D90" s="100" t="str">
        <f t="shared" ref="D90" si="140">IF(D89&gt;0,"WRONG VALUE","")</f>
        <v>WRONG VALUE</v>
      </c>
      <c r="E90" s="100" t="str">
        <f t="shared" ref="E90" si="141">IF(E89&gt;0,"WRONG VALUE","")</f>
        <v>WRONG VALUE</v>
      </c>
      <c r="F90" s="100" t="str">
        <f t="shared" ref="F90" si="142">IF(F89&gt;0,"WRONG VALUE","")</f>
        <v>WRONG VALUE</v>
      </c>
      <c r="G90" s="100" t="str">
        <f t="shared" ref="G90" si="143">IF(G89&gt;0,"WRONG VALUE","")</f>
        <v>WRONG VALUE</v>
      </c>
      <c r="H90" s="100" t="str">
        <f t="shared" ref="H90" si="144">IF(H89&gt;0,"WRONG VALUE","")</f>
        <v>WRONG VALUE</v>
      </c>
      <c r="I90" s="100" t="str">
        <f t="shared" ref="I90" si="145">IF(I89&gt;0,"WRONG VALUE","")</f>
        <v>WRONG VALUE</v>
      </c>
      <c r="J90" s="100" t="str">
        <f t="shared" ref="J90" si="146">IF(J89&gt;0,"WRONG VALUE","")</f>
        <v>WRONG VALUE</v>
      </c>
      <c r="K90" s="100" t="str">
        <f t="shared" ref="K90" si="147">IF(K89&gt;0,"WRONG VALUE","")</f>
        <v>WRONG VALUE</v>
      </c>
      <c r="L90" s="100" t="str">
        <f t="shared" ref="L90" si="148">IF(L89&gt;0,"WRONG VALUE","")</f>
        <v>WRONG VALUE</v>
      </c>
      <c r="M90" s="100" t="str">
        <f t="shared" ref="M90" si="149">IF(M89&gt;0,"WRONG VALUE","")</f>
        <v>WRONG VALUE</v>
      </c>
    </row>
  </sheetData>
  <mergeCells count="46">
    <mergeCell ref="B46:L46"/>
    <mergeCell ref="P1:S1"/>
    <mergeCell ref="B47:L47"/>
    <mergeCell ref="D28:E28"/>
    <mergeCell ref="D29:E29"/>
    <mergeCell ref="B29:C29"/>
    <mergeCell ref="B33:C33"/>
    <mergeCell ref="B37:C37"/>
    <mergeCell ref="B41:C41"/>
    <mergeCell ref="D36:E36"/>
    <mergeCell ref="D41:E41"/>
    <mergeCell ref="D40:E40"/>
    <mergeCell ref="D39:E39"/>
    <mergeCell ref="D38:E38"/>
    <mergeCell ref="B21:C21"/>
    <mergeCell ref="B1:O1"/>
    <mergeCell ref="B2:O2"/>
    <mergeCell ref="N3:O3"/>
    <mergeCell ref="N4:O4"/>
    <mergeCell ref="B10:O10"/>
    <mergeCell ref="B25:C25"/>
    <mergeCell ref="D44:E44"/>
    <mergeCell ref="D43:E43"/>
    <mergeCell ref="D30:E30"/>
    <mergeCell ref="D31:E31"/>
    <mergeCell ref="D32:E32"/>
    <mergeCell ref="D33:E33"/>
    <mergeCell ref="D34:E34"/>
    <mergeCell ref="D35:E35"/>
    <mergeCell ref="D42:E42"/>
    <mergeCell ref="B45:C45"/>
    <mergeCell ref="S17:T17"/>
    <mergeCell ref="D37:E37"/>
    <mergeCell ref="D25:E25"/>
    <mergeCell ref="B13:O13"/>
    <mergeCell ref="D27:E27"/>
    <mergeCell ref="B16:C16"/>
    <mergeCell ref="D16:E16"/>
    <mergeCell ref="D18:E18"/>
    <mergeCell ref="D19:E19"/>
    <mergeCell ref="D20:E20"/>
    <mergeCell ref="D21:E21"/>
    <mergeCell ref="D22:E22"/>
    <mergeCell ref="D23:E23"/>
    <mergeCell ref="D24:E24"/>
    <mergeCell ref="D26:E26"/>
  </mergeCells>
  <dataValidations count="11">
    <dataValidation type="list" allowBlank="1" showInputMessage="1" showErrorMessage="1" sqref="W11:Z15 J9 D11 V8 W3:Z8 V3:V6 V11:V13 V15" xr:uid="{00000000-0002-0000-0000-000000000000}">
      <formula1>yesno</formula1>
    </dataValidation>
    <dataValidation type="list" allowBlank="1" showInputMessage="1" showErrorMessage="1" sqref="L3" xr:uid="{00000000-0002-0000-0000-000001000000}">
      <formula1>Condition</formula1>
    </dataValidation>
    <dataValidation type="list" allowBlank="1" showInputMessage="1" showErrorMessage="1" sqref="O47" xr:uid="{00000000-0002-0000-0000-000002000000}">
      <formula1>Results</formula1>
    </dataValidation>
    <dataValidation type="list" allowBlank="1" showInputMessage="1" showErrorMessage="1" sqref="F14:O14" xr:uid="{00000000-0002-0000-0000-000004000000}">
      <formula1>Scales</formula1>
    </dataValidation>
    <dataValidation type="list" allowBlank="1" showInputMessage="1" showErrorMessage="1" sqref="B46:L46" xr:uid="{00000000-0002-0000-0000-000005000000}">
      <formula1>CommentsAF</formula1>
    </dataValidation>
    <dataValidation type="list" allowBlank="1" showInputMessage="1" showErrorMessage="1" sqref="O46" xr:uid="{00000000-0002-0000-0000-000006000000}">
      <formula1>ResultsAF</formula1>
    </dataValidation>
    <dataValidation type="date" operator="lessThan" allowBlank="1" showInputMessage="1" showErrorMessage="1" sqref="N6" xr:uid="{C13D5D0F-8F51-423D-A468-73A663B73DDB}">
      <formula1>N7</formula1>
    </dataValidation>
    <dataValidation type="date" operator="greaterThan" allowBlank="1" showInputMessage="1" showErrorMessage="1" sqref="N7" xr:uid="{54FD7E65-1884-4683-993B-CD480F0EEB19}">
      <formula1>N6</formula1>
    </dataValidation>
    <dataValidation type="textLength" operator="greaterThan" showInputMessage="1" showErrorMessage="1" sqref="N8:N9 N5" xr:uid="{550C38C5-FA67-4057-A0BD-A0C3D0917911}">
      <formula1>1</formula1>
    </dataValidation>
    <dataValidation type="custom" operator="greaterThan" showErrorMessage="1" errorTitle="Improper Format" error="Use format 56561-012345-01 or 56561-012345.01-01 for child orders." sqref="D3" xr:uid="{2AC83E39-ED65-4D7D-A298-E4544061AD09}">
      <formula1>A1</formula1>
    </dataValidation>
    <dataValidation type="custom" showInputMessage="1" showErrorMessage="1" sqref="D6 G3" xr:uid="{C7032BEC-E215-40B1-9F7C-276675DE4ACD}">
      <formula1>NOT(ISBLANK(D3))</formula1>
    </dataValidation>
  </dataValidations>
  <pageMargins left="0.7" right="0.7" top="0.75" bottom="0.75" header="0.3" footer="0.3"/>
  <pageSetup scale="39" orientation="portrait" horizontalDpi="4294967295" verticalDpi="4294967295" r:id="rId1"/>
  <customProperties>
    <customPr name="%locator_row%" r:id="rId2"/>
    <customPr name="%startcell%" r:id="rId3"/>
  </customPropertie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mmments">
                <anchor moveWithCells="1">
                  <from>
                    <xdr:col>16</xdr:col>
                    <xdr:colOff>428625</xdr:colOff>
                    <xdr:row>45</xdr:row>
                    <xdr:rowOff>38100</xdr:rowOff>
                  </from>
                  <to>
                    <xdr:col>18</xdr:col>
                    <xdr:colOff>1076325</xdr:colOff>
                    <xdr:row>46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Check Box 6">
              <controlPr defaultSize="0" autoFill="0" autoLine="0" autoPict="0">
                <anchor moveWithCells="1">
                  <from>
                    <xdr:col>7</xdr:col>
                    <xdr:colOff>47625</xdr:colOff>
                    <xdr:row>6</xdr:row>
                    <xdr:rowOff>152400</xdr:rowOff>
                  </from>
                  <to>
                    <xdr:col>8</xdr:col>
                    <xdr:colOff>542925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ImportData">
                <anchor moveWithCells="1">
                  <from>
                    <xdr:col>15</xdr:col>
                    <xdr:colOff>180975</xdr:colOff>
                    <xdr:row>10</xdr:row>
                    <xdr:rowOff>76200</xdr:rowOff>
                  </from>
                  <to>
                    <xdr:col>16</xdr:col>
                    <xdr:colOff>447675</xdr:colOff>
                    <xdr:row>11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errorStyle="warning" showInputMessage="1" showErrorMessage="1" xr:uid="{C396ED07-DDC6-466F-BDFB-5751D862EC79}">
          <x14:formula1>
            <xm:f>Sheet3!$L$20:$L$1048576</xm:f>
          </x14:formula1>
          <xm:sqref>G6</xm:sqref>
        </x14:dataValidation>
        <x14:dataValidation type="list" errorStyle="warning" showInputMessage="1" showErrorMessage="1" xr:uid="{5AFAF5A7-BC00-4926-83F2-1CAC2B7EAA37}">
          <x14:formula1>
            <xm:f>Sheet3!$D$20:$D$21</xm:f>
          </x14:formula1>
          <xm:sqref>D5</xm:sqref>
        </x14:dataValidation>
        <x14:dataValidation type="list" errorStyle="warning" showInputMessage="1" showErrorMessage="1" xr:uid="{4D222363-CE05-44B4-AD6D-5611A640DAE5}">
          <x14:formula1>
            <xm:f>Sheet3!$I$20:$I$1048576</xm:f>
          </x14:formula1>
          <xm:sqref>D4</xm:sqref>
        </x14:dataValidation>
        <x14:dataValidation type="list" errorStyle="warning" allowBlank="1" showInputMessage="1" showErrorMessage="1" xr:uid="{9502BFF0-0F39-4EDC-931F-55CE4CAC00B3}">
          <x14:formula1>
            <xm:f>Sheet3!$G$20:$G$1048576</xm:f>
          </x14:formula1>
          <xm:sqref>D8</xm:sqref>
        </x14:dataValidation>
        <x14:dataValidation type="list" errorStyle="warning" allowBlank="1" showInputMessage="1" showErrorMessage="1" xr:uid="{912549AA-1FCA-4254-984E-FCD651282CE5}">
          <x14:formula1>
            <xm:f>Sheet3!$F$20:$F$1048576</xm:f>
          </x14:formula1>
          <xm:sqref>G7</xm:sqref>
        </x14:dataValidation>
        <x14:dataValidation type="list" errorStyle="warning" showInputMessage="1" showErrorMessage="1" xr:uid="{3E98397E-57CF-4F6B-A1D1-61FAF938413B}">
          <x14:formula1>
            <xm:f>Sheet3!$J$20:$J$1048576</xm:f>
          </x14:formula1>
          <xm:sqref>G4</xm:sqref>
        </x14:dataValidation>
        <x14:dataValidation type="list" errorStyle="warning" allowBlank="1" showInputMessage="1" showErrorMessage="1" xr:uid="{B2724134-94F3-4A7A-BE91-4671ABE33010}">
          <x14:formula1>
            <xm:f>Sheet3!$K$20:$K$1048576</xm:f>
          </x14:formula1>
          <xm:sqref>G5</xm:sqref>
        </x14:dataValidation>
        <x14:dataValidation type="list" errorStyle="warning" allowBlank="1" showInputMessage="1" showErrorMessage="1" xr:uid="{F3549855-B931-4F76-BD15-9E544EC6B079}">
          <x14:formula1>
            <xm:f>Sheet3!$E$20:$E999</xm:f>
          </x14:formula1>
          <xm:sqref>D7</xm:sqref>
        </x14:dataValidation>
        <x14:dataValidation type="list" allowBlank="1" showInputMessage="1" showErrorMessage="1" xr:uid="{F6847EAA-D874-4132-B926-FB537F084F4A}">
          <x14:formula1>
            <xm:f>Sheet3!H3:H8</xm:f>
          </x14:formula1>
          <xm:sqref>B47:L47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BD125"/>
  <sheetViews>
    <sheetView view="pageBreakPreview" zoomScaleNormal="100" zoomScaleSheetLayoutView="100" workbookViewId="0">
      <selection activeCell="I9" sqref="I9"/>
    </sheetView>
  </sheetViews>
  <sheetFormatPr defaultRowHeight="15" x14ac:dyDescent="0.25"/>
  <cols>
    <col min="1" max="1" width="7.140625" customWidth="1"/>
    <col min="2" max="2" width="8.140625" customWidth="1"/>
    <col min="3" max="3" width="10.28515625" customWidth="1"/>
    <col min="4" max="4" width="8" customWidth="1"/>
    <col min="5" max="5" width="8.28515625" customWidth="1"/>
    <col min="6" max="9" width="9.7109375" customWidth="1"/>
    <col min="10" max="10" width="12.140625" customWidth="1"/>
    <col min="11" max="12" width="9.7109375" customWidth="1"/>
    <col min="13" max="13" width="11.140625" customWidth="1"/>
    <col min="14" max="14" width="9.7109375" customWidth="1"/>
    <col min="15" max="15" width="4.28515625" customWidth="1"/>
  </cols>
  <sheetData>
    <row r="1" spans="1:56" ht="26.25" x14ac:dyDescent="0.4">
      <c r="C1" s="133" t="s">
        <v>103</v>
      </c>
      <c r="D1" s="133"/>
      <c r="E1" s="133"/>
      <c r="F1" s="133"/>
      <c r="G1" s="133"/>
      <c r="H1" s="133"/>
      <c r="I1" s="133"/>
      <c r="J1" s="133"/>
      <c r="K1" s="133"/>
      <c r="L1" s="133"/>
      <c r="M1" s="133"/>
    </row>
    <row r="2" spans="1:56" ht="18.75" x14ac:dyDescent="0.3">
      <c r="C2" s="153" t="s">
        <v>104</v>
      </c>
      <c r="D2" s="153"/>
      <c r="E2" s="153"/>
      <c r="F2" s="153"/>
      <c r="G2" s="153"/>
      <c r="H2" s="153"/>
      <c r="I2" s="153"/>
      <c r="J2" s="153"/>
      <c r="K2" s="153"/>
      <c r="L2" s="153"/>
      <c r="M2" s="153"/>
      <c r="AI2" s="130"/>
      <c r="AJ2" s="130"/>
      <c r="AL2" s="130"/>
      <c r="AM2" s="130"/>
      <c r="AO2" s="130"/>
      <c r="AP2" s="130"/>
      <c r="AR2" s="130"/>
      <c r="AS2" s="130"/>
      <c r="AT2" s="19"/>
      <c r="AU2" s="130"/>
      <c r="AV2" s="130"/>
    </row>
    <row r="3" spans="1:56" ht="18.75" x14ac:dyDescent="0.3">
      <c r="C3" s="153" t="s">
        <v>105</v>
      </c>
      <c r="D3" s="153"/>
      <c r="E3" s="153"/>
      <c r="F3" s="153"/>
      <c r="G3" s="153"/>
      <c r="H3" s="153"/>
      <c r="I3" s="153"/>
      <c r="J3" s="153"/>
      <c r="K3" s="153"/>
      <c r="L3" s="153"/>
      <c r="M3" s="153"/>
    </row>
    <row r="4" spans="1:56" ht="23.25" x14ac:dyDescent="0.35">
      <c r="C4" s="80"/>
      <c r="D4" s="80"/>
      <c r="E4" s="81"/>
      <c r="F4" s="159" t="s">
        <v>106</v>
      </c>
      <c r="G4" s="159"/>
      <c r="H4" s="159"/>
      <c r="I4" s="159"/>
      <c r="J4" s="159"/>
      <c r="K4" s="159"/>
      <c r="L4" s="80"/>
      <c r="M4" s="80"/>
    </row>
    <row r="5" spans="1:56" ht="18.75" x14ac:dyDescent="0.3">
      <c r="G5" s="160"/>
      <c r="H5" s="160"/>
      <c r="I5" s="160"/>
      <c r="J5" s="160"/>
      <c r="AA5" s="62"/>
      <c r="AC5" s="3"/>
      <c r="AD5" s="3"/>
      <c r="AE5" s="3"/>
      <c r="AF5" s="3"/>
      <c r="AG5" s="3"/>
      <c r="AH5" s="3"/>
      <c r="BD5" s="4"/>
    </row>
    <row r="6" spans="1:56" ht="15.75" x14ac:dyDescent="0.25">
      <c r="A6" s="1" t="s">
        <v>107</v>
      </c>
      <c r="C6" s="21" t="str">
        <f>IF(Worksheet!D3="","",Worksheet!D3)</f>
        <v/>
      </c>
      <c r="E6" s="4"/>
      <c r="F6" s="1"/>
      <c r="H6" s="161" t="s">
        <v>108</v>
      </c>
      <c r="I6" s="161"/>
      <c r="L6" t="s">
        <v>109</v>
      </c>
      <c r="BD6" s="4"/>
    </row>
    <row r="7" spans="1:56" ht="15.75" x14ac:dyDescent="0.25">
      <c r="A7" s="1" t="s">
        <v>110</v>
      </c>
      <c r="C7" s="21" t="str">
        <f>IF(Worksheet!D4="","",Worksheet!D4)</f>
        <v/>
      </c>
      <c r="L7" t="s">
        <v>111</v>
      </c>
      <c r="AX7" s="4"/>
    </row>
    <row r="8" spans="1:56" ht="15.75" x14ac:dyDescent="0.25">
      <c r="B8" s="4"/>
      <c r="C8" s="21" t="str">
        <f>IF(Worksheet!G4="","",Worksheet!G4)</f>
        <v/>
      </c>
      <c r="AX8" s="4"/>
    </row>
    <row r="9" spans="1:56" ht="15.75" x14ac:dyDescent="0.25">
      <c r="C9" s="21" t="str">
        <f>IF(Worksheet!G5="","",Worksheet!G5)</f>
        <v/>
      </c>
    </row>
    <row r="10" spans="1:56" ht="15.75" x14ac:dyDescent="0.25">
      <c r="C10" s="21" t="str">
        <f>IF(Worksheet!G6="","",Worksheet!G6)</f>
        <v/>
      </c>
    </row>
    <row r="11" spans="1:56" ht="15.75" x14ac:dyDescent="0.25">
      <c r="A11" s="1" t="s">
        <v>112</v>
      </c>
      <c r="C11" s="21" t="str">
        <f>IF(Worksheet!D5="","",Worksheet!D5)</f>
        <v/>
      </c>
      <c r="J11" s="1" t="s">
        <v>18</v>
      </c>
      <c r="L11" s="155" t="str">
        <f>IF(Worksheet!N5="","",Worksheet!N5)</f>
        <v/>
      </c>
      <c r="M11" s="155"/>
    </row>
    <row r="12" spans="1:56" ht="15.75" x14ac:dyDescent="0.25">
      <c r="A12" s="1" t="s">
        <v>113</v>
      </c>
      <c r="C12" s="21" t="str">
        <f>IF(Worksheet!D6="","",Worksheet!D6)</f>
        <v/>
      </c>
      <c r="J12" s="1" t="s">
        <v>22</v>
      </c>
      <c r="L12" s="156" t="str">
        <f>IF(Worksheet!N6="","",Worksheet!N6)</f>
        <v/>
      </c>
      <c r="M12" s="156"/>
    </row>
    <row r="13" spans="1:56" ht="15.75" x14ac:dyDescent="0.25">
      <c r="A13" s="1" t="s">
        <v>114</v>
      </c>
      <c r="C13" s="21" t="str">
        <f>IF(Worksheet!D7="","",Worksheet!I7)</f>
        <v/>
      </c>
      <c r="J13" s="1" t="s">
        <v>27</v>
      </c>
      <c r="L13" s="156" t="str">
        <f>IF(Worksheet!N7="","",Worksheet!N7)</f>
        <v/>
      </c>
      <c r="M13" s="156"/>
    </row>
    <row r="14" spans="1:56" ht="15.75" x14ac:dyDescent="0.25">
      <c r="A14" s="1" t="s">
        <v>115</v>
      </c>
      <c r="C14" s="21" t="str">
        <f>IF(Worksheet!D8="","",Worksheet!D8)</f>
        <v/>
      </c>
      <c r="F14" s="4" t="str">
        <f>IF(Worksheet!G3="","","Customer PO: ")</f>
        <v/>
      </c>
      <c r="G14" s="1" t="str">
        <f>IF(Worksheet!G3="","",Worksheet!G3)</f>
        <v/>
      </c>
      <c r="J14" s="1" t="s">
        <v>31</v>
      </c>
      <c r="L14" s="157" t="str">
        <f>IF(Worksheet!N8="","",Worksheet!N8)</f>
        <v/>
      </c>
      <c r="M14" s="157"/>
    </row>
    <row r="15" spans="1:56" ht="15.75" x14ac:dyDescent="0.25">
      <c r="A15" s="1" t="s">
        <v>116</v>
      </c>
      <c r="C15" s="21" t="str">
        <f>IF(Worksheet!D9="","",Worksheet!D9)</f>
        <v/>
      </c>
      <c r="F15" t="str">
        <f>IF(Worksheet!J9="YES","Tested on Site","")</f>
        <v/>
      </c>
      <c r="J15" s="1" t="s">
        <v>37</v>
      </c>
      <c r="L15" s="158" t="str">
        <f>IF(Worksheet!N9="","",Worksheet!N9)</f>
        <v/>
      </c>
      <c r="M15" s="158"/>
    </row>
    <row r="16" spans="1:56" ht="15" customHeight="1" x14ac:dyDescent="0.25">
      <c r="A16" t="s">
        <v>117</v>
      </c>
    </row>
    <row r="17" spans="1:19" ht="15.75" x14ac:dyDescent="0.25">
      <c r="A17" s="1" t="s">
        <v>118</v>
      </c>
      <c r="E17" s="20" t="str">
        <f>Worksheet!J11</f>
        <v>ASTM E-110-14</v>
      </c>
    </row>
    <row r="18" spans="1:19" ht="15.75" x14ac:dyDescent="0.25">
      <c r="A18" s="1" t="s">
        <v>119</v>
      </c>
      <c r="E18" s="20" t="s">
        <v>45</v>
      </c>
      <c r="I18" s="4" t="s">
        <v>120</v>
      </c>
      <c r="J18" s="21" t="s">
        <v>47</v>
      </c>
    </row>
    <row r="19" spans="1:19" x14ac:dyDescent="0.25">
      <c r="A19" t="s">
        <v>117</v>
      </c>
    </row>
    <row r="20" spans="1:19" x14ac:dyDescent="0.25">
      <c r="A20" s="154" t="s">
        <v>121</v>
      </c>
      <c r="B20" s="154"/>
      <c r="C20" s="154" t="s">
        <v>52</v>
      </c>
      <c r="D20" s="154"/>
      <c r="E20" s="16" t="s">
        <v>55</v>
      </c>
      <c r="F20" s="16" t="s">
        <v>56</v>
      </c>
      <c r="G20" s="16" t="s">
        <v>57</v>
      </c>
      <c r="H20" s="16" t="s">
        <v>58</v>
      </c>
      <c r="I20" s="16" t="s">
        <v>59</v>
      </c>
      <c r="J20" s="16" t="s">
        <v>60</v>
      </c>
      <c r="K20" s="16" t="s">
        <v>61</v>
      </c>
      <c r="L20" s="16" t="s">
        <v>62</v>
      </c>
      <c r="M20" s="44" t="s">
        <v>63</v>
      </c>
      <c r="N20" s="16" t="s">
        <v>122</v>
      </c>
    </row>
    <row r="21" spans="1:19" ht="15.75" x14ac:dyDescent="0.25">
      <c r="A21" s="147" t="str">
        <f>IF(Worksheet!C18="","",IF(Worksheet!D$11="NO",CONCATENATE(Worksheet!B18," ",R21),CONCATENATE(Worksheet!B18,"/P ",R21)))</f>
        <v/>
      </c>
      <c r="B21" s="148"/>
      <c r="C21" s="148" t="str">
        <f>IF(Worksheet!D18="","",Worksheet!D18)</f>
        <v/>
      </c>
      <c r="D21" s="148"/>
      <c r="E21" s="53" t="str">
        <f>IF(Worksheet!J18="","",Worksheet!J18)</f>
        <v/>
      </c>
      <c r="F21" s="53" t="str">
        <f>IF(Worksheet!K18="","",Worksheet!K18)</f>
        <v/>
      </c>
      <c r="G21" s="53" t="str">
        <f>IF(Worksheet!L18="","",Worksheet!L18)</f>
        <v/>
      </c>
      <c r="H21" s="53" t="str">
        <f>IF(Worksheet!M18="","",Worksheet!M18)</f>
        <v/>
      </c>
      <c r="I21" s="53" t="str">
        <f>IF(Worksheet!N18="","",Worksheet!N18)</f>
        <v/>
      </c>
      <c r="J21" s="85" t="str">
        <f>IF(Worksheet!O18="","",Worksheet!O18)</f>
        <v/>
      </c>
      <c r="K21" s="53" t="str">
        <f>IF(Worksheet!P18="","",Worksheet!P18)</f>
        <v/>
      </c>
      <c r="L21" s="53" t="str">
        <f>IF(Worksheet!Q18="","",Worksheet!Q18)</f>
        <v/>
      </c>
      <c r="M21" s="85" t="str">
        <f>IF(Worksheet!J18="","",Worksheet!R18)</f>
        <v/>
      </c>
      <c r="N21" s="47" t="str">
        <f>IF(Worksheet!B18="","",Worksheet!U18)</f>
        <v/>
      </c>
      <c r="P21" s="46"/>
      <c r="R21" s="20" t="str">
        <f>IF(Worksheet!C18="","",TEXT(Worksheet!C18,"0.0"))</f>
        <v/>
      </c>
      <c r="S21" s="20"/>
    </row>
    <row r="22" spans="1:19" ht="15.75" x14ac:dyDescent="0.25">
      <c r="A22" s="149" t="str">
        <f>IF(Worksheet!C19="","",IF(Worksheet!D$11="NO",CONCATENATE(Worksheet!B19," ",R22),CONCATENATE(Worksheet!B19,"/P ",R22)))</f>
        <v/>
      </c>
      <c r="B22" s="150"/>
      <c r="C22" s="150" t="str">
        <f>IF(Worksheet!D19="","",Worksheet!D19)</f>
        <v/>
      </c>
      <c r="D22" s="150"/>
      <c r="E22" s="54" t="str">
        <f>IF(Worksheet!J19="","",Worksheet!J19)</f>
        <v/>
      </c>
      <c r="F22" s="54" t="str">
        <f>IF(Worksheet!K19="","",Worksheet!K19)</f>
        <v/>
      </c>
      <c r="G22" s="54" t="str">
        <f>IF(Worksheet!L19="","",Worksheet!L19)</f>
        <v/>
      </c>
      <c r="H22" s="54" t="str">
        <f>IF(Worksheet!M19="","",Worksheet!M19)</f>
        <v/>
      </c>
      <c r="I22" s="54" t="str">
        <f>IF(Worksheet!N19="","",Worksheet!N19)</f>
        <v/>
      </c>
      <c r="J22" s="27" t="str">
        <f>IF(Worksheet!O19="","",Worksheet!O19)</f>
        <v/>
      </c>
      <c r="K22" s="54" t="str">
        <f>IF(Worksheet!P19="","",Worksheet!P19)</f>
        <v/>
      </c>
      <c r="L22" s="54" t="str">
        <f>IF(Worksheet!Q19="","",Worksheet!Q19)</f>
        <v/>
      </c>
      <c r="M22" s="27" t="str">
        <f>IF(Worksheet!J19="","",Worksheet!R19)</f>
        <v/>
      </c>
      <c r="N22" s="48" t="str">
        <f>IF(Worksheet!B19="","",Worksheet!U19)</f>
        <v/>
      </c>
      <c r="R22" s="20" t="str">
        <f>IF(Worksheet!C19="","",TEXT(Worksheet!C19,"0.0"))</f>
        <v/>
      </c>
      <c r="S22" s="20"/>
    </row>
    <row r="23" spans="1:19" ht="15.75" x14ac:dyDescent="0.25">
      <c r="A23" s="151" t="str">
        <f>IF(Worksheet!C20="","",IF(Worksheet!D$11="NO",CONCATENATE(Worksheet!B20," ",R23),CONCATENATE(Worksheet!B20,"/P ",R23)))</f>
        <v/>
      </c>
      <c r="B23" s="152"/>
      <c r="C23" s="152" t="str">
        <f>IF(Worksheet!D20="","",Worksheet!D20)</f>
        <v/>
      </c>
      <c r="D23" s="152"/>
      <c r="E23" s="55" t="str">
        <f>IF(Worksheet!J20="","",Worksheet!J20)</f>
        <v/>
      </c>
      <c r="F23" s="55" t="str">
        <f>IF(Worksheet!K20="","",Worksheet!K20)</f>
        <v/>
      </c>
      <c r="G23" s="55" t="str">
        <f>IF(Worksheet!L20="","",Worksheet!L20)</f>
        <v/>
      </c>
      <c r="H23" s="55" t="str">
        <f>IF(Worksheet!M20="","",Worksheet!M20)</f>
        <v/>
      </c>
      <c r="I23" s="55" t="str">
        <f>IF(Worksheet!N20="","",Worksheet!N20)</f>
        <v/>
      </c>
      <c r="J23" s="86" t="str">
        <f>IF(Worksheet!O20="","",Worksheet!O20)</f>
        <v/>
      </c>
      <c r="K23" s="55" t="str">
        <f>IF(Worksheet!P20="","",Worksheet!P20)</f>
        <v/>
      </c>
      <c r="L23" s="55" t="str">
        <f>IF(Worksheet!Q20="","",Worksheet!Q20)</f>
        <v/>
      </c>
      <c r="M23" s="86" t="str">
        <f>IF(Worksheet!J20="","",Worksheet!R20)</f>
        <v/>
      </c>
      <c r="N23" s="49" t="str">
        <f>IF(Worksheet!B20="","",Worksheet!U20)</f>
        <v/>
      </c>
      <c r="R23" s="20" t="str">
        <f>IF(Worksheet!C20="","",TEXT(Worksheet!C20,"0.0"))</f>
        <v/>
      </c>
      <c r="S23" s="20"/>
    </row>
    <row r="24" spans="1:19" ht="8.1" customHeight="1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87"/>
      <c r="L24" s="87"/>
      <c r="M24" s="20"/>
    </row>
    <row r="25" spans="1:19" ht="15.75" x14ac:dyDescent="0.25">
      <c r="A25" s="147" t="str">
        <f>IF(Worksheet!C22="","",IF(Worksheet!D$11="NO",CONCATENATE(Worksheet!B22," ",R25),CONCATENATE(Worksheet!B22,"/P ",R25)))</f>
        <v/>
      </c>
      <c r="B25" s="148"/>
      <c r="C25" s="148" t="str">
        <f>IF(Worksheet!D22="","",Worksheet!D22)</f>
        <v/>
      </c>
      <c r="D25" s="148"/>
      <c r="E25" s="53" t="str">
        <f>IF(Worksheet!J22="","",Worksheet!J22)</f>
        <v/>
      </c>
      <c r="F25" s="53" t="str">
        <f>IF(Worksheet!K22="","",Worksheet!K22)</f>
        <v/>
      </c>
      <c r="G25" s="53" t="str">
        <f>IF(Worksheet!L22="","",Worksheet!L22)</f>
        <v/>
      </c>
      <c r="H25" s="53" t="str">
        <f>IF(Worksheet!M22="","",Worksheet!M22)</f>
        <v/>
      </c>
      <c r="I25" s="53" t="str">
        <f>IF(Worksheet!N22="","",Worksheet!N22)</f>
        <v/>
      </c>
      <c r="J25" s="85" t="str">
        <f>IF(Worksheet!O22="","",Worksheet!O22)</f>
        <v/>
      </c>
      <c r="K25" s="53" t="str">
        <f>IF(Worksheet!P22="","",Worksheet!P22)</f>
        <v/>
      </c>
      <c r="L25" s="53" t="str">
        <f>IF(Worksheet!Q22="","",Worksheet!Q22)</f>
        <v/>
      </c>
      <c r="M25" s="85" t="str">
        <f>IF(Worksheet!J22="","",Worksheet!R22)</f>
        <v/>
      </c>
      <c r="N25" s="47" t="str">
        <f>IF(Worksheet!B22="","",Worksheet!U22)</f>
        <v/>
      </c>
      <c r="R25" s="20" t="str">
        <f>IF(Worksheet!C22="","",TEXT(Worksheet!C22,"0.0"))</f>
        <v/>
      </c>
    </row>
    <row r="26" spans="1:19" ht="15.75" x14ac:dyDescent="0.25">
      <c r="A26" s="149" t="str">
        <f>IF(Worksheet!C23="","",IF(Worksheet!D$11="NO",CONCATENATE(Worksheet!B23," ",R26),CONCATENATE(Worksheet!B23,"/P ",R26)))</f>
        <v/>
      </c>
      <c r="B26" s="150"/>
      <c r="C26" s="150" t="str">
        <f>IF(Worksheet!D23="","",Worksheet!D23)</f>
        <v/>
      </c>
      <c r="D26" s="150"/>
      <c r="E26" s="54" t="str">
        <f>IF(Worksheet!J23="","",Worksheet!J23)</f>
        <v/>
      </c>
      <c r="F26" s="54" t="str">
        <f>IF(Worksheet!K23="","",Worksheet!K23)</f>
        <v/>
      </c>
      <c r="G26" s="54" t="str">
        <f>IF(Worksheet!L23="","",Worksheet!L23)</f>
        <v/>
      </c>
      <c r="H26" s="54" t="str">
        <f>IF(Worksheet!M23="","",Worksheet!M23)</f>
        <v/>
      </c>
      <c r="I26" s="54" t="str">
        <f>IF(Worksheet!N23="","",Worksheet!N23)</f>
        <v/>
      </c>
      <c r="J26" s="27" t="str">
        <f>IF(Worksheet!O23="","",Worksheet!O23)</f>
        <v/>
      </c>
      <c r="K26" s="54" t="str">
        <f>IF(Worksheet!P23="","",Worksheet!P23)</f>
        <v/>
      </c>
      <c r="L26" s="54" t="str">
        <f>IF(Worksheet!Q23="","",Worksheet!Q23)</f>
        <v/>
      </c>
      <c r="M26" s="27" t="str">
        <f>IF(Worksheet!J23="","",Worksheet!R23)</f>
        <v/>
      </c>
      <c r="N26" s="48" t="str">
        <f>IF(Worksheet!B23="","",Worksheet!U23)</f>
        <v/>
      </c>
      <c r="R26" s="20" t="str">
        <f>IF(Worksheet!C23="","",TEXT(Worksheet!C23,"0.0"))</f>
        <v/>
      </c>
    </row>
    <row r="27" spans="1:19" ht="15.75" x14ac:dyDescent="0.25">
      <c r="A27" s="151" t="str">
        <f>IF(Worksheet!C24="","",IF(Worksheet!D$11="NO",CONCATENATE(Worksheet!B24," ",R27),CONCATENATE(Worksheet!B24,"/P ",R27)))</f>
        <v/>
      </c>
      <c r="B27" s="152"/>
      <c r="C27" s="152" t="str">
        <f>IF(Worksheet!D24="","",Worksheet!D24)</f>
        <v/>
      </c>
      <c r="D27" s="152"/>
      <c r="E27" s="55" t="str">
        <f>IF(Worksheet!J24="","",Worksheet!J24)</f>
        <v/>
      </c>
      <c r="F27" s="55" t="str">
        <f>IF(Worksheet!K24="","",Worksheet!K24)</f>
        <v/>
      </c>
      <c r="G27" s="55" t="str">
        <f>IF(Worksheet!L24="","",Worksheet!L24)</f>
        <v/>
      </c>
      <c r="H27" s="55" t="str">
        <f>IF(Worksheet!M24="","",Worksheet!M24)</f>
        <v/>
      </c>
      <c r="I27" s="55" t="str">
        <f>IF(Worksheet!N24="","",Worksheet!N24)</f>
        <v/>
      </c>
      <c r="J27" s="86" t="str">
        <f>IF(Worksheet!O24="","",Worksheet!O24)</f>
        <v/>
      </c>
      <c r="K27" s="55" t="str">
        <f>IF(Worksheet!P24="","",Worksheet!P24)</f>
        <v/>
      </c>
      <c r="L27" s="55" t="str">
        <f>IF(Worksheet!Q24="","",Worksheet!Q24)</f>
        <v/>
      </c>
      <c r="M27" s="86" t="str">
        <f>IF(Worksheet!J24="","",Worksheet!R24)</f>
        <v/>
      </c>
      <c r="N27" s="49" t="str">
        <f>IF(Worksheet!B24="","",Worksheet!U24)</f>
        <v/>
      </c>
      <c r="R27" s="20" t="str">
        <f>IF(Worksheet!C24="","",TEXT(Worksheet!C24,"0.0"))</f>
        <v/>
      </c>
    </row>
    <row r="28" spans="1:19" ht="8.1" customHeight="1" x14ac:dyDescent="0.25">
      <c r="A28" s="20"/>
      <c r="B28" s="20"/>
      <c r="C28" s="20"/>
      <c r="D28" s="20"/>
      <c r="E28" s="20"/>
      <c r="F28" s="20"/>
      <c r="G28" s="20"/>
      <c r="H28" s="20"/>
      <c r="I28" s="20"/>
      <c r="J28" s="20"/>
      <c r="K28" s="87"/>
      <c r="L28" s="87"/>
      <c r="M28" s="20"/>
    </row>
    <row r="29" spans="1:19" ht="15.75" x14ac:dyDescent="0.25">
      <c r="A29" s="147" t="str">
        <f>IF(Worksheet!C26="","",IF(Worksheet!D$11="NO",CONCATENATE(Worksheet!B26," ",R29),CONCATENATE(Worksheet!B26,"/P ",R29)))</f>
        <v/>
      </c>
      <c r="B29" s="148"/>
      <c r="C29" s="148" t="str">
        <f>IF(Worksheet!D26="","",Worksheet!D26)</f>
        <v/>
      </c>
      <c r="D29" s="148"/>
      <c r="E29" s="53" t="str">
        <f>IF(Worksheet!J26="","",Worksheet!J26)</f>
        <v/>
      </c>
      <c r="F29" s="53" t="str">
        <f>IF(Worksheet!K26="","",Worksheet!K26)</f>
        <v/>
      </c>
      <c r="G29" s="53" t="str">
        <f>IF(Worksheet!L26="","",Worksheet!L26)</f>
        <v/>
      </c>
      <c r="H29" s="53" t="str">
        <f>IF(Worksheet!M26="","",Worksheet!M26)</f>
        <v/>
      </c>
      <c r="I29" s="53" t="str">
        <f>IF(Worksheet!N26="","",Worksheet!N26)</f>
        <v/>
      </c>
      <c r="J29" s="85" t="str">
        <f>IF(Worksheet!O26="","",Worksheet!O26)</f>
        <v/>
      </c>
      <c r="K29" s="53" t="str">
        <f>IF(Worksheet!P26="","",Worksheet!P26)</f>
        <v/>
      </c>
      <c r="L29" s="53" t="str">
        <f>IF(Worksheet!Q26="","",Worksheet!Q26)</f>
        <v/>
      </c>
      <c r="M29" s="85" t="str">
        <f>IF(Worksheet!J26="","",Worksheet!R26)</f>
        <v/>
      </c>
      <c r="N29" s="47" t="str">
        <f>IF(Worksheet!B26="","",Worksheet!U26)</f>
        <v/>
      </c>
      <c r="R29" s="20" t="str">
        <f>IF(Worksheet!C26="","",TEXT(Worksheet!C26,"0.0"))</f>
        <v/>
      </c>
    </row>
    <row r="30" spans="1:19" ht="15.75" x14ac:dyDescent="0.25">
      <c r="A30" s="149" t="str">
        <f>IF(Worksheet!C27="","",IF(Worksheet!D$11="NO",CONCATENATE(Worksheet!B27," ",R30),CONCATENATE(Worksheet!B27,"/P ",R30)))</f>
        <v/>
      </c>
      <c r="B30" s="150"/>
      <c r="C30" s="150" t="str">
        <f>IF(Worksheet!D27="","",Worksheet!D27)</f>
        <v/>
      </c>
      <c r="D30" s="150"/>
      <c r="E30" s="54" t="str">
        <f>IF(Worksheet!J27="","",Worksheet!J27)</f>
        <v/>
      </c>
      <c r="F30" s="54" t="str">
        <f>IF(Worksheet!K27="","",Worksheet!K27)</f>
        <v/>
      </c>
      <c r="G30" s="54" t="str">
        <f>IF(Worksheet!L27="","",Worksheet!L27)</f>
        <v/>
      </c>
      <c r="H30" s="54" t="str">
        <f>IF(Worksheet!M27="","",Worksheet!M27)</f>
        <v/>
      </c>
      <c r="I30" s="54" t="str">
        <f>IF(Worksheet!N27="","",Worksheet!N27)</f>
        <v/>
      </c>
      <c r="J30" s="27" t="str">
        <f>IF(Worksheet!O27="","",Worksheet!O27)</f>
        <v/>
      </c>
      <c r="K30" s="54" t="str">
        <f>IF(Worksheet!P27="","",Worksheet!P27)</f>
        <v/>
      </c>
      <c r="L30" s="54" t="str">
        <f>IF(Worksheet!Q27="","",Worksheet!Q27)</f>
        <v/>
      </c>
      <c r="M30" s="27" t="str">
        <f>IF(Worksheet!J27="","",Worksheet!R27)</f>
        <v/>
      </c>
      <c r="N30" s="48" t="str">
        <f>IF(Worksheet!B27="","",Worksheet!U27)</f>
        <v/>
      </c>
      <c r="R30" s="20" t="str">
        <f>IF(Worksheet!C27="","",TEXT(Worksheet!C27,"0.0"))</f>
        <v/>
      </c>
    </row>
    <row r="31" spans="1:19" ht="15.75" x14ac:dyDescent="0.25">
      <c r="A31" s="151" t="str">
        <f>IF(Worksheet!C28="","",IF(Worksheet!D$11="NO",CONCATENATE(Worksheet!B28," ",R31),CONCATENATE(Worksheet!B28,"/P ",R31)))</f>
        <v/>
      </c>
      <c r="B31" s="152"/>
      <c r="C31" s="152" t="str">
        <f>IF(Worksheet!D28="","",Worksheet!D28)</f>
        <v/>
      </c>
      <c r="D31" s="152"/>
      <c r="E31" s="55" t="str">
        <f>IF(Worksheet!J28="","",Worksheet!J28)</f>
        <v/>
      </c>
      <c r="F31" s="55" t="str">
        <f>IF(Worksheet!K28="","",Worksheet!K28)</f>
        <v/>
      </c>
      <c r="G31" s="55" t="str">
        <f>IF(Worksheet!L28="","",Worksheet!L28)</f>
        <v/>
      </c>
      <c r="H31" s="55" t="str">
        <f>IF(Worksheet!M28="","",Worksheet!M28)</f>
        <v/>
      </c>
      <c r="I31" s="55" t="str">
        <f>IF(Worksheet!N28="","",Worksheet!N28)</f>
        <v/>
      </c>
      <c r="J31" s="86" t="str">
        <f>IF(Worksheet!O28="","",Worksheet!O28)</f>
        <v/>
      </c>
      <c r="K31" s="55" t="str">
        <f>IF(Worksheet!P28="","",Worksheet!P28)</f>
        <v/>
      </c>
      <c r="L31" s="55" t="str">
        <f>IF(Worksheet!Q28="","",Worksheet!Q28)</f>
        <v/>
      </c>
      <c r="M31" s="86" t="str">
        <f>IF(Worksheet!J28="","",Worksheet!R28)</f>
        <v/>
      </c>
      <c r="N31" s="49" t="str">
        <f>IF(Worksheet!B28="","",Worksheet!U28)</f>
        <v/>
      </c>
      <c r="R31" s="20" t="str">
        <f>IF(Worksheet!C28="","",TEXT(Worksheet!C28,"0.0"))</f>
        <v/>
      </c>
    </row>
    <row r="32" spans="1:19" ht="8.1" customHeight="1" x14ac:dyDescent="0.2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87"/>
      <c r="L32" s="87"/>
      <c r="M32" s="20"/>
    </row>
    <row r="33" spans="1:18" ht="15.75" x14ac:dyDescent="0.25">
      <c r="A33" s="147" t="str">
        <f>IF(Worksheet!C30="","",IF(Worksheet!D$11="NO",CONCATENATE(Worksheet!B30," ",R33),CONCATENATE(Worksheet!B30,"/P ",R33)))</f>
        <v/>
      </c>
      <c r="B33" s="148"/>
      <c r="C33" s="148" t="str">
        <f>IF(Worksheet!D30="","",Worksheet!D30)</f>
        <v/>
      </c>
      <c r="D33" s="148"/>
      <c r="E33" s="53" t="str">
        <f>IF(Worksheet!J30="","",Worksheet!J30)</f>
        <v/>
      </c>
      <c r="F33" s="53" t="str">
        <f>IF(Worksheet!K30="","",Worksheet!K30)</f>
        <v/>
      </c>
      <c r="G33" s="53" t="str">
        <f>IF(Worksheet!L30="","",Worksheet!L30)</f>
        <v/>
      </c>
      <c r="H33" s="53" t="str">
        <f>IF(Worksheet!M30="","",Worksheet!M30)</f>
        <v/>
      </c>
      <c r="I33" s="53" t="str">
        <f>IF(Worksheet!N30="","",Worksheet!N30)</f>
        <v/>
      </c>
      <c r="J33" s="85" t="str">
        <f>IF(Worksheet!O30="","",Worksheet!O30)</f>
        <v/>
      </c>
      <c r="K33" s="53" t="str">
        <f>IF(Worksheet!P30="","",Worksheet!P30)</f>
        <v/>
      </c>
      <c r="L33" s="53" t="str">
        <f>IF(Worksheet!Q30="","",Worksheet!Q30)</f>
        <v/>
      </c>
      <c r="M33" s="85" t="str">
        <f>IF(Worksheet!J30="","",Worksheet!R30)</f>
        <v/>
      </c>
      <c r="N33" s="47" t="str">
        <f>IF(Worksheet!B30="","",Worksheet!U30)</f>
        <v/>
      </c>
      <c r="R33" s="20" t="str">
        <f>IF(Worksheet!C30="","",TEXT(Worksheet!C30,"0.0"))</f>
        <v/>
      </c>
    </row>
    <row r="34" spans="1:18" ht="15.75" x14ac:dyDescent="0.25">
      <c r="A34" s="149" t="str">
        <f>IF(Worksheet!C31="","",IF(Worksheet!D$11="NO",CONCATENATE(Worksheet!B31," ",R34),CONCATENATE(Worksheet!B31,"/P ",R34)))</f>
        <v/>
      </c>
      <c r="B34" s="150"/>
      <c r="C34" s="150" t="str">
        <f>IF(Worksheet!D31="","",Worksheet!D31)</f>
        <v/>
      </c>
      <c r="D34" s="150"/>
      <c r="E34" s="54" t="str">
        <f>IF(Worksheet!J31="","",Worksheet!J31)</f>
        <v/>
      </c>
      <c r="F34" s="54" t="str">
        <f>IF(Worksheet!K31="","",Worksheet!K31)</f>
        <v/>
      </c>
      <c r="G34" s="54" t="str">
        <f>IF(Worksheet!L31="","",Worksheet!L31)</f>
        <v/>
      </c>
      <c r="H34" s="54" t="str">
        <f>IF(Worksheet!M31="","",Worksheet!M31)</f>
        <v/>
      </c>
      <c r="I34" s="54" t="str">
        <f>IF(Worksheet!N31="","",Worksheet!N31)</f>
        <v/>
      </c>
      <c r="J34" s="27" t="str">
        <f>IF(Worksheet!O31="","",Worksheet!O31)</f>
        <v/>
      </c>
      <c r="K34" s="54" t="str">
        <f>IF(Worksheet!P31="","",Worksheet!P31)</f>
        <v/>
      </c>
      <c r="L34" s="54" t="str">
        <f>IF(Worksheet!Q31="","",Worksheet!Q31)</f>
        <v/>
      </c>
      <c r="M34" s="27" t="str">
        <f>IF(Worksheet!J31="","",Worksheet!R31)</f>
        <v/>
      </c>
      <c r="N34" s="48" t="str">
        <f>IF(Worksheet!B31="","",Worksheet!U31)</f>
        <v/>
      </c>
      <c r="R34" s="20" t="str">
        <f>IF(Worksheet!C31="","",TEXT(Worksheet!C31,"0.0"))</f>
        <v/>
      </c>
    </row>
    <row r="35" spans="1:18" ht="15.75" x14ac:dyDescent="0.25">
      <c r="A35" s="151" t="str">
        <f>IF(Worksheet!C32="","",IF(Worksheet!D$11="NO",CONCATENATE(Worksheet!B32," ",R35),CONCATENATE(Worksheet!B32,"/P ",R35)))</f>
        <v/>
      </c>
      <c r="B35" s="152"/>
      <c r="C35" s="152" t="str">
        <f>IF(Worksheet!D32="","",Worksheet!D32)</f>
        <v/>
      </c>
      <c r="D35" s="152"/>
      <c r="E35" s="55" t="str">
        <f>IF(Worksheet!J32="","",Worksheet!J32)</f>
        <v/>
      </c>
      <c r="F35" s="55" t="str">
        <f>IF(Worksheet!K32="","",Worksheet!K32)</f>
        <v/>
      </c>
      <c r="G35" s="55" t="str">
        <f>IF(Worksheet!L32="","",Worksheet!L32)</f>
        <v/>
      </c>
      <c r="H35" s="55" t="str">
        <f>IF(Worksheet!M32="","",Worksheet!M32)</f>
        <v/>
      </c>
      <c r="I35" s="55" t="str">
        <f>IF(Worksheet!N32="","",Worksheet!N32)</f>
        <v/>
      </c>
      <c r="J35" s="86" t="str">
        <f>IF(Worksheet!O32="","",Worksheet!O32)</f>
        <v/>
      </c>
      <c r="K35" s="55" t="str">
        <f>IF(Worksheet!P32="","",Worksheet!P32)</f>
        <v/>
      </c>
      <c r="L35" s="55" t="str">
        <f>IF(Worksheet!Q32="","",Worksheet!Q32)</f>
        <v/>
      </c>
      <c r="M35" s="86" t="str">
        <f>IF(Worksheet!J32="","",Worksheet!R32)</f>
        <v/>
      </c>
      <c r="N35" s="49" t="str">
        <f>IF(Worksheet!B32="","",Worksheet!U32)</f>
        <v/>
      </c>
      <c r="R35" s="20" t="str">
        <f>IF(Worksheet!C32="","",TEXT(Worksheet!C32,"0.0"))</f>
        <v/>
      </c>
    </row>
    <row r="36" spans="1:18" ht="8.1" customHeight="1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87"/>
      <c r="L36" s="87"/>
      <c r="M36" s="20"/>
    </row>
    <row r="37" spans="1:18" ht="15.75" x14ac:dyDescent="0.25">
      <c r="A37" s="147" t="str">
        <f>IF(Worksheet!C34="","",IF(Worksheet!D$11="NO",CONCATENATE(Worksheet!B34," ",R37),CONCATENATE(Worksheet!B34,"/P ",R37)))</f>
        <v/>
      </c>
      <c r="B37" s="148"/>
      <c r="C37" s="148" t="str">
        <f>IF(Worksheet!D34="","",Worksheet!D34)</f>
        <v/>
      </c>
      <c r="D37" s="148"/>
      <c r="E37" s="53" t="str">
        <f>IF(Worksheet!J34="","",Worksheet!J34)</f>
        <v/>
      </c>
      <c r="F37" s="53" t="str">
        <f>IF(Worksheet!K34="","",Worksheet!K34)</f>
        <v/>
      </c>
      <c r="G37" s="53" t="str">
        <f>IF(Worksheet!L34="","",Worksheet!L34)</f>
        <v/>
      </c>
      <c r="H37" s="53" t="str">
        <f>IF(Worksheet!M34="","",Worksheet!M34)</f>
        <v/>
      </c>
      <c r="I37" s="53" t="str">
        <f>IF(Worksheet!N34="","",Worksheet!N34)</f>
        <v/>
      </c>
      <c r="J37" s="85" t="str">
        <f>IF(Worksheet!O34="","",Worksheet!O34)</f>
        <v/>
      </c>
      <c r="K37" s="53" t="str">
        <f>IF(Worksheet!P34="","",Worksheet!P34)</f>
        <v/>
      </c>
      <c r="L37" s="53" t="str">
        <f>IF(Worksheet!Q34="","",Worksheet!Q34)</f>
        <v/>
      </c>
      <c r="M37" s="85" t="str">
        <f>IF(Worksheet!J34="","",Worksheet!R34)</f>
        <v/>
      </c>
      <c r="N37" s="47" t="str">
        <f>IF(Worksheet!B34="","",Worksheet!U34)</f>
        <v/>
      </c>
      <c r="R37" s="20" t="str">
        <f>IF(Worksheet!C34="","",TEXT(Worksheet!C34,"0.0"))</f>
        <v/>
      </c>
    </row>
    <row r="38" spans="1:18" ht="15.75" x14ac:dyDescent="0.25">
      <c r="A38" s="149" t="str">
        <f>IF(Worksheet!C35="","",IF(Worksheet!D$11="NO",CONCATENATE(Worksheet!B35," ",R38),CONCATENATE(Worksheet!B35,"/P ",R38)))</f>
        <v/>
      </c>
      <c r="B38" s="150"/>
      <c r="C38" s="150" t="str">
        <f>IF(Worksheet!D35="","",Worksheet!D35)</f>
        <v/>
      </c>
      <c r="D38" s="150"/>
      <c r="E38" s="54" t="str">
        <f>IF(Worksheet!J35="","",Worksheet!J35)</f>
        <v/>
      </c>
      <c r="F38" s="54" t="str">
        <f>IF(Worksheet!K35="","",Worksheet!K35)</f>
        <v/>
      </c>
      <c r="G38" s="54" t="str">
        <f>IF(Worksheet!L35="","",Worksheet!L35)</f>
        <v/>
      </c>
      <c r="H38" s="54" t="str">
        <f>IF(Worksheet!M35="","",Worksheet!M35)</f>
        <v/>
      </c>
      <c r="I38" s="54" t="str">
        <f>IF(Worksheet!N35="","",Worksheet!N35)</f>
        <v/>
      </c>
      <c r="J38" s="27" t="str">
        <f>IF(Worksheet!O35="","",Worksheet!O35)</f>
        <v/>
      </c>
      <c r="K38" s="54" t="str">
        <f>IF(Worksheet!P35="","",Worksheet!P35)</f>
        <v/>
      </c>
      <c r="L38" s="54" t="str">
        <f>IF(Worksheet!Q35="","",Worksheet!Q35)</f>
        <v/>
      </c>
      <c r="M38" s="27" t="str">
        <f>IF(Worksheet!J35="","",Worksheet!R35)</f>
        <v/>
      </c>
      <c r="N38" s="48" t="str">
        <f>IF(Worksheet!B35="","",Worksheet!U35)</f>
        <v/>
      </c>
      <c r="R38" s="20" t="str">
        <f>IF(Worksheet!C35="","",TEXT(Worksheet!C35,"0.0"))</f>
        <v/>
      </c>
    </row>
    <row r="39" spans="1:18" ht="15.75" x14ac:dyDescent="0.25">
      <c r="A39" s="151" t="str">
        <f>IF(Worksheet!C36="","",IF(Worksheet!D$11="NO",CONCATENATE(Worksheet!B36," ",R39),CONCATENATE(Worksheet!B36,"/P ",R39)))</f>
        <v/>
      </c>
      <c r="B39" s="152"/>
      <c r="C39" s="152" t="str">
        <f>IF(Worksheet!D36="","",Worksheet!D36)</f>
        <v/>
      </c>
      <c r="D39" s="152"/>
      <c r="E39" s="55" t="str">
        <f>IF(Worksheet!J36="","",Worksheet!J36)</f>
        <v/>
      </c>
      <c r="F39" s="55" t="str">
        <f>IF(Worksheet!K36="","",Worksheet!K36)</f>
        <v/>
      </c>
      <c r="G39" s="55" t="str">
        <f>IF(Worksheet!L36="","",Worksheet!L36)</f>
        <v/>
      </c>
      <c r="H39" s="55" t="str">
        <f>IF(Worksheet!M36="","",Worksheet!M36)</f>
        <v/>
      </c>
      <c r="I39" s="55" t="str">
        <f>IF(Worksheet!N36="","",Worksheet!N36)</f>
        <v/>
      </c>
      <c r="J39" s="86" t="str">
        <f>IF(Worksheet!O36="","",Worksheet!O36)</f>
        <v/>
      </c>
      <c r="K39" s="55" t="str">
        <f>IF(Worksheet!P36="","",Worksheet!P36)</f>
        <v/>
      </c>
      <c r="L39" s="55" t="str">
        <f>IF(Worksheet!Q36="","",Worksheet!Q36)</f>
        <v/>
      </c>
      <c r="M39" s="86" t="str">
        <f>IF(Worksheet!J36="","",Worksheet!R36)</f>
        <v/>
      </c>
      <c r="N39" s="49" t="str">
        <f>IF(Worksheet!B36="","",Worksheet!U36)</f>
        <v/>
      </c>
      <c r="R39" s="20" t="str">
        <f>IF(Worksheet!C36="","",TEXT(Worksheet!C36,"0.0"))</f>
        <v/>
      </c>
    </row>
    <row r="40" spans="1:18" ht="8.1" customHeight="1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87"/>
      <c r="L40" s="87"/>
      <c r="M40" s="20"/>
    </row>
    <row r="41" spans="1:18" ht="15.75" x14ac:dyDescent="0.25">
      <c r="A41" s="147" t="str">
        <f>IF(Worksheet!C38="","",IF(Worksheet!D$11="NO",CONCATENATE(Worksheet!B38," ",R41),CONCATENATE(Worksheet!B38,"/P ",R41)))</f>
        <v/>
      </c>
      <c r="B41" s="148"/>
      <c r="C41" s="148" t="str">
        <f>IF(Worksheet!D38="","",Worksheet!D38)</f>
        <v/>
      </c>
      <c r="D41" s="148"/>
      <c r="E41" s="53" t="str">
        <f>IF(Worksheet!J38="","",Worksheet!J38)</f>
        <v/>
      </c>
      <c r="F41" s="53" t="str">
        <f>IF(Worksheet!K38="","",Worksheet!K38)</f>
        <v/>
      </c>
      <c r="G41" s="53" t="str">
        <f>IF(Worksheet!L38="","",Worksheet!L38)</f>
        <v/>
      </c>
      <c r="H41" s="53" t="str">
        <f>IF(Worksheet!M38="","",Worksheet!M38)</f>
        <v/>
      </c>
      <c r="I41" s="53" t="str">
        <f>IF(Worksheet!N38="","",Worksheet!N38)</f>
        <v/>
      </c>
      <c r="J41" s="85" t="str">
        <f>IF(Worksheet!O38="","",Worksheet!O38)</f>
        <v/>
      </c>
      <c r="K41" s="53" t="str">
        <f>IF(Worksheet!P38="","",Worksheet!P38)</f>
        <v/>
      </c>
      <c r="L41" s="53" t="str">
        <f>IF(Worksheet!Q38="","",Worksheet!Q38)</f>
        <v/>
      </c>
      <c r="M41" s="85" t="str">
        <f>IF(Worksheet!J38="","",Worksheet!R38)</f>
        <v/>
      </c>
      <c r="N41" s="47" t="str">
        <f>IF(Worksheet!B38="","",Worksheet!U38)</f>
        <v/>
      </c>
      <c r="R41" s="20" t="str">
        <f>IF(Worksheet!C38="","",TEXT(Worksheet!C38,"0.0"))</f>
        <v/>
      </c>
    </row>
    <row r="42" spans="1:18" ht="15.75" x14ac:dyDescent="0.25">
      <c r="A42" s="149" t="str">
        <f>IF(Worksheet!C39="","",IF(Worksheet!D$11="NO",CONCATENATE(Worksheet!B39," ",R42),CONCATENATE(Worksheet!B39,"/P ",R42)))</f>
        <v/>
      </c>
      <c r="B42" s="150"/>
      <c r="C42" s="150" t="str">
        <f>IF(Worksheet!D39="","",Worksheet!D39)</f>
        <v/>
      </c>
      <c r="D42" s="150"/>
      <c r="E42" s="54" t="str">
        <f>IF(Worksheet!J39="","",Worksheet!J39)</f>
        <v/>
      </c>
      <c r="F42" s="54" t="str">
        <f>IF(Worksheet!K39="","",Worksheet!K39)</f>
        <v/>
      </c>
      <c r="G42" s="54" t="str">
        <f>IF(Worksheet!L39="","",Worksheet!L39)</f>
        <v/>
      </c>
      <c r="H42" s="54" t="str">
        <f>IF(Worksheet!M39="","",Worksheet!M39)</f>
        <v/>
      </c>
      <c r="I42" s="54" t="str">
        <f>IF(Worksheet!N39="","",Worksheet!N39)</f>
        <v/>
      </c>
      <c r="J42" s="27" t="str">
        <f>IF(Worksheet!O39="","",Worksheet!O39)</f>
        <v/>
      </c>
      <c r="K42" s="54" t="str">
        <f>IF(Worksheet!P39="","",Worksheet!P39)</f>
        <v/>
      </c>
      <c r="L42" s="54" t="str">
        <f>IF(Worksheet!Q39="","",Worksheet!Q39)</f>
        <v/>
      </c>
      <c r="M42" s="27" t="str">
        <f>IF(Worksheet!J39="","",Worksheet!R39)</f>
        <v/>
      </c>
      <c r="N42" s="48" t="str">
        <f>IF(Worksheet!B39="","",Worksheet!U39)</f>
        <v/>
      </c>
      <c r="R42" s="20" t="str">
        <f>IF(Worksheet!C39="","",TEXT(Worksheet!C39,"0.0"))</f>
        <v/>
      </c>
    </row>
    <row r="43" spans="1:18" ht="15.75" x14ac:dyDescent="0.25">
      <c r="A43" s="151" t="str">
        <f>IF(Worksheet!C40="","",IF(Worksheet!D$11="NO",CONCATENATE(Worksheet!B40," ",R43),CONCATENATE(Worksheet!B40,"/P ",R43)))</f>
        <v/>
      </c>
      <c r="B43" s="152"/>
      <c r="C43" s="152" t="str">
        <f>IF(Worksheet!D40="","",Worksheet!D40)</f>
        <v/>
      </c>
      <c r="D43" s="152"/>
      <c r="E43" s="55" t="str">
        <f>IF(Worksheet!J40="","",Worksheet!J40)</f>
        <v/>
      </c>
      <c r="F43" s="55" t="str">
        <f>IF(Worksheet!K40="","",Worksheet!K40)</f>
        <v/>
      </c>
      <c r="G43" s="55" t="str">
        <f>IF(Worksheet!L40="","",Worksheet!L40)</f>
        <v/>
      </c>
      <c r="H43" s="55" t="str">
        <f>IF(Worksheet!M40="","",Worksheet!M40)</f>
        <v/>
      </c>
      <c r="I43" s="55" t="str">
        <f>IF(Worksheet!N40="","",Worksheet!N40)</f>
        <v/>
      </c>
      <c r="J43" s="86" t="str">
        <f>IF(Worksheet!O40="","",Worksheet!O40)</f>
        <v/>
      </c>
      <c r="K43" s="55" t="str">
        <f>IF(Worksheet!P40="","",Worksheet!P40)</f>
        <v/>
      </c>
      <c r="L43" s="55" t="str">
        <f>IF(Worksheet!Q40="","",Worksheet!Q40)</f>
        <v/>
      </c>
      <c r="M43" s="86" t="str">
        <f>IF(Worksheet!J40="","",Worksheet!R40)</f>
        <v/>
      </c>
      <c r="N43" s="49" t="str">
        <f>IF(Worksheet!B40="","",Worksheet!U40)</f>
        <v/>
      </c>
      <c r="R43" s="20" t="str">
        <f>IF(Worksheet!C40="","",TEXT(Worksheet!C40,"0.0"))</f>
        <v/>
      </c>
    </row>
    <row r="44" spans="1:18" ht="8.1" customHeight="1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87"/>
      <c r="L44" s="87"/>
      <c r="M44" s="20"/>
    </row>
    <row r="45" spans="1:18" ht="15.75" x14ac:dyDescent="0.25">
      <c r="A45" s="147" t="str">
        <f>IF(Worksheet!C42="","",IF(Worksheet!D$11="NO",CONCATENATE(Worksheet!B42," ",R45),CONCATENATE(Worksheet!B42,"/P ",R45)))</f>
        <v/>
      </c>
      <c r="B45" s="148"/>
      <c r="C45" s="148" t="str">
        <f>IF(Worksheet!D42="","",Worksheet!D42)</f>
        <v/>
      </c>
      <c r="D45" s="148"/>
      <c r="E45" s="53" t="str">
        <f>IF(Worksheet!J42="","",Worksheet!J42)</f>
        <v/>
      </c>
      <c r="F45" s="53" t="str">
        <f>IF(Worksheet!K42="","",Worksheet!K42)</f>
        <v/>
      </c>
      <c r="G45" s="53" t="str">
        <f>IF(Worksheet!L42="","",Worksheet!L42)</f>
        <v/>
      </c>
      <c r="H45" s="53" t="str">
        <f>IF(Worksheet!M42="","",Worksheet!M42)</f>
        <v/>
      </c>
      <c r="I45" s="53" t="str">
        <f>IF(Worksheet!N42="","",Worksheet!N42)</f>
        <v/>
      </c>
      <c r="J45" s="85" t="str">
        <f>IF(Worksheet!O42="","",Worksheet!O42)</f>
        <v/>
      </c>
      <c r="K45" s="53" t="str">
        <f>IF(Worksheet!P42="","",Worksheet!P42)</f>
        <v/>
      </c>
      <c r="L45" s="53" t="str">
        <f>IF(Worksheet!Q42="","",Worksheet!Q42)</f>
        <v/>
      </c>
      <c r="M45" s="85" t="str">
        <f>IF(Worksheet!J42="","",Worksheet!R42)</f>
        <v/>
      </c>
      <c r="N45" s="47" t="str">
        <f>IF(Worksheet!B42="","",Worksheet!U42)</f>
        <v/>
      </c>
      <c r="R45" s="20" t="str">
        <f>IF(Worksheet!C42="","",TEXT(Worksheet!C42,"0.0"))</f>
        <v/>
      </c>
    </row>
    <row r="46" spans="1:18" ht="15.75" x14ac:dyDescent="0.25">
      <c r="A46" s="149" t="str">
        <f>IF(Worksheet!C43="","",IF(Worksheet!D$11="NO",CONCATENATE(Worksheet!B43," ",R46),CONCATENATE(Worksheet!B43,"/P ",R46)))</f>
        <v/>
      </c>
      <c r="B46" s="150"/>
      <c r="C46" s="150" t="str">
        <f>IF(Worksheet!D43="","",Worksheet!D43)</f>
        <v/>
      </c>
      <c r="D46" s="150"/>
      <c r="E46" s="54" t="str">
        <f>IF(Worksheet!J43="","",Worksheet!J43)</f>
        <v/>
      </c>
      <c r="F46" s="54" t="str">
        <f>IF(Worksheet!K43="","",Worksheet!K43)</f>
        <v/>
      </c>
      <c r="G46" s="54" t="str">
        <f>IF(Worksheet!L43="","",Worksheet!L43)</f>
        <v/>
      </c>
      <c r="H46" s="54" t="str">
        <f>IF(Worksheet!M43="","",Worksheet!M43)</f>
        <v/>
      </c>
      <c r="I46" s="54" t="str">
        <f>IF(Worksheet!N43="","",Worksheet!N43)</f>
        <v/>
      </c>
      <c r="J46" s="27" t="str">
        <f>IF(Worksheet!O43="","",Worksheet!O43)</f>
        <v/>
      </c>
      <c r="K46" s="54" t="str">
        <f>IF(Worksheet!P43="","",Worksheet!P43)</f>
        <v/>
      </c>
      <c r="L46" s="54" t="str">
        <f>IF(Worksheet!Q43="","",Worksheet!Q43)</f>
        <v/>
      </c>
      <c r="M46" s="27" t="str">
        <f>IF(Worksheet!J43="","",Worksheet!R43)</f>
        <v/>
      </c>
      <c r="N46" s="48" t="str">
        <f>IF(Worksheet!B43="","",Worksheet!U43)</f>
        <v/>
      </c>
      <c r="R46" s="20" t="str">
        <f>IF(Worksheet!C43="","",TEXT(Worksheet!C43,"0.0"))</f>
        <v/>
      </c>
    </row>
    <row r="47" spans="1:18" ht="15.75" x14ac:dyDescent="0.25">
      <c r="A47" s="151" t="str">
        <f>IF(Worksheet!C44="","",IF(Worksheet!D$11="NO",CONCATENATE(Worksheet!B44," ",R47),CONCATENATE(Worksheet!B44,"/P ",R47)))</f>
        <v/>
      </c>
      <c r="B47" s="152"/>
      <c r="C47" s="152" t="str">
        <f>IF(Worksheet!D44="","",Worksheet!D44)</f>
        <v/>
      </c>
      <c r="D47" s="152"/>
      <c r="E47" s="55" t="str">
        <f>IF(Worksheet!J44="","",Worksheet!J44)</f>
        <v/>
      </c>
      <c r="F47" s="55" t="str">
        <f>IF(Worksheet!K44="","",Worksheet!K44)</f>
        <v/>
      </c>
      <c r="G47" s="55" t="str">
        <f>IF(Worksheet!L44="","",Worksheet!L44)</f>
        <v/>
      </c>
      <c r="H47" s="55" t="str">
        <f>IF(Worksheet!M44="","",Worksheet!M44)</f>
        <v/>
      </c>
      <c r="I47" s="55" t="str">
        <f>IF(Worksheet!N44="","",Worksheet!N44)</f>
        <v/>
      </c>
      <c r="J47" s="86" t="str">
        <f>IF(Worksheet!O44="","",Worksheet!O44)</f>
        <v/>
      </c>
      <c r="K47" s="55" t="str">
        <f>IF(Worksheet!P44="","",Worksheet!P44)</f>
        <v/>
      </c>
      <c r="L47" s="55" t="str">
        <f>IF(Worksheet!Q44="","",Worksheet!Q44)</f>
        <v/>
      </c>
      <c r="M47" s="86" t="str">
        <f>IF(Worksheet!J44="","",Worksheet!R44)</f>
        <v/>
      </c>
      <c r="N47" s="49" t="str">
        <f>IF(Worksheet!B44="","",Worksheet!U44)</f>
        <v/>
      </c>
      <c r="R47" s="20" t="str">
        <f>IF(Worksheet!C44="","",TEXT(Worksheet!C44,"0.0"))</f>
        <v/>
      </c>
    </row>
    <row r="48" spans="1:18" ht="8.1" customHeight="1" x14ac:dyDescent="0.25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</row>
    <row r="49" spans="1:29" x14ac:dyDescent="0.25">
      <c r="A49" t="s">
        <v>117</v>
      </c>
    </row>
    <row r="50" spans="1:29" ht="15.75" x14ac:dyDescent="0.25">
      <c r="A50" t="s">
        <v>123</v>
      </c>
      <c r="E50" s="4" t="s">
        <v>124</v>
      </c>
      <c r="F50" s="27" t="str">
        <f>IF(Worksheet!F14="","",Worksheet!F14)</f>
        <v>HRC</v>
      </c>
      <c r="G50" s="27" t="str">
        <f>IF(Worksheet!G14="","",Worksheet!G14)</f>
        <v/>
      </c>
      <c r="H50" s="27" t="str">
        <f>IF(Worksheet!H14="","",Worksheet!H14)</f>
        <v/>
      </c>
      <c r="I50" s="27" t="str">
        <f>IF(Worksheet!I14="","",Worksheet!I14)</f>
        <v/>
      </c>
      <c r="J50" s="27" t="str">
        <f>IF(Worksheet!J14="","",Worksheet!J14)</f>
        <v/>
      </c>
      <c r="K50" s="27" t="str">
        <f>IF(Worksheet!K14="","",Worksheet!K14)</f>
        <v/>
      </c>
      <c r="L50" s="27" t="str">
        <f>IF(Worksheet!L14="","",Worksheet!L14)</f>
        <v/>
      </c>
      <c r="M50" s="27" t="str">
        <f>IF(Worksheet!N14="","",Worksheet!N14)</f>
        <v/>
      </c>
      <c r="N50" s="27" t="str">
        <f>IF(Worksheet!O14="","",Worksheet!O14)</f>
        <v/>
      </c>
    </row>
    <row r="51" spans="1:29" x14ac:dyDescent="0.25">
      <c r="A51" s="4"/>
      <c r="B51" s="19"/>
      <c r="C51" s="19"/>
      <c r="D51" s="19"/>
      <c r="E51" s="4" t="s">
        <v>125</v>
      </c>
      <c r="F51" s="51" t="str">
        <f>IF(Worksheet!F15="","",Worksheet!F15)</f>
        <v/>
      </c>
      <c r="G51" s="51" t="str">
        <f>IF(Worksheet!G15="","",Worksheet!G15)</f>
        <v/>
      </c>
      <c r="H51" s="51" t="str">
        <f>IF(Worksheet!H15="","",Worksheet!H15)</f>
        <v/>
      </c>
      <c r="I51" s="51" t="str">
        <f>IF(Worksheet!I15="","",Worksheet!I15)</f>
        <v/>
      </c>
      <c r="J51" s="51" t="str">
        <f>IF(Worksheet!J15="","",Worksheet!J15)</f>
        <v/>
      </c>
      <c r="K51" s="51" t="str">
        <f>IF(Worksheet!K15="","",Worksheet!K15)</f>
        <v/>
      </c>
      <c r="L51" s="51" t="str">
        <f>IF(Worksheet!L15="","",Worksheet!L15)</f>
        <v/>
      </c>
      <c r="M51" s="51" t="str">
        <f>IF(Worksheet!N15="","",Worksheet!N15)</f>
        <v/>
      </c>
      <c r="N51" s="51" t="str">
        <f>IF(Worksheet!O15="","",Worksheet!O15)</f>
        <v/>
      </c>
      <c r="O51" s="52"/>
    </row>
    <row r="52" spans="1:29" ht="30" customHeight="1" x14ac:dyDescent="0.25">
      <c r="A52" s="146" t="str">
        <f>IF(Worksheet!D11="Yes",'CERT AL'!A79,'CERT AL'!A68)</f>
        <v>This tester was calibrated by the indirect verification method in accordance with ASTM E110.  It meets the requirements of ASTM E18, except that, with dead-weight loads not used, direct verification has not been performed.  Servicing and preventive maintenance, including visual inspection, lubrication, and test of mechanical function were performed per manufacturer's instructions  and/or JGI Written Procedure WP301889. The test blocks used were certified per all requirements of  ASTM E18, Annex A4, using a verified standard laboratory tester with load and depth measuring devices traceable to NIST..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v>
      </c>
      <c r="B52" s="146"/>
      <c r="C52" s="146"/>
      <c r="D52" s="146"/>
      <c r="E52" s="146"/>
      <c r="F52" s="146"/>
      <c r="G52" s="146"/>
      <c r="H52" s="146"/>
      <c r="I52" s="146"/>
      <c r="J52" s="146"/>
      <c r="K52" s="146"/>
      <c r="L52" s="146"/>
      <c r="M52" s="146"/>
      <c r="N52" s="146"/>
      <c r="O52" s="146"/>
    </row>
    <row r="53" spans="1:29" ht="18" customHeight="1" x14ac:dyDescent="0.25">
      <c r="A53" s="146"/>
      <c r="B53" s="146"/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  <c r="N53" s="146"/>
      <c r="O53" s="146"/>
    </row>
    <row r="54" spans="1:29" ht="18" customHeight="1" x14ac:dyDescent="0.25">
      <c r="A54" s="146"/>
      <c r="B54" s="146"/>
      <c r="C54" s="146"/>
      <c r="D54" s="146"/>
      <c r="E54" s="146"/>
      <c r="F54" s="146"/>
      <c r="G54" s="146"/>
      <c r="H54" s="146"/>
      <c r="I54" s="146"/>
      <c r="J54" s="146"/>
      <c r="K54" s="146"/>
      <c r="L54" s="146"/>
      <c r="M54" s="146"/>
      <c r="N54" s="146"/>
      <c r="O54" s="146"/>
    </row>
    <row r="55" spans="1:29" x14ac:dyDescent="0.25">
      <c r="A55" t="s">
        <v>117</v>
      </c>
    </row>
    <row r="56" spans="1:29" ht="15" customHeight="1" x14ac:dyDescent="0.25">
      <c r="A56" s="88" t="s">
        <v>126</v>
      </c>
      <c r="B56" s="25"/>
      <c r="C56" s="144" t="s">
        <v>127</v>
      </c>
      <c r="D56" s="144"/>
      <c r="E56" s="144"/>
      <c r="F56" s="144"/>
      <c r="G56" s="144"/>
      <c r="H56" s="144"/>
      <c r="I56" s="144"/>
      <c r="J56" s="144"/>
      <c r="K56" s="144"/>
      <c r="L56" s="144"/>
      <c r="M56" s="144"/>
      <c r="N56" s="144"/>
      <c r="O56" s="144"/>
      <c r="Q56" s="145" t="str">
        <f>IF(Worksheet!$B47="FOUND IN TOLERANCE, NO ADJUSTMENTS PERFORMED",'CERT AL'!$A90,IF(Worksheet!$B47="FOUND IN TOLERANCE FOLLOWED BY MAINTENANCE ADJUSTMENT",'CERT AL'!$A100,IF(Worksheet!$B47="FOUND OUT OF TOLERANCE, BROUGHT INTO TOLERANCE WITHOUT CALIBRATION ADJUSTMENT",'CERT AL'!$A105,IF(Worksheet!$B47="FOUND OUT OF TOLERANCE, BROUGHT INTO TOLERANCE BY CALIBRATION ADJUSTMENT",'CERT AL'!$A110,IF(Worksheet!$B47="FOUND OUT OF TOLERANCE, UNABLE TO BRING INTO TOLERANCE",'CERT AL'!$A115,IF(Worksheet!$B47="PORTABLE ONLY - FOUND OUT OF TOLERANCE, ADJUSTED IN",'CERT AL'!A124,""))))))</f>
        <v>This unit was tested on the scales shown above, as specified by the customer.  Found in tolerance.  No adjustments were performed.</v>
      </c>
      <c r="R56" s="145"/>
      <c r="S56" s="145"/>
      <c r="T56" s="145"/>
      <c r="U56" s="145"/>
      <c r="V56" s="145"/>
      <c r="W56" s="145"/>
      <c r="X56" s="145"/>
      <c r="Y56" s="145"/>
      <c r="Z56" s="145"/>
      <c r="AA56" s="145"/>
      <c r="AB56" s="145"/>
      <c r="AC56" s="145"/>
    </row>
    <row r="57" spans="1:29" ht="15" customHeight="1" x14ac:dyDescent="0.25">
      <c r="A57" s="1"/>
      <c r="C57" s="144"/>
      <c r="D57" s="144"/>
      <c r="E57" s="144"/>
      <c r="F57" s="144"/>
      <c r="G57" s="144"/>
      <c r="H57" s="144"/>
      <c r="I57" s="144"/>
      <c r="J57" s="144"/>
      <c r="K57" s="144"/>
      <c r="L57" s="144"/>
      <c r="M57" s="144"/>
      <c r="N57" s="144"/>
      <c r="O57" s="144"/>
      <c r="Q57" s="145"/>
      <c r="R57" s="145"/>
      <c r="S57" s="145"/>
      <c r="T57" s="145"/>
      <c r="U57" s="145"/>
      <c r="V57" s="145"/>
      <c r="W57" s="145"/>
      <c r="X57" s="145"/>
      <c r="Y57" s="145"/>
      <c r="Z57" s="145"/>
      <c r="AA57" s="145"/>
      <c r="AB57" s="145"/>
      <c r="AC57" s="145"/>
    </row>
    <row r="58" spans="1:29" ht="20.100000000000001" customHeight="1" x14ac:dyDescent="0.25">
      <c r="A58" s="1"/>
      <c r="C58" s="144"/>
      <c r="D58" s="144"/>
      <c r="E58" s="144"/>
      <c r="F58" s="144"/>
      <c r="G58" s="144"/>
      <c r="H58" s="144"/>
      <c r="I58" s="144"/>
      <c r="J58" s="144"/>
      <c r="K58" s="144"/>
      <c r="L58" s="144"/>
      <c r="M58" s="144"/>
      <c r="N58" s="144"/>
      <c r="O58" s="144"/>
      <c r="Q58" s="145"/>
      <c r="R58" s="145"/>
      <c r="S58" s="145"/>
      <c r="T58" s="145"/>
      <c r="U58" s="145"/>
      <c r="V58" s="145"/>
      <c r="W58" s="145"/>
      <c r="X58" s="145"/>
      <c r="Y58" s="145"/>
      <c r="Z58" s="145"/>
      <c r="AA58" s="145"/>
      <c r="AB58" s="145"/>
      <c r="AC58" s="145"/>
    </row>
    <row r="59" spans="1:29" ht="15.75" x14ac:dyDescent="0.25">
      <c r="A59" s="1" t="s">
        <v>8</v>
      </c>
      <c r="C59" s="155" t="str">
        <f>IF(Worksheet!L3="","",Worksheet!L3)</f>
        <v/>
      </c>
      <c r="D59" s="155"/>
      <c r="E59" s="155"/>
    </row>
    <row r="60" spans="1:29" ht="15.75" x14ac:dyDescent="0.25">
      <c r="A60" s="1" t="s">
        <v>128</v>
      </c>
      <c r="C60" s="155" t="str">
        <f>IF(Worksheet!O47="","",Worksheet!O47)</f>
        <v>Accepted</v>
      </c>
      <c r="D60" s="155"/>
      <c r="E60" s="155"/>
    </row>
    <row r="61" spans="1:29" ht="12" customHeight="1" x14ac:dyDescent="0.25">
      <c r="A61" s="163" t="str">
        <f>IF(Worksheet!D11="YES",'CERT AL'!A120,"")</f>
        <v>Note that the conformance of this unit to the tolerances of ASTM E18 does not mean that tests performed using this unit are equivalent to E18 tests.  See ASTM E110-14, Sec. 3.2 for details.</v>
      </c>
      <c r="B61" s="163"/>
      <c r="C61" s="163"/>
      <c r="D61" s="163"/>
      <c r="E61" s="163"/>
      <c r="F61" s="163"/>
      <c r="G61" s="163"/>
      <c r="H61" s="163"/>
      <c r="I61" s="163"/>
      <c r="J61" s="163"/>
      <c r="K61" s="163"/>
      <c r="L61" s="163"/>
      <c r="M61" s="163"/>
      <c r="N61" s="163"/>
      <c r="O61" s="163"/>
    </row>
    <row r="62" spans="1:29" ht="12" customHeight="1" x14ac:dyDescent="0.25">
      <c r="A62" s="163"/>
      <c r="B62" s="163"/>
      <c r="C62" s="163"/>
      <c r="D62" s="163"/>
      <c r="E62" s="163"/>
      <c r="F62" s="163"/>
      <c r="G62" s="163"/>
      <c r="H62" s="163"/>
      <c r="I62" s="163"/>
      <c r="J62" s="163"/>
      <c r="K62" s="163"/>
      <c r="L62" s="163"/>
      <c r="M62" s="163"/>
      <c r="N62" s="163"/>
      <c r="O62" s="163"/>
    </row>
    <row r="63" spans="1:29" x14ac:dyDescent="0.25">
      <c r="A63" t="s">
        <v>117</v>
      </c>
    </row>
    <row r="67" spans="1:18" x14ac:dyDescent="0.25">
      <c r="A67" t="s">
        <v>129</v>
      </c>
    </row>
    <row r="68" spans="1:18" x14ac:dyDescent="0.25">
      <c r="A68" s="162" t="s">
        <v>130</v>
      </c>
      <c r="B68" s="162"/>
      <c r="C68" s="162"/>
      <c r="D68" s="162"/>
      <c r="E68" s="162"/>
      <c r="F68" s="162"/>
      <c r="G68" s="162"/>
      <c r="H68" s="162"/>
      <c r="I68" s="162"/>
      <c r="J68" s="162"/>
      <c r="K68" s="162"/>
      <c r="L68" s="162"/>
      <c r="M68" s="162"/>
      <c r="N68" s="162"/>
      <c r="O68" s="162"/>
      <c r="P68" s="162"/>
      <c r="Q68" s="162"/>
    </row>
    <row r="69" spans="1:18" x14ac:dyDescent="0.25">
      <c r="A69" s="162"/>
      <c r="B69" s="162"/>
      <c r="C69" s="162"/>
      <c r="D69" s="162"/>
      <c r="E69" s="162"/>
      <c r="F69" s="162"/>
      <c r="G69" s="162"/>
      <c r="H69" s="162"/>
      <c r="I69" s="162"/>
      <c r="J69" s="162"/>
      <c r="K69" s="162"/>
      <c r="L69" s="162"/>
      <c r="M69" s="162"/>
      <c r="N69" s="162"/>
      <c r="O69" s="162"/>
      <c r="P69" s="162"/>
      <c r="Q69" s="162"/>
    </row>
    <row r="70" spans="1:18" x14ac:dyDescent="0.25">
      <c r="A70" s="162"/>
      <c r="B70" s="162"/>
      <c r="C70" s="162"/>
      <c r="D70" s="162"/>
      <c r="E70" s="162"/>
      <c r="F70" s="162"/>
      <c r="G70" s="162"/>
      <c r="H70" s="162"/>
      <c r="I70" s="162"/>
      <c r="J70" s="162"/>
      <c r="K70" s="162"/>
      <c r="L70" s="162"/>
      <c r="M70" s="162"/>
      <c r="N70" s="162"/>
      <c r="O70" s="162"/>
      <c r="P70" s="162"/>
      <c r="Q70" s="162"/>
    </row>
    <row r="71" spans="1:18" x14ac:dyDescent="0.25">
      <c r="A71" s="162"/>
      <c r="B71" s="162"/>
      <c r="C71" s="162"/>
      <c r="D71" s="162"/>
      <c r="E71" s="162"/>
      <c r="F71" s="162"/>
      <c r="G71" s="162"/>
      <c r="H71" s="162"/>
      <c r="I71" s="162"/>
      <c r="J71" s="162"/>
      <c r="K71" s="162"/>
      <c r="L71" s="162"/>
      <c r="M71" s="162"/>
      <c r="N71" s="162"/>
      <c r="O71" s="162"/>
      <c r="P71" s="162"/>
      <c r="Q71" s="162"/>
    </row>
    <row r="72" spans="1:18" x14ac:dyDescent="0.25">
      <c r="A72" s="162"/>
      <c r="B72" s="162"/>
      <c r="C72" s="162"/>
      <c r="D72" s="162"/>
      <c r="E72" s="162"/>
      <c r="F72" s="162"/>
      <c r="G72" s="162"/>
      <c r="H72" s="162"/>
      <c r="I72" s="162"/>
      <c r="J72" s="162"/>
      <c r="K72" s="162"/>
      <c r="L72" s="162"/>
      <c r="M72" s="162"/>
      <c r="N72" s="162"/>
      <c r="O72" s="162"/>
      <c r="P72" s="162"/>
      <c r="Q72" s="162"/>
    </row>
    <row r="73" spans="1:18" x14ac:dyDescent="0.25">
      <c r="A73" s="162"/>
      <c r="B73" s="162"/>
      <c r="C73" s="162"/>
      <c r="D73" s="162"/>
      <c r="E73" s="162"/>
      <c r="F73" s="162"/>
      <c r="G73" s="162"/>
      <c r="H73" s="162"/>
      <c r="I73" s="162"/>
      <c r="J73" s="162"/>
      <c r="K73" s="162"/>
      <c r="L73" s="162"/>
      <c r="M73" s="162"/>
      <c r="N73" s="162"/>
      <c r="O73" s="162"/>
      <c r="P73" s="162"/>
      <c r="Q73" s="162"/>
    </row>
    <row r="74" spans="1:18" x14ac:dyDescent="0.25">
      <c r="A74" s="162"/>
      <c r="B74" s="162"/>
      <c r="C74" s="162"/>
      <c r="D74" s="162"/>
      <c r="E74" s="162"/>
      <c r="F74" s="162"/>
      <c r="G74" s="162"/>
      <c r="H74" s="162"/>
      <c r="I74" s="162"/>
      <c r="J74" s="162"/>
      <c r="K74" s="162"/>
      <c r="L74" s="162"/>
      <c r="M74" s="162"/>
      <c r="N74" s="162"/>
      <c r="O74" s="162"/>
      <c r="P74" s="162"/>
      <c r="Q74" s="162"/>
    </row>
    <row r="75" spans="1:18" x14ac:dyDescent="0.25">
      <c r="A75" s="162"/>
      <c r="B75" s="162"/>
      <c r="C75" s="162"/>
      <c r="D75" s="162"/>
      <c r="E75" s="162"/>
      <c r="F75" s="162"/>
      <c r="G75" s="162"/>
      <c r="H75" s="162"/>
      <c r="I75" s="162"/>
      <c r="J75" s="162"/>
      <c r="K75" s="162"/>
      <c r="L75" s="162"/>
      <c r="M75" s="162"/>
      <c r="N75" s="162"/>
      <c r="O75" s="162"/>
      <c r="P75" s="162"/>
      <c r="Q75" s="162"/>
    </row>
    <row r="78" spans="1:18" x14ac:dyDescent="0.25">
      <c r="A78" t="s">
        <v>131</v>
      </c>
    </row>
    <row r="79" spans="1:18" ht="15" customHeight="1" x14ac:dyDescent="0.25">
      <c r="A79" s="162" t="s">
        <v>132</v>
      </c>
      <c r="B79" s="162"/>
      <c r="C79" s="162"/>
      <c r="D79" s="162"/>
      <c r="E79" s="162"/>
      <c r="F79" s="162"/>
      <c r="G79" s="162"/>
      <c r="H79" s="162"/>
      <c r="I79" s="162"/>
      <c r="J79" s="162"/>
      <c r="K79" s="162"/>
      <c r="L79" s="162"/>
      <c r="M79" s="162"/>
      <c r="N79" s="162"/>
      <c r="O79" s="162"/>
      <c r="P79" s="162"/>
      <c r="Q79" s="162"/>
      <c r="R79" s="25"/>
    </row>
    <row r="80" spans="1:18" x14ac:dyDescent="0.25">
      <c r="A80" s="162"/>
      <c r="B80" s="162"/>
      <c r="C80" s="162"/>
      <c r="D80" s="162"/>
      <c r="E80" s="162"/>
      <c r="F80" s="162"/>
      <c r="G80" s="162"/>
      <c r="H80" s="162"/>
      <c r="I80" s="162"/>
      <c r="J80" s="162"/>
      <c r="K80" s="162"/>
      <c r="L80" s="162"/>
      <c r="M80" s="162"/>
      <c r="N80" s="162"/>
      <c r="O80" s="162"/>
      <c r="P80" s="162"/>
      <c r="Q80" s="162"/>
      <c r="R80" s="25"/>
    </row>
    <row r="81" spans="1:18" x14ac:dyDescent="0.25">
      <c r="A81" s="162"/>
      <c r="B81" s="162"/>
      <c r="C81" s="162"/>
      <c r="D81" s="162"/>
      <c r="E81" s="162"/>
      <c r="F81" s="162"/>
      <c r="G81" s="162"/>
      <c r="H81" s="162"/>
      <c r="I81" s="162"/>
      <c r="J81" s="162"/>
      <c r="K81" s="162"/>
      <c r="L81" s="162"/>
      <c r="M81" s="162"/>
      <c r="N81" s="162"/>
      <c r="O81" s="162"/>
      <c r="P81" s="162"/>
      <c r="Q81" s="162"/>
      <c r="R81" s="25"/>
    </row>
    <row r="82" spans="1:18" x14ac:dyDescent="0.25">
      <c r="A82" s="162"/>
      <c r="B82" s="162"/>
      <c r="C82" s="162"/>
      <c r="D82" s="162"/>
      <c r="E82" s="162"/>
      <c r="F82" s="162"/>
      <c r="G82" s="162"/>
      <c r="H82" s="162"/>
      <c r="I82" s="162"/>
      <c r="J82" s="162"/>
      <c r="K82" s="162"/>
      <c r="L82" s="162"/>
      <c r="M82" s="162"/>
      <c r="N82" s="162"/>
      <c r="O82" s="162"/>
      <c r="P82" s="162"/>
      <c r="Q82" s="162"/>
      <c r="R82" s="25"/>
    </row>
    <row r="83" spans="1:18" x14ac:dyDescent="0.25">
      <c r="A83" s="162"/>
      <c r="B83" s="162"/>
      <c r="C83" s="162"/>
      <c r="D83" s="162"/>
      <c r="E83" s="162"/>
      <c r="F83" s="162"/>
      <c r="G83" s="162"/>
      <c r="H83" s="162"/>
      <c r="I83" s="162"/>
      <c r="J83" s="162"/>
      <c r="K83" s="162"/>
      <c r="L83" s="162"/>
      <c r="M83" s="162"/>
      <c r="N83" s="162"/>
      <c r="O83" s="162"/>
      <c r="P83" s="162"/>
      <c r="Q83" s="162"/>
      <c r="R83" s="25"/>
    </row>
    <row r="84" spans="1:18" x14ac:dyDescent="0.25">
      <c r="A84" s="162"/>
      <c r="B84" s="162"/>
      <c r="C84" s="162"/>
      <c r="D84" s="162"/>
      <c r="E84" s="162"/>
      <c r="F84" s="162"/>
      <c r="G84" s="162"/>
      <c r="H84" s="162"/>
      <c r="I84" s="162"/>
      <c r="J84" s="162"/>
      <c r="K84" s="162"/>
      <c r="L84" s="162"/>
      <c r="M84" s="162"/>
      <c r="N84" s="162"/>
      <c r="O84" s="162"/>
      <c r="P84" s="162"/>
      <c r="Q84" s="162"/>
      <c r="R84" s="25"/>
    </row>
    <row r="85" spans="1:18" x14ac:dyDescent="0.25">
      <c r="A85" s="162"/>
      <c r="B85" s="162"/>
      <c r="C85" s="162"/>
      <c r="D85" s="162"/>
      <c r="E85" s="162"/>
      <c r="F85" s="162"/>
      <c r="G85" s="162"/>
      <c r="H85" s="162"/>
      <c r="I85" s="162"/>
      <c r="J85" s="162"/>
      <c r="K85" s="162"/>
      <c r="L85" s="162"/>
      <c r="M85" s="162"/>
      <c r="N85" s="162"/>
      <c r="O85" s="162"/>
      <c r="P85" s="162"/>
      <c r="Q85" s="162"/>
      <c r="R85" s="25"/>
    </row>
    <row r="86" spans="1:18" x14ac:dyDescent="0.25">
      <c r="A86" s="162"/>
      <c r="B86" s="162"/>
      <c r="C86" s="162"/>
      <c r="D86" s="162"/>
      <c r="E86" s="162"/>
      <c r="F86" s="162"/>
      <c r="G86" s="162"/>
      <c r="H86" s="162"/>
      <c r="I86" s="162"/>
      <c r="J86" s="162"/>
      <c r="K86" s="162"/>
      <c r="L86" s="162"/>
      <c r="M86" s="162"/>
      <c r="N86" s="162"/>
      <c r="O86" s="162"/>
      <c r="P86" s="162"/>
      <c r="Q86" s="162"/>
      <c r="R86" s="25"/>
    </row>
    <row r="87" spans="1:18" x14ac:dyDescent="0.25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</row>
    <row r="88" spans="1:18" x14ac:dyDescent="0.25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</row>
    <row r="89" spans="1:18" x14ac:dyDescent="0.25">
      <c r="A89" s="26" t="s">
        <v>88</v>
      </c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</row>
    <row r="90" spans="1:18" x14ac:dyDescent="0.25">
      <c r="A90" s="162" t="s">
        <v>127</v>
      </c>
      <c r="B90" s="162"/>
      <c r="C90" s="162"/>
      <c r="D90" s="162"/>
      <c r="E90" s="162"/>
      <c r="F90" s="162"/>
      <c r="G90" s="162"/>
      <c r="H90" s="162"/>
      <c r="I90" s="162"/>
      <c r="J90" s="162"/>
      <c r="K90" s="162"/>
      <c r="L90" s="162"/>
      <c r="M90" s="162"/>
      <c r="N90" s="162"/>
      <c r="O90" s="162"/>
      <c r="P90" s="162"/>
      <c r="Q90" s="162"/>
      <c r="R90" s="26"/>
    </row>
    <row r="91" spans="1:18" x14ac:dyDescent="0.25">
      <c r="A91" s="162"/>
      <c r="B91" s="162"/>
      <c r="C91" s="162"/>
      <c r="D91" s="162"/>
      <c r="E91" s="162"/>
      <c r="F91" s="162"/>
      <c r="G91" s="162"/>
      <c r="H91" s="162"/>
      <c r="I91" s="162"/>
      <c r="J91" s="162"/>
      <c r="K91" s="162"/>
      <c r="L91" s="162"/>
      <c r="M91" s="162"/>
      <c r="N91" s="162"/>
      <c r="O91" s="162"/>
      <c r="P91" s="162"/>
      <c r="Q91" s="162"/>
      <c r="R91" s="26"/>
    </row>
    <row r="92" spans="1:18" x14ac:dyDescent="0.25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</row>
    <row r="95" spans="1:18" x14ac:dyDescent="0.25">
      <c r="A95" s="162"/>
      <c r="B95" s="162"/>
      <c r="C95" s="162"/>
      <c r="D95" s="162"/>
      <c r="E95" s="162"/>
      <c r="F95" s="162"/>
      <c r="G95" s="162"/>
      <c r="H95" s="162"/>
      <c r="I95" s="162"/>
      <c r="J95" s="162"/>
      <c r="K95" s="162"/>
      <c r="L95" s="162"/>
      <c r="M95" s="162"/>
      <c r="N95" s="162"/>
      <c r="O95" s="162"/>
      <c r="P95" s="162"/>
      <c r="Q95" s="162"/>
    </row>
    <row r="96" spans="1:18" x14ac:dyDescent="0.25">
      <c r="A96" s="162"/>
      <c r="B96" s="162"/>
      <c r="C96" s="162"/>
      <c r="D96" s="162"/>
      <c r="E96" s="162"/>
      <c r="F96" s="162"/>
      <c r="G96" s="162"/>
      <c r="H96" s="162"/>
      <c r="I96" s="162"/>
      <c r="J96" s="162"/>
      <c r="K96" s="162"/>
      <c r="L96" s="162"/>
      <c r="M96" s="162"/>
      <c r="N96" s="162"/>
      <c r="O96" s="162"/>
      <c r="P96" s="162"/>
      <c r="Q96" s="162"/>
    </row>
    <row r="99" spans="1:17" x14ac:dyDescent="0.25">
      <c r="A99" t="s">
        <v>133</v>
      </c>
    </row>
    <row r="100" spans="1:17" x14ac:dyDescent="0.25">
      <c r="A100" s="162" t="s">
        <v>134</v>
      </c>
      <c r="B100" s="162"/>
      <c r="C100" s="162"/>
      <c r="D100" s="162"/>
      <c r="E100" s="162"/>
      <c r="F100" s="162"/>
      <c r="G100" s="162"/>
      <c r="H100" s="162"/>
      <c r="I100" s="162"/>
      <c r="J100" s="162"/>
      <c r="K100" s="162"/>
      <c r="L100" s="162"/>
      <c r="M100" s="162"/>
      <c r="N100" s="162"/>
      <c r="O100" s="162"/>
      <c r="P100" s="162"/>
      <c r="Q100" s="162"/>
    </row>
    <row r="101" spans="1:17" x14ac:dyDescent="0.25">
      <c r="A101" s="162"/>
      <c r="B101" s="162"/>
      <c r="C101" s="162"/>
      <c r="D101" s="162"/>
      <c r="E101" s="162"/>
      <c r="F101" s="162"/>
      <c r="G101" s="162"/>
      <c r="H101" s="162"/>
      <c r="I101" s="162"/>
      <c r="J101" s="162"/>
      <c r="K101" s="162"/>
      <c r="L101" s="162"/>
      <c r="M101" s="162"/>
      <c r="N101" s="162"/>
      <c r="O101" s="162"/>
      <c r="P101" s="162"/>
      <c r="Q101" s="162"/>
    </row>
    <row r="104" spans="1:17" x14ac:dyDescent="0.25">
      <c r="A104" t="s">
        <v>135</v>
      </c>
    </row>
    <row r="105" spans="1:17" x14ac:dyDescent="0.25">
      <c r="A105" s="162" t="s">
        <v>136</v>
      </c>
      <c r="B105" s="162"/>
      <c r="C105" s="162"/>
      <c r="D105" s="162"/>
      <c r="E105" s="162"/>
      <c r="F105" s="162"/>
      <c r="G105" s="162"/>
      <c r="H105" s="162"/>
      <c r="I105" s="162"/>
      <c r="J105" s="162"/>
      <c r="K105" s="162"/>
      <c r="L105" s="162"/>
      <c r="M105" s="162"/>
      <c r="N105" s="162"/>
      <c r="O105" s="162"/>
      <c r="P105" s="162"/>
      <c r="Q105" s="162"/>
    </row>
    <row r="106" spans="1:17" x14ac:dyDescent="0.25">
      <c r="A106" s="162"/>
      <c r="B106" s="162"/>
      <c r="C106" s="162"/>
      <c r="D106" s="162"/>
      <c r="E106" s="162"/>
      <c r="F106" s="162"/>
      <c r="G106" s="162"/>
      <c r="H106" s="162"/>
      <c r="I106" s="162"/>
      <c r="J106" s="162"/>
      <c r="K106" s="162"/>
      <c r="L106" s="162"/>
      <c r="M106" s="162"/>
      <c r="N106" s="162"/>
      <c r="O106" s="162"/>
      <c r="P106" s="162"/>
      <c r="Q106" s="162"/>
    </row>
    <row r="109" spans="1:17" x14ac:dyDescent="0.25">
      <c r="A109" t="s">
        <v>137</v>
      </c>
    </row>
    <row r="110" spans="1:17" x14ac:dyDescent="0.25">
      <c r="A110" s="162" t="s">
        <v>138</v>
      </c>
      <c r="B110" s="162"/>
      <c r="C110" s="162"/>
      <c r="D110" s="162"/>
      <c r="E110" s="162"/>
      <c r="F110" s="162"/>
      <c r="G110" s="162"/>
      <c r="H110" s="162"/>
      <c r="I110" s="162"/>
      <c r="J110" s="162"/>
      <c r="K110" s="162"/>
      <c r="L110" s="162"/>
      <c r="M110" s="162"/>
      <c r="N110" s="162"/>
      <c r="O110" s="162"/>
      <c r="P110" s="162"/>
      <c r="Q110" s="162"/>
    </row>
    <row r="111" spans="1:17" x14ac:dyDescent="0.25">
      <c r="A111" s="162"/>
      <c r="B111" s="162"/>
      <c r="C111" s="162"/>
      <c r="D111" s="162"/>
      <c r="E111" s="162"/>
      <c r="F111" s="162"/>
      <c r="G111" s="162"/>
      <c r="H111" s="162"/>
      <c r="I111" s="162"/>
      <c r="J111" s="162"/>
      <c r="K111" s="162"/>
      <c r="L111" s="162"/>
      <c r="M111" s="162"/>
      <c r="N111" s="162"/>
      <c r="O111" s="162"/>
      <c r="P111" s="162"/>
      <c r="Q111" s="162"/>
    </row>
    <row r="114" spans="1:17" x14ac:dyDescent="0.25">
      <c r="A114" t="s">
        <v>139</v>
      </c>
    </row>
    <row r="115" spans="1:17" x14ac:dyDescent="0.25">
      <c r="A115" s="162" t="s">
        <v>140</v>
      </c>
      <c r="B115" s="162"/>
      <c r="C115" s="162"/>
      <c r="D115" s="162"/>
      <c r="E115" s="162"/>
      <c r="F115" s="162"/>
      <c r="G115" s="162"/>
      <c r="H115" s="162"/>
      <c r="I115" s="162"/>
      <c r="J115" s="162"/>
      <c r="K115" s="162"/>
      <c r="L115" s="162"/>
      <c r="M115" s="162"/>
      <c r="N115" s="162"/>
      <c r="O115" s="162"/>
      <c r="P115" s="162"/>
      <c r="Q115" s="162"/>
    </row>
    <row r="116" spans="1:17" x14ac:dyDescent="0.25">
      <c r="A116" s="162"/>
      <c r="B116" s="162"/>
      <c r="C116" s="162"/>
      <c r="D116" s="162"/>
      <c r="E116" s="162"/>
      <c r="F116" s="162"/>
      <c r="G116" s="162"/>
      <c r="H116" s="162"/>
      <c r="I116" s="162"/>
      <c r="J116" s="162"/>
      <c r="K116" s="162"/>
      <c r="L116" s="162"/>
      <c r="M116" s="162"/>
      <c r="N116" s="162"/>
      <c r="O116" s="162"/>
      <c r="P116" s="162"/>
      <c r="Q116" s="162"/>
    </row>
    <row r="119" spans="1:17" x14ac:dyDescent="0.25">
      <c r="A119" t="s">
        <v>141</v>
      </c>
    </row>
    <row r="120" spans="1:17" x14ac:dyDescent="0.25">
      <c r="A120" s="162" t="s">
        <v>142</v>
      </c>
      <c r="B120" s="162"/>
      <c r="C120" s="162"/>
      <c r="D120" s="162"/>
      <c r="E120" s="162"/>
      <c r="F120" s="162"/>
      <c r="G120" s="162"/>
      <c r="H120" s="162"/>
      <c r="I120" s="162"/>
      <c r="J120" s="162"/>
      <c r="K120" s="162"/>
      <c r="L120" s="162"/>
      <c r="M120" s="162"/>
      <c r="N120" s="162"/>
      <c r="O120" s="162"/>
      <c r="P120" s="162"/>
      <c r="Q120" s="162"/>
    </row>
    <row r="121" spans="1:17" x14ac:dyDescent="0.25">
      <c r="A121" s="162"/>
      <c r="B121" s="162"/>
      <c r="C121" s="162"/>
      <c r="D121" s="162"/>
      <c r="E121" s="162"/>
      <c r="F121" s="162"/>
      <c r="G121" s="162"/>
      <c r="H121" s="162"/>
      <c r="I121" s="162"/>
      <c r="J121" s="162"/>
      <c r="K121" s="162"/>
      <c r="L121" s="162"/>
      <c r="M121" s="162"/>
      <c r="N121" s="162"/>
      <c r="O121" s="162"/>
      <c r="P121" s="162"/>
      <c r="Q121" s="162"/>
    </row>
    <row r="123" spans="1:17" x14ac:dyDescent="0.25">
      <c r="A123" t="s">
        <v>143</v>
      </c>
    </row>
    <row r="124" spans="1:17" x14ac:dyDescent="0.25">
      <c r="A124" s="162" t="s">
        <v>144</v>
      </c>
      <c r="B124" s="162"/>
      <c r="C124" s="162"/>
      <c r="D124" s="162"/>
      <c r="E124" s="162"/>
      <c r="F124" s="162"/>
      <c r="G124" s="162"/>
      <c r="H124" s="162"/>
      <c r="I124" s="162"/>
      <c r="J124" s="162"/>
      <c r="K124" s="162"/>
      <c r="L124" s="162"/>
      <c r="M124" s="162"/>
      <c r="N124" s="162"/>
      <c r="O124" s="162"/>
      <c r="P124" s="162"/>
      <c r="Q124" s="162"/>
    </row>
    <row r="125" spans="1:17" x14ac:dyDescent="0.25">
      <c r="A125" s="162"/>
      <c r="B125" s="162"/>
      <c r="C125" s="162"/>
      <c r="D125" s="162"/>
      <c r="E125" s="162"/>
      <c r="F125" s="162"/>
      <c r="G125" s="162"/>
      <c r="H125" s="162"/>
      <c r="I125" s="162"/>
      <c r="J125" s="162"/>
      <c r="K125" s="162"/>
      <c r="L125" s="162"/>
      <c r="M125" s="162"/>
      <c r="N125" s="162"/>
      <c r="O125" s="162"/>
      <c r="P125" s="162"/>
      <c r="Q125" s="162"/>
    </row>
  </sheetData>
  <protectedRanges>
    <protectedRange sqref="C56:O58" name="AL Comments"/>
    <protectedRange sqref="H6:I6" name="AL Pages"/>
  </protectedRanges>
  <mergeCells count="76">
    <mergeCell ref="A124:Q125"/>
    <mergeCell ref="AI2:AJ2"/>
    <mergeCell ref="AL2:AM2"/>
    <mergeCell ref="AO2:AP2"/>
    <mergeCell ref="AR2:AS2"/>
    <mergeCell ref="A23:B23"/>
    <mergeCell ref="C23:D23"/>
    <mergeCell ref="A21:B21"/>
    <mergeCell ref="A20:B20"/>
    <mergeCell ref="A25:B25"/>
    <mergeCell ref="C25:D25"/>
    <mergeCell ref="A26:B26"/>
    <mergeCell ref="C26:D26"/>
    <mergeCell ref="A27:B27"/>
    <mergeCell ref="C27:D27"/>
    <mergeCell ref="A29:B29"/>
    <mergeCell ref="AU2:AV2"/>
    <mergeCell ref="A90:Q91"/>
    <mergeCell ref="C59:E59"/>
    <mergeCell ref="C60:E60"/>
    <mergeCell ref="A120:Q121"/>
    <mergeCell ref="A61:O62"/>
    <mergeCell ref="A95:Q96"/>
    <mergeCell ref="A100:Q101"/>
    <mergeCell ref="A105:Q106"/>
    <mergeCell ref="A110:Q111"/>
    <mergeCell ref="A115:Q116"/>
    <mergeCell ref="A79:Q86"/>
    <mergeCell ref="A68:Q75"/>
    <mergeCell ref="C21:D21"/>
    <mergeCell ref="A22:B22"/>
    <mergeCell ref="C22:D22"/>
    <mergeCell ref="C1:M1"/>
    <mergeCell ref="C2:M2"/>
    <mergeCell ref="C3:M3"/>
    <mergeCell ref="C20:D20"/>
    <mergeCell ref="L11:M11"/>
    <mergeCell ref="L12:M12"/>
    <mergeCell ref="L13:M13"/>
    <mergeCell ref="L14:M14"/>
    <mergeCell ref="L15:M15"/>
    <mergeCell ref="F4:K4"/>
    <mergeCell ref="G5:J5"/>
    <mergeCell ref="H6:I6"/>
    <mergeCell ref="C29:D29"/>
    <mergeCell ref="A30:B30"/>
    <mergeCell ref="C30:D30"/>
    <mergeCell ref="A31:B31"/>
    <mergeCell ref="C31:D31"/>
    <mergeCell ref="A33:B33"/>
    <mergeCell ref="C33:D33"/>
    <mergeCell ref="A34:B34"/>
    <mergeCell ref="C34:D34"/>
    <mergeCell ref="A35:B35"/>
    <mergeCell ref="C35:D35"/>
    <mergeCell ref="A37:B37"/>
    <mergeCell ref="C37:D37"/>
    <mergeCell ref="A38:B38"/>
    <mergeCell ref="C38:D38"/>
    <mergeCell ref="A39:B39"/>
    <mergeCell ref="C39:D39"/>
    <mergeCell ref="A41:B41"/>
    <mergeCell ref="C41:D41"/>
    <mergeCell ref="A42:B42"/>
    <mergeCell ref="C42:D42"/>
    <mergeCell ref="A43:B43"/>
    <mergeCell ref="C43:D43"/>
    <mergeCell ref="C56:O58"/>
    <mergeCell ref="Q56:AC58"/>
    <mergeCell ref="A52:O54"/>
    <mergeCell ref="A45:B45"/>
    <mergeCell ref="C45:D45"/>
    <mergeCell ref="A46:B46"/>
    <mergeCell ref="C46:D46"/>
    <mergeCell ref="A47:B47"/>
    <mergeCell ref="C47:D47"/>
  </mergeCells>
  <printOptions horizontalCentered="1" verticalCentered="1"/>
  <pageMargins left="0" right="0" top="0.5" bottom="0.85" header="0.3" footer="0.3"/>
  <pageSetup scale="72" orientation="portrait" r:id="rId1"/>
  <customProperties>
    <customPr name="%locator_row%" r:id="rId2"/>
    <customPr name="%startcell%" r:id="rId3"/>
  </customProperties>
  <drawing r:id="rId4"/>
  <legacy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pageSetUpPr fitToPage="1"/>
  </sheetPr>
  <dimension ref="A1:AC86"/>
  <sheetViews>
    <sheetView view="pageBreakPreview" zoomScaleNormal="100" zoomScaleSheetLayoutView="100" workbookViewId="0">
      <selection activeCell="D12" sqref="D12"/>
    </sheetView>
  </sheetViews>
  <sheetFormatPr defaultRowHeight="15" x14ac:dyDescent="0.25"/>
  <cols>
    <col min="1" max="1" width="7.140625" customWidth="1"/>
    <col min="2" max="2" width="8.140625" customWidth="1"/>
    <col min="5" max="5" width="7.140625" customWidth="1"/>
    <col min="6" max="9" width="9.7109375" customWidth="1"/>
    <col min="10" max="10" width="11.85546875" customWidth="1"/>
    <col min="11" max="12" width="9.7109375" customWidth="1"/>
    <col min="13" max="13" width="10.140625" customWidth="1"/>
    <col min="14" max="14" width="9.7109375" customWidth="1"/>
    <col min="15" max="15" width="5.140625" customWidth="1"/>
  </cols>
  <sheetData>
    <row r="1" spans="1:13" ht="26.25" x14ac:dyDescent="0.4">
      <c r="C1" s="133" t="s">
        <v>103</v>
      </c>
      <c r="D1" s="133"/>
      <c r="E1" s="133"/>
      <c r="F1" s="133"/>
      <c r="G1" s="133"/>
      <c r="H1" s="133"/>
      <c r="I1" s="133"/>
      <c r="J1" s="133"/>
      <c r="K1" s="133"/>
      <c r="L1" s="133"/>
      <c r="M1" s="133"/>
    </row>
    <row r="2" spans="1:13" ht="18.75" x14ac:dyDescent="0.3">
      <c r="C2" s="153" t="s">
        <v>104</v>
      </c>
      <c r="D2" s="153"/>
      <c r="E2" s="153"/>
      <c r="F2" s="153"/>
      <c r="G2" s="153"/>
      <c r="H2" s="153"/>
      <c r="I2" s="153"/>
      <c r="J2" s="153"/>
      <c r="K2" s="153"/>
      <c r="L2" s="153"/>
      <c r="M2" s="153"/>
    </row>
    <row r="3" spans="1:13" ht="18.75" x14ac:dyDescent="0.3">
      <c r="C3" s="153" t="s">
        <v>105</v>
      </c>
      <c r="D3" s="153"/>
      <c r="E3" s="153"/>
      <c r="F3" s="153"/>
      <c r="G3" s="153"/>
      <c r="H3" s="153"/>
      <c r="I3" s="153"/>
      <c r="J3" s="153"/>
      <c r="K3" s="153"/>
      <c r="L3" s="153"/>
      <c r="M3" s="153"/>
    </row>
    <row r="4" spans="1:13" ht="21" x14ac:dyDescent="0.35">
      <c r="C4" s="80"/>
      <c r="D4" s="80"/>
      <c r="E4" s="139" t="s">
        <v>145</v>
      </c>
      <c r="F4" s="139"/>
      <c r="G4" s="139"/>
      <c r="H4" s="139"/>
      <c r="I4" s="139"/>
      <c r="J4" s="139"/>
      <c r="K4" s="139"/>
      <c r="L4" s="80"/>
      <c r="M4" s="80"/>
    </row>
    <row r="5" spans="1:13" ht="18.75" x14ac:dyDescent="0.3">
      <c r="C5" s="80"/>
      <c r="D5" s="164" t="s">
        <v>146</v>
      </c>
      <c r="E5" s="164"/>
      <c r="F5" s="164"/>
      <c r="G5" s="164"/>
      <c r="H5" s="164"/>
      <c r="I5" s="164"/>
      <c r="J5" s="164"/>
      <c r="K5" s="164"/>
      <c r="L5" s="164"/>
      <c r="M5" s="80"/>
    </row>
    <row r="6" spans="1:13" ht="15.75" x14ac:dyDescent="0.25">
      <c r="A6" s="1" t="s">
        <v>107</v>
      </c>
      <c r="C6" s="21" t="str">
        <f>IF(Worksheet!D3="","",Worksheet!D3)</f>
        <v/>
      </c>
      <c r="E6" s="4"/>
      <c r="F6" s="1"/>
      <c r="H6" s="130" t="s">
        <v>147</v>
      </c>
      <c r="I6" s="130"/>
      <c r="L6" t="s">
        <v>109</v>
      </c>
    </row>
    <row r="7" spans="1:13" ht="15.75" x14ac:dyDescent="0.25">
      <c r="A7" s="1" t="s">
        <v>110</v>
      </c>
      <c r="C7" s="21" t="str">
        <f>IF(Worksheet!D4="","",Worksheet!D4)</f>
        <v/>
      </c>
      <c r="L7" t="s">
        <v>111</v>
      </c>
    </row>
    <row r="8" spans="1:13" ht="18.75" x14ac:dyDescent="0.3">
      <c r="A8" s="1"/>
      <c r="C8" s="21" t="str">
        <f>IF(Worksheet!G4="","",Worksheet!G4)</f>
        <v/>
      </c>
      <c r="E8" s="50"/>
      <c r="F8" s="50"/>
      <c r="G8" s="50"/>
      <c r="H8" s="50"/>
      <c r="I8" s="50"/>
      <c r="J8" s="50"/>
    </row>
    <row r="9" spans="1:13" ht="15.75" x14ac:dyDescent="0.25">
      <c r="A9" s="1"/>
      <c r="C9" s="21" t="str">
        <f>IF(Worksheet!G5="","",Worksheet!G5)</f>
        <v/>
      </c>
      <c r="E9" s="74"/>
      <c r="F9" s="74"/>
      <c r="G9" s="74"/>
      <c r="H9" s="74"/>
      <c r="I9" s="74"/>
      <c r="J9" s="74"/>
    </row>
    <row r="10" spans="1:13" ht="15.75" x14ac:dyDescent="0.25">
      <c r="A10" s="1"/>
      <c r="C10" s="21" t="str">
        <f>IF(Worksheet!G6="","",Worksheet!G6)</f>
        <v/>
      </c>
    </row>
    <row r="11" spans="1:13" ht="15.75" x14ac:dyDescent="0.25">
      <c r="A11" s="1" t="s">
        <v>112</v>
      </c>
      <c r="C11" s="21" t="str">
        <f>IF(Worksheet!D5="","",Worksheet!D5)</f>
        <v/>
      </c>
      <c r="J11" s="1" t="s">
        <v>18</v>
      </c>
      <c r="L11" s="155" t="str">
        <f>IF(Worksheet!N5="","",Worksheet!N5)</f>
        <v/>
      </c>
      <c r="M11" s="155"/>
    </row>
    <row r="12" spans="1:13" ht="15.75" x14ac:dyDescent="0.25">
      <c r="A12" s="1" t="s">
        <v>113</v>
      </c>
      <c r="C12" s="20" t="str">
        <f>IF(Worksheet!D6="","",Worksheet!D6)</f>
        <v/>
      </c>
      <c r="J12" s="1" t="s">
        <v>22</v>
      </c>
      <c r="L12" s="156" t="str">
        <f>IF(Worksheet!N6="","",Worksheet!N6)</f>
        <v/>
      </c>
      <c r="M12" s="156"/>
    </row>
    <row r="13" spans="1:13" ht="15.75" x14ac:dyDescent="0.25">
      <c r="A13" s="1" t="s">
        <v>114</v>
      </c>
      <c r="C13" s="21" t="str">
        <f>IF(Worksheet!D7="","",Worksheet!I7)</f>
        <v/>
      </c>
      <c r="J13" s="1" t="s">
        <v>27</v>
      </c>
      <c r="L13" s="156" t="str">
        <f>IF(Worksheet!N7="","",Worksheet!N7)</f>
        <v/>
      </c>
      <c r="M13" s="156"/>
    </row>
    <row r="14" spans="1:13" ht="15.75" x14ac:dyDescent="0.25">
      <c r="A14" s="1" t="s">
        <v>115</v>
      </c>
      <c r="C14" s="20" t="str">
        <f>IF(Worksheet!D8="","",Worksheet!D8)</f>
        <v/>
      </c>
      <c r="F14" s="4" t="str">
        <f>IF(Worksheet!G3="","","Customer PO: ")</f>
        <v/>
      </c>
      <c r="G14" s="1" t="str">
        <f>IF(Worksheet!G3="","",Worksheet!G3)</f>
        <v/>
      </c>
      <c r="J14" s="1" t="s">
        <v>31</v>
      </c>
      <c r="L14" s="157" t="str">
        <f>IF(Worksheet!N8="","",Worksheet!N8)</f>
        <v/>
      </c>
      <c r="M14" s="157"/>
    </row>
    <row r="15" spans="1:13" ht="15.75" x14ac:dyDescent="0.25">
      <c r="A15" s="1" t="s">
        <v>116</v>
      </c>
      <c r="C15" s="20" t="str">
        <f>IF(Worksheet!D9="","",Worksheet!D9)</f>
        <v/>
      </c>
      <c r="F15" t="str">
        <f>IF(Worksheet!J9="YES","Tested on Site","")</f>
        <v/>
      </c>
      <c r="J15" s="1" t="s">
        <v>37</v>
      </c>
      <c r="L15" s="158" t="str">
        <f>IF(Worksheet!N9="","",Worksheet!N9)</f>
        <v/>
      </c>
      <c r="M15" s="158"/>
    </row>
    <row r="16" spans="1:13" x14ac:dyDescent="0.25">
      <c r="A16" t="s">
        <v>117</v>
      </c>
    </row>
    <row r="17" spans="1:18" ht="15.75" x14ac:dyDescent="0.25">
      <c r="A17" s="1" t="s">
        <v>118</v>
      </c>
      <c r="E17" s="20" t="str">
        <f>Worksheet!J11</f>
        <v>ASTM E-110-14</v>
      </c>
    </row>
    <row r="18" spans="1:18" ht="15.75" x14ac:dyDescent="0.25">
      <c r="A18" s="1" t="s">
        <v>119</v>
      </c>
      <c r="E18" s="20" t="s">
        <v>45</v>
      </c>
      <c r="I18" s="4" t="s">
        <v>120</v>
      </c>
      <c r="J18" s="21" t="s">
        <v>47</v>
      </c>
    </row>
    <row r="19" spans="1:18" x14ac:dyDescent="0.25">
      <c r="A19" t="s">
        <v>117</v>
      </c>
    </row>
    <row r="20" spans="1:18" x14ac:dyDescent="0.25">
      <c r="A20" s="154" t="s">
        <v>121</v>
      </c>
      <c r="B20" s="154"/>
      <c r="C20" s="154" t="s">
        <v>52</v>
      </c>
      <c r="D20" s="154"/>
      <c r="E20" s="16" t="s">
        <v>55</v>
      </c>
      <c r="F20" s="16" t="s">
        <v>56</v>
      </c>
      <c r="G20" s="16"/>
      <c r="H20" s="16"/>
      <c r="I20" s="16"/>
      <c r="J20" s="16" t="s">
        <v>60</v>
      </c>
      <c r="K20" s="16" t="s">
        <v>61</v>
      </c>
      <c r="L20" s="16" t="s">
        <v>62</v>
      </c>
      <c r="M20" s="44" t="s">
        <v>63</v>
      </c>
      <c r="N20" s="16" t="s">
        <v>122</v>
      </c>
    </row>
    <row r="21" spans="1:18" ht="15.75" x14ac:dyDescent="0.25">
      <c r="A21" s="147" t="str">
        <f>IF(Worksheet!C18="","",IF(Worksheet!D$11="NO",CONCATENATE(Worksheet!B18," ",R21),CONCATENATE(Worksheet!B18,"/P ",R21)))</f>
        <v/>
      </c>
      <c r="B21" s="148"/>
      <c r="C21" s="148" t="str">
        <f>IF(Worksheet!F18="","",Worksheet!D18)</f>
        <v/>
      </c>
      <c r="D21" s="148"/>
      <c r="E21" s="85" t="str">
        <f>IF(Worksheet!F18="","",Worksheet!F18)</f>
        <v/>
      </c>
      <c r="F21" s="85" t="str">
        <f>IF(Worksheet!G18="","",Worksheet!G18)</f>
        <v/>
      </c>
      <c r="G21" s="85"/>
      <c r="H21" s="85"/>
      <c r="I21" s="85"/>
      <c r="J21" s="85" t="str">
        <f>IF(Worksheet!F18="","",Worksheet!Y18)</f>
        <v/>
      </c>
      <c r="K21" s="53" t="str">
        <f>IF(Worksheet!F18="","",Worksheet!Z18)</f>
        <v/>
      </c>
      <c r="L21" s="53" t="str">
        <f>IF(Worksheet!F18="","",Worksheet!AA18)</f>
        <v/>
      </c>
      <c r="M21" s="85" t="str">
        <f>IF(Worksheet!F18="","",Worksheet!R18)</f>
        <v/>
      </c>
      <c r="N21" s="47" t="str">
        <f>IF(Worksheet!F18="","",Worksheet!V18)</f>
        <v/>
      </c>
      <c r="R21" s="20" t="str">
        <f>IF(Worksheet!C18="","",TEXT(Worksheet!C18,"0.0"))</f>
        <v/>
      </c>
    </row>
    <row r="22" spans="1:18" ht="15.75" x14ac:dyDescent="0.25">
      <c r="A22" s="149" t="str">
        <f>IF(Worksheet!C19="","",IF(Worksheet!D$11="NO",CONCATENATE(Worksheet!B19," ",R22),CONCATENATE(Worksheet!B19,"/P ",R22)))</f>
        <v/>
      </c>
      <c r="B22" s="150"/>
      <c r="C22" s="150" t="str">
        <f>IF(Worksheet!F19="","",Worksheet!D19)</f>
        <v/>
      </c>
      <c r="D22" s="150"/>
      <c r="E22" s="27" t="str">
        <f>IF(Worksheet!F19="","",Worksheet!F19)</f>
        <v/>
      </c>
      <c r="F22" s="27" t="str">
        <f>IF(Worksheet!G19="","",Worksheet!G19)</f>
        <v/>
      </c>
      <c r="G22" s="27"/>
      <c r="H22" s="27"/>
      <c r="I22" s="27"/>
      <c r="J22" s="27" t="str">
        <f>IF(Worksheet!F19="","",Worksheet!Y19)</f>
        <v/>
      </c>
      <c r="K22" s="54" t="str">
        <f>IF(Worksheet!F19="","",Worksheet!Z19)</f>
        <v/>
      </c>
      <c r="L22" s="54" t="str">
        <f>IF(Worksheet!F19="","",Worksheet!AA19)</f>
        <v/>
      </c>
      <c r="M22" s="27" t="str">
        <f>IF(Worksheet!F19="","",Worksheet!R19)</f>
        <v/>
      </c>
      <c r="N22" s="48" t="str">
        <f>IF(Worksheet!F19="","",Worksheet!V19)</f>
        <v/>
      </c>
      <c r="R22" s="20" t="str">
        <f>IF(Worksheet!C19="","",TEXT(Worksheet!C19,"0.0"))</f>
        <v/>
      </c>
    </row>
    <row r="23" spans="1:18" ht="15.75" x14ac:dyDescent="0.25">
      <c r="A23" s="151" t="str">
        <f>IF(Worksheet!C20="","",IF(Worksheet!D$11="NO",CONCATENATE(Worksheet!B20," ",R23),CONCATENATE(Worksheet!B20,"/P ",R23)))</f>
        <v/>
      </c>
      <c r="B23" s="152"/>
      <c r="C23" s="152" t="str">
        <f>IF(Worksheet!F20="","",Worksheet!D20)</f>
        <v/>
      </c>
      <c r="D23" s="152"/>
      <c r="E23" s="86" t="str">
        <f>IF(Worksheet!F20="","",Worksheet!F20)</f>
        <v/>
      </c>
      <c r="F23" s="86" t="str">
        <f>IF(Worksheet!G20="","",Worksheet!G20)</f>
        <v/>
      </c>
      <c r="G23" s="86"/>
      <c r="H23" s="86"/>
      <c r="I23" s="86"/>
      <c r="J23" s="86" t="str">
        <f>IF(Worksheet!F20="","",Worksheet!Y20)</f>
        <v/>
      </c>
      <c r="K23" s="55" t="str">
        <f>IF(Worksheet!F20="","",Worksheet!Z20)</f>
        <v/>
      </c>
      <c r="L23" s="55" t="str">
        <f>IF(Worksheet!F20="","",Worksheet!AA20)</f>
        <v/>
      </c>
      <c r="M23" s="86" t="str">
        <f>IF(Worksheet!F20="","",Worksheet!R20)</f>
        <v/>
      </c>
      <c r="N23" s="49" t="str">
        <f>IF(Worksheet!F20="","",Worksheet!V20)</f>
        <v/>
      </c>
      <c r="R23" s="20" t="str">
        <f>IF(Worksheet!C20="","",TEXT(Worksheet!C20,"0.0"))</f>
        <v/>
      </c>
    </row>
    <row r="24" spans="1:18" ht="15.75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</row>
    <row r="25" spans="1:18" ht="15.75" x14ac:dyDescent="0.25">
      <c r="A25" s="147" t="str">
        <f>IF(Worksheet!C22="","",IF(Worksheet!D$11="NO",CONCATENATE(Worksheet!B22," ",R25),CONCATENATE(Worksheet!B22,"/P ",R25)))</f>
        <v/>
      </c>
      <c r="B25" s="148"/>
      <c r="C25" s="148" t="str">
        <f>IF(Worksheet!F22="","",Worksheet!D22)</f>
        <v/>
      </c>
      <c r="D25" s="148"/>
      <c r="E25" s="85" t="str">
        <f>IF(Worksheet!F22="","",Worksheet!F22)</f>
        <v/>
      </c>
      <c r="F25" s="85" t="str">
        <f>IF(Worksheet!G22="","",Worksheet!G22)</f>
        <v/>
      </c>
      <c r="G25" s="85"/>
      <c r="H25" s="85"/>
      <c r="I25" s="85"/>
      <c r="J25" s="85" t="str">
        <f>IF(Worksheet!F22="","",Worksheet!Y22)</f>
        <v/>
      </c>
      <c r="K25" s="53" t="str">
        <f>IF(Worksheet!F22="","",Worksheet!Z22)</f>
        <v/>
      </c>
      <c r="L25" s="53" t="str">
        <f>IF(Worksheet!F22="","",Worksheet!AA22)</f>
        <v/>
      </c>
      <c r="M25" s="85" t="str">
        <f>IF(Worksheet!F22="","",Worksheet!R22)</f>
        <v/>
      </c>
      <c r="N25" s="47" t="str">
        <f>IF(Worksheet!F22="","",Worksheet!V22)</f>
        <v/>
      </c>
      <c r="R25" s="20" t="str">
        <f>IF(Worksheet!C22="","",TEXT(Worksheet!C22,"0.0"))</f>
        <v/>
      </c>
    </row>
    <row r="26" spans="1:18" ht="15.75" x14ac:dyDescent="0.25">
      <c r="A26" s="149" t="str">
        <f>IF(Worksheet!C23="","",IF(Worksheet!D$11="NO",CONCATENATE(Worksheet!B23," ",R26),CONCATENATE(Worksheet!B23,"/P ",R26)))</f>
        <v/>
      </c>
      <c r="B26" s="150"/>
      <c r="C26" s="150" t="str">
        <f>IF(Worksheet!F23="","",Worksheet!D23)</f>
        <v/>
      </c>
      <c r="D26" s="150"/>
      <c r="E26" s="27" t="str">
        <f>IF(Worksheet!F23="","",Worksheet!F23)</f>
        <v/>
      </c>
      <c r="F26" s="27" t="str">
        <f>IF(Worksheet!G23="","",Worksheet!G23)</f>
        <v/>
      </c>
      <c r="G26" s="27"/>
      <c r="H26" s="27"/>
      <c r="I26" s="27"/>
      <c r="J26" s="27" t="str">
        <f>IF(Worksheet!F23="","",Worksheet!Y23)</f>
        <v/>
      </c>
      <c r="K26" s="54" t="str">
        <f>IF(Worksheet!F23="","",Worksheet!Z23)</f>
        <v/>
      </c>
      <c r="L26" s="54" t="str">
        <f>IF(Worksheet!F23="","",Worksheet!AA23)</f>
        <v/>
      </c>
      <c r="M26" s="27" t="str">
        <f>IF(Worksheet!F23="","",Worksheet!R23)</f>
        <v/>
      </c>
      <c r="N26" s="48" t="str">
        <f>IF(Worksheet!F23="","",Worksheet!V23)</f>
        <v/>
      </c>
      <c r="R26" s="20" t="str">
        <f>IF(Worksheet!C23="","",TEXT(Worksheet!C23,"0.0"))</f>
        <v/>
      </c>
    </row>
    <row r="27" spans="1:18" ht="15.75" x14ac:dyDescent="0.25">
      <c r="A27" s="151" t="str">
        <f>IF(Worksheet!C24="","",IF(Worksheet!D$11="NO",CONCATENATE(Worksheet!B24," ",R27),CONCATENATE(Worksheet!B24,"/P ",R27)))</f>
        <v/>
      </c>
      <c r="B27" s="152"/>
      <c r="C27" s="152" t="str">
        <f>IF(Worksheet!F24="","",Worksheet!D24)</f>
        <v/>
      </c>
      <c r="D27" s="152"/>
      <c r="E27" s="86" t="str">
        <f>IF(Worksheet!F24="","",Worksheet!F24)</f>
        <v/>
      </c>
      <c r="F27" s="86" t="str">
        <f>IF(Worksheet!G24="","",Worksheet!G24)</f>
        <v/>
      </c>
      <c r="G27" s="86"/>
      <c r="H27" s="86"/>
      <c r="I27" s="86"/>
      <c r="J27" s="86" t="str">
        <f>IF(Worksheet!F24="","",Worksheet!Y24)</f>
        <v/>
      </c>
      <c r="K27" s="55" t="str">
        <f>IF(Worksheet!F24="","",Worksheet!Z24)</f>
        <v/>
      </c>
      <c r="L27" s="55" t="str">
        <f>IF(Worksheet!F24="","",Worksheet!AA24)</f>
        <v/>
      </c>
      <c r="M27" s="86" t="str">
        <f>IF(Worksheet!F24="","",Worksheet!R24)</f>
        <v/>
      </c>
      <c r="N27" s="49" t="str">
        <f>IF(Worksheet!F24="","",Worksheet!V24)</f>
        <v/>
      </c>
      <c r="R27" s="20" t="str">
        <f>IF(Worksheet!C24="","",TEXT(Worksheet!C24,"0.0"))</f>
        <v/>
      </c>
    </row>
    <row r="28" spans="1:18" ht="15.75" x14ac:dyDescent="0.25">
      <c r="A28" s="20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</row>
    <row r="29" spans="1:18" ht="15.75" x14ac:dyDescent="0.25">
      <c r="A29" s="147" t="str">
        <f>IF(Worksheet!C26="","",IF(Worksheet!D$11="NO",CONCATENATE(Worksheet!B26," ",R29),CONCATENATE(Worksheet!B26,"/P ",R29)))</f>
        <v/>
      </c>
      <c r="B29" s="148"/>
      <c r="C29" s="148" t="str">
        <f>IF(Worksheet!F26="","",Worksheet!D26)</f>
        <v/>
      </c>
      <c r="D29" s="148"/>
      <c r="E29" s="85" t="str">
        <f>IF(Worksheet!F26="","",Worksheet!F26)</f>
        <v/>
      </c>
      <c r="F29" s="85" t="str">
        <f>IF(Worksheet!G26="","",Worksheet!G26)</f>
        <v/>
      </c>
      <c r="G29" s="85"/>
      <c r="H29" s="85"/>
      <c r="I29" s="85"/>
      <c r="J29" s="85" t="str">
        <f>IF(Worksheet!F26="","",Worksheet!Y26)</f>
        <v/>
      </c>
      <c r="K29" s="53" t="str">
        <f>IF(Worksheet!F26="","",Worksheet!Z26)</f>
        <v/>
      </c>
      <c r="L29" s="53" t="str">
        <f>IF(Worksheet!F26="","",Worksheet!AA26)</f>
        <v/>
      </c>
      <c r="M29" s="85" t="str">
        <f>IF(Worksheet!F26="","",Worksheet!R26)</f>
        <v/>
      </c>
      <c r="N29" s="47" t="str">
        <f>IF(Worksheet!F26="","",Worksheet!V26)</f>
        <v/>
      </c>
      <c r="R29" s="20" t="str">
        <f>IF(Worksheet!C26="","",TEXT(Worksheet!C26,"0.0"))</f>
        <v/>
      </c>
    </row>
    <row r="30" spans="1:18" ht="15.75" x14ac:dyDescent="0.25">
      <c r="A30" s="149" t="str">
        <f>IF(Worksheet!C27="","",IF(Worksheet!D$11="NO",CONCATENATE(Worksheet!B27," ",R30),CONCATENATE(Worksheet!B27,"/P ",R30)))</f>
        <v/>
      </c>
      <c r="B30" s="150"/>
      <c r="C30" s="150" t="str">
        <f>IF(Worksheet!F27="","",Worksheet!D27)</f>
        <v/>
      </c>
      <c r="D30" s="150"/>
      <c r="E30" s="27" t="str">
        <f>IF(Worksheet!F27="","",Worksheet!F27)</f>
        <v/>
      </c>
      <c r="F30" s="27" t="str">
        <f>IF(Worksheet!G27="","",Worksheet!G27)</f>
        <v/>
      </c>
      <c r="G30" s="27"/>
      <c r="H30" s="27"/>
      <c r="I30" s="27"/>
      <c r="J30" s="27" t="str">
        <f>IF(Worksheet!F27="","",Worksheet!Y27)</f>
        <v/>
      </c>
      <c r="K30" s="54" t="str">
        <f>IF(Worksheet!F27="","",Worksheet!Z27)</f>
        <v/>
      </c>
      <c r="L30" s="54" t="str">
        <f>IF(Worksheet!F27="","",Worksheet!AA27)</f>
        <v/>
      </c>
      <c r="M30" s="27" t="str">
        <f>IF(Worksheet!F27="","",Worksheet!R27)</f>
        <v/>
      </c>
      <c r="N30" s="48" t="str">
        <f>IF(Worksheet!F27="","",Worksheet!V27)</f>
        <v/>
      </c>
      <c r="R30" s="20" t="str">
        <f>IF(Worksheet!C27="","",TEXT(Worksheet!C27,"0.0"))</f>
        <v/>
      </c>
    </row>
    <row r="31" spans="1:18" ht="15.75" x14ac:dyDescent="0.25">
      <c r="A31" s="151" t="str">
        <f>IF(Worksheet!C28="","",IF(Worksheet!D$11="NO",CONCATENATE(Worksheet!B28," ",R31),CONCATENATE(Worksheet!B28,"/P ",R31)))</f>
        <v/>
      </c>
      <c r="B31" s="152"/>
      <c r="C31" s="152" t="str">
        <f>IF(Worksheet!F28="","",Worksheet!D28)</f>
        <v/>
      </c>
      <c r="D31" s="152"/>
      <c r="E31" s="86" t="str">
        <f>IF(Worksheet!F28="","",Worksheet!F28)</f>
        <v/>
      </c>
      <c r="F31" s="86" t="str">
        <f>IF(Worksheet!G28="","",Worksheet!G28)</f>
        <v/>
      </c>
      <c r="G31" s="86"/>
      <c r="H31" s="86"/>
      <c r="I31" s="86"/>
      <c r="J31" s="86" t="str">
        <f>IF(Worksheet!F28="","",Worksheet!Y28)</f>
        <v/>
      </c>
      <c r="K31" s="55" t="str">
        <f>IF(Worksheet!F28="","",Worksheet!Z28)</f>
        <v/>
      </c>
      <c r="L31" s="55" t="str">
        <f>IF(Worksheet!F28="","",Worksheet!AA28)</f>
        <v/>
      </c>
      <c r="M31" s="86" t="str">
        <f>IF(Worksheet!F28="","",Worksheet!R28)</f>
        <v/>
      </c>
      <c r="N31" s="49" t="str">
        <f>IF(Worksheet!F28="","",Worksheet!V28)</f>
        <v/>
      </c>
      <c r="R31" s="20" t="str">
        <f>IF(Worksheet!C28="","",TEXT(Worksheet!C28,"0.0"))</f>
        <v/>
      </c>
    </row>
    <row r="32" spans="1:18" ht="15.75" x14ac:dyDescent="0.2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</row>
    <row r="33" spans="1:18" ht="15.75" x14ac:dyDescent="0.25">
      <c r="A33" s="147" t="str">
        <f>IF(Worksheet!C30="","",IF(Worksheet!D$11="NO",CONCATENATE(Worksheet!B30," ",R33),CONCATENATE(Worksheet!B30,"/P ",R33)))</f>
        <v/>
      </c>
      <c r="B33" s="148"/>
      <c r="C33" s="148" t="str">
        <f>IF(Worksheet!F30="","",Worksheet!D30)</f>
        <v/>
      </c>
      <c r="D33" s="148"/>
      <c r="E33" s="85" t="str">
        <f>IF(Worksheet!F30="","",Worksheet!F30)</f>
        <v/>
      </c>
      <c r="F33" s="85" t="str">
        <f>IF(Worksheet!G30="","",Worksheet!G30)</f>
        <v/>
      </c>
      <c r="G33" s="85"/>
      <c r="H33" s="85"/>
      <c r="I33" s="85"/>
      <c r="J33" s="85" t="str">
        <f>IF(Worksheet!F30="","",Worksheet!Y30)</f>
        <v/>
      </c>
      <c r="K33" s="53" t="str">
        <f>IF(Worksheet!F30="","",Worksheet!Z30)</f>
        <v/>
      </c>
      <c r="L33" s="53" t="str">
        <f>IF(Worksheet!F30="","",Worksheet!AA30)</f>
        <v/>
      </c>
      <c r="M33" s="85" t="str">
        <f>IF(Worksheet!F30="","",Worksheet!R30)</f>
        <v/>
      </c>
      <c r="N33" s="47" t="str">
        <f>IF(Worksheet!F30="","",Worksheet!V30)</f>
        <v/>
      </c>
      <c r="R33" s="20" t="str">
        <f>IF(Worksheet!C30="","",TEXT(Worksheet!C30,"0.0"))</f>
        <v/>
      </c>
    </row>
    <row r="34" spans="1:18" ht="15.75" x14ac:dyDescent="0.25">
      <c r="A34" s="149" t="str">
        <f>IF(Worksheet!C31="","",IF(Worksheet!D$11="NO",CONCATENATE(Worksheet!B31," ",R34),CONCATENATE(Worksheet!B31,"/P ",R34)))</f>
        <v/>
      </c>
      <c r="B34" s="150"/>
      <c r="C34" s="150" t="str">
        <f>IF(Worksheet!F31="","",Worksheet!D31)</f>
        <v/>
      </c>
      <c r="D34" s="150"/>
      <c r="E34" s="27" t="str">
        <f>IF(Worksheet!F31="","",Worksheet!F31)</f>
        <v/>
      </c>
      <c r="F34" s="27" t="str">
        <f>IF(Worksheet!G31="","",Worksheet!G31)</f>
        <v/>
      </c>
      <c r="G34" s="27"/>
      <c r="H34" s="27"/>
      <c r="I34" s="27"/>
      <c r="J34" s="27" t="str">
        <f>IF(Worksheet!F31="","",Worksheet!Y31)</f>
        <v/>
      </c>
      <c r="K34" s="54" t="str">
        <f>IF(Worksheet!F31="","",Worksheet!Z31)</f>
        <v/>
      </c>
      <c r="L34" s="54" t="str">
        <f>IF(Worksheet!F31="","",Worksheet!AA31)</f>
        <v/>
      </c>
      <c r="M34" s="27" t="str">
        <f>IF(Worksheet!F31="","",Worksheet!R31)</f>
        <v/>
      </c>
      <c r="N34" s="48" t="str">
        <f>IF(Worksheet!F31="","",Worksheet!V31)</f>
        <v/>
      </c>
      <c r="R34" s="20" t="str">
        <f>IF(Worksheet!C31="","",TEXT(Worksheet!C31,"0.0"))</f>
        <v/>
      </c>
    </row>
    <row r="35" spans="1:18" ht="15.75" x14ac:dyDescent="0.25">
      <c r="A35" s="151" t="str">
        <f>IF(Worksheet!C32="","",IF(Worksheet!D$11="NO",CONCATENATE(Worksheet!B32," ",R35),CONCATENATE(Worksheet!B32,"/P ",R35)))</f>
        <v/>
      </c>
      <c r="B35" s="152"/>
      <c r="C35" s="152" t="str">
        <f>IF(Worksheet!F32="","",Worksheet!D32)</f>
        <v/>
      </c>
      <c r="D35" s="152"/>
      <c r="E35" s="86" t="str">
        <f>IF(Worksheet!F32="","",Worksheet!F32)</f>
        <v/>
      </c>
      <c r="F35" s="86" t="str">
        <f>IF(Worksheet!G32="","",Worksheet!G32)</f>
        <v/>
      </c>
      <c r="G35" s="86"/>
      <c r="H35" s="86"/>
      <c r="I35" s="86"/>
      <c r="J35" s="86" t="str">
        <f>IF(Worksheet!F32="","",Worksheet!Y32)</f>
        <v/>
      </c>
      <c r="K35" s="55" t="str">
        <f>IF(Worksheet!F32="","",Worksheet!Z32)</f>
        <v/>
      </c>
      <c r="L35" s="55" t="str">
        <f>IF(Worksheet!F32="","",Worksheet!AA32)</f>
        <v/>
      </c>
      <c r="M35" s="86" t="str">
        <f>IF(Worksheet!F32="","",Worksheet!R32)</f>
        <v/>
      </c>
      <c r="N35" s="49" t="str">
        <f>IF(Worksheet!F32="","",Worksheet!V32)</f>
        <v/>
      </c>
      <c r="R35" s="20" t="str">
        <f>IF(Worksheet!C32="","",TEXT(Worksheet!C32,"0.0"))</f>
        <v/>
      </c>
    </row>
    <row r="36" spans="1:18" ht="15.75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</row>
    <row r="37" spans="1:18" ht="15.75" x14ac:dyDescent="0.25">
      <c r="A37" s="147" t="str">
        <f>IF(Worksheet!C34="","",IF(Worksheet!D$11="NO",CONCATENATE(Worksheet!B34," ",R37),CONCATENATE(Worksheet!B34,"/P ",R37)))</f>
        <v/>
      </c>
      <c r="B37" s="148"/>
      <c r="C37" s="148" t="str">
        <f>IF(Worksheet!F34="","",Worksheet!D34)</f>
        <v/>
      </c>
      <c r="D37" s="148"/>
      <c r="E37" s="85" t="str">
        <f>IF(Worksheet!F34="","",Worksheet!F34)</f>
        <v/>
      </c>
      <c r="F37" s="85" t="str">
        <f>IF(Worksheet!G34="","",Worksheet!G34)</f>
        <v/>
      </c>
      <c r="G37" s="85"/>
      <c r="H37" s="85"/>
      <c r="I37" s="85"/>
      <c r="J37" s="85" t="str">
        <f>IF(Worksheet!F34="","",Worksheet!Y34)</f>
        <v/>
      </c>
      <c r="K37" s="53" t="str">
        <f>IF(Worksheet!F34="","",Worksheet!Z34)</f>
        <v/>
      </c>
      <c r="L37" s="53" t="str">
        <f>IF(Worksheet!F34="","",Worksheet!AA34)</f>
        <v/>
      </c>
      <c r="M37" s="85" t="str">
        <f>IF(Worksheet!F34="","",Worksheet!R34)</f>
        <v/>
      </c>
      <c r="N37" s="47" t="str">
        <f>IF(Worksheet!F34="","",Worksheet!V34)</f>
        <v/>
      </c>
      <c r="R37" s="20" t="str">
        <f>IF(Worksheet!C34="","",TEXT(Worksheet!C34,"0.0"))</f>
        <v/>
      </c>
    </row>
    <row r="38" spans="1:18" ht="15.75" x14ac:dyDescent="0.25">
      <c r="A38" s="149" t="str">
        <f>IF(Worksheet!C35="","",IF(Worksheet!D$11="NO",CONCATENATE(Worksheet!B35," ",R38),CONCATENATE(Worksheet!B35,"/P ",R38)))</f>
        <v/>
      </c>
      <c r="B38" s="150"/>
      <c r="C38" s="150" t="str">
        <f>IF(Worksheet!F35="","",Worksheet!D35)</f>
        <v/>
      </c>
      <c r="D38" s="150"/>
      <c r="E38" s="27" t="str">
        <f>IF(Worksheet!F35="","",Worksheet!F35)</f>
        <v/>
      </c>
      <c r="F38" s="27" t="str">
        <f>IF(Worksheet!G35="","",Worksheet!G35)</f>
        <v/>
      </c>
      <c r="G38" s="27"/>
      <c r="H38" s="27"/>
      <c r="I38" s="27"/>
      <c r="J38" s="27" t="str">
        <f>IF(Worksheet!F35="","",Worksheet!Y35)</f>
        <v/>
      </c>
      <c r="K38" s="54" t="str">
        <f>IF(Worksheet!F35="","",Worksheet!Z35)</f>
        <v/>
      </c>
      <c r="L38" s="54" t="str">
        <f>IF(Worksheet!F35="","",Worksheet!AA35)</f>
        <v/>
      </c>
      <c r="M38" s="27" t="str">
        <f>IF(Worksheet!F35="","",Worksheet!R35)</f>
        <v/>
      </c>
      <c r="N38" s="48" t="str">
        <f>IF(Worksheet!F35="","",Worksheet!V35)</f>
        <v/>
      </c>
      <c r="R38" s="20" t="str">
        <f>IF(Worksheet!C35="","",TEXT(Worksheet!C35,"0.0"))</f>
        <v/>
      </c>
    </row>
    <row r="39" spans="1:18" ht="15.75" x14ac:dyDescent="0.25">
      <c r="A39" s="151" t="str">
        <f>IF(Worksheet!C36="","",IF(Worksheet!D$11="NO",CONCATENATE(Worksheet!B36," ",R39),CONCATENATE(Worksheet!B36,"/P ",R39)))</f>
        <v/>
      </c>
      <c r="B39" s="152"/>
      <c r="C39" s="152" t="str">
        <f>IF(Worksheet!F36="","",Worksheet!D36)</f>
        <v/>
      </c>
      <c r="D39" s="152"/>
      <c r="E39" s="86" t="str">
        <f>IF(Worksheet!F36="","",Worksheet!F36)</f>
        <v/>
      </c>
      <c r="F39" s="86" t="str">
        <f>IF(Worksheet!G36="","",Worksheet!G36)</f>
        <v/>
      </c>
      <c r="G39" s="86"/>
      <c r="H39" s="86"/>
      <c r="I39" s="86"/>
      <c r="J39" s="86" t="str">
        <f>IF(Worksheet!F36="","",Worksheet!Y36)</f>
        <v/>
      </c>
      <c r="K39" s="55" t="str">
        <f>IF(Worksheet!F36="","",Worksheet!Z36)</f>
        <v/>
      </c>
      <c r="L39" s="55" t="str">
        <f>IF(Worksheet!F36="","",Worksheet!AA36)</f>
        <v/>
      </c>
      <c r="M39" s="86" t="str">
        <f>IF(Worksheet!F36="","",Worksheet!R36)</f>
        <v/>
      </c>
      <c r="N39" s="49" t="str">
        <f>IF(Worksheet!F36="","",Worksheet!V36)</f>
        <v/>
      </c>
      <c r="R39" s="20" t="str">
        <f>IF(Worksheet!C36="","",TEXT(Worksheet!C36,"0.0"))</f>
        <v/>
      </c>
    </row>
    <row r="40" spans="1:18" ht="15.75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</row>
    <row r="41" spans="1:18" ht="15.75" x14ac:dyDescent="0.25">
      <c r="A41" s="147" t="str">
        <f>IF(Worksheet!C38="","",IF(Worksheet!D$11="NO",CONCATENATE(Worksheet!B38," ",R41),CONCATENATE(Worksheet!B38,"/P ",R41)))</f>
        <v/>
      </c>
      <c r="B41" s="148"/>
      <c r="C41" s="148" t="str">
        <f>IF(Worksheet!F38="","",Worksheet!D38)</f>
        <v/>
      </c>
      <c r="D41" s="148"/>
      <c r="E41" s="85" t="str">
        <f>IF(Worksheet!F38="","",Worksheet!F38)</f>
        <v/>
      </c>
      <c r="F41" s="85" t="str">
        <f>IF(Worksheet!G38="","",Worksheet!G38)</f>
        <v/>
      </c>
      <c r="G41" s="85"/>
      <c r="H41" s="85"/>
      <c r="I41" s="85"/>
      <c r="J41" s="85" t="str">
        <f>IF(Worksheet!F38="","",Worksheet!Y38)</f>
        <v/>
      </c>
      <c r="K41" s="53" t="str">
        <f>IF(Worksheet!F38="","",Worksheet!Z38)</f>
        <v/>
      </c>
      <c r="L41" s="53" t="str">
        <f>IF(Worksheet!F38="","",Worksheet!AA38)</f>
        <v/>
      </c>
      <c r="M41" s="85" t="str">
        <f>IF(Worksheet!F38="","",Worksheet!R38)</f>
        <v/>
      </c>
      <c r="N41" s="47" t="str">
        <f>IF(Worksheet!F38="","",Worksheet!V38)</f>
        <v/>
      </c>
      <c r="R41" s="20" t="str">
        <f>IF(Worksheet!C38="","",TEXT(Worksheet!C38,"0.0"))</f>
        <v/>
      </c>
    </row>
    <row r="42" spans="1:18" ht="15.75" x14ac:dyDescent="0.25">
      <c r="A42" s="149" t="str">
        <f>IF(Worksheet!C39="","",IF(Worksheet!D$11="NO",CONCATENATE(Worksheet!B39," ",R42),CONCATENATE(Worksheet!B39,"/P ",R42)))</f>
        <v/>
      </c>
      <c r="B42" s="150"/>
      <c r="C42" s="150" t="str">
        <f>IF(Worksheet!F39="","",Worksheet!D39)</f>
        <v/>
      </c>
      <c r="D42" s="150"/>
      <c r="E42" s="27" t="str">
        <f>IF(Worksheet!F39="","",Worksheet!F39)</f>
        <v/>
      </c>
      <c r="F42" s="27" t="str">
        <f>IF(Worksheet!G39="","",Worksheet!G39)</f>
        <v/>
      </c>
      <c r="G42" s="27"/>
      <c r="H42" s="27"/>
      <c r="I42" s="27"/>
      <c r="J42" s="27" t="str">
        <f>IF(Worksheet!F39="","",Worksheet!Y39)</f>
        <v/>
      </c>
      <c r="K42" s="54" t="str">
        <f>IF(Worksheet!F39="","",Worksheet!Z39)</f>
        <v/>
      </c>
      <c r="L42" s="54" t="str">
        <f>IF(Worksheet!F39="","",Worksheet!AA39)</f>
        <v/>
      </c>
      <c r="M42" s="27" t="str">
        <f>IF(Worksheet!F39="","",Worksheet!R39)</f>
        <v/>
      </c>
      <c r="N42" s="48" t="str">
        <f>IF(Worksheet!F39="","",Worksheet!V39)</f>
        <v/>
      </c>
      <c r="R42" s="20" t="str">
        <f>IF(Worksheet!C39="","",TEXT(Worksheet!C39,"0.0"))</f>
        <v/>
      </c>
    </row>
    <row r="43" spans="1:18" ht="15.75" x14ac:dyDescent="0.25">
      <c r="A43" s="151" t="str">
        <f>IF(Worksheet!C40="","",IF(Worksheet!D$11="NO",CONCATENATE(Worksheet!B40," ",R43),CONCATENATE(Worksheet!B40,"/P ",R43)))</f>
        <v/>
      </c>
      <c r="B43" s="152"/>
      <c r="C43" s="152" t="str">
        <f>IF(Worksheet!F40="","",Worksheet!D40)</f>
        <v/>
      </c>
      <c r="D43" s="152"/>
      <c r="E43" s="86" t="str">
        <f>IF(Worksheet!F40="","",Worksheet!F40)</f>
        <v/>
      </c>
      <c r="F43" s="86" t="str">
        <f>IF(Worksheet!G40="","",Worksheet!G40)</f>
        <v/>
      </c>
      <c r="G43" s="86"/>
      <c r="H43" s="86"/>
      <c r="I43" s="86"/>
      <c r="J43" s="86" t="str">
        <f>IF(Worksheet!F40="","",Worksheet!Y40)</f>
        <v/>
      </c>
      <c r="K43" s="55" t="str">
        <f>IF(Worksheet!F40="","",Worksheet!Z40)</f>
        <v/>
      </c>
      <c r="L43" s="55" t="str">
        <f>IF(Worksheet!F40="","",Worksheet!AA40)</f>
        <v/>
      </c>
      <c r="M43" s="86" t="str">
        <f>IF(Worksheet!F40="","",Worksheet!R40)</f>
        <v/>
      </c>
      <c r="N43" s="49" t="str">
        <f>IF(Worksheet!F40="","",Worksheet!V40)</f>
        <v/>
      </c>
      <c r="R43" s="20" t="str">
        <f>IF(Worksheet!C40="","",TEXT(Worksheet!C40,"0.0"))</f>
        <v/>
      </c>
    </row>
    <row r="44" spans="1:18" ht="15.75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</row>
    <row r="45" spans="1:18" ht="15.75" x14ac:dyDescent="0.25">
      <c r="A45" s="147" t="str">
        <f>IF(Worksheet!C42="","",IF(Worksheet!D$11="NO",CONCATENATE(Worksheet!B42," ",R45),CONCATENATE(Worksheet!B42,"/P ",R45)))</f>
        <v/>
      </c>
      <c r="B45" s="148"/>
      <c r="C45" s="148" t="str">
        <f>IF(Worksheet!F42="","",Worksheet!D42)</f>
        <v/>
      </c>
      <c r="D45" s="148"/>
      <c r="E45" s="85" t="str">
        <f>IF(Worksheet!F42="","",Worksheet!F42)</f>
        <v/>
      </c>
      <c r="F45" s="85" t="str">
        <f>IF(Worksheet!G42="","",Worksheet!G42)</f>
        <v/>
      </c>
      <c r="G45" s="85"/>
      <c r="H45" s="85"/>
      <c r="I45" s="85"/>
      <c r="J45" s="85" t="str">
        <f>IF(Worksheet!F42="","",Worksheet!Y42)</f>
        <v/>
      </c>
      <c r="K45" s="53" t="str">
        <f>IF(Worksheet!F42="","",Worksheet!Z42)</f>
        <v/>
      </c>
      <c r="L45" s="53" t="str">
        <f>IF(Worksheet!F42="","",Worksheet!AA42)</f>
        <v/>
      </c>
      <c r="M45" s="85" t="str">
        <f>IF(Worksheet!F42="","",Worksheet!R42)</f>
        <v/>
      </c>
      <c r="N45" s="47" t="str">
        <f>IF(Worksheet!F42="","",Worksheet!V42)</f>
        <v/>
      </c>
      <c r="R45" s="20" t="str">
        <f>IF(Worksheet!C42="","",TEXT(Worksheet!C42,"0.0"))</f>
        <v/>
      </c>
    </row>
    <row r="46" spans="1:18" ht="15.75" x14ac:dyDescent="0.25">
      <c r="A46" s="149" t="str">
        <f>IF(Worksheet!C43="","",IF(Worksheet!D$11="NO",CONCATENATE(Worksheet!B43," ",R46),CONCATENATE(Worksheet!B43,"/P ",R46)))</f>
        <v/>
      </c>
      <c r="B46" s="150"/>
      <c r="C46" s="150" t="str">
        <f>IF(Worksheet!F43="","",Worksheet!D43)</f>
        <v/>
      </c>
      <c r="D46" s="150"/>
      <c r="E46" s="27" t="str">
        <f>IF(Worksheet!F43="","",Worksheet!F43)</f>
        <v/>
      </c>
      <c r="F46" s="27" t="str">
        <f>IF(Worksheet!G43="","",Worksheet!G43)</f>
        <v/>
      </c>
      <c r="G46" s="27"/>
      <c r="H46" s="27"/>
      <c r="I46" s="27"/>
      <c r="J46" s="27" t="str">
        <f>IF(Worksheet!F43="","",Worksheet!Y43)</f>
        <v/>
      </c>
      <c r="K46" s="54" t="str">
        <f>IF(Worksheet!F43="","",Worksheet!Z43)</f>
        <v/>
      </c>
      <c r="L46" s="54" t="str">
        <f>IF(Worksheet!F43="","",Worksheet!AA43)</f>
        <v/>
      </c>
      <c r="M46" s="27" t="str">
        <f>IF(Worksheet!F43="","",Worksheet!R43)</f>
        <v/>
      </c>
      <c r="N46" s="48" t="str">
        <f>IF(Worksheet!F43="","",Worksheet!V43)</f>
        <v/>
      </c>
      <c r="R46" s="20" t="str">
        <f>IF(Worksheet!C43="","",TEXT(Worksheet!C43,"0.0"))</f>
        <v/>
      </c>
    </row>
    <row r="47" spans="1:18" ht="15.75" x14ac:dyDescent="0.25">
      <c r="A47" s="151" t="str">
        <f>IF(Worksheet!C44="","",IF(Worksheet!D$11="NO",CONCATENATE(Worksheet!B44," ",R47),CONCATENATE(Worksheet!B44,"/P ",R47)))</f>
        <v/>
      </c>
      <c r="B47" s="152"/>
      <c r="C47" s="152" t="str">
        <f>IF(Worksheet!F44="","",Worksheet!D44)</f>
        <v/>
      </c>
      <c r="D47" s="152"/>
      <c r="E47" s="86" t="str">
        <f>IF(Worksheet!F44="","",Worksheet!F44)</f>
        <v/>
      </c>
      <c r="F47" s="86" t="str">
        <f>IF(Worksheet!G44="","",Worksheet!G44)</f>
        <v/>
      </c>
      <c r="G47" s="86"/>
      <c r="H47" s="86"/>
      <c r="I47" s="86"/>
      <c r="J47" s="86" t="str">
        <f>IF(Worksheet!F44="","",Worksheet!Y44)</f>
        <v/>
      </c>
      <c r="K47" s="55" t="str">
        <f>IF(Worksheet!F44="","",Worksheet!Z44)</f>
        <v/>
      </c>
      <c r="L47" s="55" t="str">
        <f>IF(Worksheet!F44="","",Worksheet!AA44)</f>
        <v/>
      </c>
      <c r="M47" s="86" t="str">
        <f>IF(Worksheet!F44="","",Worksheet!R44)</f>
        <v/>
      </c>
      <c r="N47" s="49" t="str">
        <f>IF(Worksheet!F44="","",Worksheet!V44)</f>
        <v/>
      </c>
      <c r="R47" s="20" t="str">
        <f>IF(Worksheet!C44="","",TEXT(Worksheet!C44,"0.0"))</f>
        <v/>
      </c>
    </row>
    <row r="48" spans="1:18" ht="15.75" x14ac:dyDescent="0.25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</row>
    <row r="49" spans="1:29" x14ac:dyDescent="0.25">
      <c r="A49" t="s">
        <v>117</v>
      </c>
    </row>
    <row r="50" spans="1:29" ht="15.75" x14ac:dyDescent="0.25">
      <c r="A50" t="s">
        <v>123</v>
      </c>
      <c r="E50" s="4" t="s">
        <v>124</v>
      </c>
      <c r="F50" s="27" t="str">
        <f>IF(Worksheet!F14="","",Worksheet!F14)</f>
        <v>HRC</v>
      </c>
      <c r="G50" s="27" t="str">
        <f>IF(Worksheet!G14="","",Worksheet!G14)</f>
        <v/>
      </c>
      <c r="H50" s="27" t="str">
        <f>IF(Worksheet!H14="","",Worksheet!H14)</f>
        <v/>
      </c>
      <c r="I50" s="27" t="str">
        <f>IF(Worksheet!I14="","",Worksheet!I14)</f>
        <v/>
      </c>
      <c r="J50" s="27" t="str">
        <f>IF(Worksheet!J14="","",Worksheet!J14)</f>
        <v/>
      </c>
      <c r="K50" s="27" t="str">
        <f>IF(Worksheet!K14="","",Worksheet!K14)</f>
        <v/>
      </c>
      <c r="L50" s="27" t="str">
        <f>IF(Worksheet!L14="","",Worksheet!L14)</f>
        <v/>
      </c>
      <c r="M50" s="27" t="str">
        <f>IF(Worksheet!N14="","",Worksheet!N14)</f>
        <v/>
      </c>
      <c r="N50" s="27" t="str">
        <f>IF(Worksheet!O14="","",Worksheet!O14)</f>
        <v/>
      </c>
    </row>
    <row r="51" spans="1:29" ht="15.75" x14ac:dyDescent="0.25">
      <c r="A51" s="4"/>
      <c r="B51" s="19"/>
      <c r="C51" s="19"/>
      <c r="D51" s="19"/>
      <c r="E51" s="4" t="s">
        <v>125</v>
      </c>
      <c r="F51" s="27" t="str">
        <f>IF(Worksheet!F15="","",Worksheet!F15)</f>
        <v/>
      </c>
      <c r="G51" s="27" t="str">
        <f>IF(Worksheet!G15="","",Worksheet!G15)</f>
        <v/>
      </c>
      <c r="H51" s="27" t="str">
        <f>IF(Worksheet!H15="","",Worksheet!H15)</f>
        <v/>
      </c>
      <c r="I51" s="27" t="str">
        <f>IF(Worksheet!I15="","",Worksheet!I15)</f>
        <v/>
      </c>
      <c r="J51" s="27" t="str">
        <f>IF(Worksheet!J15="","",Worksheet!J15)</f>
        <v/>
      </c>
      <c r="K51" s="27" t="str">
        <f>IF(Worksheet!K15="","",Worksheet!K15)</f>
        <v/>
      </c>
      <c r="L51" s="27" t="str">
        <f>IF(Worksheet!L15="","",Worksheet!L15)</f>
        <v/>
      </c>
      <c r="M51" s="27" t="str">
        <f>IF(Worksheet!N15="","",Worksheet!N15)</f>
        <v/>
      </c>
      <c r="N51" s="27" t="str">
        <f>IF(Worksheet!O15="","",Worksheet!O15)</f>
        <v/>
      </c>
    </row>
    <row r="52" spans="1:29" ht="30" customHeight="1" x14ac:dyDescent="0.25">
      <c r="A52" s="146" t="str">
        <f>IF(Worksheet!D11="Yes",'CERT AL'!A79,'CERT AL'!A68)</f>
        <v>This tester was calibrated by the indirect verification method in accordance with ASTM E110.  It meets the requirements of ASTM E18, except that, with dead-weight loads not used, direct verification has not been performed.  Servicing and preventive maintenance, including visual inspection, lubrication, and test of mechanical function were performed per manufacturer's instructions  and/or JGI Written Procedure WP301889. The test blocks used were certified per all requirements of  ASTM E18, Annex A4, using a verified standard laboratory tester with load and depth measuring devices traceable to NIST..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v>
      </c>
      <c r="B52" s="146"/>
      <c r="C52" s="146"/>
      <c r="D52" s="146"/>
      <c r="E52" s="146"/>
      <c r="F52" s="146"/>
      <c r="G52" s="146"/>
      <c r="H52" s="146"/>
      <c r="I52" s="146"/>
      <c r="J52" s="146"/>
      <c r="K52" s="146"/>
      <c r="L52" s="146"/>
      <c r="M52" s="146"/>
      <c r="N52" s="146"/>
      <c r="O52" s="146"/>
    </row>
    <row r="53" spans="1:29" ht="18" customHeight="1" x14ac:dyDescent="0.25">
      <c r="A53" s="146"/>
      <c r="B53" s="146"/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  <c r="N53" s="146"/>
      <c r="O53" s="146"/>
    </row>
    <row r="54" spans="1:29" ht="18" customHeight="1" x14ac:dyDescent="0.25">
      <c r="A54" s="146"/>
      <c r="B54" s="146"/>
      <c r="C54" s="146"/>
      <c r="D54" s="146"/>
      <c r="E54" s="146"/>
      <c r="F54" s="146"/>
      <c r="G54" s="146"/>
      <c r="H54" s="146"/>
      <c r="I54" s="146"/>
      <c r="J54" s="146"/>
      <c r="K54" s="146"/>
      <c r="L54" s="146"/>
      <c r="M54" s="146"/>
      <c r="N54" s="146"/>
      <c r="O54" s="146"/>
    </row>
    <row r="55" spans="1:29" x14ac:dyDescent="0.25">
      <c r="A55" t="s">
        <v>39</v>
      </c>
    </row>
    <row r="56" spans="1:29" ht="15" customHeight="1" x14ac:dyDescent="0.25">
      <c r="A56" s="26" t="s">
        <v>126</v>
      </c>
      <c r="B56" s="25"/>
      <c r="C56" s="144" t="s">
        <v>148</v>
      </c>
      <c r="D56" s="144"/>
      <c r="E56" s="144"/>
      <c r="F56" s="144"/>
      <c r="G56" s="144"/>
      <c r="H56" s="144"/>
      <c r="I56" s="144"/>
      <c r="J56" s="144"/>
      <c r="K56" s="144"/>
      <c r="L56" s="144"/>
      <c r="M56" s="144"/>
      <c r="N56" s="144"/>
      <c r="O56" s="144"/>
      <c r="Q56" s="162" t="str">
        <f>IF(Worksheet!$B46="FOUND IN TOLERANCE.  PROCEEDED",'CERT AF'!$A77,IF(Worksheet!$B46="FOUND OUT OF TOLERANCE.  UNABLE TO BRING INTO TOLERANCE.",'CERT AF'!$A81,IF(Worksheet!$B46="FOUND OUT OF TOLERANCE.  ADJUSTED IN.",'CERT AF'!$A85,"")))</f>
        <v>FOUND IN TOLERANCE.  Proceeded with servicing and maintenance per manufacturer's instructions and/or JGI Written Procedure WP301889, followed by Indirect Verification.  See Page 2 for As-Left Results.</v>
      </c>
      <c r="R56" s="162"/>
      <c r="S56" s="162"/>
      <c r="T56" s="162"/>
      <c r="U56" s="162"/>
      <c r="V56" s="162"/>
      <c r="W56" s="162"/>
      <c r="X56" s="162"/>
      <c r="Y56" s="162"/>
      <c r="Z56" s="162"/>
      <c r="AA56" s="162"/>
      <c r="AB56" s="162"/>
      <c r="AC56" s="162"/>
    </row>
    <row r="57" spans="1:29" x14ac:dyDescent="0.25">
      <c r="C57" s="144"/>
      <c r="D57" s="144"/>
      <c r="E57" s="144"/>
      <c r="F57" s="144"/>
      <c r="G57" s="144"/>
      <c r="H57" s="144"/>
      <c r="I57" s="144"/>
      <c r="J57" s="144"/>
      <c r="K57" s="144"/>
      <c r="L57" s="144"/>
      <c r="M57" s="144"/>
      <c r="N57" s="144"/>
      <c r="O57" s="144"/>
      <c r="Q57" s="162"/>
      <c r="R57" s="162"/>
      <c r="S57" s="162"/>
      <c r="T57" s="162"/>
      <c r="U57" s="162"/>
      <c r="V57" s="162"/>
      <c r="W57" s="162"/>
      <c r="X57" s="162"/>
      <c r="Y57" s="162"/>
      <c r="Z57" s="162"/>
      <c r="AA57" s="162"/>
      <c r="AB57" s="162"/>
      <c r="AC57" s="162"/>
    </row>
    <row r="58" spans="1:29" x14ac:dyDescent="0.25">
      <c r="C58" s="144"/>
      <c r="D58" s="144"/>
      <c r="E58" s="144"/>
      <c r="F58" s="144"/>
      <c r="G58" s="144"/>
      <c r="H58" s="144"/>
      <c r="I58" s="144"/>
      <c r="J58" s="144"/>
      <c r="K58" s="144"/>
      <c r="L58" s="144"/>
      <c r="M58" s="144"/>
      <c r="N58" s="144"/>
      <c r="O58" s="144"/>
      <c r="Q58" s="162"/>
      <c r="R58" s="162"/>
      <c r="S58" s="162"/>
      <c r="T58" s="162"/>
      <c r="U58" s="162"/>
      <c r="V58" s="162"/>
      <c r="W58" s="162"/>
      <c r="X58" s="162"/>
      <c r="Y58" s="162"/>
      <c r="Z58" s="162"/>
      <c r="AA58" s="162"/>
      <c r="AB58" s="162"/>
      <c r="AC58" s="162"/>
    </row>
    <row r="59" spans="1:29" ht="15.75" x14ac:dyDescent="0.25">
      <c r="A59" s="1" t="s">
        <v>8</v>
      </c>
      <c r="C59" s="155" t="str">
        <f>IF(Worksheet!L3="","",Worksheet!L3)</f>
        <v/>
      </c>
      <c r="D59" s="155"/>
      <c r="E59" s="155"/>
    </row>
    <row r="60" spans="1:29" ht="15.75" x14ac:dyDescent="0.25">
      <c r="A60" s="1" t="s">
        <v>128</v>
      </c>
      <c r="C60" s="155" t="str">
        <f>IF(Worksheet!O46="","",Worksheet!O46)</f>
        <v>Satisfactory</v>
      </c>
      <c r="D60" s="155"/>
      <c r="E60" s="155"/>
    </row>
    <row r="61" spans="1:29" x14ac:dyDescent="0.25">
      <c r="A61" s="163" t="str">
        <f>IF(Worksheet!D11="YES",'CERT AL'!A120,"")</f>
        <v>Note that the conformance of this unit to the tolerances of ASTM E18 does not mean that tests performed using this unit are equivalent to E18 tests.  See ASTM E110-14, Sec. 3.2 for details.</v>
      </c>
      <c r="B61" s="163"/>
      <c r="C61" s="163"/>
      <c r="D61" s="163"/>
      <c r="E61" s="163"/>
      <c r="F61" s="163"/>
      <c r="G61" s="163"/>
      <c r="H61" s="163"/>
      <c r="I61" s="163"/>
      <c r="J61" s="163"/>
      <c r="K61" s="163"/>
      <c r="L61" s="163"/>
      <c r="M61" s="163"/>
      <c r="N61" s="163"/>
      <c r="O61" s="163"/>
    </row>
    <row r="62" spans="1:29" x14ac:dyDescent="0.25">
      <c r="A62" s="163"/>
      <c r="B62" s="163"/>
      <c r="C62" s="163"/>
      <c r="D62" s="163"/>
      <c r="E62" s="163"/>
      <c r="F62" s="163"/>
      <c r="G62" s="163"/>
      <c r="H62" s="163"/>
      <c r="I62" s="163"/>
      <c r="J62" s="163"/>
      <c r="K62" s="163"/>
      <c r="L62" s="163"/>
      <c r="M62" s="163"/>
      <c r="N62" s="163"/>
      <c r="O62" s="163"/>
    </row>
    <row r="63" spans="1:29" x14ac:dyDescent="0.25">
      <c r="A63" t="s">
        <v>117</v>
      </c>
    </row>
    <row r="68" spans="1:17" x14ac:dyDescent="0.25">
      <c r="A68" s="162"/>
      <c r="B68" s="162"/>
      <c r="C68" s="162"/>
      <c r="D68" s="162"/>
      <c r="E68" s="162"/>
      <c r="F68" s="162"/>
      <c r="G68" s="162"/>
      <c r="H68" s="162"/>
      <c r="I68" s="162"/>
      <c r="J68" s="162"/>
      <c r="K68" s="162"/>
      <c r="L68" s="162"/>
      <c r="M68" s="162"/>
      <c r="N68" s="162"/>
      <c r="O68" s="162"/>
      <c r="P68" s="162"/>
      <c r="Q68" s="162"/>
    </row>
    <row r="69" spans="1:17" x14ac:dyDescent="0.25">
      <c r="A69" s="162"/>
      <c r="B69" s="162"/>
      <c r="C69" s="162"/>
      <c r="D69" s="162"/>
      <c r="E69" s="162"/>
      <c r="F69" s="162"/>
      <c r="G69" s="162"/>
      <c r="H69" s="162"/>
      <c r="I69" s="162"/>
      <c r="J69" s="162"/>
      <c r="K69" s="162"/>
      <c r="L69" s="162"/>
      <c r="M69" s="162"/>
      <c r="N69" s="162"/>
      <c r="O69" s="162"/>
      <c r="P69" s="162"/>
      <c r="Q69" s="162"/>
    </row>
    <row r="70" spans="1:17" x14ac:dyDescent="0.25">
      <c r="A70" s="162"/>
      <c r="B70" s="162"/>
      <c r="C70" s="162"/>
      <c r="D70" s="162"/>
      <c r="E70" s="162"/>
      <c r="F70" s="162"/>
      <c r="G70" s="162"/>
      <c r="H70" s="162"/>
      <c r="I70" s="162"/>
      <c r="J70" s="162"/>
      <c r="K70" s="162"/>
      <c r="L70" s="162"/>
      <c r="M70" s="162"/>
      <c r="N70" s="162"/>
      <c r="O70" s="162"/>
      <c r="P70" s="162"/>
      <c r="Q70" s="162"/>
    </row>
    <row r="71" spans="1:17" x14ac:dyDescent="0.25">
      <c r="A71" s="162"/>
      <c r="B71" s="162"/>
      <c r="C71" s="162"/>
      <c r="D71" s="162"/>
      <c r="E71" s="162"/>
      <c r="F71" s="162"/>
      <c r="G71" s="162"/>
      <c r="H71" s="162"/>
      <c r="I71" s="162"/>
      <c r="J71" s="162"/>
      <c r="K71" s="162"/>
      <c r="L71" s="162"/>
      <c r="M71" s="162"/>
      <c r="N71" s="162"/>
      <c r="O71" s="162"/>
      <c r="P71" s="162"/>
      <c r="Q71" s="162"/>
    </row>
    <row r="72" spans="1:17" x14ac:dyDescent="0.25">
      <c r="A72" s="162"/>
      <c r="B72" s="162"/>
      <c r="C72" s="162"/>
      <c r="D72" s="162"/>
      <c r="E72" s="162"/>
      <c r="F72" s="162"/>
      <c r="G72" s="162"/>
      <c r="H72" s="162"/>
      <c r="I72" s="162"/>
      <c r="J72" s="162"/>
      <c r="K72" s="162"/>
      <c r="L72" s="162"/>
      <c r="M72" s="162"/>
      <c r="N72" s="162"/>
      <c r="O72" s="162"/>
      <c r="P72" s="162"/>
      <c r="Q72" s="162"/>
    </row>
    <row r="73" spans="1:17" ht="15" customHeight="1" x14ac:dyDescent="0.25">
      <c r="A73" s="162"/>
      <c r="B73" s="162"/>
      <c r="C73" s="162"/>
      <c r="D73" s="162"/>
      <c r="E73" s="162"/>
      <c r="F73" s="162"/>
      <c r="G73" s="162"/>
      <c r="H73" s="162"/>
      <c r="I73" s="162"/>
      <c r="J73" s="162"/>
      <c r="K73" s="162"/>
      <c r="L73" s="162"/>
      <c r="M73" s="162"/>
      <c r="N73" s="162"/>
      <c r="O73" s="162"/>
      <c r="P73" s="162"/>
      <c r="Q73" s="162"/>
    </row>
    <row r="74" spans="1:17" x14ac:dyDescent="0.25">
      <c r="A74" s="162"/>
      <c r="B74" s="162"/>
      <c r="C74" s="162"/>
      <c r="D74" s="162"/>
      <c r="E74" s="162"/>
      <c r="F74" s="162"/>
      <c r="G74" s="162"/>
      <c r="H74" s="162"/>
      <c r="I74" s="162"/>
      <c r="J74" s="162"/>
      <c r="K74" s="162"/>
      <c r="L74" s="162"/>
      <c r="M74" s="162"/>
      <c r="N74" s="162"/>
      <c r="O74" s="162"/>
      <c r="P74" s="162"/>
      <c r="Q74" s="162"/>
    </row>
    <row r="75" spans="1:17" x14ac:dyDescent="0.25">
      <c r="A75" s="162"/>
      <c r="B75" s="162"/>
      <c r="C75" s="162"/>
      <c r="D75" s="162"/>
      <c r="E75" s="162"/>
      <c r="F75" s="162"/>
      <c r="G75" s="162"/>
      <c r="H75" s="162"/>
      <c r="I75" s="162"/>
      <c r="J75" s="162"/>
      <c r="K75" s="162"/>
      <c r="L75" s="162"/>
      <c r="M75" s="162"/>
      <c r="N75" s="162"/>
      <c r="O75" s="162"/>
      <c r="P75" s="162"/>
      <c r="Q75" s="162"/>
    </row>
    <row r="76" spans="1:17" x14ac:dyDescent="0.25">
      <c r="A76" t="s">
        <v>84</v>
      </c>
    </row>
    <row r="77" spans="1:17" x14ac:dyDescent="0.25">
      <c r="A77" t="s">
        <v>148</v>
      </c>
    </row>
    <row r="79" spans="1:17" x14ac:dyDescent="0.25"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</row>
    <row r="80" spans="1:17" x14ac:dyDescent="0.25">
      <c r="A80" t="s">
        <v>149</v>
      </c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</row>
    <row r="81" spans="1:17" x14ac:dyDescent="0.25">
      <c r="A81" t="s">
        <v>150</v>
      </c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</row>
    <row r="82" spans="1:17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</row>
    <row r="83" spans="1:17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</row>
    <row r="84" spans="1:17" x14ac:dyDescent="0.25">
      <c r="A84" t="s">
        <v>151</v>
      </c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</row>
    <row r="85" spans="1:17" x14ac:dyDescent="0.25">
      <c r="A85" s="63" t="s">
        <v>152</v>
      </c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</row>
    <row r="86" spans="1:17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</row>
  </sheetData>
  <sheetProtection algorithmName="SHA-512" hashValue="asSew6/2FGzBijkcGDC3zinc3/T5PJAarz9zdspgqLajNBJP0SeNjP80iDUDM+7ZNGqkcl52XbHghI23keRWzA==" saltValue="/Po61ZTBLCcnBbyeIfhRnA==" spinCount="100000" sheet="1" objects="1" scenarios="1"/>
  <protectedRanges>
    <protectedRange sqref="C56:O58" name="AF Comments"/>
    <protectedRange sqref="H6:I6" name="AF page number"/>
  </protectedRanges>
  <mergeCells count="62">
    <mergeCell ref="Q56:AC58"/>
    <mergeCell ref="A68:Q75"/>
    <mergeCell ref="A61:O62"/>
    <mergeCell ref="A52:O54"/>
    <mergeCell ref="C56:O58"/>
    <mergeCell ref="C59:E59"/>
    <mergeCell ref="C60:E60"/>
    <mergeCell ref="A45:B45"/>
    <mergeCell ref="C45:D45"/>
    <mergeCell ref="A46:B46"/>
    <mergeCell ref="C46:D46"/>
    <mergeCell ref="A47:B47"/>
    <mergeCell ref="C47:D47"/>
    <mergeCell ref="A41:B41"/>
    <mergeCell ref="C41:D41"/>
    <mergeCell ref="A42:B42"/>
    <mergeCell ref="C42:D42"/>
    <mergeCell ref="A43:B43"/>
    <mergeCell ref="C43:D43"/>
    <mergeCell ref="A37:B37"/>
    <mergeCell ref="C37:D37"/>
    <mergeCell ref="A38:B38"/>
    <mergeCell ref="C38:D38"/>
    <mergeCell ref="A39:B39"/>
    <mergeCell ref="C39:D39"/>
    <mergeCell ref="A33:B33"/>
    <mergeCell ref="C33:D33"/>
    <mergeCell ref="A34:B34"/>
    <mergeCell ref="C34:D34"/>
    <mergeCell ref="A35:B35"/>
    <mergeCell ref="C35:D35"/>
    <mergeCell ref="A29:B29"/>
    <mergeCell ref="C29:D29"/>
    <mergeCell ref="A30:B30"/>
    <mergeCell ref="C30:D30"/>
    <mergeCell ref="A31:B31"/>
    <mergeCell ref="C31:D31"/>
    <mergeCell ref="A25:B25"/>
    <mergeCell ref="C25:D25"/>
    <mergeCell ref="A26:B26"/>
    <mergeCell ref="C26:D26"/>
    <mergeCell ref="A27:B27"/>
    <mergeCell ref="C27:D27"/>
    <mergeCell ref="A21:B21"/>
    <mergeCell ref="C21:D21"/>
    <mergeCell ref="A22:B22"/>
    <mergeCell ref="C22:D22"/>
    <mergeCell ref="A23:B23"/>
    <mergeCell ref="C23:D23"/>
    <mergeCell ref="L12:M12"/>
    <mergeCell ref="L13:M13"/>
    <mergeCell ref="L14:M14"/>
    <mergeCell ref="L15:M15"/>
    <mergeCell ref="A20:B20"/>
    <mergeCell ref="C20:D20"/>
    <mergeCell ref="L11:M11"/>
    <mergeCell ref="C1:M1"/>
    <mergeCell ref="C2:M2"/>
    <mergeCell ref="C3:M3"/>
    <mergeCell ref="H6:I6"/>
    <mergeCell ref="E4:K4"/>
    <mergeCell ref="D5:L5"/>
  </mergeCells>
  <printOptions horizontalCentered="1"/>
  <pageMargins left="0" right="0" top="0.5" bottom="0.85" header="0.3" footer="0.3"/>
  <pageSetup scale="68" orientation="portrait" r:id="rId1"/>
  <customProperties>
    <customPr name="%locator_row%" r:id="rId2"/>
    <customPr name="%startcell%" r:id="rId3"/>
  </customProperties>
  <drawing r:id="rId4"/>
  <legacyDrawing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2:N328"/>
  <sheetViews>
    <sheetView workbookViewId="0">
      <selection activeCell="E16" sqref="E16"/>
    </sheetView>
  </sheetViews>
  <sheetFormatPr defaultRowHeight="15" x14ac:dyDescent="0.25"/>
  <sheetData>
    <row r="2" spans="2:8" x14ac:dyDescent="0.25">
      <c r="B2" t="s">
        <v>153</v>
      </c>
      <c r="D2" t="s">
        <v>154</v>
      </c>
      <c r="F2" t="s">
        <v>155</v>
      </c>
      <c r="H2" t="s">
        <v>156</v>
      </c>
    </row>
    <row r="3" spans="2:8" x14ac:dyDescent="0.25">
      <c r="B3" t="s">
        <v>36</v>
      </c>
      <c r="D3" t="s">
        <v>157</v>
      </c>
      <c r="F3" t="s">
        <v>90</v>
      </c>
      <c r="H3" s="26" t="s">
        <v>88</v>
      </c>
    </row>
    <row r="4" spans="2:8" x14ac:dyDescent="0.25">
      <c r="B4" t="s">
        <v>42</v>
      </c>
      <c r="D4" t="s">
        <v>9</v>
      </c>
      <c r="F4" t="s">
        <v>158</v>
      </c>
      <c r="H4" t="s">
        <v>133</v>
      </c>
    </row>
    <row r="5" spans="2:8" x14ac:dyDescent="0.25">
      <c r="B5" t="s">
        <v>159</v>
      </c>
      <c r="H5" t="s">
        <v>135</v>
      </c>
    </row>
    <row r="6" spans="2:8" x14ac:dyDescent="0.25">
      <c r="F6" t="s">
        <v>160</v>
      </c>
      <c r="H6" t="s">
        <v>137</v>
      </c>
    </row>
    <row r="7" spans="2:8" x14ac:dyDescent="0.25">
      <c r="F7" t="s">
        <v>86</v>
      </c>
      <c r="H7" t="s">
        <v>139</v>
      </c>
    </row>
    <row r="8" spans="2:8" x14ac:dyDescent="0.25">
      <c r="F8" t="s">
        <v>158</v>
      </c>
      <c r="H8" t="s">
        <v>161</v>
      </c>
    </row>
    <row r="9" spans="2:8" x14ac:dyDescent="0.25">
      <c r="F9" t="s">
        <v>162</v>
      </c>
    </row>
    <row r="10" spans="2:8" x14ac:dyDescent="0.25">
      <c r="B10" t="s">
        <v>163</v>
      </c>
    </row>
    <row r="12" spans="2:8" x14ac:dyDescent="0.25">
      <c r="B12" t="s">
        <v>91</v>
      </c>
      <c r="H12" t="s">
        <v>164</v>
      </c>
    </row>
    <row r="13" spans="2:8" x14ac:dyDescent="0.25">
      <c r="B13" t="s">
        <v>92</v>
      </c>
      <c r="H13" t="s">
        <v>84</v>
      </c>
    </row>
    <row r="14" spans="2:8" x14ac:dyDescent="0.25">
      <c r="B14" t="s">
        <v>93</v>
      </c>
      <c r="H14" t="s">
        <v>149</v>
      </c>
    </row>
    <row r="15" spans="2:8" x14ac:dyDescent="0.25">
      <c r="B15" t="s">
        <v>94</v>
      </c>
      <c r="H15" t="s">
        <v>151</v>
      </c>
    </row>
    <row r="16" spans="2:8" x14ac:dyDescent="0.25">
      <c r="B16" t="s">
        <v>95</v>
      </c>
    </row>
    <row r="17" spans="2:14" x14ac:dyDescent="0.25">
      <c r="B17" t="s">
        <v>96</v>
      </c>
    </row>
    <row r="18" spans="2:14" x14ac:dyDescent="0.25">
      <c r="B18" t="s">
        <v>97</v>
      </c>
      <c r="D18" t="s">
        <v>662</v>
      </c>
      <c r="I18" t="s">
        <v>1043</v>
      </c>
    </row>
    <row r="19" spans="2:14" ht="15.75" thickBot="1" x14ac:dyDescent="0.3">
      <c r="B19" t="s">
        <v>98</v>
      </c>
      <c r="D19" s="107" t="s">
        <v>561</v>
      </c>
      <c r="E19" s="108" t="s">
        <v>562</v>
      </c>
      <c r="F19" s="107" t="s">
        <v>563</v>
      </c>
      <c r="G19" s="108" t="s">
        <v>657</v>
      </c>
      <c r="I19" s="106" t="s">
        <v>431</v>
      </c>
      <c r="J19" s="106" t="s">
        <v>1041</v>
      </c>
      <c r="K19" s="106" t="s">
        <v>1039</v>
      </c>
      <c r="L19" s="106" t="s">
        <v>1040</v>
      </c>
      <c r="N19" s="109" t="s">
        <v>658</v>
      </c>
    </row>
    <row r="20" spans="2:14" ht="15.75" thickTop="1" x14ac:dyDescent="0.25">
      <c r="B20" t="s">
        <v>99</v>
      </c>
      <c r="D20" t="str" cm="1">
        <f t="array" ref="D20:D21">_xlfn._xlws.SORT(_xlfn.UNIQUE(_xlfn._xlws.FILTER(Table6[categoryname],Table6[categoryname FILTER],"")))</f>
        <v>Portable Hardness Tester</v>
      </c>
      <c r="N20" t="e">
        <f>VLOOKUP(Worksheet!$D$4,Table1[],7,FALSE)</f>
        <v>#N/A</v>
      </c>
    </row>
    <row r="21" spans="2:14" x14ac:dyDescent="0.25">
      <c r="B21" t="s">
        <v>100</v>
      </c>
      <c r="D21" t="str">
        <v>Rockwell Hardness Tester</v>
      </c>
      <c r="E21" t="str" cm="1">
        <f t="array" ref="E21:E61">_xlfn._xlws.SORT(_xlfn.UNIQUE(_xlfn._xlws.FILTER(Table6[Manufacturer],Table6[Manufacturer FILTER],"")))</f>
        <v>Accupro</v>
      </c>
      <c r="F21" cm="1">
        <f t="array" ref="F21:F138">_xlfn._xlws.SORT(_xlfn.UNIQUE(_xlfn._xlws.FILTER(Table6[Model No.],Table6[Model FILTER],"")))</f>
        <v>2</v>
      </c>
      <c r="G21" cm="1">
        <f t="array" ref="G21:G328">_xlfn._xlws.SORT(_xlfn.UNIQUE(_xlfn._xlws.FILTER(Table6[Serial No.],Table6[SN FILTER],"")))</f>
        <v>21</v>
      </c>
      <c r="I21" t="str" cm="1">
        <f t="array" ref="I21:I173">IF(AND(Table6[companyid FILTER]),_xlfn._xlws.SORT(_xlfn.UNIQUE(Table1[companyname])),_xlfn._xlws.SORT(_xlfn.UNIQUE(_xlfn._xlws.FILTER(Table1[companyname],Table1[FILTER],""))))</f>
        <v>3P PROCESSING, INC.</v>
      </c>
      <c r="J21" t="str" cm="1">
        <f t="array" ref="J21">_xlfn._xlws.SORT(_xlfn.UNIQUE(_xlfn._xlws.FILTER(Table1[addrline1],Table1[companyname]=Worksheet!$D$4,"")))</f>
        <v/>
      </c>
      <c r="K21" t="str" cm="1">
        <f t="array" ref="K21">_xlfn._xlws.SORT(_xlfn.UNIQUE(_xlfn._xlws.FILTER(Table1[addrline2],Table1[companyname]=Worksheet!$D$4,"")))</f>
        <v/>
      </c>
      <c r="L21" t="str" cm="1">
        <f t="array" ref="L21">_xlfn._xlws.SORT(_xlfn.UNIQUE(_xlfn._xlws.FILTER(Table1[phonenumber],Table1[companyname]=Worksheet!$D$4,"")))</f>
        <v/>
      </c>
    </row>
    <row r="22" spans="2:14" x14ac:dyDescent="0.25">
      <c r="B22" t="s">
        <v>101</v>
      </c>
      <c r="E22" t="str">
        <v>Accupro Gold</v>
      </c>
      <c r="F22">
        <v>4</v>
      </c>
      <c r="G22">
        <v>222</v>
      </c>
      <c r="I22" t="str">
        <v>AAR COMPONENT SERVICES - WELLINGTON</v>
      </c>
    </row>
    <row r="23" spans="2:14" x14ac:dyDescent="0.25">
      <c r="B23" t="s">
        <v>102</v>
      </c>
      <c r="E23" t="str">
        <v>Affri</v>
      </c>
      <c r="F23">
        <v>425</v>
      </c>
      <c r="G23">
        <v>530</v>
      </c>
      <c r="I23" t="str">
        <v>ABSOLUTE DIMENSIONS</v>
      </c>
    </row>
    <row r="24" spans="2:14" x14ac:dyDescent="0.25">
      <c r="E24" t="str">
        <v>Ames</v>
      </c>
      <c r="F24">
        <v>500</v>
      </c>
      <c r="G24">
        <v>537</v>
      </c>
      <c r="I24" t="str">
        <v>ACCURUS AEROSPACE WICHITA, LLC</v>
      </c>
    </row>
    <row r="25" spans="2:14" x14ac:dyDescent="0.25">
      <c r="E25" t="str">
        <v>Antonik</v>
      </c>
      <c r="F25">
        <v>574</v>
      </c>
      <c r="G25">
        <v>910</v>
      </c>
      <c r="I25" t="str">
        <v>ADVANCED WELDING TECHNOLOGIES</v>
      </c>
    </row>
    <row r="26" spans="2:14" x14ac:dyDescent="0.25">
      <c r="E26" t="str">
        <v xml:space="preserve">Antonik </v>
      </c>
      <c r="F26">
        <v>2000</v>
      </c>
      <c r="G26">
        <v>919</v>
      </c>
      <c r="I26" t="str">
        <v>AERO METAL FORMS, INC.</v>
      </c>
    </row>
    <row r="27" spans="2:14" x14ac:dyDescent="0.25">
      <c r="E27" t="str">
        <v>Buehler</v>
      </c>
      <c r="F27">
        <v>2002</v>
      </c>
      <c r="G27">
        <v>992</v>
      </c>
      <c r="I27" t="str">
        <v>AEROSPACE TURBINE ROTABLES, INC.</v>
      </c>
    </row>
    <row r="28" spans="2:14" x14ac:dyDescent="0.25">
      <c r="E28" t="str">
        <v>China</v>
      </c>
      <c r="F28">
        <v>3814</v>
      </c>
      <c r="G28">
        <v>1247</v>
      </c>
      <c r="I28" t="str">
        <v>AERO-TECH ENGINEERING, INC.</v>
      </c>
    </row>
    <row r="29" spans="2:14" x14ac:dyDescent="0.25">
      <c r="E29" t="str">
        <v>Clark</v>
      </c>
      <c r="F29">
        <v>3817</v>
      </c>
      <c r="G29">
        <v>1263</v>
      </c>
      <c r="I29" t="str">
        <v>ALBERTSON &amp; HEIN, INC.</v>
      </c>
    </row>
    <row r="30" spans="2:14" x14ac:dyDescent="0.25">
      <c r="E30" t="str">
        <v>CV Instruments</v>
      </c>
      <c r="F30">
        <v>3831</v>
      </c>
      <c r="G30">
        <v>1323</v>
      </c>
      <c r="I30" t="str">
        <v>AMETEK ADVANCED INDUSTRIES, INC.</v>
      </c>
    </row>
    <row r="31" spans="2:14" x14ac:dyDescent="0.25">
      <c r="E31" t="str">
        <v>ENCO</v>
      </c>
      <c r="F31">
        <v>6814</v>
      </c>
      <c r="G31">
        <v>1412</v>
      </c>
      <c r="I31" t="str">
        <v>AMETEK B &amp; S AIRCRAFT PARTS &amp; ACC., INC.</v>
      </c>
    </row>
    <row r="32" spans="2:14" x14ac:dyDescent="0.25">
      <c r="E32" t="str">
        <v>Fowler</v>
      </c>
      <c r="F32">
        <v>6534051</v>
      </c>
      <c r="G32">
        <v>1414</v>
      </c>
      <c r="I32" t="str">
        <v>AMI METALS, INC. - TX DIVISION</v>
      </c>
    </row>
    <row r="33" spans="5:9" x14ac:dyDescent="0.25">
      <c r="E33" t="str">
        <v>G &amp; R Technology</v>
      </c>
      <c r="F33" t="str">
        <v>06534051</v>
      </c>
      <c r="G33">
        <v>1447</v>
      </c>
      <c r="I33" t="str">
        <v>AMI METALS, INC. - WA DIVISION</v>
      </c>
    </row>
    <row r="34" spans="5:9" x14ac:dyDescent="0.25">
      <c r="E34" t="str">
        <v>G &amp; R Technology Inc.</v>
      </c>
      <c r="F34" t="str">
        <v>100R</v>
      </c>
      <c r="G34">
        <v>1548</v>
      </c>
      <c r="I34" t="str">
        <v>AMI METALS, INC. - WICHITA DIVISION</v>
      </c>
    </row>
    <row r="35" spans="5:9" x14ac:dyDescent="0.25">
      <c r="E35" t="str">
        <v>G&amp;R Labs</v>
      </c>
      <c r="F35" t="str">
        <v>103R</v>
      </c>
      <c r="G35">
        <v>1567</v>
      </c>
      <c r="I35" t="str">
        <v>APEX COMPOSITES - OKLAHOMA DIV.</v>
      </c>
    </row>
    <row r="36" spans="5:9" x14ac:dyDescent="0.25">
      <c r="E36" t="str">
        <v>Insize</v>
      </c>
      <c r="F36" t="str">
        <v>10A-R10</v>
      </c>
      <c r="G36">
        <v>1656</v>
      </c>
      <c r="I36" t="str">
        <v>APEX ENGINEERING WICHITA DIV.</v>
      </c>
    </row>
    <row r="37" spans="5:9" x14ac:dyDescent="0.25">
      <c r="E37" t="str">
        <v>Instron</v>
      </c>
      <c r="F37" t="str">
        <v>10A-T10</v>
      </c>
      <c r="G37">
        <v>1664</v>
      </c>
      <c r="I37" t="str">
        <v>AUTH-FLORENCE MANUFACTURING</v>
      </c>
    </row>
    <row r="38" spans="5:9" x14ac:dyDescent="0.25">
      <c r="E38" t="str">
        <v>Laizhon</v>
      </c>
      <c r="F38" t="str">
        <v>12A</v>
      </c>
      <c r="G38">
        <v>1683</v>
      </c>
      <c r="I38" t="str">
        <v>AXIOM ENGINEERING INC.</v>
      </c>
    </row>
    <row r="39" spans="5:9" x14ac:dyDescent="0.25">
      <c r="E39" t="str">
        <v>Misawa Seiki</v>
      </c>
      <c r="F39" t="str">
        <v>12SSA</v>
      </c>
      <c r="G39">
        <v>1726</v>
      </c>
      <c r="I39" t="str">
        <v>B &amp; B AIRPARTS, INC.</v>
      </c>
    </row>
    <row r="40" spans="5:9" x14ac:dyDescent="0.25">
      <c r="E40" t="str">
        <v>Mitutoyo</v>
      </c>
      <c r="F40" t="str">
        <v>15-143-1</v>
      </c>
      <c r="G40">
        <v>1816</v>
      </c>
      <c r="I40" t="str">
        <v>BODYCOTE THERMAL PROCESSING, INC.-McLEAN</v>
      </c>
    </row>
    <row r="41" spans="5:9" x14ac:dyDescent="0.25">
      <c r="E41" t="str">
        <v>Newage</v>
      </c>
      <c r="F41" t="str">
        <v>1R</v>
      </c>
      <c r="G41">
        <v>1831</v>
      </c>
      <c r="I41" t="str">
        <v>BODYCOTE THERMAL PROCESSING, INC.-TULSA</v>
      </c>
    </row>
    <row r="42" spans="5:9" x14ac:dyDescent="0.25">
      <c r="E42" t="str">
        <v>Newage Versitron</v>
      </c>
      <c r="F42" t="str">
        <v>2000R</v>
      </c>
      <c r="G42">
        <v>1895</v>
      </c>
      <c r="I42" t="str">
        <v>BODYCOTE THERMAL PROCESSING, INC.-WEST</v>
      </c>
    </row>
    <row r="43" spans="5:9" x14ac:dyDescent="0.25">
      <c r="E43" t="str">
        <v>Phase II</v>
      </c>
      <c r="F43" t="str">
        <v>2001T</v>
      </c>
      <c r="G43">
        <v>1948</v>
      </c>
      <c r="I43" t="str">
        <v>BODYCOTE THERMAL PROCESSING, INC-PINE ST</v>
      </c>
    </row>
    <row r="44" spans="5:9" x14ac:dyDescent="0.25">
      <c r="E44" t="str">
        <v>ProCheck</v>
      </c>
      <c r="F44" t="str">
        <v>2002T</v>
      </c>
      <c r="G44">
        <v>1981</v>
      </c>
      <c r="I44" t="str">
        <v>BRALCO METALS</v>
      </c>
    </row>
    <row r="45" spans="5:9" x14ac:dyDescent="0.25">
      <c r="E45" t="str">
        <v>Rams</v>
      </c>
      <c r="F45" t="str">
        <v>2003T</v>
      </c>
      <c r="G45">
        <v>1994</v>
      </c>
      <c r="I45" t="str">
        <v>BRIJ SYSTEMS, LLC</v>
      </c>
    </row>
    <row r="46" spans="5:9" x14ac:dyDescent="0.25">
      <c r="E46" t="str">
        <v>Rams Rockford</v>
      </c>
      <c r="F46" t="str">
        <v>206 RSD</v>
      </c>
      <c r="G46">
        <v>2029</v>
      </c>
      <c r="I46" t="str">
        <v>BRUNSON INSTRUMENT CO.</v>
      </c>
    </row>
    <row r="47" spans="5:9" x14ac:dyDescent="0.25">
      <c r="E47" t="str">
        <v>Rockwell Hardness Tester</v>
      </c>
      <c r="F47" t="str">
        <v>3JR</v>
      </c>
      <c r="G47">
        <v>2048</v>
      </c>
      <c r="I47" t="str">
        <v>BRYTAM MANUFACTURING</v>
      </c>
    </row>
    <row r="48" spans="5:9" x14ac:dyDescent="0.25">
      <c r="E48" t="str">
        <v>Service Diamond</v>
      </c>
      <c r="F48" t="str">
        <v>3JS</v>
      </c>
      <c r="G48">
        <v>2219</v>
      </c>
      <c r="I48" t="str">
        <v>CAPPS MANUFACTURING INC.</v>
      </c>
    </row>
    <row r="49" spans="5:9" x14ac:dyDescent="0.25">
      <c r="E49" t="str">
        <v>Shars</v>
      </c>
      <c r="F49" t="str">
        <v>3PR</v>
      </c>
      <c r="G49">
        <v>2279</v>
      </c>
      <c r="I49" t="str">
        <v>CARLSON COMPANY, INC.</v>
      </c>
    </row>
    <row r="50" spans="5:9" x14ac:dyDescent="0.25">
      <c r="E50" t="str">
        <v>Spi</v>
      </c>
      <c r="F50" t="str">
        <v>3R</v>
      </c>
      <c r="G50">
        <v>2282</v>
      </c>
      <c r="I50" t="str">
        <v>CASTLE METALS</v>
      </c>
    </row>
    <row r="51" spans="5:9" x14ac:dyDescent="0.25">
      <c r="E51" t="str">
        <v>Starrett</v>
      </c>
      <c r="F51" t="str">
        <v>3RJ</v>
      </c>
      <c r="G51">
        <v>2325</v>
      </c>
      <c r="I51" t="str">
        <v>CE MACHINE CO.</v>
      </c>
    </row>
    <row r="52" spans="5:9" x14ac:dyDescent="0.25">
      <c r="E52" t="str">
        <v xml:space="preserve">Starrett </v>
      </c>
      <c r="F52" t="str">
        <v>3TTBB</v>
      </c>
      <c r="G52">
        <v>2348</v>
      </c>
      <c r="I52" t="str">
        <v>CECO, INC.</v>
      </c>
    </row>
    <row r="53" spans="5:9" x14ac:dyDescent="0.25">
      <c r="E53" t="str">
        <v>Sun-Tec</v>
      </c>
      <c r="F53" t="str">
        <v>3YR</v>
      </c>
      <c r="G53">
        <v>2692</v>
      </c>
      <c r="I53" t="str">
        <v>CENTER INDUSTRIES CORP.</v>
      </c>
    </row>
    <row r="54" spans="5:9" x14ac:dyDescent="0.25">
      <c r="E54" t="str">
        <v>Tru-Blue</v>
      </c>
      <c r="F54" t="str">
        <v>4-2</v>
      </c>
      <c r="G54">
        <v>2826</v>
      </c>
      <c r="I54" t="str">
        <v>CENTURION MANUFACTURING</v>
      </c>
    </row>
    <row r="55" spans="5:9" x14ac:dyDescent="0.25">
      <c r="E55" t="str">
        <v>Unidentified</v>
      </c>
      <c r="F55" t="str">
        <v>4639-2030</v>
      </c>
      <c r="G55">
        <v>3512</v>
      </c>
      <c r="I55" t="str">
        <v>CHARLES ENGINEERING</v>
      </c>
    </row>
    <row r="56" spans="5:9" x14ac:dyDescent="0.25">
      <c r="E56" t="str">
        <v>United</v>
      </c>
      <c r="F56" t="str">
        <v>4JR</v>
      </c>
      <c r="G56">
        <v>3594</v>
      </c>
      <c r="I56" t="str">
        <v>CHEYENNE MANUFACTURING INC.</v>
      </c>
    </row>
    <row r="57" spans="5:9" x14ac:dyDescent="0.25">
      <c r="E57" t="str">
        <v>Unspecified</v>
      </c>
      <c r="F57" t="str">
        <v>4JRaRB</v>
      </c>
      <c r="G57">
        <v>3704</v>
      </c>
      <c r="I57" t="str">
        <v>CHROME PLUS INT'L - WICHITA</v>
      </c>
    </row>
    <row r="58" spans="5:9" x14ac:dyDescent="0.25">
      <c r="E58" t="str">
        <v>Wilson</v>
      </c>
      <c r="F58" t="str">
        <v>4JS</v>
      </c>
      <c r="G58">
        <v>3746</v>
      </c>
      <c r="I58" t="str">
        <v>CLARK MANUFACTURING</v>
      </c>
    </row>
    <row r="59" spans="5:9" x14ac:dyDescent="0.25">
      <c r="E59" t="str">
        <v xml:space="preserve">Wilson </v>
      </c>
      <c r="F59" t="str">
        <v>4JS@RB</v>
      </c>
      <c r="G59">
        <v>4230</v>
      </c>
      <c r="I59" t="str">
        <v>CMT INC</v>
      </c>
    </row>
    <row r="60" spans="5:9" x14ac:dyDescent="0.25">
      <c r="E60" t="str">
        <v>Wilson/Instron</v>
      </c>
      <c r="F60" t="str">
        <v>4JSBB</v>
      </c>
      <c r="G60">
        <v>4280</v>
      </c>
      <c r="I60" t="str">
        <v>CNH AMERICA L.L.C. - CALIBRATION LAB</v>
      </c>
    </row>
    <row r="61" spans="5:9" x14ac:dyDescent="0.25">
      <c r="E61">
        <v>0</v>
      </c>
      <c r="F61" t="str">
        <v>4OUR</v>
      </c>
      <c r="G61">
        <v>4382</v>
      </c>
      <c r="I61" t="str">
        <v>COFFEYVILLE SEKTAM, INC.</v>
      </c>
    </row>
    <row r="62" spans="5:9" x14ac:dyDescent="0.25">
      <c r="F62" t="str">
        <v>4TT</v>
      </c>
      <c r="G62">
        <v>4385</v>
      </c>
      <c r="I62" t="str">
        <v>COMPLEXX MACHINING</v>
      </c>
    </row>
    <row r="63" spans="5:9" x14ac:dyDescent="0.25">
      <c r="F63" t="str">
        <v>4TTBB</v>
      </c>
      <c r="G63">
        <v>4427</v>
      </c>
      <c r="I63" t="str">
        <v>COX MACHINE, INC - HARPER DIV</v>
      </c>
    </row>
    <row r="64" spans="5:9" x14ac:dyDescent="0.25">
      <c r="F64" t="str">
        <v>504-T</v>
      </c>
      <c r="G64">
        <v>4783</v>
      </c>
      <c r="I64" t="str">
        <v>COX MACHINE, INC - WICHITA DIV</v>
      </c>
    </row>
    <row r="65" spans="6:9" x14ac:dyDescent="0.25">
      <c r="F65" t="str">
        <v>524T</v>
      </c>
      <c r="G65">
        <v>4927</v>
      </c>
      <c r="I65" t="str">
        <v>CROSS MANUFACTURING - HAYS DIVISION</v>
      </c>
    </row>
    <row r="66" spans="6:9" x14ac:dyDescent="0.25">
      <c r="F66" t="str">
        <v>5JR</v>
      </c>
      <c r="G66">
        <v>5042</v>
      </c>
      <c r="I66" t="str">
        <v>CROSS MFG., INC. LEWIS DIVISION</v>
      </c>
    </row>
    <row r="67" spans="6:9" x14ac:dyDescent="0.25">
      <c r="F67" t="str">
        <v>5TTARB</v>
      </c>
      <c r="G67">
        <v>5216</v>
      </c>
      <c r="I67" t="str">
        <v>D &amp; D MACHINE, INC.</v>
      </c>
    </row>
    <row r="68" spans="6:9" x14ac:dyDescent="0.25">
      <c r="F68" t="str">
        <v>670H</v>
      </c>
      <c r="G68">
        <v>5218</v>
      </c>
      <c r="I68" t="str">
        <v>D &amp; S MANUFACTURING</v>
      </c>
    </row>
    <row r="69" spans="6:9" x14ac:dyDescent="0.25">
      <c r="F69" t="str">
        <v>900-387 DNT</v>
      </c>
      <c r="G69">
        <v>5282</v>
      </c>
      <c r="I69" t="str">
        <v>DIVERSIFIED SERVICES</v>
      </c>
    </row>
    <row r="70" spans="6:9" x14ac:dyDescent="0.25">
      <c r="F70" t="str">
        <v>940-131</v>
      </c>
      <c r="G70">
        <v>5431</v>
      </c>
      <c r="I70" t="str">
        <v>D-J AEROSPACE, INC. PHILIPPINES</v>
      </c>
    </row>
    <row r="71" spans="6:9" x14ac:dyDescent="0.25">
      <c r="F71" t="str">
        <v>A644T</v>
      </c>
      <c r="G71">
        <v>5531</v>
      </c>
      <c r="I71" t="str">
        <v>D-J ENGINEERING, INC.</v>
      </c>
    </row>
    <row r="72" spans="6:9" x14ac:dyDescent="0.25">
      <c r="F72" t="str">
        <v>A656T</v>
      </c>
      <c r="G72">
        <v>5942</v>
      </c>
      <c r="I72" t="str">
        <v>D-J EXTRUDING</v>
      </c>
    </row>
    <row r="73" spans="6:9" x14ac:dyDescent="0.25">
      <c r="F73" t="str">
        <v>AERM</v>
      </c>
      <c r="G73">
        <v>5966</v>
      </c>
      <c r="I73" t="str">
        <v>DL DYNAMIC LLC</v>
      </c>
    </row>
    <row r="74" spans="6:9" x14ac:dyDescent="0.25">
      <c r="F74" t="str">
        <v>AT130</v>
      </c>
      <c r="G74">
        <v>6532</v>
      </c>
      <c r="I74" t="str">
        <v>DYNAMIC N/C L.L.C.</v>
      </c>
    </row>
    <row r="75" spans="6:9" x14ac:dyDescent="0.25">
      <c r="F75" t="str">
        <v>AT130R</v>
      </c>
      <c r="G75">
        <v>6561</v>
      </c>
      <c r="I75" t="str">
        <v>ELECTROMECH TECHNOLOGIES</v>
      </c>
    </row>
    <row r="76" spans="6:9" x14ac:dyDescent="0.25">
      <c r="F76" t="str">
        <v>AT130RDS</v>
      </c>
      <c r="G76">
        <v>6579</v>
      </c>
      <c r="I76" t="str">
        <v>ELECTRO-METHODS, INC.</v>
      </c>
    </row>
    <row r="77" spans="6:9" x14ac:dyDescent="0.25">
      <c r="F77" t="str">
        <v>AT130SRDS</v>
      </c>
      <c r="G77">
        <v>6589</v>
      </c>
      <c r="I77" t="str">
        <v>ELEMENT WICHITA</v>
      </c>
    </row>
    <row r="78" spans="6:9" x14ac:dyDescent="0.25">
      <c r="F78" t="str">
        <v>ATS130HD</v>
      </c>
      <c r="G78">
        <v>6602</v>
      </c>
      <c r="I78" t="str">
        <v>ETEZAZI INDUSTRIES</v>
      </c>
    </row>
    <row r="79" spans="6:9" x14ac:dyDescent="0.25">
      <c r="F79" t="str">
        <v>B503-R</v>
      </c>
      <c r="G79">
        <v>6603</v>
      </c>
      <c r="I79" t="str">
        <v>EXACTA AEROSPACE, INC.</v>
      </c>
    </row>
    <row r="80" spans="6:9" x14ac:dyDescent="0.25">
      <c r="F80" t="str">
        <v>B523T</v>
      </c>
      <c r="G80">
        <v>6607</v>
      </c>
      <c r="I80" t="str">
        <v>EXCEL INDUSTRIES</v>
      </c>
    </row>
    <row r="81" spans="6:9" x14ac:dyDescent="0.25">
      <c r="F81" t="str">
        <v>BT130R</v>
      </c>
      <c r="G81">
        <v>6608</v>
      </c>
      <c r="I81" t="str">
        <v>FASTENAIR, LLC</v>
      </c>
    </row>
    <row r="82" spans="6:9" x14ac:dyDescent="0.25">
      <c r="F82" t="str">
        <v>C12A</v>
      </c>
      <c r="G82">
        <v>6624</v>
      </c>
      <c r="I82" t="str">
        <v>FIGEAC AERO</v>
      </c>
    </row>
    <row r="83" spans="6:9" x14ac:dyDescent="0.25">
      <c r="F83" t="str">
        <v>C12AR</v>
      </c>
      <c r="G83">
        <v>6627</v>
      </c>
      <c r="I83" t="str">
        <v>FMW INC.</v>
      </c>
    </row>
    <row r="84" spans="6:9" x14ac:dyDescent="0.25">
      <c r="F84" t="str">
        <v>C505R</v>
      </c>
      <c r="G84">
        <v>6761</v>
      </c>
      <c r="I84" t="str">
        <v>FREEMAN COMPANY</v>
      </c>
    </row>
    <row r="85" spans="6:9" x14ac:dyDescent="0.25">
      <c r="F85" t="str">
        <v>C523-S</v>
      </c>
      <c r="G85">
        <v>6911</v>
      </c>
      <c r="I85" t="str">
        <v>GABRIEL NATOLITANO</v>
      </c>
    </row>
    <row r="86" spans="6:9" x14ac:dyDescent="0.25">
      <c r="F86" t="str">
        <v>CE3R</v>
      </c>
      <c r="G86">
        <v>7013</v>
      </c>
      <c r="I86" t="str">
        <v>GARMIN</v>
      </c>
    </row>
    <row r="87" spans="6:9" x14ac:dyDescent="0.25">
      <c r="F87" t="str">
        <v>Clark CR-1</v>
      </c>
      <c r="G87">
        <v>7039</v>
      </c>
      <c r="I87" t="str">
        <v>GKN PRECISION MACHINING, INC.</v>
      </c>
    </row>
    <row r="88" spans="6:9" x14ac:dyDescent="0.25">
      <c r="F88" t="str">
        <v>CPT</v>
      </c>
      <c r="G88">
        <v>7196</v>
      </c>
      <c r="I88" t="str">
        <v>GLOBE ENGINEERING CO.</v>
      </c>
    </row>
    <row r="89" spans="6:9" x14ac:dyDescent="0.25">
      <c r="F89" t="str">
        <v>CPTXL</v>
      </c>
      <c r="G89">
        <v>7215</v>
      </c>
      <c r="I89" t="str">
        <v>GODDARD MACHINE</v>
      </c>
    </row>
    <row r="90" spans="6:9" x14ac:dyDescent="0.25">
      <c r="F90" t="str">
        <v>CR-3a</v>
      </c>
      <c r="G90">
        <v>7235</v>
      </c>
      <c r="I90" t="str">
        <v>H &amp; R PARTS CO., INC.</v>
      </c>
    </row>
    <row r="91" spans="6:9" x14ac:dyDescent="0.25">
      <c r="F91" t="str">
        <v>CR-3e</v>
      </c>
      <c r="G91">
        <v>7313</v>
      </c>
      <c r="I91" t="str">
        <v>H.M. DUNN AEROSYSTEMS</v>
      </c>
    </row>
    <row r="92" spans="6:9" x14ac:dyDescent="0.25">
      <c r="F92" t="str">
        <v>CR-8</v>
      </c>
      <c r="G92">
        <v>7326</v>
      </c>
      <c r="I92" t="str">
        <v>HARLOW AEROSTRUCTURES LLC</v>
      </c>
    </row>
    <row r="93" spans="6:9" x14ac:dyDescent="0.25">
      <c r="F93" t="str">
        <v>CRX-3</v>
      </c>
      <c r="G93">
        <v>7336</v>
      </c>
      <c r="I93" t="str">
        <v>HUSQVARNA FORESTRY PRODUCTS</v>
      </c>
    </row>
    <row r="94" spans="6:9" x14ac:dyDescent="0.25">
      <c r="F94" t="str">
        <v>CV-600A</v>
      </c>
      <c r="G94">
        <v>7363</v>
      </c>
      <c r="I94" t="str">
        <v>INTEGRATED COMPONENTS, INC.</v>
      </c>
    </row>
    <row r="95" spans="6:9" x14ac:dyDescent="0.25">
      <c r="F95" t="str">
        <v>CV-600MBDL</v>
      </c>
      <c r="G95">
        <v>7549</v>
      </c>
      <c r="I95" t="str">
        <v>JOHNSON CONTROLS-YORK</v>
      </c>
    </row>
    <row r="96" spans="6:9" x14ac:dyDescent="0.25">
      <c r="F96" t="str">
        <v>DCR-12</v>
      </c>
      <c r="G96">
        <v>7597</v>
      </c>
      <c r="I96" t="str">
        <v>JOHNSON GAGE &amp; INSPECTION, INC.</v>
      </c>
    </row>
    <row r="97" spans="6:9" x14ac:dyDescent="0.25">
      <c r="F97" t="str">
        <v>DCR-8</v>
      </c>
      <c r="G97">
        <v>7692</v>
      </c>
      <c r="I97" t="str">
        <v>KANSAS GUN DRILLING, INC.</v>
      </c>
    </row>
    <row r="98" spans="6:9" x14ac:dyDescent="0.25">
      <c r="F98" t="str">
        <v>DRM8</v>
      </c>
      <c r="G98">
        <v>7710</v>
      </c>
      <c r="I98" t="str">
        <v>KISER MANUFACTURING CO., INC.</v>
      </c>
    </row>
    <row r="99" spans="6:9" x14ac:dyDescent="0.25">
      <c r="F99" t="str">
        <v>Dsr-8</v>
      </c>
      <c r="G99">
        <v>7734</v>
      </c>
      <c r="I99" t="str">
        <v>KMG TOOL &amp; MACHINE</v>
      </c>
    </row>
    <row r="100" spans="6:9" x14ac:dyDescent="0.25">
      <c r="F100" t="str">
        <v>GENERIC 164</v>
      </c>
      <c r="G100">
        <v>7772</v>
      </c>
      <c r="I100" t="str">
        <v>KOCH-GLITSCH LP</v>
      </c>
    </row>
    <row r="101" spans="6:9" x14ac:dyDescent="0.25">
      <c r="F101" t="str">
        <v>GENERIC 574</v>
      </c>
      <c r="G101">
        <v>7799</v>
      </c>
      <c r="I101" t="str">
        <v>L S INDUSTRIES</v>
      </c>
    </row>
    <row r="102" spans="6:9" x14ac:dyDescent="0.25">
      <c r="F102" t="str">
        <v>HR-100</v>
      </c>
      <c r="G102">
        <v>7869</v>
      </c>
      <c r="I102" t="str">
        <v>LIGHTNING AEROSPACE LLC</v>
      </c>
    </row>
    <row r="103" spans="6:9" x14ac:dyDescent="0.25">
      <c r="F103" t="str">
        <v>HR-150</v>
      </c>
      <c r="G103">
        <v>7960</v>
      </c>
      <c r="I103" t="str">
        <v>LMI AEROSPACE ESTHNER</v>
      </c>
    </row>
    <row r="104" spans="6:9" x14ac:dyDescent="0.25">
      <c r="F104" t="str">
        <v>HR-150A</v>
      </c>
      <c r="G104">
        <v>8092</v>
      </c>
      <c r="I104" t="str">
        <v>LMI AEROSPACE HILLSIDE</v>
      </c>
    </row>
    <row r="105" spans="6:9" x14ac:dyDescent="0.25">
      <c r="F105" t="str">
        <v>HR-200</v>
      </c>
      <c r="G105">
        <v>8535</v>
      </c>
      <c r="I105" t="str">
        <v>LYONS MANUFACTURING</v>
      </c>
    </row>
    <row r="106" spans="6:9" x14ac:dyDescent="0.25">
      <c r="F106" t="str">
        <v>HR-300</v>
      </c>
      <c r="G106">
        <v>8556</v>
      </c>
      <c r="I106" t="str">
        <v>MANUFACTURING DEVELOPMENT, INC.</v>
      </c>
    </row>
    <row r="107" spans="6:9" x14ac:dyDescent="0.25">
      <c r="F107" t="str">
        <v>HR-521</v>
      </c>
      <c r="G107">
        <v>8975</v>
      </c>
      <c r="I107" t="str">
        <v>MANUFACTURING SOLUTIONS</v>
      </c>
    </row>
    <row r="108" spans="6:9" x14ac:dyDescent="0.25">
      <c r="F108" t="str">
        <v>HRM-45DT</v>
      </c>
      <c r="G108">
        <v>9287</v>
      </c>
      <c r="I108" t="str">
        <v>MARTINREA RIVERSIDE, LLC</v>
      </c>
    </row>
    <row r="109" spans="6:9" x14ac:dyDescent="0.25">
      <c r="F109" t="str">
        <v>I-4S</v>
      </c>
      <c r="G109">
        <v>9321</v>
      </c>
      <c r="I109" t="str">
        <v>MAX AEROSTRUCTURES, LLC</v>
      </c>
    </row>
    <row r="110" spans="6:9" x14ac:dyDescent="0.25">
      <c r="F110" t="str">
        <v>II</v>
      </c>
      <c r="G110">
        <v>9329</v>
      </c>
      <c r="I110" t="str">
        <v>MAYNARD INC.</v>
      </c>
    </row>
    <row r="111" spans="6:9" x14ac:dyDescent="0.25">
      <c r="F111" t="str">
        <v>Indentron</v>
      </c>
      <c r="G111">
        <v>9688</v>
      </c>
      <c r="I111" t="str">
        <v>MAYNARD INC. - WICHITA DIV.</v>
      </c>
    </row>
    <row r="112" spans="6:9" x14ac:dyDescent="0.25">
      <c r="F112" t="str">
        <v>Indentron NI-300C</v>
      </c>
      <c r="G112">
        <v>9873</v>
      </c>
      <c r="I112" t="str">
        <v>McGINTY MACHINE CO., INC.</v>
      </c>
    </row>
    <row r="113" spans="6:9" x14ac:dyDescent="0.25">
      <c r="F113" t="str">
        <v>ISH-BRV-U</v>
      </c>
      <c r="G113">
        <v>9927</v>
      </c>
      <c r="I113" t="str">
        <v>MERRITT PREFERRED COMPONENTS, INC.</v>
      </c>
    </row>
    <row r="114" spans="6:9" x14ac:dyDescent="0.25">
      <c r="F114" t="str">
        <v>M-51ST</v>
      </c>
      <c r="G114">
        <v>9949</v>
      </c>
      <c r="I114" t="str">
        <v>METAL ARTS MACHINE CO. LLC</v>
      </c>
    </row>
    <row r="115" spans="6:9" x14ac:dyDescent="0.25">
      <c r="F115" t="str">
        <v>M51ST 9120-251</v>
      </c>
      <c r="G115">
        <v>10549</v>
      </c>
      <c r="I115" t="str">
        <v>METAL FINISHING CO.</v>
      </c>
    </row>
    <row r="116" spans="6:9" x14ac:dyDescent="0.25">
      <c r="F116" t="str">
        <v>ME-2</v>
      </c>
      <c r="G116">
        <v>10573</v>
      </c>
      <c r="I116" t="str">
        <v>METAL FINISHING CO. -McLean</v>
      </c>
    </row>
    <row r="117" spans="6:9" x14ac:dyDescent="0.25">
      <c r="F117" t="str">
        <v>Misawa Seiki</v>
      </c>
      <c r="G117">
        <v>10624</v>
      </c>
      <c r="I117" t="str">
        <v>METAL FORMING INC.</v>
      </c>
    </row>
    <row r="118" spans="6:9" x14ac:dyDescent="0.25">
      <c r="F118" t="str">
        <v>MZ</v>
      </c>
      <c r="G118">
        <v>10936</v>
      </c>
      <c r="I118" t="str">
        <v>METALFORM INDUSTRIES, INC.</v>
      </c>
    </row>
    <row r="119" spans="6:9" x14ac:dyDescent="0.25">
      <c r="F119" t="str">
        <v>NI-300C</v>
      </c>
      <c r="G119">
        <v>11326</v>
      </c>
      <c r="I119" t="str">
        <v>MFCO HEAT TREAT - HARRY LOCATION</v>
      </c>
    </row>
    <row r="120" spans="6:9" x14ac:dyDescent="0.25">
      <c r="F120" t="str">
        <v>NI-400C</v>
      </c>
      <c r="G120">
        <v>13187</v>
      </c>
      <c r="I120" t="str">
        <v>MFCO-Aluminum Heat Treatment- Murdock</v>
      </c>
    </row>
    <row r="121" spans="6:9" x14ac:dyDescent="0.25">
      <c r="F121" t="str">
        <v>NI-600</v>
      </c>
      <c r="G121">
        <v>13205</v>
      </c>
      <c r="I121" t="str">
        <v>Michael Moore</v>
      </c>
    </row>
    <row r="122" spans="6:9" x14ac:dyDescent="0.25">
      <c r="F122" t="str">
        <v>NI-600C</v>
      </c>
      <c r="G122">
        <v>13696</v>
      </c>
      <c r="I122" t="str">
        <v>MICO MACHINE COMPANY</v>
      </c>
    </row>
    <row r="123" spans="6:9" x14ac:dyDescent="0.25">
      <c r="F123" t="str">
        <v>NRSL</v>
      </c>
      <c r="G123">
        <v>14301</v>
      </c>
      <c r="I123" t="str">
        <v>MILLENNIUM MACHINE &amp; TOOL INC.</v>
      </c>
    </row>
    <row r="124" spans="6:9" x14ac:dyDescent="0.25">
      <c r="F124" t="str">
        <v>P526T</v>
      </c>
      <c r="G124">
        <v>14326</v>
      </c>
      <c r="I124" t="str">
        <v>MILLING PRECISION TOOL</v>
      </c>
    </row>
    <row r="125" spans="6:9" x14ac:dyDescent="0.25">
      <c r="F125" t="str">
        <v>PHT-6005</v>
      </c>
      <c r="G125">
        <v>14348</v>
      </c>
      <c r="I125" t="str">
        <v>MPM, INC.</v>
      </c>
    </row>
    <row r="126" spans="6:9" x14ac:dyDescent="0.25">
      <c r="F126" t="str">
        <v>Portable</v>
      </c>
      <c r="G126">
        <v>14358</v>
      </c>
      <c r="I126" t="str">
        <v>NATOMA MANUFACTURING, LLC</v>
      </c>
    </row>
    <row r="127" spans="6:9" x14ac:dyDescent="0.25">
      <c r="F127" t="str">
        <v>R2150-1</v>
      </c>
      <c r="G127">
        <v>14366</v>
      </c>
      <c r="I127" t="str">
        <v>NIAR - QUALITY CONTROL &amp; STRAIN GAGE LAB</v>
      </c>
    </row>
    <row r="128" spans="6:9" x14ac:dyDescent="0.25">
      <c r="F128" t="str">
        <v>RB2000</v>
      </c>
      <c r="G128">
        <v>15382</v>
      </c>
      <c r="I128" t="str">
        <v>NIAR WERX MRO</v>
      </c>
    </row>
    <row r="129" spans="6:9" x14ac:dyDescent="0.25">
      <c r="F129" t="str">
        <v>RH-150</v>
      </c>
      <c r="G129">
        <v>15424</v>
      </c>
      <c r="I129" t="str">
        <v>NWI KANSAS CITY LLC</v>
      </c>
    </row>
    <row r="130" spans="6:9" x14ac:dyDescent="0.25">
      <c r="F130" t="str">
        <v>RH-45</v>
      </c>
      <c r="G130">
        <v>16452</v>
      </c>
      <c r="I130" t="str">
        <v>NWI WICHITA LLC</v>
      </c>
    </row>
    <row r="131" spans="6:9" x14ac:dyDescent="0.25">
      <c r="F131" t="str">
        <v>RPT1</v>
      </c>
      <c r="G131">
        <v>16502</v>
      </c>
      <c r="I131" t="str">
        <v>OMNI AEROSPACE - WICHITA DIVISION</v>
      </c>
    </row>
    <row r="132" spans="6:9" x14ac:dyDescent="0.25">
      <c r="F132" t="str">
        <v>RPT2</v>
      </c>
      <c r="G132">
        <v>16870</v>
      </c>
      <c r="I132" t="str">
        <v>ORIZON AEROSTRUCTURES PROCESSING</v>
      </c>
    </row>
    <row r="133" spans="6:9" x14ac:dyDescent="0.25">
      <c r="F133" t="str">
        <v>RSD Mag</v>
      </c>
      <c r="G133">
        <v>17527</v>
      </c>
      <c r="I133" t="str">
        <v>OXWELL, INC.</v>
      </c>
    </row>
    <row r="134" spans="6:9" x14ac:dyDescent="0.25">
      <c r="F134" t="str">
        <v>TH550</v>
      </c>
      <c r="G134">
        <v>17549</v>
      </c>
      <c r="I134" t="str">
        <v>PERFEKTA, INC.</v>
      </c>
    </row>
    <row r="135" spans="6:9" x14ac:dyDescent="0.25">
      <c r="F135" t="str">
        <v>Tru-Blue II</v>
      </c>
      <c r="G135">
        <v>17557</v>
      </c>
      <c r="I135" t="str">
        <v>PRECISION PRODUCTS</v>
      </c>
    </row>
    <row r="136" spans="6:9" x14ac:dyDescent="0.25">
      <c r="F136" t="str">
        <v>Versitron</v>
      </c>
      <c r="G136">
        <v>20257</v>
      </c>
      <c r="I136" t="str">
        <v>PRECISION TOOL IMPROVEMENTS CO.</v>
      </c>
    </row>
    <row r="137" spans="6:9" x14ac:dyDescent="0.25">
      <c r="F137" t="str">
        <v>WH2002T</v>
      </c>
      <c r="G137">
        <v>20638</v>
      </c>
      <c r="I137" t="str">
        <v>PREMIER PROCESSING</v>
      </c>
    </row>
    <row r="138" spans="6:9" x14ac:dyDescent="0.25">
      <c r="F138" t="str">
        <v>Wilson Rockwell 2002T Automated</v>
      </c>
      <c r="G138">
        <v>22098</v>
      </c>
      <c r="I138" t="str">
        <v>PRODUCT MANUFACTURING CORPORATION</v>
      </c>
    </row>
    <row r="139" spans="6:9" x14ac:dyDescent="0.25">
      <c r="G139">
        <v>22603</v>
      </c>
      <c r="I139" t="str">
        <v>PRODUCT MANUFACTURING CORPORATION - PARK CITY</v>
      </c>
    </row>
    <row r="140" spans="6:9" x14ac:dyDescent="0.25">
      <c r="G140">
        <v>25275</v>
      </c>
      <c r="I140" t="str">
        <v>PROFESSIONAL MACHINE &amp; TOOL</v>
      </c>
    </row>
    <row r="141" spans="6:9" x14ac:dyDescent="0.25">
      <c r="G141">
        <v>30244</v>
      </c>
      <c r="I141" t="str">
        <v>PRYER AEROSPACE</v>
      </c>
    </row>
    <row r="142" spans="6:9" x14ac:dyDescent="0.25">
      <c r="G142">
        <v>34497</v>
      </c>
      <c r="I142" t="str">
        <v>QUIK TEK MACHINING LLC</v>
      </c>
    </row>
    <row r="143" spans="6:9" x14ac:dyDescent="0.25">
      <c r="G143">
        <v>38099</v>
      </c>
      <c r="I143" t="str">
        <v>R &amp; R AEROSPACE</v>
      </c>
    </row>
    <row r="144" spans="6:9" x14ac:dyDescent="0.25">
      <c r="G144">
        <v>38699</v>
      </c>
      <c r="I144" t="str">
        <v>REGASA AEROSPACE, INC.</v>
      </c>
    </row>
    <row r="145" spans="7:9" x14ac:dyDescent="0.25">
      <c r="G145">
        <v>39000</v>
      </c>
      <c r="I145" t="str">
        <v>RICKMAN MACHINE CO.</v>
      </c>
    </row>
    <row r="146" spans="7:9" x14ac:dyDescent="0.25">
      <c r="G146">
        <v>39100</v>
      </c>
      <c r="I146" t="str">
        <v>S&amp;S MANUFACTURING, INC</v>
      </c>
    </row>
    <row r="147" spans="7:9" x14ac:dyDescent="0.25">
      <c r="G147">
        <v>39200</v>
      </c>
      <c r="I147" t="str">
        <v>SHACKELFORD MACHINE</v>
      </c>
    </row>
    <row r="148" spans="7:9" x14ac:dyDescent="0.25">
      <c r="G148">
        <v>45505</v>
      </c>
      <c r="I148" t="str">
        <v>SHIELD INDUSTRIES INC.</v>
      </c>
    </row>
    <row r="149" spans="7:9" x14ac:dyDescent="0.25">
      <c r="G149">
        <v>74111</v>
      </c>
      <c r="I149" t="str">
        <v>SHUTTLE AEROSPACE, INC.</v>
      </c>
    </row>
    <row r="150" spans="7:9" x14ac:dyDescent="0.25">
      <c r="G150">
        <v>74901</v>
      </c>
      <c r="I150" t="str">
        <v>SIMON J MACHINE TOOL LLC</v>
      </c>
    </row>
    <row r="151" spans="7:9" x14ac:dyDescent="0.25">
      <c r="G151">
        <v>75712</v>
      </c>
      <c r="I151" t="str">
        <v>SINCLAIR &amp; SONS CUSTOM WELDING &amp; MACH.</v>
      </c>
    </row>
    <row r="152" spans="7:9" x14ac:dyDescent="0.25">
      <c r="G152">
        <v>76309</v>
      </c>
      <c r="I152" t="str">
        <v>STRAIGHTLINE HDD</v>
      </c>
    </row>
    <row r="153" spans="7:9" x14ac:dyDescent="0.25">
      <c r="G153">
        <v>78502</v>
      </c>
      <c r="I153" t="str">
        <v>SULLIVAN PRECISION METAL FINISHING</v>
      </c>
    </row>
    <row r="154" spans="7:9" x14ac:dyDescent="0.25">
      <c r="G154">
        <v>80728</v>
      </c>
      <c r="I154" t="str">
        <v>SUNSHINE METALS, INC.</v>
      </c>
    </row>
    <row r="155" spans="7:9" x14ac:dyDescent="0.25">
      <c r="G155">
        <v>81278</v>
      </c>
      <c r="I155" t="str">
        <v>SUPPLY TECHNOLOGIES LLC</v>
      </c>
    </row>
    <row r="156" spans="7:9" x14ac:dyDescent="0.25">
      <c r="G156">
        <v>86086</v>
      </c>
      <c r="I156" t="str">
        <v>TAKAKO AMERICA CO., INC</v>
      </c>
    </row>
    <row r="157" spans="7:9" x14ac:dyDescent="0.25">
      <c r="G157">
        <v>99188</v>
      </c>
      <c r="I157" t="str">
        <v>TECT - PARK CITY</v>
      </c>
    </row>
    <row r="158" spans="7:9" x14ac:dyDescent="0.25">
      <c r="G158">
        <v>99242</v>
      </c>
      <c r="I158" t="str">
        <v>TECT AEROSPACE WELLINGTON</v>
      </c>
    </row>
    <row r="159" spans="7:9" x14ac:dyDescent="0.25">
      <c r="G159">
        <v>124528</v>
      </c>
      <c r="I159" t="str">
        <v>TEXTRON AVIATION INC.</v>
      </c>
    </row>
    <row r="160" spans="7:9" x14ac:dyDescent="0.25">
      <c r="G160">
        <v>160648</v>
      </c>
      <c r="I160" t="str">
        <v>THE BRADBURY COMPANY</v>
      </c>
    </row>
    <row r="161" spans="7:9" x14ac:dyDescent="0.25">
      <c r="G161">
        <v>165185</v>
      </c>
      <c r="I161" t="str">
        <v>THYSSENKRUPP AEROSPACE - TMX</v>
      </c>
    </row>
    <row r="162" spans="7:9" x14ac:dyDescent="0.25">
      <c r="G162">
        <v>165186</v>
      </c>
      <c r="I162" t="str">
        <v>TRAN AEROSPACE</v>
      </c>
    </row>
    <row r="163" spans="7:9" x14ac:dyDescent="0.25">
      <c r="G163">
        <v>165279</v>
      </c>
      <c r="I163" t="str">
        <v>TRINITY PRECISION INC.</v>
      </c>
    </row>
    <row r="164" spans="7:9" x14ac:dyDescent="0.25">
      <c r="G164">
        <v>174505</v>
      </c>
      <c r="I164" t="str">
        <v>TURBOCHARGER SOLUTIONS</v>
      </c>
    </row>
    <row r="165" spans="7:9" x14ac:dyDescent="0.25">
      <c r="G165">
        <v>175446</v>
      </c>
      <c r="I165" t="str">
        <v>TW METALS, LLC - KANSAS DIVISION</v>
      </c>
    </row>
    <row r="166" spans="7:9" x14ac:dyDescent="0.25">
      <c r="G166">
        <v>181576</v>
      </c>
      <c r="I166" t="str">
        <v>UNITED MACHINE COMPANY</v>
      </c>
    </row>
    <row r="167" spans="7:9" x14ac:dyDescent="0.25">
      <c r="G167">
        <v>181584</v>
      </c>
      <c r="I167" t="str">
        <v>VANAM TOOL &amp; ENGINEERING</v>
      </c>
    </row>
    <row r="168" spans="7:9" x14ac:dyDescent="0.25">
      <c r="G168">
        <v>181595</v>
      </c>
      <c r="I168" t="str">
        <v>WALDEN'S MACHINE, LLC</v>
      </c>
    </row>
    <row r="169" spans="7:9" x14ac:dyDescent="0.25">
      <c r="G169">
        <v>181596</v>
      </c>
      <c r="I169" t="str">
        <v>WESCON CONTROLS</v>
      </c>
    </row>
    <row r="170" spans="7:9" x14ac:dyDescent="0.25">
      <c r="G170">
        <v>181597</v>
      </c>
      <c r="I170" t="str">
        <v>WICHITA AEROSPACE SPARES, INC.</v>
      </c>
    </row>
    <row r="171" spans="7:9" x14ac:dyDescent="0.25">
      <c r="G171">
        <v>181613</v>
      </c>
      <c r="I171" t="str">
        <v>WICHITA MACHINE PRODUCTS</v>
      </c>
    </row>
    <row r="172" spans="7:9" x14ac:dyDescent="0.25">
      <c r="G172">
        <v>185637</v>
      </c>
      <c r="I172" t="str">
        <v>WILDE TOOL CO., INC.</v>
      </c>
    </row>
    <row r="173" spans="7:9" x14ac:dyDescent="0.25">
      <c r="G173">
        <v>185674</v>
      </c>
      <c r="I173" t="str">
        <v>ZYXAXIS INC.</v>
      </c>
    </row>
    <row r="174" spans="7:9" x14ac:dyDescent="0.25">
      <c r="G174">
        <v>185707</v>
      </c>
    </row>
    <row r="175" spans="7:9" x14ac:dyDescent="0.25">
      <c r="G175">
        <v>185708</v>
      </c>
    </row>
    <row r="176" spans="7:9" x14ac:dyDescent="0.25">
      <c r="G176">
        <v>191641</v>
      </c>
    </row>
    <row r="177" spans="7:7" x14ac:dyDescent="0.25">
      <c r="G177">
        <v>191664</v>
      </c>
    </row>
    <row r="178" spans="7:7" x14ac:dyDescent="0.25">
      <c r="G178">
        <v>195949</v>
      </c>
    </row>
    <row r="179" spans="7:7" x14ac:dyDescent="0.25">
      <c r="G179">
        <v>216238</v>
      </c>
    </row>
    <row r="180" spans="7:7" x14ac:dyDescent="0.25">
      <c r="G180">
        <v>216239</v>
      </c>
    </row>
    <row r="181" spans="7:7" x14ac:dyDescent="0.25">
      <c r="G181">
        <v>221854</v>
      </c>
    </row>
    <row r="182" spans="7:7" x14ac:dyDescent="0.25">
      <c r="G182">
        <v>231889</v>
      </c>
    </row>
    <row r="183" spans="7:7" x14ac:dyDescent="0.25">
      <c r="G183">
        <v>271550</v>
      </c>
    </row>
    <row r="184" spans="7:7" x14ac:dyDescent="0.25">
      <c r="G184">
        <v>671121</v>
      </c>
    </row>
    <row r="185" spans="7:7" x14ac:dyDescent="0.25">
      <c r="G185">
        <v>931071</v>
      </c>
    </row>
    <row r="186" spans="7:7" x14ac:dyDescent="0.25">
      <c r="G186">
        <v>961704</v>
      </c>
    </row>
    <row r="187" spans="7:7" x14ac:dyDescent="0.25">
      <c r="G187">
        <v>971755</v>
      </c>
    </row>
    <row r="188" spans="7:7" x14ac:dyDescent="0.25">
      <c r="G188">
        <v>992144</v>
      </c>
    </row>
    <row r="189" spans="7:7" x14ac:dyDescent="0.25">
      <c r="G189">
        <v>2111719</v>
      </c>
    </row>
    <row r="190" spans="7:7" x14ac:dyDescent="0.25">
      <c r="G190">
        <v>2131838</v>
      </c>
    </row>
    <row r="191" spans="7:7" x14ac:dyDescent="0.25">
      <c r="G191">
        <v>2192283</v>
      </c>
    </row>
    <row r="192" spans="7:7" x14ac:dyDescent="0.25">
      <c r="G192">
        <v>2192284</v>
      </c>
    </row>
    <row r="193" spans="7:7" x14ac:dyDescent="0.25">
      <c r="G193">
        <v>2192285</v>
      </c>
    </row>
    <row r="194" spans="7:7" x14ac:dyDescent="0.25">
      <c r="G194">
        <v>2192286</v>
      </c>
    </row>
    <row r="195" spans="7:7" x14ac:dyDescent="0.25">
      <c r="G195">
        <v>9120251</v>
      </c>
    </row>
    <row r="196" spans="7:7" x14ac:dyDescent="0.25">
      <c r="G196">
        <v>30061037</v>
      </c>
    </row>
    <row r="197" spans="7:7" x14ac:dyDescent="0.25">
      <c r="G197">
        <v>60413007</v>
      </c>
    </row>
    <row r="198" spans="7:7" x14ac:dyDescent="0.25">
      <c r="G198">
        <v>92418012</v>
      </c>
    </row>
    <row r="199" spans="7:7" x14ac:dyDescent="0.25">
      <c r="G199">
        <v>94019101</v>
      </c>
    </row>
    <row r="200" spans="7:7" x14ac:dyDescent="0.25">
      <c r="G200">
        <v>94265110</v>
      </c>
    </row>
    <row r="201" spans="7:7" x14ac:dyDescent="0.25">
      <c r="G201">
        <v>94282110</v>
      </c>
    </row>
    <row r="202" spans="7:7" x14ac:dyDescent="0.25">
      <c r="G202">
        <v>97325508</v>
      </c>
    </row>
    <row r="203" spans="7:7" x14ac:dyDescent="0.25">
      <c r="G203">
        <v>97351607</v>
      </c>
    </row>
    <row r="204" spans="7:7" x14ac:dyDescent="0.25">
      <c r="G204">
        <v>97352503</v>
      </c>
    </row>
    <row r="205" spans="7:7" x14ac:dyDescent="0.25">
      <c r="G205">
        <v>97383408</v>
      </c>
    </row>
    <row r="206" spans="7:7" x14ac:dyDescent="0.25">
      <c r="G206">
        <v>97394803</v>
      </c>
    </row>
    <row r="207" spans="7:7" x14ac:dyDescent="0.25">
      <c r="G207">
        <v>97487903</v>
      </c>
    </row>
    <row r="208" spans="7:7" x14ac:dyDescent="0.25">
      <c r="G208">
        <v>20050401004</v>
      </c>
    </row>
    <row r="209" spans="7:7" x14ac:dyDescent="0.25">
      <c r="G209" t="str">
        <v>0001664</v>
      </c>
    </row>
    <row r="210" spans="7:7" x14ac:dyDescent="0.25">
      <c r="G210" t="str">
        <v>0001671</v>
      </c>
    </row>
    <row r="211" spans="7:7" x14ac:dyDescent="0.25">
      <c r="G211" t="str">
        <v>0063302</v>
      </c>
    </row>
    <row r="212" spans="7:7" x14ac:dyDescent="0.25">
      <c r="G212" t="str">
        <v>0080302</v>
      </c>
    </row>
    <row r="213" spans="7:7" x14ac:dyDescent="0.25">
      <c r="G213" t="str">
        <v>01351</v>
      </c>
    </row>
    <row r="214" spans="7:7" x14ac:dyDescent="0.25">
      <c r="G214" t="str">
        <v>01367</v>
      </c>
    </row>
    <row r="215" spans="7:7" x14ac:dyDescent="0.25">
      <c r="G215" t="str">
        <v>018</v>
      </c>
    </row>
    <row r="216" spans="7:7" x14ac:dyDescent="0.25">
      <c r="G216" t="str">
        <v>01981404</v>
      </c>
    </row>
    <row r="217" spans="7:7" x14ac:dyDescent="0.25">
      <c r="G217" t="str">
        <v>020901</v>
      </c>
    </row>
    <row r="218" spans="7:7" x14ac:dyDescent="0.25">
      <c r="G218" t="str">
        <v>022697</v>
      </c>
    </row>
    <row r="219" spans="7:7" x14ac:dyDescent="0.25">
      <c r="G219" t="str">
        <v>03448</v>
      </c>
    </row>
    <row r="220" spans="7:7" x14ac:dyDescent="0.25">
      <c r="G220" t="str">
        <v>03753</v>
      </c>
    </row>
    <row r="221" spans="7:7" x14ac:dyDescent="0.25">
      <c r="G221" t="str">
        <v>0420</v>
      </c>
    </row>
    <row r="222" spans="7:7" x14ac:dyDescent="0.25">
      <c r="G222" t="str">
        <v>05523</v>
      </c>
    </row>
    <row r="223" spans="7:7" x14ac:dyDescent="0.25">
      <c r="G223" t="str">
        <v>063284</v>
      </c>
    </row>
    <row r="224" spans="7:7" x14ac:dyDescent="0.25">
      <c r="G224" t="str">
        <v>06611</v>
      </c>
    </row>
    <row r="225" spans="7:7" x14ac:dyDescent="0.25">
      <c r="G225" t="str">
        <v>06616</v>
      </c>
    </row>
    <row r="226" spans="7:7" x14ac:dyDescent="0.25">
      <c r="G226" t="str">
        <v>0693</v>
      </c>
    </row>
    <row r="227" spans="7:7" x14ac:dyDescent="0.25">
      <c r="G227" t="str">
        <v>07664</v>
      </c>
    </row>
    <row r="228" spans="7:7" x14ac:dyDescent="0.25">
      <c r="G228" t="str">
        <v>07677</v>
      </c>
    </row>
    <row r="229" spans="7:7" x14ac:dyDescent="0.25">
      <c r="G229" t="str">
        <v>07731</v>
      </c>
    </row>
    <row r="230" spans="7:7" x14ac:dyDescent="0.25">
      <c r="G230" t="str">
        <v>083654</v>
      </c>
    </row>
    <row r="231" spans="7:7" x14ac:dyDescent="0.25">
      <c r="G231" t="str">
        <v>083656</v>
      </c>
    </row>
    <row r="232" spans="7:7" x14ac:dyDescent="0.25">
      <c r="G232" t="str">
        <v>083657</v>
      </c>
    </row>
    <row r="233" spans="7:7" x14ac:dyDescent="0.25">
      <c r="G233" t="str">
        <v>083751</v>
      </c>
    </row>
    <row r="234" spans="7:7" x14ac:dyDescent="0.25">
      <c r="G234" t="str">
        <v>083752</v>
      </c>
    </row>
    <row r="235" spans="7:7" x14ac:dyDescent="0.25">
      <c r="G235" t="str">
        <v>083754</v>
      </c>
    </row>
    <row r="236" spans="7:7" x14ac:dyDescent="0.25">
      <c r="G236" t="str">
        <v>08801</v>
      </c>
    </row>
    <row r="237" spans="7:7" x14ac:dyDescent="0.25">
      <c r="G237" t="str">
        <v>08815</v>
      </c>
    </row>
    <row r="238" spans="7:7" x14ac:dyDescent="0.25">
      <c r="G238" t="str">
        <v>09834</v>
      </c>
    </row>
    <row r="239" spans="7:7" x14ac:dyDescent="0.25">
      <c r="G239" t="str">
        <v>09853</v>
      </c>
    </row>
    <row r="240" spans="7:7" x14ac:dyDescent="0.25">
      <c r="G240" t="str">
        <v>12-50082</v>
      </c>
    </row>
    <row r="241" spans="7:7" x14ac:dyDescent="0.25">
      <c r="G241" t="str">
        <v>12-50130</v>
      </c>
    </row>
    <row r="242" spans="7:7" x14ac:dyDescent="0.25">
      <c r="G242" t="str">
        <v>23-0100</v>
      </c>
    </row>
    <row r="243" spans="7:7" x14ac:dyDescent="0.25">
      <c r="G243" t="str">
        <v>34197R</v>
      </c>
    </row>
    <row r="244" spans="7:7" x14ac:dyDescent="0.25">
      <c r="G244" t="str">
        <v>344R</v>
      </c>
    </row>
    <row r="245" spans="7:7" x14ac:dyDescent="0.25">
      <c r="G245" t="str">
        <v>3JR-4058</v>
      </c>
    </row>
    <row r="246" spans="7:7" x14ac:dyDescent="0.25">
      <c r="G246" t="str">
        <v>3JR52</v>
      </c>
    </row>
    <row r="247" spans="7:7" x14ac:dyDescent="0.25">
      <c r="G247" t="str">
        <v>3JR-7342</v>
      </c>
    </row>
    <row r="248" spans="7:7" x14ac:dyDescent="0.25">
      <c r="G248" t="str">
        <v>3JR-97</v>
      </c>
    </row>
    <row r="249" spans="7:7" x14ac:dyDescent="0.25">
      <c r="G249" t="str">
        <v>3JS-898</v>
      </c>
    </row>
    <row r="250" spans="7:7" x14ac:dyDescent="0.25">
      <c r="G250" t="str">
        <v>3JSBB1416</v>
      </c>
    </row>
    <row r="251" spans="7:7" x14ac:dyDescent="0.25">
      <c r="G251" t="str">
        <v>3PR2710</v>
      </c>
    </row>
    <row r="252" spans="7:7" x14ac:dyDescent="0.25">
      <c r="G252" t="str">
        <v>3R1990</v>
      </c>
    </row>
    <row r="253" spans="7:7" x14ac:dyDescent="0.25">
      <c r="G253" t="str">
        <v>40-100177</v>
      </c>
    </row>
    <row r="254" spans="7:7" x14ac:dyDescent="0.25">
      <c r="G254" t="str">
        <v>40-100179   800007252</v>
      </c>
    </row>
    <row r="255" spans="7:7" x14ac:dyDescent="0.25">
      <c r="G255" t="str">
        <v>40-100195</v>
      </c>
    </row>
    <row r="256" spans="7:7" x14ac:dyDescent="0.25">
      <c r="G256" t="str">
        <v>40-100209</v>
      </c>
    </row>
    <row r="257" spans="7:7" x14ac:dyDescent="0.25">
      <c r="G257" t="str">
        <v>4JR302</v>
      </c>
    </row>
    <row r="258" spans="7:7" x14ac:dyDescent="0.25">
      <c r="G258" t="str">
        <v>4JR-3307</v>
      </c>
    </row>
    <row r="259" spans="7:7" x14ac:dyDescent="0.25">
      <c r="G259" t="str">
        <v>4JR-3952</v>
      </c>
    </row>
    <row r="260" spans="7:7" x14ac:dyDescent="0.25">
      <c r="G260" t="str">
        <v>4JR-4067</v>
      </c>
    </row>
    <row r="261" spans="7:7" x14ac:dyDescent="0.25">
      <c r="G261" t="str">
        <v>4JR-4171</v>
      </c>
    </row>
    <row r="262" spans="7:7" x14ac:dyDescent="0.25">
      <c r="G262" t="str">
        <v>4JR-4491</v>
      </c>
    </row>
    <row r="263" spans="7:7" x14ac:dyDescent="0.25">
      <c r="G263" t="str">
        <v>4JR4833</v>
      </c>
    </row>
    <row r="264" spans="7:7" x14ac:dyDescent="0.25">
      <c r="G264" t="str">
        <v>4JR634</v>
      </c>
    </row>
    <row r="265" spans="7:7" x14ac:dyDescent="0.25">
      <c r="G265" t="str">
        <v>4JSBB-578</v>
      </c>
    </row>
    <row r="266" spans="7:7" x14ac:dyDescent="0.25">
      <c r="G266" t="str">
        <v>65074 (10031817)</v>
      </c>
    </row>
    <row r="267" spans="7:7" x14ac:dyDescent="0.25">
      <c r="G267" t="str">
        <v>6633/41-7684</v>
      </c>
    </row>
    <row r="268" spans="7:7" x14ac:dyDescent="0.25">
      <c r="G268" t="str">
        <v>6844/6668</v>
      </c>
    </row>
    <row r="269" spans="7:7" x14ac:dyDescent="0.25">
      <c r="G269" t="str">
        <v>7678/7690</v>
      </c>
    </row>
    <row r="270" spans="7:7" x14ac:dyDescent="0.25">
      <c r="G270" t="str">
        <v>81349 IV</v>
      </c>
    </row>
    <row r="271" spans="7:7" x14ac:dyDescent="0.25">
      <c r="G271" t="str">
        <v>81D185</v>
      </c>
    </row>
    <row r="272" spans="7:7" x14ac:dyDescent="0.25">
      <c r="G272" t="str">
        <v>9391/9392</v>
      </c>
    </row>
    <row r="273" spans="7:7" x14ac:dyDescent="0.25">
      <c r="G273" t="str">
        <v>97352503  LSM-5-053</v>
      </c>
    </row>
    <row r="274" spans="7:7" x14ac:dyDescent="0.25">
      <c r="G274" t="str">
        <v>A130701090</v>
      </c>
    </row>
    <row r="275" spans="7:7" x14ac:dyDescent="0.25">
      <c r="G275" t="str">
        <v>BBC1835</v>
      </c>
    </row>
    <row r="276" spans="7:7" x14ac:dyDescent="0.25">
      <c r="G276" t="str">
        <v>C2642</v>
      </c>
    </row>
    <row r="277" spans="7:7" x14ac:dyDescent="0.25">
      <c r="G277" t="str">
        <v>C2643</v>
      </c>
    </row>
    <row r="278" spans="7:7" x14ac:dyDescent="0.25">
      <c r="G278" t="str">
        <v>C2946</v>
      </c>
    </row>
    <row r="279" spans="7:7" x14ac:dyDescent="0.25">
      <c r="G279" t="str">
        <v>C2995</v>
      </c>
    </row>
    <row r="280" spans="7:7" x14ac:dyDescent="0.25">
      <c r="G280" t="str">
        <v>C3083</v>
      </c>
    </row>
    <row r="281" spans="7:7" x14ac:dyDescent="0.25">
      <c r="G281" t="str">
        <v>C770</v>
      </c>
    </row>
    <row r="282" spans="7:7" x14ac:dyDescent="0.25">
      <c r="G282" t="str">
        <v>CR 16390</v>
      </c>
    </row>
    <row r="283" spans="7:7" x14ac:dyDescent="0.25">
      <c r="G283" t="str">
        <v>CR 9939</v>
      </c>
    </row>
    <row r="284" spans="7:7" x14ac:dyDescent="0.25">
      <c r="G284" t="str">
        <v>CR0066</v>
      </c>
    </row>
    <row r="285" spans="7:7" x14ac:dyDescent="0.25">
      <c r="G285" t="str">
        <v>CR0182</v>
      </c>
    </row>
    <row r="286" spans="7:7" x14ac:dyDescent="0.25">
      <c r="G286" t="str">
        <v>CR0184</v>
      </c>
    </row>
    <row r="287" spans="7:7" x14ac:dyDescent="0.25">
      <c r="G287" t="str">
        <v>CR0205</v>
      </c>
    </row>
    <row r="288" spans="7:7" x14ac:dyDescent="0.25">
      <c r="G288" t="str">
        <v>CR04137</v>
      </c>
    </row>
    <row r="289" spans="7:7" x14ac:dyDescent="0.25">
      <c r="G289" t="str">
        <v>CR-08204</v>
      </c>
    </row>
    <row r="290" spans="7:7" x14ac:dyDescent="0.25">
      <c r="G290" t="str">
        <v>CR13312</v>
      </c>
    </row>
    <row r="291" spans="7:7" x14ac:dyDescent="0.25">
      <c r="G291" t="str">
        <v>CR17401</v>
      </c>
    </row>
    <row r="292" spans="7:7" x14ac:dyDescent="0.25">
      <c r="G292" t="str">
        <v>CR18439</v>
      </c>
    </row>
    <row r="293" spans="7:7" x14ac:dyDescent="0.25">
      <c r="G293" t="str">
        <v>CR21530 W-CPI-7003</v>
      </c>
    </row>
    <row r="294" spans="7:7" x14ac:dyDescent="0.25">
      <c r="G294" t="str">
        <v>CR21545 W-CPI-1600</v>
      </c>
    </row>
    <row r="295" spans="7:7" x14ac:dyDescent="0.25">
      <c r="G295" t="str">
        <v>CR24614</v>
      </c>
    </row>
    <row r="296" spans="7:7" x14ac:dyDescent="0.25">
      <c r="G296" t="str">
        <v>DC7894</v>
      </c>
    </row>
    <row r="297" spans="7:7" x14ac:dyDescent="0.25">
      <c r="G297" t="str">
        <v>DN103</v>
      </c>
    </row>
    <row r="298" spans="7:7" x14ac:dyDescent="0.25">
      <c r="G298" t="str">
        <v>DN597</v>
      </c>
    </row>
    <row r="299" spans="7:7" x14ac:dyDescent="0.25">
      <c r="G299" t="str">
        <v>FW-M-0430</v>
      </c>
    </row>
    <row r="300" spans="7:7" x14ac:dyDescent="0.25">
      <c r="G300" t="str">
        <v>FW-M-0539</v>
      </c>
    </row>
    <row r="301" spans="7:7" x14ac:dyDescent="0.25">
      <c r="G301" t="str">
        <v>HT-0264</v>
      </c>
    </row>
    <row r="302" spans="7:7" x14ac:dyDescent="0.25">
      <c r="G302" t="str">
        <v>HTC-001</v>
      </c>
    </row>
    <row r="303" spans="7:7" x14ac:dyDescent="0.25">
      <c r="G303" t="str">
        <v>J15-4-40</v>
      </c>
    </row>
    <row r="304" spans="7:7" x14ac:dyDescent="0.25">
      <c r="G304" t="str">
        <v>KMC-61</v>
      </c>
    </row>
    <row r="305" spans="7:7" x14ac:dyDescent="0.25">
      <c r="G305" t="str">
        <v>L-10042A</v>
      </c>
    </row>
    <row r="306" spans="7:7" x14ac:dyDescent="0.25">
      <c r="G306" t="str">
        <v>PH41010270037</v>
      </c>
    </row>
    <row r="307" spans="7:7" x14ac:dyDescent="0.25">
      <c r="G307" t="str">
        <v>PMI-0438</v>
      </c>
    </row>
    <row r="308" spans="7:7" x14ac:dyDescent="0.25">
      <c r="G308" t="str">
        <v>R1317</v>
      </c>
    </row>
    <row r="309" spans="7:7" x14ac:dyDescent="0.25">
      <c r="G309" t="str">
        <v>R2000P1541</v>
      </c>
    </row>
    <row r="310" spans="7:7" x14ac:dyDescent="0.25">
      <c r="G310" t="str">
        <v>R2000P9932</v>
      </c>
    </row>
    <row r="311" spans="7:7" x14ac:dyDescent="0.25">
      <c r="G311" t="str">
        <v>R2K0001</v>
      </c>
    </row>
    <row r="312" spans="7:7" x14ac:dyDescent="0.25">
      <c r="G312" t="str">
        <v>R2K-0099</v>
      </c>
    </row>
    <row r="313" spans="7:7" x14ac:dyDescent="0.25">
      <c r="G313" t="str">
        <v>R2K-0152</v>
      </c>
    </row>
    <row r="314" spans="7:7" x14ac:dyDescent="0.25">
      <c r="G314" t="str">
        <v>R500AQ3466</v>
      </c>
    </row>
    <row r="315" spans="7:7" x14ac:dyDescent="0.25">
      <c r="G315" t="str">
        <v>R500DQ8062</v>
      </c>
    </row>
    <row r="316" spans="7:7" x14ac:dyDescent="0.25">
      <c r="G316" t="str">
        <v>R574-00-0580</v>
      </c>
    </row>
    <row r="317" spans="7:7" x14ac:dyDescent="0.25">
      <c r="G317" t="str">
        <v>R574-00-1246</v>
      </c>
    </row>
    <row r="318" spans="7:7" x14ac:dyDescent="0.25">
      <c r="G318" t="str">
        <v>R574-00-1650</v>
      </c>
    </row>
    <row r="319" spans="7:7" x14ac:dyDescent="0.25">
      <c r="G319" t="str">
        <v>S909701</v>
      </c>
    </row>
    <row r="320" spans="7:7" x14ac:dyDescent="0.25">
      <c r="G320" t="str">
        <v>SEK011</v>
      </c>
    </row>
    <row r="321" spans="7:7" x14ac:dyDescent="0.25">
      <c r="G321" t="str">
        <v>SEK050</v>
      </c>
    </row>
    <row r="322" spans="7:7" x14ac:dyDescent="0.25">
      <c r="G322" t="str">
        <v>SEK060</v>
      </c>
    </row>
    <row r="323" spans="7:7" x14ac:dyDescent="0.25">
      <c r="G323" t="str">
        <v>SEK1515</v>
      </c>
    </row>
    <row r="324" spans="7:7" x14ac:dyDescent="0.25">
      <c r="G324" t="str">
        <v>SRA700</v>
      </c>
    </row>
    <row r="325" spans="7:7" x14ac:dyDescent="0.25">
      <c r="G325" t="str">
        <v>TBD2</v>
      </c>
    </row>
    <row r="326" spans="7:7" x14ac:dyDescent="0.25">
      <c r="G326" t="str">
        <v>TBD3</v>
      </c>
    </row>
    <row r="327" spans="7:7" x14ac:dyDescent="0.25">
      <c r="G327" t="str">
        <v>W2K-0059</v>
      </c>
    </row>
    <row r="328" spans="7:7" x14ac:dyDescent="0.25">
      <c r="G328" t="str">
        <v>WMI-HTST1</v>
      </c>
    </row>
  </sheetData>
  <pageMargins left="0.7" right="0.7" top="0.75" bottom="0.75" header="0.3" footer="0.3"/>
  <pageSetup orientation="portrait" horizontalDpi="4294967295" verticalDpi="4294967295" r:id="rId1"/>
  <customProperties>
    <customPr name="%locator_row%" r:id="rId2"/>
    <customPr name="%startcell%" r:id="rId3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R597"/>
  <sheetViews>
    <sheetView workbookViewId="0"/>
  </sheetViews>
  <sheetFormatPr defaultRowHeight="15" x14ac:dyDescent="0.25"/>
  <cols>
    <col min="1" max="1" width="42" customWidth="1"/>
    <col min="2" max="2" width="17.85546875" customWidth="1"/>
    <col min="3" max="3" width="13.7109375" customWidth="1"/>
    <col min="4" max="4" width="22.7109375" customWidth="1"/>
    <col min="5" max="5" width="20.140625" customWidth="1"/>
    <col min="6" max="6" width="21.42578125" customWidth="1"/>
    <col min="7" max="7" width="24.5703125" customWidth="1"/>
    <col min="8" max="8" width="17.42578125" customWidth="1"/>
    <col min="10" max="10" width="9.140625" style="28"/>
  </cols>
  <sheetData>
    <row r="1" spans="1:14" x14ac:dyDescent="0.25">
      <c r="A1" t="s">
        <v>165</v>
      </c>
      <c r="B1" t="s">
        <v>166</v>
      </c>
      <c r="C1">
        <v>0.01</v>
      </c>
      <c r="D1">
        <v>0.03</v>
      </c>
      <c r="E1">
        <v>0</v>
      </c>
      <c r="F1">
        <v>2.7088000000000001E-2</v>
      </c>
      <c r="G1">
        <v>-6.4071000000000002E-7</v>
      </c>
      <c r="H1">
        <v>1</v>
      </c>
      <c r="I1" t="s">
        <v>167</v>
      </c>
      <c r="L1" t="str">
        <f>I1</f>
        <v>in oz</v>
      </c>
      <c r="M1">
        <f>D1</f>
        <v>0.03</v>
      </c>
      <c r="N1">
        <f>F1</f>
        <v>2.7088000000000001E-2</v>
      </c>
    </row>
    <row r="2" spans="1:14" x14ac:dyDescent="0.25">
      <c r="A2" t="s">
        <v>168</v>
      </c>
      <c r="B2" t="s">
        <v>166</v>
      </c>
      <c r="C2">
        <v>2.5000000000000001E-2</v>
      </c>
      <c r="D2">
        <v>0.03</v>
      </c>
      <c r="E2">
        <v>0</v>
      </c>
      <c r="F2">
        <v>2.7094E-2</v>
      </c>
      <c r="G2">
        <v>-8.6163000000000002E-7</v>
      </c>
      <c r="H2">
        <v>1</v>
      </c>
      <c r="I2" t="s">
        <v>167</v>
      </c>
      <c r="L2" t="str">
        <f t="shared" ref="L2:L65" si="0">I2</f>
        <v>in oz</v>
      </c>
      <c r="M2">
        <f t="shared" ref="M2:M65" si="1">D2</f>
        <v>0.03</v>
      </c>
      <c r="N2">
        <f t="shared" ref="N2:N65" si="2">F2</f>
        <v>2.7094E-2</v>
      </c>
    </row>
    <row r="3" spans="1:14" x14ac:dyDescent="0.25">
      <c r="A3" t="s">
        <v>169</v>
      </c>
      <c r="B3" t="s">
        <v>166</v>
      </c>
      <c r="C3">
        <v>0.05</v>
      </c>
      <c r="D3">
        <v>0.03</v>
      </c>
      <c r="E3">
        <v>0</v>
      </c>
      <c r="F3">
        <v>2.7113000000000002E-2</v>
      </c>
      <c r="G3">
        <v>-2.9957E-6</v>
      </c>
      <c r="H3">
        <v>1</v>
      </c>
      <c r="I3" t="s">
        <v>167</v>
      </c>
      <c r="L3" t="str">
        <f t="shared" si="0"/>
        <v>in oz</v>
      </c>
      <c r="M3">
        <f t="shared" si="1"/>
        <v>0.03</v>
      </c>
      <c r="N3">
        <f t="shared" si="2"/>
        <v>2.7113000000000002E-2</v>
      </c>
    </row>
    <row r="4" spans="1:14" x14ac:dyDescent="0.25">
      <c r="A4" t="s">
        <v>170</v>
      </c>
      <c r="B4" t="s">
        <v>166</v>
      </c>
      <c r="C4">
        <v>0.1</v>
      </c>
      <c r="D4">
        <v>0.03</v>
      </c>
      <c r="E4">
        <v>0</v>
      </c>
      <c r="F4">
        <v>2.7186999999999999E-2</v>
      </c>
      <c r="G4">
        <v>-1.3788E-6</v>
      </c>
      <c r="H4">
        <v>1</v>
      </c>
      <c r="I4" t="s">
        <v>167</v>
      </c>
      <c r="L4" t="str">
        <f t="shared" si="0"/>
        <v>in oz</v>
      </c>
      <c r="M4">
        <f t="shared" si="1"/>
        <v>0.03</v>
      </c>
      <c r="N4">
        <f t="shared" si="2"/>
        <v>2.7186999999999999E-2</v>
      </c>
    </row>
    <row r="5" spans="1:14" x14ac:dyDescent="0.25">
      <c r="A5" t="s">
        <v>171</v>
      </c>
      <c r="B5" t="s">
        <v>166</v>
      </c>
      <c r="C5">
        <v>0.25</v>
      </c>
      <c r="D5">
        <v>3.0835000000000001E-2</v>
      </c>
      <c r="E5">
        <v>-7.6000000000000001E-6</v>
      </c>
      <c r="F5">
        <v>2.7703999999999999E-2</v>
      </c>
      <c r="G5">
        <v>-8.4430000000000003E-6</v>
      </c>
      <c r="H5">
        <v>1</v>
      </c>
      <c r="I5" t="s">
        <v>167</v>
      </c>
      <c r="L5" t="str">
        <f t="shared" si="0"/>
        <v>in oz</v>
      </c>
      <c r="M5">
        <f t="shared" si="1"/>
        <v>3.0835000000000001E-2</v>
      </c>
      <c r="N5">
        <f t="shared" si="2"/>
        <v>2.7703999999999999E-2</v>
      </c>
    </row>
    <row r="6" spans="1:14" x14ac:dyDescent="0.25">
      <c r="A6" t="s">
        <v>172</v>
      </c>
      <c r="B6" t="s">
        <v>166</v>
      </c>
      <c r="C6">
        <v>0.01</v>
      </c>
      <c r="D6">
        <v>3.6000000000000004E-2</v>
      </c>
      <c r="E6">
        <v>5.1000000000000004E-3</v>
      </c>
      <c r="F6">
        <v>2.6171E-2</v>
      </c>
      <c r="G6">
        <v>5.2462000000000003E-3</v>
      </c>
      <c r="H6">
        <v>1</v>
      </c>
      <c r="I6" t="s">
        <v>167</v>
      </c>
      <c r="L6" t="str">
        <f t="shared" si="0"/>
        <v>in oz</v>
      </c>
      <c r="M6">
        <f t="shared" si="1"/>
        <v>3.6000000000000004E-2</v>
      </c>
      <c r="N6">
        <f t="shared" si="2"/>
        <v>2.6171E-2</v>
      </c>
    </row>
    <row r="7" spans="1:14" x14ac:dyDescent="0.25">
      <c r="A7" t="s">
        <v>173</v>
      </c>
      <c r="B7" t="s">
        <v>166</v>
      </c>
      <c r="C7">
        <v>2.5000000000000001E-2</v>
      </c>
      <c r="D7">
        <v>3.6000000000000004E-2</v>
      </c>
      <c r="E7">
        <v>5.1808000000000002E-3</v>
      </c>
      <c r="F7">
        <v>2.8173E-2</v>
      </c>
      <c r="G7">
        <v>5.2055000000000001E-3</v>
      </c>
      <c r="H7">
        <v>1</v>
      </c>
      <c r="I7" t="s">
        <v>167</v>
      </c>
      <c r="L7" t="str">
        <f t="shared" si="0"/>
        <v>in oz</v>
      </c>
      <c r="M7">
        <f t="shared" si="1"/>
        <v>3.6000000000000004E-2</v>
      </c>
      <c r="N7">
        <f t="shared" si="2"/>
        <v>2.8173E-2</v>
      </c>
    </row>
    <row r="8" spans="1:14" x14ac:dyDescent="0.25">
      <c r="A8" t="s">
        <v>174</v>
      </c>
      <c r="B8" t="s">
        <v>166</v>
      </c>
      <c r="C8">
        <v>0.05</v>
      </c>
      <c r="D8">
        <v>4.0751000000000002E-2</v>
      </c>
      <c r="E8">
        <v>5.0804999999999999E-3</v>
      </c>
      <c r="F8">
        <v>3.4758999999999998E-2</v>
      </c>
      <c r="G8">
        <v>5.0740999999999998E-3</v>
      </c>
      <c r="H8">
        <v>1</v>
      </c>
      <c r="I8" t="s">
        <v>167</v>
      </c>
      <c r="L8" t="str">
        <f t="shared" si="0"/>
        <v>in oz</v>
      </c>
      <c r="M8">
        <f t="shared" si="1"/>
        <v>4.0751000000000002E-2</v>
      </c>
      <c r="N8">
        <f t="shared" si="2"/>
        <v>3.4758999999999998E-2</v>
      </c>
    </row>
    <row r="9" spans="1:14" x14ac:dyDescent="0.25">
      <c r="A9" t="s">
        <v>175</v>
      </c>
      <c r="B9" t="s">
        <v>166</v>
      </c>
      <c r="C9">
        <v>0.1</v>
      </c>
      <c r="D9">
        <v>6.3969999999999999E-2</v>
      </c>
      <c r="E9">
        <v>4.7648999999999999E-3</v>
      </c>
      <c r="F9">
        <v>5.5809000000000004E-2</v>
      </c>
      <c r="G9">
        <v>4.6791000000000003E-3</v>
      </c>
      <c r="H9">
        <v>1</v>
      </c>
      <c r="I9" t="s">
        <v>167</v>
      </c>
      <c r="L9" t="str">
        <f t="shared" si="0"/>
        <v>in oz</v>
      </c>
      <c r="M9">
        <f t="shared" si="1"/>
        <v>6.3969999999999999E-2</v>
      </c>
      <c r="N9">
        <f t="shared" si="2"/>
        <v>5.5809000000000004E-2</v>
      </c>
    </row>
    <row r="10" spans="1:14" x14ac:dyDescent="0.25">
      <c r="A10" t="s">
        <v>176</v>
      </c>
      <c r="B10" t="s">
        <v>166</v>
      </c>
      <c r="C10">
        <v>0.25</v>
      </c>
      <c r="D10">
        <v>0.14352000000000001</v>
      </c>
      <c r="E10">
        <v>3.6814999999999999E-3</v>
      </c>
      <c r="F10">
        <v>0.13853000000000001</v>
      </c>
      <c r="G10">
        <v>3.4604000000000002E-3</v>
      </c>
      <c r="H10">
        <v>1</v>
      </c>
      <c r="I10" t="s">
        <v>167</v>
      </c>
      <c r="L10" t="str">
        <f t="shared" si="0"/>
        <v>in oz</v>
      </c>
      <c r="M10">
        <f t="shared" si="1"/>
        <v>0.14352000000000001</v>
      </c>
      <c r="N10">
        <f t="shared" si="2"/>
        <v>0.13853000000000001</v>
      </c>
    </row>
    <row r="11" spans="1:14" x14ac:dyDescent="0.25">
      <c r="A11" t="s">
        <v>177</v>
      </c>
      <c r="B11" t="s">
        <v>166</v>
      </c>
      <c r="C11">
        <v>0.5</v>
      </c>
      <c r="D11">
        <v>0.28835</v>
      </c>
      <c r="E11">
        <v>2.532E-3</v>
      </c>
      <c r="F11">
        <v>0.27990999999999999</v>
      </c>
      <c r="G11">
        <v>2.2252000000000001E-3</v>
      </c>
      <c r="H11">
        <v>1</v>
      </c>
      <c r="I11" t="s">
        <v>167</v>
      </c>
      <c r="L11" t="str">
        <f t="shared" si="0"/>
        <v>in oz</v>
      </c>
      <c r="M11">
        <f t="shared" si="1"/>
        <v>0.28835</v>
      </c>
      <c r="N11">
        <f t="shared" si="2"/>
        <v>0.27990999999999999</v>
      </c>
    </row>
    <row r="12" spans="1:14" x14ac:dyDescent="0.25">
      <c r="A12" t="s">
        <v>178</v>
      </c>
      <c r="B12" t="s">
        <v>166</v>
      </c>
      <c r="C12">
        <v>0.01</v>
      </c>
      <c r="D12">
        <v>0.26</v>
      </c>
      <c r="E12">
        <v>6.3E-3</v>
      </c>
      <c r="F12">
        <v>0.12118</v>
      </c>
      <c r="G12">
        <v>5.2633000000000003E-3</v>
      </c>
      <c r="H12">
        <v>1</v>
      </c>
      <c r="I12" t="s">
        <v>179</v>
      </c>
      <c r="L12" t="str">
        <f t="shared" si="0"/>
        <v>in lb</v>
      </c>
      <c r="M12">
        <f t="shared" si="1"/>
        <v>0.26</v>
      </c>
      <c r="N12">
        <f t="shared" si="2"/>
        <v>0.12118</v>
      </c>
    </row>
    <row r="13" spans="1:14" x14ac:dyDescent="0.25">
      <c r="A13" t="s">
        <v>180</v>
      </c>
      <c r="B13" t="s">
        <v>166</v>
      </c>
      <c r="C13">
        <v>2.5000000000000001E-2</v>
      </c>
      <c r="D13">
        <v>0.28169</v>
      </c>
      <c r="E13">
        <v>6.7101000000000001E-3</v>
      </c>
      <c r="F13">
        <v>0.12154999999999999</v>
      </c>
      <c r="G13">
        <v>5.2605999999999998E-3</v>
      </c>
      <c r="H13">
        <v>1</v>
      </c>
      <c r="I13" t="s">
        <v>179</v>
      </c>
      <c r="L13" t="str">
        <f t="shared" si="0"/>
        <v>in lb</v>
      </c>
      <c r="M13">
        <f t="shared" si="1"/>
        <v>0.28169</v>
      </c>
      <c r="N13">
        <f t="shared" si="2"/>
        <v>0.12154999999999999</v>
      </c>
    </row>
    <row r="14" spans="1:14" x14ac:dyDescent="0.25">
      <c r="A14" t="s">
        <v>181</v>
      </c>
      <c r="B14" t="s">
        <v>166</v>
      </c>
      <c r="C14">
        <v>0.05</v>
      </c>
      <c r="D14">
        <v>0.34417999999999999</v>
      </c>
      <c r="E14">
        <v>7.4129E-3</v>
      </c>
      <c r="F14">
        <v>0.12283999999999999</v>
      </c>
      <c r="G14">
        <v>5.2512000000000001E-3</v>
      </c>
      <c r="H14">
        <v>1</v>
      </c>
      <c r="I14" t="s">
        <v>179</v>
      </c>
      <c r="L14" t="str">
        <f t="shared" si="0"/>
        <v>in lb</v>
      </c>
      <c r="M14">
        <f t="shared" si="1"/>
        <v>0.34417999999999999</v>
      </c>
      <c r="N14">
        <f t="shared" si="2"/>
        <v>0.12283999999999999</v>
      </c>
    </row>
    <row r="15" spans="1:14" x14ac:dyDescent="0.25">
      <c r="A15" t="s">
        <v>182</v>
      </c>
      <c r="B15" t="s">
        <v>166</v>
      </c>
      <c r="C15">
        <v>0.1</v>
      </c>
      <c r="D15">
        <v>0.47503000000000001</v>
      </c>
      <c r="E15">
        <v>9.0268999999999992E-3</v>
      </c>
      <c r="F15">
        <v>0.12794</v>
      </c>
      <c r="G15">
        <v>5.2147000000000001E-3</v>
      </c>
      <c r="H15">
        <v>1</v>
      </c>
      <c r="I15" t="s">
        <v>179</v>
      </c>
      <c r="L15" t="str">
        <f t="shared" si="0"/>
        <v>in lb</v>
      </c>
      <c r="M15">
        <f t="shared" si="1"/>
        <v>0.47503000000000001</v>
      </c>
      <c r="N15">
        <f t="shared" si="2"/>
        <v>0.12794</v>
      </c>
    </row>
    <row r="16" spans="1:14" x14ac:dyDescent="0.25">
      <c r="A16" t="s">
        <v>183</v>
      </c>
      <c r="B16" t="s">
        <v>166</v>
      </c>
      <c r="C16">
        <v>0.25</v>
      </c>
      <c r="D16">
        <v>0.57025999999999999</v>
      </c>
      <c r="E16">
        <v>1.0031E-2</v>
      </c>
      <c r="F16">
        <v>0.16121000000000002</v>
      </c>
      <c r="G16">
        <v>4.9938999999999999E-3</v>
      </c>
      <c r="H16">
        <v>1</v>
      </c>
      <c r="I16" t="s">
        <v>179</v>
      </c>
      <c r="L16" t="str">
        <f t="shared" si="0"/>
        <v>in lb</v>
      </c>
      <c r="M16">
        <f t="shared" si="1"/>
        <v>0.57025999999999999</v>
      </c>
      <c r="N16">
        <f t="shared" si="2"/>
        <v>0.16121000000000002</v>
      </c>
    </row>
    <row r="17" spans="1:14" x14ac:dyDescent="0.25">
      <c r="A17" t="s">
        <v>184</v>
      </c>
      <c r="B17" t="s">
        <v>166</v>
      </c>
      <c r="C17">
        <v>0.5</v>
      </c>
      <c r="D17">
        <v>0.99829999999999997</v>
      </c>
      <c r="E17">
        <v>1.1736E-2</v>
      </c>
      <c r="F17">
        <v>0.26436999999999999</v>
      </c>
      <c r="G17">
        <v>4.4640000000000001E-3</v>
      </c>
      <c r="H17">
        <v>1</v>
      </c>
      <c r="I17" t="s">
        <v>179</v>
      </c>
      <c r="L17" t="str">
        <f t="shared" si="0"/>
        <v>in lb</v>
      </c>
      <c r="M17">
        <f t="shared" si="1"/>
        <v>0.99829999999999997</v>
      </c>
      <c r="N17">
        <f t="shared" si="2"/>
        <v>0.26436999999999999</v>
      </c>
    </row>
    <row r="18" spans="1:14" x14ac:dyDescent="0.25">
      <c r="A18" t="s">
        <v>185</v>
      </c>
      <c r="B18" t="s">
        <v>166</v>
      </c>
      <c r="C18">
        <v>0.01</v>
      </c>
      <c r="D18">
        <v>1.7000000000000001E-2</v>
      </c>
      <c r="E18">
        <v>6.7999999999999996E-3</v>
      </c>
      <c r="F18">
        <v>9.6436000000000004E-3</v>
      </c>
      <c r="G18">
        <v>5.0375000000000003E-3</v>
      </c>
      <c r="H18">
        <v>1</v>
      </c>
      <c r="I18" t="s">
        <v>179</v>
      </c>
      <c r="L18" t="str">
        <f t="shared" si="0"/>
        <v>in lb</v>
      </c>
      <c r="M18">
        <f t="shared" si="1"/>
        <v>1.7000000000000001E-2</v>
      </c>
      <c r="N18">
        <f t="shared" si="2"/>
        <v>9.6436000000000004E-3</v>
      </c>
    </row>
    <row r="19" spans="1:14" x14ac:dyDescent="0.25">
      <c r="A19" t="s">
        <v>186</v>
      </c>
      <c r="B19" t="s">
        <v>166</v>
      </c>
      <c r="C19">
        <v>2.5000000000000001E-2</v>
      </c>
      <c r="D19">
        <v>2.2522E-2</v>
      </c>
      <c r="E19">
        <v>6.3607000000000004E-3</v>
      </c>
      <c r="F19">
        <v>1.4830999999999999E-2</v>
      </c>
      <c r="G19">
        <v>4.6170999999999999E-3</v>
      </c>
      <c r="H19">
        <v>1</v>
      </c>
      <c r="I19" t="s">
        <v>179</v>
      </c>
      <c r="L19" t="str">
        <f t="shared" si="0"/>
        <v>in lb</v>
      </c>
      <c r="M19">
        <f t="shared" si="1"/>
        <v>2.2522E-2</v>
      </c>
      <c r="N19">
        <f t="shared" si="2"/>
        <v>1.4830999999999999E-2</v>
      </c>
    </row>
    <row r="20" spans="1:14" x14ac:dyDescent="0.25">
      <c r="A20" t="s">
        <v>187</v>
      </c>
      <c r="B20" t="s">
        <v>166</v>
      </c>
      <c r="C20">
        <v>0.05</v>
      </c>
      <c r="D20">
        <v>3.4796000000000001E-2</v>
      </c>
      <c r="E20">
        <v>6.5294999999999997E-3</v>
      </c>
      <c r="F20">
        <v>2.7963999999999999E-2</v>
      </c>
      <c r="G20">
        <v>3.8005999999999999E-3</v>
      </c>
      <c r="H20">
        <v>1</v>
      </c>
      <c r="I20" t="s">
        <v>179</v>
      </c>
      <c r="L20" t="str">
        <f t="shared" si="0"/>
        <v>in lb</v>
      </c>
      <c r="M20">
        <f t="shared" si="1"/>
        <v>3.4796000000000001E-2</v>
      </c>
      <c r="N20">
        <f t="shared" si="2"/>
        <v>2.7963999999999999E-2</v>
      </c>
    </row>
    <row r="21" spans="1:14" x14ac:dyDescent="0.25">
      <c r="A21" t="s">
        <v>188</v>
      </c>
      <c r="B21" t="s">
        <v>166</v>
      </c>
      <c r="C21">
        <v>0.1</v>
      </c>
      <c r="D21">
        <v>6.2755000000000005E-2</v>
      </c>
      <c r="E21">
        <v>7.0432000000000003E-3</v>
      </c>
      <c r="F21">
        <v>5.6821000000000003E-2</v>
      </c>
      <c r="G21">
        <v>2.6094999999999998E-3</v>
      </c>
      <c r="H21">
        <v>1</v>
      </c>
      <c r="I21" t="s">
        <v>179</v>
      </c>
      <c r="L21" t="str">
        <f t="shared" si="0"/>
        <v>in lb</v>
      </c>
      <c r="M21">
        <f t="shared" si="1"/>
        <v>6.2755000000000005E-2</v>
      </c>
      <c r="N21">
        <f t="shared" si="2"/>
        <v>5.6821000000000003E-2</v>
      </c>
    </row>
    <row r="22" spans="1:14" x14ac:dyDescent="0.25">
      <c r="A22" t="s">
        <v>189</v>
      </c>
      <c r="B22" t="s">
        <v>166</v>
      </c>
      <c r="C22">
        <v>0.25</v>
      </c>
      <c r="D22">
        <v>0.14654</v>
      </c>
      <c r="E22">
        <v>5.1763E-3</v>
      </c>
      <c r="F22">
        <v>0.14435000000000001</v>
      </c>
      <c r="G22">
        <v>1.2290999999999999E-3</v>
      </c>
      <c r="H22">
        <v>1</v>
      </c>
      <c r="I22" t="s">
        <v>179</v>
      </c>
      <c r="L22" t="str">
        <f t="shared" si="0"/>
        <v>in lb</v>
      </c>
      <c r="M22">
        <f t="shared" si="1"/>
        <v>0.14654</v>
      </c>
      <c r="N22">
        <f t="shared" si="2"/>
        <v>0.14435000000000001</v>
      </c>
    </row>
    <row r="23" spans="1:14" x14ac:dyDescent="0.25">
      <c r="A23" t="s">
        <v>190</v>
      </c>
      <c r="B23" t="s">
        <v>166</v>
      </c>
      <c r="C23">
        <v>0.5</v>
      </c>
      <c r="D23">
        <v>0.29096</v>
      </c>
      <c r="E23">
        <v>4.1127999999999998E-3</v>
      </c>
      <c r="F23">
        <v>0.28905999999999998</v>
      </c>
      <c r="G23">
        <v>6.3356000000000003E-4</v>
      </c>
      <c r="H23">
        <v>1</v>
      </c>
      <c r="I23" t="s">
        <v>179</v>
      </c>
      <c r="L23" t="str">
        <f t="shared" si="0"/>
        <v>in lb</v>
      </c>
      <c r="M23">
        <f t="shared" si="1"/>
        <v>0.29096</v>
      </c>
      <c r="N23">
        <f t="shared" si="2"/>
        <v>0.28905999999999998</v>
      </c>
    </row>
    <row r="24" spans="1:14" x14ac:dyDescent="0.25">
      <c r="A24" t="s">
        <v>191</v>
      </c>
      <c r="B24" t="s">
        <v>166</v>
      </c>
      <c r="C24">
        <v>0.01</v>
      </c>
      <c r="D24">
        <v>5.1000000000000004E-2</v>
      </c>
      <c r="E24">
        <v>2.7E-2</v>
      </c>
      <c r="F24">
        <v>4.8994000000000003E-2</v>
      </c>
      <c r="G24">
        <v>2.6259999999999999E-2</v>
      </c>
      <c r="H24">
        <v>1</v>
      </c>
      <c r="I24" t="s">
        <v>179</v>
      </c>
      <c r="L24" t="str">
        <f t="shared" si="0"/>
        <v>in lb</v>
      </c>
      <c r="M24">
        <f t="shared" si="1"/>
        <v>5.1000000000000004E-2</v>
      </c>
      <c r="N24">
        <f t="shared" si="2"/>
        <v>4.8994000000000003E-2</v>
      </c>
    </row>
    <row r="25" spans="1:14" x14ac:dyDescent="0.25">
      <c r="A25" t="s">
        <v>192</v>
      </c>
      <c r="B25" t="s">
        <v>166</v>
      </c>
      <c r="C25">
        <v>2.5000000000000001E-2</v>
      </c>
      <c r="D25">
        <v>5.1942000000000002E-2</v>
      </c>
      <c r="E25">
        <v>2.6984999999999999E-2</v>
      </c>
      <c r="F25">
        <v>5.0214000000000002E-2</v>
      </c>
      <c r="G25">
        <v>2.6127999999999998E-2</v>
      </c>
      <c r="H25">
        <v>1</v>
      </c>
      <c r="I25" t="s">
        <v>179</v>
      </c>
      <c r="L25" t="str">
        <f t="shared" si="0"/>
        <v>in lb</v>
      </c>
      <c r="M25">
        <f t="shared" si="1"/>
        <v>5.1942000000000002E-2</v>
      </c>
      <c r="N25">
        <f t="shared" si="2"/>
        <v>5.0214000000000002E-2</v>
      </c>
    </row>
    <row r="26" spans="1:14" x14ac:dyDescent="0.25">
      <c r="A26" t="s">
        <v>193</v>
      </c>
      <c r="B26" t="s">
        <v>166</v>
      </c>
      <c r="C26">
        <v>0.05</v>
      </c>
      <c r="D26">
        <v>5.6881000000000001E-2</v>
      </c>
      <c r="E26">
        <v>2.6998000000000001E-2</v>
      </c>
      <c r="F26">
        <v>5.4384000000000002E-2</v>
      </c>
      <c r="G26">
        <v>2.5686E-2</v>
      </c>
      <c r="H26">
        <v>1</v>
      </c>
      <c r="I26" t="s">
        <v>179</v>
      </c>
      <c r="L26" t="str">
        <f t="shared" si="0"/>
        <v>in lb</v>
      </c>
      <c r="M26">
        <f t="shared" si="1"/>
        <v>5.6881000000000001E-2</v>
      </c>
      <c r="N26">
        <f t="shared" si="2"/>
        <v>5.4384000000000002E-2</v>
      </c>
    </row>
    <row r="27" spans="1:14" x14ac:dyDescent="0.25">
      <c r="A27" t="s">
        <v>194</v>
      </c>
      <c r="B27" t="s">
        <v>166</v>
      </c>
      <c r="C27">
        <v>0.1</v>
      </c>
      <c r="D27">
        <v>7.2952000000000003E-2</v>
      </c>
      <c r="E27">
        <v>2.6747E-2</v>
      </c>
      <c r="F27">
        <v>6.8941000000000002E-2</v>
      </c>
      <c r="G27">
        <v>2.4254000000000001E-2</v>
      </c>
      <c r="H27">
        <v>1</v>
      </c>
      <c r="I27" t="s">
        <v>179</v>
      </c>
      <c r="L27" t="str">
        <f t="shared" si="0"/>
        <v>in lb</v>
      </c>
      <c r="M27">
        <f t="shared" si="1"/>
        <v>7.2952000000000003E-2</v>
      </c>
      <c r="N27">
        <f t="shared" si="2"/>
        <v>6.8941000000000002E-2</v>
      </c>
    </row>
    <row r="28" spans="1:14" x14ac:dyDescent="0.25">
      <c r="A28" t="s">
        <v>195</v>
      </c>
      <c r="B28" t="s">
        <v>166</v>
      </c>
      <c r="C28">
        <v>0.25</v>
      </c>
      <c r="D28">
        <v>0.14007</v>
      </c>
      <c r="E28">
        <v>2.2366E-2</v>
      </c>
      <c r="F28">
        <v>0.13742000000000001</v>
      </c>
      <c r="G28">
        <v>1.9147000000000001E-2</v>
      </c>
      <c r="H28">
        <v>1</v>
      </c>
      <c r="I28" t="s">
        <v>179</v>
      </c>
      <c r="L28" t="str">
        <f t="shared" si="0"/>
        <v>in lb</v>
      </c>
      <c r="M28">
        <f t="shared" si="1"/>
        <v>0.14007</v>
      </c>
      <c r="N28">
        <f t="shared" si="2"/>
        <v>0.13742000000000001</v>
      </c>
    </row>
    <row r="29" spans="1:14" x14ac:dyDescent="0.25">
      <c r="A29" t="s">
        <v>196</v>
      </c>
      <c r="B29" t="s">
        <v>166</v>
      </c>
      <c r="C29">
        <v>0.5</v>
      </c>
      <c r="D29">
        <v>0.28006999999999999</v>
      </c>
      <c r="E29">
        <v>1.7089E-2</v>
      </c>
      <c r="F29">
        <v>0.27667000000000003</v>
      </c>
      <c r="G29">
        <v>1.3088000000000001E-2</v>
      </c>
      <c r="H29">
        <v>1</v>
      </c>
      <c r="I29" t="s">
        <v>179</v>
      </c>
      <c r="L29" t="str">
        <f t="shared" si="0"/>
        <v>in lb</v>
      </c>
      <c r="M29">
        <f t="shared" si="1"/>
        <v>0.28006999999999999</v>
      </c>
      <c r="N29">
        <f t="shared" si="2"/>
        <v>0.27667000000000003</v>
      </c>
    </row>
    <row r="30" spans="1:14" x14ac:dyDescent="0.25">
      <c r="A30" t="s">
        <v>197</v>
      </c>
      <c r="B30" t="s">
        <v>166</v>
      </c>
      <c r="C30">
        <v>0.01</v>
      </c>
      <c r="D30">
        <v>-1.9E-3</v>
      </c>
      <c r="E30">
        <v>6.1999999999999998E-3</v>
      </c>
      <c r="F30">
        <v>-4.8126000000000002E-3</v>
      </c>
      <c r="G30">
        <v>6.3061999999999997E-3</v>
      </c>
      <c r="H30">
        <v>1</v>
      </c>
      <c r="I30" t="s">
        <v>179</v>
      </c>
      <c r="L30" t="str">
        <f t="shared" si="0"/>
        <v>in lb</v>
      </c>
      <c r="M30">
        <f t="shared" si="1"/>
        <v>-1.9E-3</v>
      </c>
      <c r="N30">
        <f t="shared" si="2"/>
        <v>-4.8126000000000002E-3</v>
      </c>
    </row>
    <row r="31" spans="1:14" x14ac:dyDescent="0.25">
      <c r="A31" t="s">
        <v>198</v>
      </c>
      <c r="B31" t="s">
        <v>166</v>
      </c>
      <c r="C31">
        <v>2.5000000000000001E-2</v>
      </c>
      <c r="D31">
        <v>-1.3015000000000001E-3</v>
      </c>
      <c r="E31">
        <v>6.2256000000000004E-3</v>
      </c>
      <c r="F31">
        <v>-2.3488999999999997E-3</v>
      </c>
      <c r="G31">
        <v>6.2192999999999997E-3</v>
      </c>
      <c r="H31">
        <v>1</v>
      </c>
      <c r="I31" t="s">
        <v>179</v>
      </c>
      <c r="L31" t="str">
        <f t="shared" si="0"/>
        <v>in lb</v>
      </c>
      <c r="M31">
        <f t="shared" si="1"/>
        <v>-1.3015000000000001E-3</v>
      </c>
      <c r="N31">
        <f t="shared" si="2"/>
        <v>-2.3488999999999997E-3</v>
      </c>
    </row>
    <row r="32" spans="1:14" x14ac:dyDescent="0.25">
      <c r="A32" t="s">
        <v>199</v>
      </c>
      <c r="B32" t="s">
        <v>166</v>
      </c>
      <c r="C32">
        <v>0.05</v>
      </c>
      <c r="D32">
        <v>5.2563000000000002E-3</v>
      </c>
      <c r="E32">
        <v>6.0547999999999999E-3</v>
      </c>
      <c r="F32">
        <v>4.6426000000000002E-3</v>
      </c>
      <c r="G32">
        <v>5.9975999999999996E-3</v>
      </c>
      <c r="H32">
        <v>1</v>
      </c>
      <c r="I32" t="s">
        <v>179</v>
      </c>
      <c r="L32" t="str">
        <f t="shared" si="0"/>
        <v>in lb</v>
      </c>
      <c r="M32">
        <f t="shared" si="1"/>
        <v>5.2563000000000002E-3</v>
      </c>
      <c r="N32">
        <f t="shared" si="2"/>
        <v>4.6426000000000002E-3</v>
      </c>
    </row>
    <row r="33" spans="1:14" x14ac:dyDescent="0.25">
      <c r="A33" t="s">
        <v>200</v>
      </c>
      <c r="B33" t="s">
        <v>166</v>
      </c>
      <c r="C33">
        <v>0.1</v>
      </c>
      <c r="D33">
        <v>3.3420999999999999E-2</v>
      </c>
      <c r="E33">
        <v>5.6188999999999996E-3</v>
      </c>
      <c r="F33">
        <v>3.3239999999999999E-2</v>
      </c>
      <c r="G33">
        <v>5.4982E-3</v>
      </c>
      <c r="H33">
        <v>1</v>
      </c>
      <c r="I33" t="s">
        <v>179</v>
      </c>
      <c r="L33" t="str">
        <f t="shared" si="0"/>
        <v>in lb</v>
      </c>
      <c r="M33">
        <f t="shared" si="1"/>
        <v>3.3420999999999999E-2</v>
      </c>
      <c r="N33">
        <f t="shared" si="2"/>
        <v>3.3239999999999999E-2</v>
      </c>
    </row>
    <row r="34" spans="1:14" x14ac:dyDescent="0.25">
      <c r="A34" t="s">
        <v>201</v>
      </c>
      <c r="B34" t="s">
        <v>166</v>
      </c>
      <c r="C34">
        <v>0.25</v>
      </c>
      <c r="D34">
        <v>0.12469999999999999</v>
      </c>
      <c r="E34">
        <v>4.3728999999999999E-3</v>
      </c>
      <c r="F34">
        <v>0.12507000000000001</v>
      </c>
      <c r="G34">
        <v>4.2104000000000004E-3</v>
      </c>
      <c r="H34">
        <v>1</v>
      </c>
      <c r="I34" t="s">
        <v>179</v>
      </c>
      <c r="L34" t="str">
        <f t="shared" si="0"/>
        <v>in lb</v>
      </c>
      <c r="M34">
        <f t="shared" si="1"/>
        <v>0.12469999999999999</v>
      </c>
      <c r="N34">
        <f t="shared" si="2"/>
        <v>0.12507000000000001</v>
      </c>
    </row>
    <row r="35" spans="1:14" x14ac:dyDescent="0.25">
      <c r="A35" t="s">
        <v>202</v>
      </c>
      <c r="B35" t="s">
        <v>166</v>
      </c>
      <c r="C35">
        <v>0.5</v>
      </c>
      <c r="D35">
        <v>0.27560000000000001</v>
      </c>
      <c r="E35">
        <v>3.0617000000000001E-3</v>
      </c>
      <c r="F35">
        <v>0.26951000000000003</v>
      </c>
      <c r="G35">
        <v>2.8576999999999999E-3</v>
      </c>
      <c r="H35">
        <v>1</v>
      </c>
      <c r="I35" t="s">
        <v>179</v>
      </c>
      <c r="L35" t="str">
        <f t="shared" si="0"/>
        <v>in lb</v>
      </c>
      <c r="M35">
        <f t="shared" si="1"/>
        <v>0.27560000000000001</v>
      </c>
      <c r="N35">
        <f t="shared" si="2"/>
        <v>0.26951000000000003</v>
      </c>
    </row>
    <row r="36" spans="1:14" x14ac:dyDescent="0.25">
      <c r="A36" t="s">
        <v>203</v>
      </c>
      <c r="B36" t="s">
        <v>166</v>
      </c>
      <c r="C36">
        <v>0.01</v>
      </c>
      <c r="D36">
        <v>0.25</v>
      </c>
      <c r="E36">
        <v>8.3000000000000001E-3</v>
      </c>
      <c r="F36">
        <v>0.24271999999999999</v>
      </c>
      <c r="G36">
        <v>8.2214999999999996E-3</v>
      </c>
      <c r="H36">
        <v>1</v>
      </c>
      <c r="I36" t="s">
        <v>179</v>
      </c>
      <c r="L36" t="str">
        <f t="shared" si="0"/>
        <v>in lb</v>
      </c>
      <c r="M36">
        <f t="shared" si="1"/>
        <v>0.25</v>
      </c>
      <c r="N36">
        <f t="shared" si="2"/>
        <v>0.24271999999999999</v>
      </c>
    </row>
    <row r="37" spans="1:14" x14ac:dyDescent="0.25">
      <c r="A37" t="s">
        <v>204</v>
      </c>
      <c r="B37" t="s">
        <v>166</v>
      </c>
      <c r="C37">
        <v>2.5000000000000001E-2</v>
      </c>
      <c r="D37">
        <v>0.25</v>
      </c>
      <c r="E37">
        <v>8.2643999999999999E-3</v>
      </c>
      <c r="F37">
        <v>0.24298</v>
      </c>
      <c r="G37">
        <v>8.2197999999999993E-3</v>
      </c>
      <c r="H37">
        <v>1</v>
      </c>
      <c r="I37" t="s">
        <v>179</v>
      </c>
      <c r="L37" t="str">
        <f t="shared" si="0"/>
        <v>in lb</v>
      </c>
      <c r="M37">
        <f t="shared" si="1"/>
        <v>0.25</v>
      </c>
      <c r="N37">
        <f t="shared" si="2"/>
        <v>0.24298</v>
      </c>
    </row>
    <row r="38" spans="1:14" x14ac:dyDescent="0.25">
      <c r="A38" t="s">
        <v>205</v>
      </c>
      <c r="B38" t="s">
        <v>166</v>
      </c>
      <c r="C38">
        <v>0.05</v>
      </c>
      <c r="D38">
        <v>0.25169000000000002</v>
      </c>
      <c r="E38">
        <v>8.2822E-3</v>
      </c>
      <c r="F38">
        <v>0.24386000000000002</v>
      </c>
      <c r="G38">
        <v>8.2138000000000003E-3</v>
      </c>
      <c r="H38">
        <v>1</v>
      </c>
      <c r="I38" t="s">
        <v>179</v>
      </c>
      <c r="L38" t="str">
        <f t="shared" si="0"/>
        <v>in lb</v>
      </c>
      <c r="M38">
        <f t="shared" si="1"/>
        <v>0.25169000000000002</v>
      </c>
      <c r="N38">
        <f t="shared" si="2"/>
        <v>0.24386000000000002</v>
      </c>
    </row>
    <row r="39" spans="1:14" x14ac:dyDescent="0.25">
      <c r="A39" t="s">
        <v>206</v>
      </c>
      <c r="B39" t="s">
        <v>166</v>
      </c>
      <c r="C39">
        <v>0.1</v>
      </c>
      <c r="D39">
        <v>0.26207000000000003</v>
      </c>
      <c r="E39">
        <v>8.3222999999999995E-3</v>
      </c>
      <c r="F39">
        <v>0.24738000000000002</v>
      </c>
      <c r="G39">
        <v>8.1899E-3</v>
      </c>
      <c r="H39">
        <v>1</v>
      </c>
      <c r="I39" t="s">
        <v>179</v>
      </c>
      <c r="L39" t="str">
        <f t="shared" si="0"/>
        <v>in lb</v>
      </c>
      <c r="M39">
        <f t="shared" si="1"/>
        <v>0.26207000000000003</v>
      </c>
      <c r="N39">
        <f t="shared" si="2"/>
        <v>0.24738000000000002</v>
      </c>
    </row>
    <row r="40" spans="1:14" x14ac:dyDescent="0.25">
      <c r="A40" t="s">
        <v>207</v>
      </c>
      <c r="B40" t="s">
        <v>166</v>
      </c>
      <c r="C40">
        <v>0.25</v>
      </c>
      <c r="D40">
        <v>0.28947000000000001</v>
      </c>
      <c r="E40">
        <v>8.2237000000000005E-3</v>
      </c>
      <c r="F40">
        <v>0.27087</v>
      </c>
      <c r="G40">
        <v>8.0338000000000007E-3</v>
      </c>
      <c r="H40">
        <v>1</v>
      </c>
      <c r="I40" t="s">
        <v>179</v>
      </c>
      <c r="L40" t="str">
        <f t="shared" si="0"/>
        <v>in lb</v>
      </c>
      <c r="M40">
        <f t="shared" si="1"/>
        <v>0.28947000000000001</v>
      </c>
      <c r="N40">
        <f t="shared" si="2"/>
        <v>0.27087</v>
      </c>
    </row>
    <row r="41" spans="1:14" x14ac:dyDescent="0.25">
      <c r="A41" t="s">
        <v>208</v>
      </c>
      <c r="B41" t="s">
        <v>166</v>
      </c>
      <c r="C41">
        <v>0.5</v>
      </c>
      <c r="D41">
        <v>0.33695000000000003</v>
      </c>
      <c r="E41">
        <v>7.9048999999999994E-3</v>
      </c>
      <c r="F41">
        <v>0.30071000000000003</v>
      </c>
      <c r="G41">
        <v>7.5845000000000001E-3</v>
      </c>
      <c r="H41">
        <v>1</v>
      </c>
      <c r="I41" t="s">
        <v>179</v>
      </c>
      <c r="L41" t="str">
        <f t="shared" si="0"/>
        <v>in lb</v>
      </c>
      <c r="M41">
        <f t="shared" si="1"/>
        <v>0.33695000000000003</v>
      </c>
      <c r="N41">
        <f t="shared" si="2"/>
        <v>0.30071000000000003</v>
      </c>
    </row>
    <row r="42" spans="1:14" x14ac:dyDescent="0.25">
      <c r="A42" t="s">
        <v>209</v>
      </c>
      <c r="B42" t="s">
        <v>166</v>
      </c>
      <c r="C42">
        <v>0.01</v>
      </c>
      <c r="D42">
        <v>0</v>
      </c>
      <c r="E42">
        <v>5.0000000000000001E-3</v>
      </c>
      <c r="F42">
        <v>2.8160000000000001E-4</v>
      </c>
      <c r="G42">
        <v>3.4085999999999999E-3</v>
      </c>
      <c r="H42">
        <v>1</v>
      </c>
      <c r="I42" t="s">
        <v>179</v>
      </c>
      <c r="L42" t="str">
        <f t="shared" si="0"/>
        <v>in lb</v>
      </c>
      <c r="M42">
        <f t="shared" si="1"/>
        <v>0</v>
      </c>
      <c r="N42">
        <f t="shared" si="2"/>
        <v>2.8160000000000001E-4</v>
      </c>
    </row>
    <row r="43" spans="1:14" x14ac:dyDescent="0.25">
      <c r="A43" t="s">
        <v>210</v>
      </c>
      <c r="B43" t="s">
        <v>166</v>
      </c>
      <c r="C43">
        <v>2.5000000000000001E-2</v>
      </c>
      <c r="D43">
        <v>0</v>
      </c>
      <c r="E43">
        <v>5.0000000000000001E-3</v>
      </c>
      <c r="F43">
        <v>9.8635999999999993E-4</v>
      </c>
      <c r="G43">
        <v>3.4069999999999999E-3</v>
      </c>
      <c r="H43">
        <v>1</v>
      </c>
      <c r="I43" t="s">
        <v>179</v>
      </c>
      <c r="L43" t="str">
        <f t="shared" si="0"/>
        <v>in lb</v>
      </c>
      <c r="M43">
        <f t="shared" si="1"/>
        <v>0</v>
      </c>
      <c r="N43">
        <f t="shared" si="2"/>
        <v>9.8635999999999993E-4</v>
      </c>
    </row>
    <row r="44" spans="1:14" x14ac:dyDescent="0.25">
      <c r="A44" t="s">
        <v>211</v>
      </c>
      <c r="B44" t="s">
        <v>166</v>
      </c>
      <c r="C44">
        <v>0.05</v>
      </c>
      <c r="D44">
        <v>0</v>
      </c>
      <c r="E44">
        <v>5.0000000000000001E-3</v>
      </c>
      <c r="F44">
        <v>3.4976E-3</v>
      </c>
      <c r="G44">
        <v>3.4012999999999999E-3</v>
      </c>
      <c r="H44">
        <v>1</v>
      </c>
      <c r="I44" t="s">
        <v>179</v>
      </c>
      <c r="L44" t="str">
        <f t="shared" si="0"/>
        <v>in lb</v>
      </c>
      <c r="M44">
        <f t="shared" si="1"/>
        <v>0</v>
      </c>
      <c r="N44">
        <f t="shared" si="2"/>
        <v>3.4976E-3</v>
      </c>
    </row>
    <row r="45" spans="1:14" x14ac:dyDescent="0.25">
      <c r="A45" t="s">
        <v>212</v>
      </c>
      <c r="B45" t="s">
        <v>166</v>
      </c>
      <c r="C45">
        <v>0.1</v>
      </c>
      <c r="D45">
        <v>0</v>
      </c>
      <c r="E45">
        <v>5.0000000000000001E-3</v>
      </c>
      <c r="F45">
        <v>1.3142999999999998E-2</v>
      </c>
      <c r="G45">
        <v>3.3795000000000001E-3</v>
      </c>
      <c r="H45">
        <v>1</v>
      </c>
      <c r="I45" t="s">
        <v>179</v>
      </c>
      <c r="L45" t="str">
        <f t="shared" si="0"/>
        <v>in lb</v>
      </c>
      <c r="M45">
        <f t="shared" si="1"/>
        <v>0</v>
      </c>
      <c r="N45">
        <f t="shared" si="2"/>
        <v>1.3142999999999998E-2</v>
      </c>
    </row>
    <row r="46" spans="1:14" x14ac:dyDescent="0.25">
      <c r="A46" t="s">
        <v>213</v>
      </c>
      <c r="B46" t="s">
        <v>166</v>
      </c>
      <c r="C46">
        <v>0.25</v>
      </c>
      <c r="D46">
        <v>1.3276E-2</v>
      </c>
      <c r="E46">
        <v>4.9668000000000004E-3</v>
      </c>
      <c r="F46">
        <v>6.8884000000000001E-2</v>
      </c>
      <c r="G46">
        <v>3.2563000000000002E-3</v>
      </c>
      <c r="H46">
        <v>1</v>
      </c>
      <c r="I46" t="s">
        <v>179</v>
      </c>
      <c r="L46" t="str">
        <f t="shared" si="0"/>
        <v>in lb</v>
      </c>
      <c r="M46">
        <f t="shared" si="1"/>
        <v>1.3276E-2</v>
      </c>
      <c r="N46">
        <f t="shared" si="2"/>
        <v>6.8884000000000001E-2</v>
      </c>
    </row>
    <row r="47" spans="1:14" x14ac:dyDescent="0.25">
      <c r="A47" t="s">
        <v>214</v>
      </c>
      <c r="B47" t="s">
        <v>166</v>
      </c>
      <c r="C47">
        <v>0.5</v>
      </c>
      <c r="D47">
        <v>0.14764000000000002</v>
      </c>
      <c r="E47">
        <v>4.6309000000000003E-3</v>
      </c>
      <c r="F47">
        <v>0.19027000000000002</v>
      </c>
      <c r="G47">
        <v>2.9824999999999999E-3</v>
      </c>
      <c r="H47">
        <v>1</v>
      </c>
      <c r="I47" t="s">
        <v>179</v>
      </c>
      <c r="L47" t="str">
        <f t="shared" si="0"/>
        <v>in lb</v>
      </c>
      <c r="M47">
        <f t="shared" si="1"/>
        <v>0.14764000000000002</v>
      </c>
      <c r="N47">
        <f t="shared" si="2"/>
        <v>0.19027000000000002</v>
      </c>
    </row>
    <row r="48" spans="1:14" x14ac:dyDescent="0.25">
      <c r="A48" t="s">
        <v>215</v>
      </c>
      <c r="B48" t="s">
        <v>166</v>
      </c>
      <c r="C48">
        <v>1</v>
      </c>
      <c r="D48">
        <v>0.45411000000000001</v>
      </c>
      <c r="E48">
        <v>3.8647E-3</v>
      </c>
      <c r="F48">
        <v>0.46559</v>
      </c>
      <c r="G48">
        <v>2.6243E-3</v>
      </c>
      <c r="H48">
        <v>1</v>
      </c>
      <c r="I48" t="s">
        <v>179</v>
      </c>
      <c r="L48" t="str">
        <f t="shared" si="0"/>
        <v>in lb</v>
      </c>
      <c r="M48">
        <f t="shared" si="1"/>
        <v>0.45411000000000001</v>
      </c>
      <c r="N48">
        <f t="shared" si="2"/>
        <v>0.46559</v>
      </c>
    </row>
    <row r="49" spans="1:14" x14ac:dyDescent="0.25">
      <c r="A49" t="s">
        <v>216</v>
      </c>
      <c r="B49" t="s">
        <v>166</v>
      </c>
      <c r="C49">
        <v>0.01</v>
      </c>
      <c r="D49">
        <v>0</v>
      </c>
      <c r="E49">
        <v>5.0000000000000001E-3</v>
      </c>
      <c r="F49">
        <v>2.5842999999999998E-4</v>
      </c>
      <c r="G49">
        <v>3.4099E-3</v>
      </c>
      <c r="H49">
        <v>1</v>
      </c>
      <c r="I49" t="s">
        <v>179</v>
      </c>
      <c r="L49" t="str">
        <f t="shared" si="0"/>
        <v>in lb</v>
      </c>
      <c r="M49">
        <f t="shared" si="1"/>
        <v>0</v>
      </c>
      <c r="N49">
        <f t="shared" si="2"/>
        <v>2.5842999999999998E-4</v>
      </c>
    </row>
    <row r="50" spans="1:14" x14ac:dyDescent="0.25">
      <c r="A50" t="s">
        <v>217</v>
      </c>
      <c r="B50" t="s">
        <v>166</v>
      </c>
      <c r="C50">
        <v>2.5000000000000001E-2</v>
      </c>
      <c r="D50">
        <v>0</v>
      </c>
      <c r="E50">
        <v>5.0000000000000001E-3</v>
      </c>
      <c r="F50">
        <v>4.3543E-4</v>
      </c>
      <c r="G50">
        <v>3.4096999999999999E-3</v>
      </c>
      <c r="H50">
        <v>1</v>
      </c>
      <c r="I50" t="s">
        <v>179</v>
      </c>
      <c r="L50" t="str">
        <f t="shared" si="0"/>
        <v>in lb</v>
      </c>
      <c r="M50">
        <f t="shared" si="1"/>
        <v>0</v>
      </c>
      <c r="N50">
        <f t="shared" si="2"/>
        <v>4.3543E-4</v>
      </c>
    </row>
    <row r="51" spans="1:14" x14ac:dyDescent="0.25">
      <c r="A51" t="s">
        <v>218</v>
      </c>
      <c r="B51" t="s">
        <v>166</v>
      </c>
      <c r="C51">
        <v>0.05</v>
      </c>
      <c r="D51">
        <v>0</v>
      </c>
      <c r="E51">
        <v>5.0000000000000001E-3</v>
      </c>
      <c r="F51">
        <v>1.3751E-3</v>
      </c>
      <c r="G51">
        <v>3.4087000000000002E-3</v>
      </c>
      <c r="H51">
        <v>1</v>
      </c>
      <c r="I51" t="s">
        <v>179</v>
      </c>
      <c r="L51" t="str">
        <f t="shared" si="0"/>
        <v>in lb</v>
      </c>
      <c r="M51">
        <f t="shared" si="1"/>
        <v>0</v>
      </c>
      <c r="N51">
        <f t="shared" si="2"/>
        <v>1.3751E-3</v>
      </c>
    </row>
    <row r="52" spans="1:14" x14ac:dyDescent="0.25">
      <c r="A52" t="s">
        <v>219</v>
      </c>
      <c r="B52" t="s">
        <v>166</v>
      </c>
      <c r="C52">
        <v>0.1</v>
      </c>
      <c r="D52">
        <v>0</v>
      </c>
      <c r="E52">
        <v>5.0000000000000001E-3</v>
      </c>
      <c r="F52">
        <v>5.3613000000000003E-3</v>
      </c>
      <c r="G52">
        <v>3.4050999999999999E-3</v>
      </c>
      <c r="H52">
        <v>1</v>
      </c>
      <c r="I52" t="s">
        <v>179</v>
      </c>
      <c r="L52" t="str">
        <f t="shared" si="0"/>
        <v>in lb</v>
      </c>
      <c r="M52">
        <f t="shared" si="1"/>
        <v>0</v>
      </c>
      <c r="N52">
        <f t="shared" si="2"/>
        <v>5.3613000000000003E-3</v>
      </c>
    </row>
    <row r="53" spans="1:14" x14ac:dyDescent="0.25">
      <c r="A53" t="s">
        <v>220</v>
      </c>
      <c r="B53" t="s">
        <v>166</v>
      </c>
      <c r="C53">
        <v>0.25</v>
      </c>
      <c r="D53">
        <v>0</v>
      </c>
      <c r="E53">
        <v>5.0000000000000001E-3</v>
      </c>
      <c r="F53">
        <v>3.2464E-2</v>
      </c>
      <c r="G53">
        <v>3.3806000000000001E-3</v>
      </c>
      <c r="H53">
        <v>1</v>
      </c>
      <c r="I53" t="s">
        <v>179</v>
      </c>
      <c r="L53" t="str">
        <f t="shared" si="0"/>
        <v>in lb</v>
      </c>
      <c r="M53">
        <f t="shared" si="1"/>
        <v>0</v>
      </c>
      <c r="N53">
        <f t="shared" si="2"/>
        <v>3.2464E-2</v>
      </c>
    </row>
    <row r="54" spans="1:14" x14ac:dyDescent="0.25">
      <c r="A54" t="s">
        <v>221</v>
      </c>
      <c r="B54" t="s">
        <v>166</v>
      </c>
      <c r="C54">
        <v>0.5</v>
      </c>
      <c r="D54">
        <v>4.8696000000000003E-2</v>
      </c>
      <c r="E54">
        <v>4.9512999999999996E-3</v>
      </c>
      <c r="F54">
        <v>0.10955999999999999</v>
      </c>
      <c r="G54">
        <v>3.3051999999999999E-3</v>
      </c>
      <c r="H54">
        <v>1</v>
      </c>
      <c r="I54" t="s">
        <v>179</v>
      </c>
      <c r="L54" t="str">
        <f t="shared" si="0"/>
        <v>in lb</v>
      </c>
      <c r="M54">
        <f t="shared" si="1"/>
        <v>4.8696000000000003E-2</v>
      </c>
      <c r="N54">
        <f t="shared" si="2"/>
        <v>0.10955999999999999</v>
      </c>
    </row>
    <row r="55" spans="1:14" x14ac:dyDescent="0.25">
      <c r="A55" t="s">
        <v>222</v>
      </c>
      <c r="B55" t="s">
        <v>166</v>
      </c>
      <c r="C55">
        <v>1</v>
      </c>
      <c r="D55">
        <v>0.50409999999999999</v>
      </c>
      <c r="E55">
        <v>5.2299E-3</v>
      </c>
      <c r="F55">
        <v>2.1235000000000004</v>
      </c>
      <c r="G55">
        <v>5.3680999999999998E-3</v>
      </c>
      <c r="H55">
        <v>1</v>
      </c>
      <c r="I55" t="s">
        <v>179</v>
      </c>
      <c r="L55" t="str">
        <f t="shared" si="0"/>
        <v>in lb</v>
      </c>
      <c r="M55">
        <f t="shared" si="1"/>
        <v>0.50409999999999999</v>
      </c>
      <c r="N55">
        <f t="shared" si="2"/>
        <v>2.1235000000000004</v>
      </c>
    </row>
    <row r="56" spans="1:14" x14ac:dyDescent="0.25">
      <c r="A56" t="s">
        <v>223</v>
      </c>
      <c r="B56" t="s">
        <v>166</v>
      </c>
      <c r="C56">
        <v>0.01</v>
      </c>
      <c r="D56">
        <v>0</v>
      </c>
      <c r="E56">
        <v>5.0000000000000001E-3</v>
      </c>
      <c r="F56">
        <v>9.0189000000000005E-2</v>
      </c>
      <c r="G56">
        <v>3.4099999999999998E-3</v>
      </c>
      <c r="H56">
        <v>1</v>
      </c>
      <c r="I56" t="s">
        <v>179</v>
      </c>
      <c r="L56" t="str">
        <f t="shared" si="0"/>
        <v>in lb</v>
      </c>
      <c r="M56">
        <f t="shared" si="1"/>
        <v>0</v>
      </c>
      <c r="N56">
        <f t="shared" si="2"/>
        <v>9.0189000000000005E-2</v>
      </c>
    </row>
    <row r="57" spans="1:14" x14ac:dyDescent="0.25">
      <c r="A57" t="s">
        <v>224</v>
      </c>
      <c r="B57" t="s">
        <v>166</v>
      </c>
      <c r="C57">
        <v>2.5000000000000001E-2</v>
      </c>
      <c r="D57">
        <v>9.7398999999999999E-2</v>
      </c>
      <c r="E57">
        <v>4.9674999999999997E-3</v>
      </c>
      <c r="F57">
        <v>9.0209999999999999E-2</v>
      </c>
      <c r="G57">
        <v>3.4099999999999998E-3</v>
      </c>
      <c r="H57">
        <v>1</v>
      </c>
      <c r="I57" t="s">
        <v>179</v>
      </c>
      <c r="L57" t="str">
        <f t="shared" si="0"/>
        <v>in lb</v>
      </c>
      <c r="M57">
        <f t="shared" si="1"/>
        <v>9.7398999999999999E-2</v>
      </c>
      <c r="N57">
        <f t="shared" si="2"/>
        <v>9.0209999999999999E-2</v>
      </c>
    </row>
    <row r="58" spans="1:14" x14ac:dyDescent="0.25">
      <c r="A58" t="s">
        <v>225</v>
      </c>
      <c r="B58" t="s">
        <v>166</v>
      </c>
      <c r="C58">
        <v>0.05</v>
      </c>
      <c r="D58">
        <v>0.35302</v>
      </c>
      <c r="E58">
        <v>4.8823E-3</v>
      </c>
      <c r="F58">
        <v>9.0406E-2</v>
      </c>
      <c r="G58">
        <v>3.4099E-3</v>
      </c>
      <c r="H58">
        <v>1</v>
      </c>
      <c r="I58" t="s">
        <v>179</v>
      </c>
      <c r="L58" t="str">
        <f t="shared" si="0"/>
        <v>in lb</v>
      </c>
      <c r="M58">
        <f t="shared" si="1"/>
        <v>0.35302</v>
      </c>
      <c r="N58">
        <f t="shared" si="2"/>
        <v>9.0406E-2</v>
      </c>
    </row>
    <row r="59" spans="1:14" x14ac:dyDescent="0.25">
      <c r="A59" t="s">
        <v>226</v>
      </c>
      <c r="B59" t="s">
        <v>166</v>
      </c>
      <c r="C59">
        <v>0.1</v>
      </c>
      <c r="D59">
        <v>0.9087599999999999</v>
      </c>
      <c r="E59">
        <v>4.6971000000000001E-3</v>
      </c>
      <c r="F59">
        <v>9.1187000000000004E-2</v>
      </c>
      <c r="G59">
        <v>3.4095000000000002E-3</v>
      </c>
      <c r="H59">
        <v>1</v>
      </c>
      <c r="I59" t="s">
        <v>179</v>
      </c>
      <c r="L59" t="str">
        <f t="shared" si="0"/>
        <v>in lb</v>
      </c>
      <c r="M59">
        <f t="shared" si="1"/>
        <v>0.9087599999999999</v>
      </c>
      <c r="N59">
        <f t="shared" si="2"/>
        <v>9.1187000000000004E-2</v>
      </c>
    </row>
    <row r="60" spans="1:14" x14ac:dyDescent="0.25">
      <c r="A60" t="s">
        <v>227</v>
      </c>
      <c r="B60" t="s">
        <v>166</v>
      </c>
      <c r="C60">
        <v>0.25</v>
      </c>
      <c r="D60">
        <v>1.2625</v>
      </c>
      <c r="E60">
        <v>4.5792000000000003E-3</v>
      </c>
      <c r="F60">
        <v>9.6778000000000003E-2</v>
      </c>
      <c r="G60">
        <v>3.4066000000000001E-3</v>
      </c>
      <c r="H60">
        <v>1</v>
      </c>
      <c r="I60" t="s">
        <v>179</v>
      </c>
      <c r="L60" t="str">
        <f t="shared" si="0"/>
        <v>in lb</v>
      </c>
      <c r="M60">
        <f t="shared" si="1"/>
        <v>1.2625</v>
      </c>
      <c r="N60">
        <f t="shared" si="2"/>
        <v>9.6778000000000003E-2</v>
      </c>
    </row>
    <row r="61" spans="1:14" x14ac:dyDescent="0.25">
      <c r="A61" t="s">
        <v>228</v>
      </c>
      <c r="B61" t="s">
        <v>166</v>
      </c>
      <c r="C61">
        <v>0.5</v>
      </c>
      <c r="D61">
        <v>1.8724000000000001</v>
      </c>
      <c r="E61">
        <v>4.3759000000000003E-3</v>
      </c>
      <c r="F61">
        <v>0.10431</v>
      </c>
      <c r="G61">
        <v>3.3966000000000001E-3</v>
      </c>
      <c r="H61">
        <v>1</v>
      </c>
      <c r="I61" t="s">
        <v>179</v>
      </c>
      <c r="L61" t="str">
        <f t="shared" si="0"/>
        <v>in lb</v>
      </c>
      <c r="M61">
        <f t="shared" si="1"/>
        <v>1.8724000000000001</v>
      </c>
      <c r="N61">
        <f t="shared" si="2"/>
        <v>0.10431</v>
      </c>
    </row>
    <row r="62" spans="1:14" x14ac:dyDescent="0.25">
      <c r="A62" t="s">
        <v>229</v>
      </c>
      <c r="B62" t="s">
        <v>166</v>
      </c>
      <c r="C62">
        <v>1</v>
      </c>
      <c r="D62">
        <v>3.0065000000000004</v>
      </c>
      <c r="E62">
        <v>4.3778000000000003E-3</v>
      </c>
      <c r="F62">
        <v>5.9200999999999997</v>
      </c>
      <c r="G62">
        <v>5.5415000000000004E-3</v>
      </c>
      <c r="H62">
        <v>1</v>
      </c>
      <c r="I62" t="s">
        <v>179</v>
      </c>
      <c r="L62" t="str">
        <f t="shared" si="0"/>
        <v>in lb</v>
      </c>
      <c r="M62">
        <f t="shared" si="1"/>
        <v>3.0065000000000004</v>
      </c>
      <c r="N62">
        <f t="shared" si="2"/>
        <v>5.9200999999999997</v>
      </c>
    </row>
    <row r="63" spans="1:14" x14ac:dyDescent="0.25">
      <c r="A63" t="s">
        <v>230</v>
      </c>
      <c r="B63" t="s">
        <v>166</v>
      </c>
      <c r="C63">
        <v>0.01</v>
      </c>
      <c r="D63">
        <v>0</v>
      </c>
      <c r="E63">
        <v>5.0000000000000001E-3</v>
      </c>
      <c r="F63">
        <v>4.5914999999999997E-5</v>
      </c>
      <c r="G63">
        <v>3.4234999999999999E-3</v>
      </c>
      <c r="H63">
        <v>1</v>
      </c>
      <c r="I63" t="s">
        <v>231</v>
      </c>
      <c r="L63" t="str">
        <f t="shared" si="0"/>
        <v>ft lb</v>
      </c>
      <c r="M63">
        <f t="shared" si="1"/>
        <v>0</v>
      </c>
      <c r="N63">
        <f t="shared" si="2"/>
        <v>4.5914999999999997E-5</v>
      </c>
    </row>
    <row r="64" spans="1:14" x14ac:dyDescent="0.25">
      <c r="A64" t="s">
        <v>232</v>
      </c>
      <c r="B64" t="s">
        <v>166</v>
      </c>
      <c r="C64">
        <v>2.5000000000000001E-2</v>
      </c>
      <c r="D64">
        <v>0</v>
      </c>
      <c r="E64">
        <v>5.0000000000000001E-3</v>
      </c>
      <c r="F64">
        <v>1.1741E-3</v>
      </c>
      <c r="G64">
        <v>3.4194E-3</v>
      </c>
      <c r="H64">
        <v>1</v>
      </c>
      <c r="I64" t="s">
        <v>231</v>
      </c>
      <c r="L64" t="str">
        <f t="shared" si="0"/>
        <v>ft lb</v>
      </c>
      <c r="M64">
        <f t="shared" si="1"/>
        <v>0</v>
      </c>
      <c r="N64">
        <f t="shared" si="2"/>
        <v>1.1741E-3</v>
      </c>
    </row>
    <row r="65" spans="1:14" x14ac:dyDescent="0.25">
      <c r="A65" t="s">
        <v>233</v>
      </c>
      <c r="B65" t="s">
        <v>166</v>
      </c>
      <c r="C65">
        <v>0.05</v>
      </c>
      <c r="D65">
        <v>0</v>
      </c>
      <c r="E65">
        <v>5.0000000000000001E-3</v>
      </c>
      <c r="F65">
        <v>5.0925000000000007E-3</v>
      </c>
      <c r="G65">
        <v>3.4052000000000002E-3</v>
      </c>
      <c r="H65">
        <v>1</v>
      </c>
      <c r="I65" t="s">
        <v>231</v>
      </c>
      <c r="L65" t="str">
        <f t="shared" si="0"/>
        <v>ft lb</v>
      </c>
      <c r="M65">
        <f t="shared" si="1"/>
        <v>0</v>
      </c>
      <c r="N65">
        <f t="shared" si="2"/>
        <v>5.0925000000000007E-3</v>
      </c>
    </row>
    <row r="66" spans="1:14" x14ac:dyDescent="0.25">
      <c r="A66" t="s">
        <v>234</v>
      </c>
      <c r="B66" t="s">
        <v>166</v>
      </c>
      <c r="C66">
        <v>0.1</v>
      </c>
      <c r="D66">
        <v>0</v>
      </c>
      <c r="E66">
        <v>5.0000000000000001E-3</v>
      </c>
      <c r="F66">
        <v>1.9415000000000002E-2</v>
      </c>
      <c r="G66">
        <v>3.3538000000000001E-3</v>
      </c>
      <c r="H66">
        <v>1</v>
      </c>
      <c r="I66" t="s">
        <v>231</v>
      </c>
      <c r="L66" t="str">
        <f t="shared" ref="L66:L129" si="3">I66</f>
        <v>ft lb</v>
      </c>
      <c r="M66">
        <f t="shared" ref="M66:M129" si="4">D66</f>
        <v>0</v>
      </c>
      <c r="N66">
        <f t="shared" ref="N66:N129" si="5">F66</f>
        <v>1.9415000000000002E-2</v>
      </c>
    </row>
    <row r="67" spans="1:14" x14ac:dyDescent="0.25">
      <c r="A67" t="s">
        <v>235</v>
      </c>
      <c r="B67" t="s">
        <v>166</v>
      </c>
      <c r="C67">
        <v>0.25</v>
      </c>
      <c r="D67">
        <v>6.7770999999999998E-2</v>
      </c>
      <c r="E67">
        <v>4.7289000000000003E-3</v>
      </c>
      <c r="F67">
        <v>9.0547000000000002E-2</v>
      </c>
      <c r="G67">
        <v>3.1102E-3</v>
      </c>
      <c r="H67">
        <v>1</v>
      </c>
      <c r="I67" t="s">
        <v>231</v>
      </c>
      <c r="L67" t="str">
        <f t="shared" si="3"/>
        <v>ft lb</v>
      </c>
      <c r="M67">
        <f t="shared" si="4"/>
        <v>6.7770999999999998E-2</v>
      </c>
      <c r="N67">
        <f t="shared" si="5"/>
        <v>9.0547000000000002E-2</v>
      </c>
    </row>
    <row r="68" spans="1:14" x14ac:dyDescent="0.25">
      <c r="A68" t="s">
        <v>236</v>
      </c>
      <c r="B68" t="s">
        <v>166</v>
      </c>
      <c r="C68">
        <v>0.5</v>
      </c>
      <c r="D68">
        <v>0.21425000000000002</v>
      </c>
      <c r="E68">
        <v>4.143E-3</v>
      </c>
      <c r="F68">
        <v>0.22457000000000002</v>
      </c>
      <c r="G68">
        <v>2.6727999999999999E-3</v>
      </c>
      <c r="H68">
        <v>1</v>
      </c>
      <c r="I68" t="s">
        <v>231</v>
      </c>
      <c r="L68" t="str">
        <f t="shared" si="3"/>
        <v>ft lb</v>
      </c>
      <c r="M68">
        <f t="shared" si="4"/>
        <v>0.21425000000000002</v>
      </c>
      <c r="N68">
        <f t="shared" si="5"/>
        <v>0.22457000000000002</v>
      </c>
    </row>
    <row r="69" spans="1:14" x14ac:dyDescent="0.25">
      <c r="A69" t="s">
        <v>237</v>
      </c>
      <c r="B69" t="s">
        <v>166</v>
      </c>
      <c r="C69">
        <v>1</v>
      </c>
      <c r="D69">
        <v>0.50576999999999994</v>
      </c>
      <c r="E69">
        <v>3.8400999999999999E-3</v>
      </c>
      <c r="F69">
        <v>0.68823999999999996</v>
      </c>
      <c r="G69">
        <v>3.9090000000000001E-3</v>
      </c>
      <c r="H69">
        <v>1</v>
      </c>
      <c r="I69" t="s">
        <v>231</v>
      </c>
      <c r="L69" t="str">
        <f t="shared" si="3"/>
        <v>ft lb</v>
      </c>
      <c r="M69">
        <f t="shared" si="4"/>
        <v>0.50576999999999994</v>
      </c>
      <c r="N69">
        <f t="shared" si="5"/>
        <v>0.68823999999999996</v>
      </c>
    </row>
    <row r="70" spans="1:14" x14ac:dyDescent="0.25">
      <c r="A70" t="s">
        <v>238</v>
      </c>
      <c r="B70" t="s">
        <v>166</v>
      </c>
      <c r="C70">
        <v>0.01</v>
      </c>
      <c r="D70">
        <v>0.26</v>
      </c>
      <c r="E70">
        <v>5.4000000000000003E-3</v>
      </c>
      <c r="F70">
        <v>0.25396999999999997</v>
      </c>
      <c r="G70">
        <v>5.2620000000000002E-3</v>
      </c>
      <c r="H70">
        <v>1</v>
      </c>
      <c r="I70" t="s">
        <v>231</v>
      </c>
      <c r="L70" t="str">
        <f t="shared" si="3"/>
        <v>ft lb</v>
      </c>
      <c r="M70">
        <f t="shared" si="4"/>
        <v>0.26</v>
      </c>
      <c r="N70">
        <f t="shared" si="5"/>
        <v>0.25396999999999997</v>
      </c>
    </row>
    <row r="71" spans="1:14" x14ac:dyDescent="0.25">
      <c r="A71" t="s">
        <v>239</v>
      </c>
      <c r="B71" t="s">
        <v>166</v>
      </c>
      <c r="C71">
        <v>2.5000000000000001E-2</v>
      </c>
      <c r="D71">
        <v>0.25083</v>
      </c>
      <c r="E71">
        <v>5.3952000000000002E-3</v>
      </c>
      <c r="F71">
        <v>0.25417000000000001</v>
      </c>
      <c r="G71">
        <v>5.2616E-3</v>
      </c>
      <c r="H71">
        <v>1</v>
      </c>
      <c r="I71" t="s">
        <v>231</v>
      </c>
      <c r="L71" t="str">
        <f t="shared" si="3"/>
        <v>ft lb</v>
      </c>
      <c r="M71">
        <f t="shared" si="4"/>
        <v>0.25083</v>
      </c>
      <c r="N71">
        <f t="shared" si="5"/>
        <v>0.25417000000000001</v>
      </c>
    </row>
    <row r="72" spans="1:14" x14ac:dyDescent="0.25">
      <c r="A72" t="s">
        <v>240</v>
      </c>
      <c r="B72" t="s">
        <v>166</v>
      </c>
      <c r="C72">
        <v>0.05</v>
      </c>
      <c r="D72">
        <v>0.24983</v>
      </c>
      <c r="E72">
        <v>5.4637000000000002E-3</v>
      </c>
      <c r="F72">
        <v>0.25491000000000003</v>
      </c>
      <c r="G72">
        <v>5.2601000000000002E-3</v>
      </c>
      <c r="H72">
        <v>1</v>
      </c>
      <c r="I72" t="s">
        <v>231</v>
      </c>
      <c r="L72" t="str">
        <f t="shared" si="3"/>
        <v>ft lb</v>
      </c>
      <c r="M72">
        <f t="shared" si="4"/>
        <v>0.24983</v>
      </c>
      <c r="N72">
        <f t="shared" si="5"/>
        <v>0.25491000000000003</v>
      </c>
    </row>
    <row r="73" spans="1:14" x14ac:dyDescent="0.25">
      <c r="A73" t="s">
        <v>241</v>
      </c>
      <c r="B73" t="s">
        <v>166</v>
      </c>
      <c r="C73">
        <v>0.1</v>
      </c>
      <c r="D73">
        <v>0.24830000000000002</v>
      </c>
      <c r="E73">
        <v>5.6388000000000002E-3</v>
      </c>
      <c r="F73">
        <v>0.25785000000000002</v>
      </c>
      <c r="G73">
        <v>5.2541000000000003E-3</v>
      </c>
      <c r="H73">
        <v>1</v>
      </c>
      <c r="I73" t="s">
        <v>231</v>
      </c>
      <c r="L73" t="str">
        <f t="shared" si="3"/>
        <v>ft lb</v>
      </c>
      <c r="M73">
        <f t="shared" si="4"/>
        <v>0.24830000000000002</v>
      </c>
      <c r="N73">
        <f t="shared" si="5"/>
        <v>0.25785000000000002</v>
      </c>
    </row>
    <row r="74" spans="1:14" x14ac:dyDescent="0.25">
      <c r="A74" t="s">
        <v>242</v>
      </c>
      <c r="B74" t="s">
        <v>166</v>
      </c>
      <c r="C74">
        <v>0.25</v>
      </c>
      <c r="D74">
        <v>0.26488</v>
      </c>
      <c r="E74">
        <v>5.7312999999999999E-3</v>
      </c>
      <c r="F74">
        <v>0.27799000000000001</v>
      </c>
      <c r="G74">
        <v>5.2131E-3</v>
      </c>
      <c r="H74">
        <v>1</v>
      </c>
      <c r="I74" t="s">
        <v>231</v>
      </c>
      <c r="L74" t="str">
        <f t="shared" si="3"/>
        <v>ft lb</v>
      </c>
      <c r="M74">
        <f t="shared" si="4"/>
        <v>0.26488</v>
      </c>
      <c r="N74">
        <f t="shared" si="5"/>
        <v>0.27799000000000001</v>
      </c>
    </row>
    <row r="75" spans="1:14" x14ac:dyDescent="0.25">
      <c r="A75" t="s">
        <v>243</v>
      </c>
      <c r="B75" t="s">
        <v>166</v>
      </c>
      <c r="C75">
        <v>0.5</v>
      </c>
      <c r="D75">
        <v>0.37440000000000001</v>
      </c>
      <c r="E75">
        <v>5.8585E-3</v>
      </c>
      <c r="F75">
        <v>0.33899000000000001</v>
      </c>
      <c r="G75">
        <v>5.0806000000000002E-3</v>
      </c>
      <c r="H75">
        <v>1</v>
      </c>
      <c r="I75" t="s">
        <v>231</v>
      </c>
      <c r="L75" t="str">
        <f t="shared" si="3"/>
        <v>ft lb</v>
      </c>
      <c r="M75">
        <f t="shared" si="4"/>
        <v>0.37440000000000001</v>
      </c>
      <c r="N75">
        <f t="shared" si="5"/>
        <v>0.33899000000000001</v>
      </c>
    </row>
    <row r="76" spans="1:14" x14ac:dyDescent="0.25">
      <c r="A76" t="s">
        <v>244</v>
      </c>
      <c r="B76" t="s">
        <v>166</v>
      </c>
      <c r="C76">
        <v>1</v>
      </c>
      <c r="D76">
        <v>0.65839999999999999</v>
      </c>
      <c r="E76">
        <v>6.0924999999999998E-3</v>
      </c>
      <c r="F76">
        <v>0.86568000000000001</v>
      </c>
      <c r="G76">
        <v>6.1330999999999998E-3</v>
      </c>
      <c r="H76">
        <v>1</v>
      </c>
      <c r="I76" t="s">
        <v>231</v>
      </c>
      <c r="L76" t="str">
        <f t="shared" si="3"/>
        <v>ft lb</v>
      </c>
      <c r="M76">
        <f t="shared" si="4"/>
        <v>0.65839999999999999</v>
      </c>
      <c r="N76">
        <f t="shared" si="5"/>
        <v>0.86568000000000001</v>
      </c>
    </row>
    <row r="77" spans="1:14" x14ac:dyDescent="0.25">
      <c r="A77" t="s">
        <v>245</v>
      </c>
      <c r="B77" t="s">
        <v>246</v>
      </c>
      <c r="C77">
        <v>5.0000000000000004E-6</v>
      </c>
      <c r="D77">
        <v>20</v>
      </c>
      <c r="E77">
        <v>0</v>
      </c>
      <c r="F77">
        <v>18.553152196781738</v>
      </c>
      <c r="G77">
        <v>0</v>
      </c>
      <c r="H77">
        <v>1000000</v>
      </c>
      <c r="I77" t="s">
        <v>247</v>
      </c>
      <c r="L77" t="str">
        <f t="shared" si="3"/>
        <v>µin</v>
      </c>
      <c r="M77">
        <f t="shared" si="4"/>
        <v>20</v>
      </c>
      <c r="N77">
        <f t="shared" si="5"/>
        <v>18.553152196781738</v>
      </c>
    </row>
    <row r="78" spans="1:14" x14ac:dyDescent="0.25">
      <c r="A78" t="s">
        <v>248</v>
      </c>
      <c r="B78" t="s">
        <v>246</v>
      </c>
      <c r="C78">
        <v>1.0000000000000001E-5</v>
      </c>
      <c r="D78">
        <v>20</v>
      </c>
      <c r="E78">
        <v>0</v>
      </c>
      <c r="F78">
        <v>19.221058847541567</v>
      </c>
      <c r="G78">
        <v>0</v>
      </c>
      <c r="H78">
        <v>1000000</v>
      </c>
      <c r="I78" t="s">
        <v>247</v>
      </c>
      <c r="L78" t="str">
        <f t="shared" si="3"/>
        <v>µin</v>
      </c>
      <c r="M78">
        <f t="shared" si="4"/>
        <v>20</v>
      </c>
      <c r="N78">
        <f t="shared" si="5"/>
        <v>19.221058847541567</v>
      </c>
    </row>
    <row r="79" spans="1:14" x14ac:dyDescent="0.25">
      <c r="A79" t="s">
        <v>249</v>
      </c>
      <c r="B79" t="s">
        <v>246</v>
      </c>
      <c r="C79">
        <v>2.0000000000000002E-5</v>
      </c>
      <c r="D79">
        <v>21.851073575104294</v>
      </c>
      <c r="E79">
        <v>0</v>
      </c>
      <c r="F79">
        <v>21.687961876476336</v>
      </c>
      <c r="G79">
        <v>0</v>
      </c>
      <c r="H79">
        <v>1000000</v>
      </c>
      <c r="I79" t="s">
        <v>247</v>
      </c>
      <c r="L79" t="str">
        <f t="shared" si="3"/>
        <v>µin</v>
      </c>
      <c r="M79">
        <f t="shared" si="4"/>
        <v>21.851073575104294</v>
      </c>
      <c r="N79">
        <f t="shared" si="5"/>
        <v>21.687961876476336</v>
      </c>
    </row>
    <row r="80" spans="1:14" x14ac:dyDescent="0.25">
      <c r="A80" t="s">
        <v>250</v>
      </c>
      <c r="B80" t="s">
        <v>64</v>
      </c>
      <c r="C80">
        <v>1.0000000000000001E-5</v>
      </c>
      <c r="D80">
        <v>3.4000000000000002E-2</v>
      </c>
      <c r="E80">
        <v>3.3E-4</v>
      </c>
      <c r="F80">
        <v>5.6728000000000001E-2</v>
      </c>
      <c r="G80">
        <v>1.4254E-4</v>
      </c>
      <c r="H80">
        <v>1000</v>
      </c>
      <c r="I80" t="s">
        <v>251</v>
      </c>
      <c r="L80" t="str">
        <f t="shared" si="3"/>
        <v>mg</v>
      </c>
      <c r="M80">
        <f t="shared" si="4"/>
        <v>3.4000000000000002E-2</v>
      </c>
      <c r="N80">
        <f t="shared" si="5"/>
        <v>5.6728000000000001E-2</v>
      </c>
    </row>
    <row r="81" spans="1:14" x14ac:dyDescent="0.25">
      <c r="A81" t="s">
        <v>252</v>
      </c>
      <c r="B81" t="s">
        <v>64</v>
      </c>
      <c r="C81">
        <v>1E-4</v>
      </c>
      <c r="D81">
        <v>7.0542000000000007E-2</v>
      </c>
      <c r="E81">
        <v>2.4977000000000002E-4</v>
      </c>
      <c r="F81">
        <v>8.702E-2</v>
      </c>
      <c r="G81">
        <v>7.9574999999999996E-5</v>
      </c>
      <c r="H81">
        <v>1000</v>
      </c>
      <c r="I81" t="s">
        <v>251</v>
      </c>
      <c r="L81" t="str">
        <f t="shared" si="3"/>
        <v>mg</v>
      </c>
      <c r="M81">
        <f t="shared" si="4"/>
        <v>7.0542000000000007E-2</v>
      </c>
      <c r="N81">
        <f t="shared" si="5"/>
        <v>8.702E-2</v>
      </c>
    </row>
    <row r="82" spans="1:14" x14ac:dyDescent="0.25">
      <c r="A82" t="s">
        <v>253</v>
      </c>
      <c r="B82" t="s">
        <v>64</v>
      </c>
      <c r="C82">
        <v>1E-3</v>
      </c>
      <c r="D82">
        <v>0.58227999999999991</v>
      </c>
      <c r="E82">
        <v>8.6310000000000005E-5</v>
      </c>
      <c r="F82">
        <v>0.5841599999999999</v>
      </c>
      <c r="G82">
        <v>1.0203E-5</v>
      </c>
      <c r="H82">
        <v>1000</v>
      </c>
      <c r="I82" t="s">
        <v>251</v>
      </c>
      <c r="L82" t="str">
        <f t="shared" si="3"/>
        <v>mg</v>
      </c>
      <c r="M82">
        <f t="shared" si="4"/>
        <v>0.58227999999999991</v>
      </c>
      <c r="N82">
        <f t="shared" si="5"/>
        <v>0.5841599999999999</v>
      </c>
    </row>
    <row r="83" spans="1:14" x14ac:dyDescent="0.25">
      <c r="A83" t="s">
        <v>254</v>
      </c>
      <c r="B83" t="s">
        <v>64</v>
      </c>
      <c r="C83">
        <v>0.01</v>
      </c>
      <c r="D83">
        <v>5.8008999999999995</v>
      </c>
      <c r="E83">
        <v>3.2526E-5</v>
      </c>
      <c r="F83">
        <v>5.8003999999999998</v>
      </c>
      <c r="G83">
        <v>1.0239000000000001E-6</v>
      </c>
      <c r="H83">
        <v>1000</v>
      </c>
      <c r="I83" t="s">
        <v>251</v>
      </c>
      <c r="L83" t="str">
        <f t="shared" si="3"/>
        <v>mg</v>
      </c>
      <c r="M83">
        <f t="shared" si="4"/>
        <v>5.8008999999999995</v>
      </c>
      <c r="N83">
        <f t="shared" si="5"/>
        <v>5.8003999999999998</v>
      </c>
    </row>
    <row r="84" spans="1:14" x14ac:dyDescent="0.25">
      <c r="A84" t="s">
        <v>255</v>
      </c>
      <c r="B84" t="s">
        <v>64</v>
      </c>
      <c r="C84">
        <v>0.1</v>
      </c>
      <c r="D84">
        <v>58</v>
      </c>
      <c r="E84">
        <v>1.2717999999999999E-5</v>
      </c>
      <c r="F84">
        <v>58</v>
      </c>
      <c r="G84">
        <v>1.0239000000000001E-7</v>
      </c>
      <c r="H84">
        <v>1000</v>
      </c>
      <c r="I84" t="s">
        <v>251</v>
      </c>
      <c r="L84" t="str">
        <f t="shared" si="3"/>
        <v>mg</v>
      </c>
      <c r="M84">
        <f t="shared" si="4"/>
        <v>58</v>
      </c>
      <c r="N84">
        <f t="shared" si="5"/>
        <v>58</v>
      </c>
    </row>
    <row r="85" spans="1:14" x14ac:dyDescent="0.25">
      <c r="A85" t="s">
        <v>256</v>
      </c>
      <c r="B85" t="s">
        <v>64</v>
      </c>
      <c r="C85">
        <v>1</v>
      </c>
      <c r="D85">
        <v>580</v>
      </c>
      <c r="E85">
        <v>5.0568999999999998E-6</v>
      </c>
      <c r="F85">
        <v>580</v>
      </c>
      <c r="G85">
        <v>1.0239E-8</v>
      </c>
      <c r="H85">
        <v>1000</v>
      </c>
      <c r="I85" t="s">
        <v>251</v>
      </c>
      <c r="L85" t="str">
        <f t="shared" si="3"/>
        <v>mg</v>
      </c>
      <c r="M85">
        <f t="shared" si="4"/>
        <v>580</v>
      </c>
      <c r="N85">
        <f t="shared" si="5"/>
        <v>580</v>
      </c>
    </row>
    <row r="86" spans="1:14" x14ac:dyDescent="0.25">
      <c r="A86" t="s">
        <v>257</v>
      </c>
      <c r="B86" t="s">
        <v>64</v>
      </c>
      <c r="C86">
        <v>1E-3</v>
      </c>
      <c r="D86">
        <v>0.67</v>
      </c>
      <c r="E86">
        <v>5.4000000000000003E-3</v>
      </c>
      <c r="F86">
        <v>0.63249</v>
      </c>
      <c r="G86">
        <v>5.2262999999999997E-3</v>
      </c>
      <c r="H86">
        <v>1000</v>
      </c>
      <c r="I86" t="s">
        <v>251</v>
      </c>
      <c r="L86" t="str">
        <f t="shared" si="3"/>
        <v>mg</v>
      </c>
      <c r="M86">
        <f t="shared" si="4"/>
        <v>0.67</v>
      </c>
      <c r="N86">
        <f t="shared" si="5"/>
        <v>0.63249</v>
      </c>
    </row>
    <row r="87" spans="1:14" x14ac:dyDescent="0.25">
      <c r="A87" t="s">
        <v>258</v>
      </c>
      <c r="B87" t="s">
        <v>64</v>
      </c>
      <c r="C87">
        <v>0.01</v>
      </c>
      <c r="D87">
        <v>5.8184999999999993</v>
      </c>
      <c r="E87">
        <v>1.3533E-3</v>
      </c>
      <c r="F87">
        <v>5.8049999999999997</v>
      </c>
      <c r="G87">
        <v>1.0242000000000001E-3</v>
      </c>
      <c r="H87">
        <v>1000</v>
      </c>
      <c r="I87" t="s">
        <v>251</v>
      </c>
      <c r="L87" t="str">
        <f t="shared" si="3"/>
        <v>mg</v>
      </c>
      <c r="M87">
        <f t="shared" si="4"/>
        <v>5.8184999999999993</v>
      </c>
      <c r="N87">
        <f t="shared" si="5"/>
        <v>5.8049999999999997</v>
      </c>
    </row>
    <row r="88" spans="1:14" x14ac:dyDescent="0.25">
      <c r="A88" t="s">
        <v>259</v>
      </c>
      <c r="B88" t="s">
        <v>64</v>
      </c>
      <c r="C88">
        <v>0.1</v>
      </c>
      <c r="D88">
        <v>58.006999999999998</v>
      </c>
      <c r="E88">
        <v>2.4263999999999999E-4</v>
      </c>
      <c r="F88">
        <v>58.000999999999998</v>
      </c>
      <c r="G88">
        <v>1.043E-4</v>
      </c>
      <c r="H88">
        <v>1000</v>
      </c>
      <c r="I88" t="s">
        <v>251</v>
      </c>
      <c r="L88" t="str">
        <f t="shared" si="3"/>
        <v>mg</v>
      </c>
      <c r="M88">
        <f t="shared" si="4"/>
        <v>58.006999999999998</v>
      </c>
      <c r="N88">
        <f t="shared" si="5"/>
        <v>58.000999999999998</v>
      </c>
    </row>
    <row r="89" spans="1:14" x14ac:dyDescent="0.25">
      <c r="A89" t="s">
        <v>260</v>
      </c>
      <c r="B89" t="s">
        <v>64</v>
      </c>
      <c r="C89">
        <v>1</v>
      </c>
      <c r="D89">
        <v>580</v>
      </c>
      <c r="E89">
        <v>6.5810999999999997E-5</v>
      </c>
      <c r="F89">
        <v>580</v>
      </c>
      <c r="G89">
        <v>1.0431999999999999E-5</v>
      </c>
      <c r="H89">
        <v>1000</v>
      </c>
      <c r="I89" t="s">
        <v>251</v>
      </c>
      <c r="L89" t="str">
        <f t="shared" si="3"/>
        <v>mg</v>
      </c>
      <c r="M89">
        <f t="shared" si="4"/>
        <v>580</v>
      </c>
      <c r="N89">
        <f t="shared" si="5"/>
        <v>580</v>
      </c>
    </row>
    <row r="90" spans="1:14" x14ac:dyDescent="0.25">
      <c r="A90" t="s">
        <v>261</v>
      </c>
      <c r="B90" t="s">
        <v>64</v>
      </c>
      <c r="C90">
        <v>1E-3</v>
      </c>
      <c r="D90">
        <v>6.1</v>
      </c>
      <c r="E90">
        <v>5.0000000000000001E-3</v>
      </c>
      <c r="F90">
        <v>2.0590000000000002</v>
      </c>
      <c r="G90">
        <v>1.0677000000000001E-2</v>
      </c>
      <c r="H90">
        <v>1000</v>
      </c>
      <c r="I90" t="s">
        <v>251</v>
      </c>
      <c r="L90" t="str">
        <f t="shared" si="3"/>
        <v>mg</v>
      </c>
      <c r="M90">
        <f t="shared" si="4"/>
        <v>6.1</v>
      </c>
      <c r="N90">
        <f t="shared" si="5"/>
        <v>2.0590000000000002</v>
      </c>
    </row>
    <row r="91" spans="1:14" x14ac:dyDescent="0.25">
      <c r="A91" t="s">
        <v>262</v>
      </c>
      <c r="B91" t="s">
        <v>64</v>
      </c>
      <c r="C91">
        <v>0.01</v>
      </c>
      <c r="D91">
        <v>6.4177999999999997</v>
      </c>
      <c r="E91">
        <v>7.4614E-3</v>
      </c>
      <c r="F91">
        <v>5.6450999999999993</v>
      </c>
      <c r="G91">
        <v>7.3658999999999999E-3</v>
      </c>
      <c r="H91">
        <v>1000</v>
      </c>
      <c r="I91" t="s">
        <v>251</v>
      </c>
      <c r="L91" t="str">
        <f t="shared" si="3"/>
        <v>mg</v>
      </c>
      <c r="M91">
        <f t="shared" si="4"/>
        <v>6.4177999999999997</v>
      </c>
      <c r="N91">
        <f t="shared" si="5"/>
        <v>5.6450999999999993</v>
      </c>
    </row>
    <row r="92" spans="1:14" x14ac:dyDescent="0.25">
      <c r="A92" t="s">
        <v>263</v>
      </c>
      <c r="B92" t="s">
        <v>64</v>
      </c>
      <c r="C92">
        <v>0.1</v>
      </c>
      <c r="D92">
        <v>57.884999999999998</v>
      </c>
      <c r="E92">
        <v>2.2358999999999999E-3</v>
      </c>
      <c r="F92">
        <v>57.893999999999998</v>
      </c>
      <c r="G92">
        <v>1.139E-3</v>
      </c>
      <c r="H92">
        <v>1000</v>
      </c>
      <c r="I92" t="s">
        <v>251</v>
      </c>
      <c r="L92" t="str">
        <f t="shared" si="3"/>
        <v>mg</v>
      </c>
      <c r="M92">
        <f t="shared" si="4"/>
        <v>57.884999999999998</v>
      </c>
      <c r="N92">
        <f t="shared" si="5"/>
        <v>57.893999999999998</v>
      </c>
    </row>
    <row r="93" spans="1:14" x14ac:dyDescent="0.25">
      <c r="A93" t="s">
        <v>264</v>
      </c>
      <c r="B93" t="s">
        <v>64</v>
      </c>
      <c r="C93">
        <v>1</v>
      </c>
      <c r="D93">
        <v>579.99</v>
      </c>
      <c r="E93">
        <v>5.6433999999999998E-4</v>
      </c>
      <c r="F93">
        <v>579.99</v>
      </c>
      <c r="G93">
        <v>1.1484000000000001E-4</v>
      </c>
      <c r="H93">
        <v>1000</v>
      </c>
      <c r="I93" t="s">
        <v>251</v>
      </c>
      <c r="L93" t="str">
        <f t="shared" si="3"/>
        <v>mg</v>
      </c>
      <c r="M93">
        <f t="shared" si="4"/>
        <v>579.99</v>
      </c>
      <c r="N93">
        <f t="shared" si="5"/>
        <v>579.99</v>
      </c>
    </row>
    <row r="94" spans="1:14" x14ac:dyDescent="0.25">
      <c r="A94" t="s">
        <v>265</v>
      </c>
      <c r="B94" t="s">
        <v>64</v>
      </c>
      <c r="C94">
        <v>2.0000000000000001E-4</v>
      </c>
      <c r="D94">
        <v>340</v>
      </c>
      <c r="E94">
        <v>1.6999999999999999E-3</v>
      </c>
      <c r="F94">
        <v>62.356000000000002</v>
      </c>
      <c r="G94">
        <v>1.0517E-2</v>
      </c>
      <c r="H94">
        <v>453592.4</v>
      </c>
      <c r="I94" t="s">
        <v>251</v>
      </c>
      <c r="L94" t="str">
        <f t="shared" si="3"/>
        <v>mg</v>
      </c>
      <c r="M94">
        <f t="shared" si="4"/>
        <v>340</v>
      </c>
      <c r="N94">
        <f t="shared" si="5"/>
        <v>62.356000000000002</v>
      </c>
    </row>
    <row r="95" spans="1:14" x14ac:dyDescent="0.25">
      <c r="A95" t="s">
        <v>266</v>
      </c>
      <c r="B95" t="s">
        <v>64</v>
      </c>
      <c r="C95">
        <v>5.0000000000000001E-4</v>
      </c>
      <c r="D95">
        <v>340</v>
      </c>
      <c r="E95">
        <v>1.6999999999999999E-3</v>
      </c>
      <c r="F95">
        <v>128.29</v>
      </c>
      <c r="G95">
        <v>8.0849000000000008E-3</v>
      </c>
      <c r="H95">
        <v>453592.4</v>
      </c>
      <c r="I95" t="s">
        <v>251</v>
      </c>
      <c r="L95" t="str">
        <f t="shared" si="3"/>
        <v>mg</v>
      </c>
      <c r="M95">
        <f t="shared" si="4"/>
        <v>340</v>
      </c>
      <c r="N95">
        <f t="shared" si="5"/>
        <v>128.29</v>
      </c>
    </row>
    <row r="96" spans="1:14" x14ac:dyDescent="0.25">
      <c r="A96" t="s">
        <v>267</v>
      </c>
      <c r="B96" t="s">
        <v>64</v>
      </c>
      <c r="C96">
        <v>1E-3</v>
      </c>
      <c r="D96">
        <v>340</v>
      </c>
      <c r="E96">
        <v>2.6622999999999998E-3</v>
      </c>
      <c r="F96">
        <v>260.78999999999996</v>
      </c>
      <c r="G96">
        <v>5.5233000000000001E-3</v>
      </c>
      <c r="H96">
        <v>453592.4</v>
      </c>
      <c r="I96" t="s">
        <v>251</v>
      </c>
      <c r="L96" t="str">
        <f t="shared" si="3"/>
        <v>mg</v>
      </c>
      <c r="M96">
        <f t="shared" si="4"/>
        <v>340</v>
      </c>
      <c r="N96">
        <f t="shared" si="5"/>
        <v>260.78999999999996</v>
      </c>
    </row>
    <row r="97" spans="1:18" x14ac:dyDescent="0.25">
      <c r="A97" t="s">
        <v>268</v>
      </c>
      <c r="B97" t="s">
        <v>64</v>
      </c>
      <c r="C97">
        <v>0.01</v>
      </c>
      <c r="D97">
        <v>2630.9</v>
      </c>
      <c r="E97">
        <v>1.0271E-3</v>
      </c>
      <c r="F97">
        <v>2630.6</v>
      </c>
      <c r="G97">
        <v>6.7966999999999995E-4</v>
      </c>
      <c r="H97">
        <v>453592.4</v>
      </c>
      <c r="I97" t="s">
        <v>251</v>
      </c>
      <c r="L97" t="str">
        <f t="shared" si="3"/>
        <v>mg</v>
      </c>
      <c r="M97">
        <f t="shared" si="4"/>
        <v>2630.9</v>
      </c>
      <c r="N97">
        <f t="shared" si="5"/>
        <v>2630.6</v>
      </c>
    </row>
    <row r="98" spans="1:18" x14ac:dyDescent="0.25">
      <c r="A98" t="s">
        <v>269</v>
      </c>
      <c r="B98" t="s">
        <v>64</v>
      </c>
      <c r="C98">
        <v>0.1</v>
      </c>
      <c r="D98">
        <v>26309</v>
      </c>
      <c r="E98">
        <v>2.0819999999999999E-4</v>
      </c>
      <c r="F98">
        <v>26309</v>
      </c>
      <c r="G98">
        <v>6.8161E-5</v>
      </c>
      <c r="H98">
        <v>453592.4</v>
      </c>
      <c r="I98" t="s">
        <v>251</v>
      </c>
      <c r="L98" t="str">
        <f t="shared" si="3"/>
        <v>mg</v>
      </c>
      <c r="M98">
        <f t="shared" si="4"/>
        <v>26309</v>
      </c>
      <c r="N98">
        <f t="shared" si="5"/>
        <v>26309</v>
      </c>
    </row>
    <row r="99" spans="1:18" x14ac:dyDescent="0.25">
      <c r="A99" t="s">
        <v>270</v>
      </c>
      <c r="B99" t="s">
        <v>64</v>
      </c>
      <c r="C99">
        <v>1</v>
      </c>
      <c r="D99">
        <v>263090</v>
      </c>
      <c r="E99">
        <v>6.2837999999999997E-5</v>
      </c>
      <c r="F99">
        <v>263090</v>
      </c>
      <c r="G99">
        <v>6.8163000000000003E-6</v>
      </c>
      <c r="H99">
        <v>453592.4</v>
      </c>
      <c r="I99" t="s">
        <v>251</v>
      </c>
      <c r="L99" t="str">
        <f t="shared" si="3"/>
        <v>mg</v>
      </c>
      <c r="M99">
        <f t="shared" si="4"/>
        <v>263090</v>
      </c>
      <c r="N99">
        <f t="shared" si="5"/>
        <v>263090</v>
      </c>
    </row>
    <row r="100" spans="1:18" x14ac:dyDescent="0.25">
      <c r="A100" t="s">
        <v>271</v>
      </c>
      <c r="B100" t="s">
        <v>64</v>
      </c>
      <c r="C100">
        <v>1E-3</v>
      </c>
      <c r="D100">
        <v>340</v>
      </c>
      <c r="E100">
        <v>3.0000000000000001E-3</v>
      </c>
      <c r="F100">
        <v>326.81</v>
      </c>
      <c r="G100">
        <v>2.7992E-3</v>
      </c>
      <c r="H100">
        <v>453592.4</v>
      </c>
      <c r="I100" t="s">
        <v>251</v>
      </c>
      <c r="L100" t="str">
        <f t="shared" si="3"/>
        <v>mg</v>
      </c>
      <c r="M100">
        <f t="shared" si="4"/>
        <v>340</v>
      </c>
      <c r="N100">
        <f t="shared" si="5"/>
        <v>326.81</v>
      </c>
    </row>
    <row r="101" spans="1:18" x14ac:dyDescent="0.25">
      <c r="A101" t="s">
        <v>272</v>
      </c>
      <c r="B101" t="s">
        <v>64</v>
      </c>
      <c r="C101">
        <v>0.01</v>
      </c>
      <c r="D101">
        <v>2632</v>
      </c>
      <c r="E101">
        <v>7.8428999999999999E-4</v>
      </c>
      <c r="F101">
        <v>2631.2</v>
      </c>
      <c r="G101">
        <v>5.5234000000000001E-4</v>
      </c>
      <c r="H101">
        <v>453592.4</v>
      </c>
      <c r="I101" t="s">
        <v>251</v>
      </c>
      <c r="L101" t="str">
        <f t="shared" si="3"/>
        <v>mg</v>
      </c>
      <c r="M101">
        <f t="shared" si="4"/>
        <v>2632</v>
      </c>
      <c r="N101">
        <f t="shared" si="5"/>
        <v>2631.2</v>
      </c>
    </row>
    <row r="102" spans="1:18" x14ac:dyDescent="0.25">
      <c r="A102" t="s">
        <v>273</v>
      </c>
      <c r="B102" t="s">
        <v>64</v>
      </c>
      <c r="C102">
        <v>0.1</v>
      </c>
      <c r="D102">
        <v>26309</v>
      </c>
      <c r="E102">
        <v>1.5273000000000001E-4</v>
      </c>
      <c r="F102">
        <v>26309</v>
      </c>
      <c r="G102">
        <v>5.6147999999999998E-5</v>
      </c>
      <c r="H102">
        <v>453592.4</v>
      </c>
      <c r="I102" t="s">
        <v>251</v>
      </c>
      <c r="L102" t="str">
        <f t="shared" si="3"/>
        <v>mg</v>
      </c>
      <c r="M102">
        <f t="shared" si="4"/>
        <v>26309</v>
      </c>
      <c r="N102">
        <f t="shared" si="5"/>
        <v>26309</v>
      </c>
    </row>
    <row r="103" spans="1:18" ht="15.75" thickBot="1" x14ac:dyDescent="0.3">
      <c r="A103" t="s">
        <v>274</v>
      </c>
      <c r="B103" t="s">
        <v>64</v>
      </c>
      <c r="C103">
        <v>1</v>
      </c>
      <c r="D103">
        <v>263090</v>
      </c>
      <c r="E103">
        <v>4.4271999999999999E-5</v>
      </c>
      <c r="F103">
        <v>263090</v>
      </c>
      <c r="G103">
        <v>5.6157999999999997E-6</v>
      </c>
      <c r="H103">
        <v>453592.4</v>
      </c>
      <c r="I103" t="s">
        <v>251</v>
      </c>
      <c r="L103" t="str">
        <f t="shared" si="3"/>
        <v>mg</v>
      </c>
      <c r="M103">
        <f t="shared" si="4"/>
        <v>263090</v>
      </c>
      <c r="N103">
        <f t="shared" si="5"/>
        <v>263090</v>
      </c>
      <c r="P103" t="s">
        <v>275</v>
      </c>
    </row>
    <row r="104" spans="1:18" x14ac:dyDescent="0.25">
      <c r="A104" t="s">
        <v>276</v>
      </c>
      <c r="B104" s="34" t="s">
        <v>277</v>
      </c>
      <c r="C104" s="35">
        <v>0.1</v>
      </c>
      <c r="D104" s="35">
        <v>0.31</v>
      </c>
      <c r="E104" s="35">
        <v>0</v>
      </c>
      <c r="F104" s="35">
        <v>0.28600278396116963</v>
      </c>
      <c r="G104" s="35">
        <v>0</v>
      </c>
      <c r="H104" s="35">
        <v>1</v>
      </c>
      <c r="I104" s="35" t="s">
        <v>91</v>
      </c>
      <c r="J104" s="36"/>
      <c r="K104" s="35"/>
      <c r="L104" s="35" t="str">
        <f t="shared" si="3"/>
        <v>HRA</v>
      </c>
      <c r="M104" s="35">
        <f t="shared" si="4"/>
        <v>0.31</v>
      </c>
      <c r="N104" s="35">
        <f t="shared" si="5"/>
        <v>0.28600278396116963</v>
      </c>
      <c r="O104" s="35"/>
      <c r="P104" s="35" t="str">
        <f>$L104</f>
        <v>HRA</v>
      </c>
      <c r="Q104" s="35">
        <f t="shared" ref="Q104:R104" si="6">M104</f>
        <v>0.31</v>
      </c>
      <c r="R104" s="37">
        <f t="shared" si="6"/>
        <v>0.28600278396116963</v>
      </c>
    </row>
    <row r="105" spans="1:18" x14ac:dyDescent="0.25">
      <c r="A105" t="s">
        <v>278</v>
      </c>
      <c r="B105" s="38" t="s">
        <v>277</v>
      </c>
      <c r="C105">
        <v>0.1</v>
      </c>
      <c r="D105">
        <v>0.32</v>
      </c>
      <c r="E105">
        <v>0</v>
      </c>
      <c r="F105">
        <v>0.29579991959691171</v>
      </c>
      <c r="G105">
        <v>0</v>
      </c>
      <c r="H105">
        <v>1</v>
      </c>
      <c r="I105" t="s">
        <v>91</v>
      </c>
      <c r="L105" t="str">
        <f t="shared" si="3"/>
        <v>HRA</v>
      </c>
      <c r="M105">
        <f t="shared" si="4"/>
        <v>0.32</v>
      </c>
      <c r="N105">
        <f t="shared" si="5"/>
        <v>0.29579991959691171</v>
      </c>
      <c r="P105" t="str">
        <f>L107</f>
        <v>HRBW</v>
      </c>
      <c r="Q105">
        <f t="shared" ref="Q105:R105" si="7">M107</f>
        <v>0.36</v>
      </c>
      <c r="R105" s="39">
        <f t="shared" si="7"/>
        <v>0.33510832940041863</v>
      </c>
    </row>
    <row r="106" spans="1:18" x14ac:dyDescent="0.25">
      <c r="A106" t="s">
        <v>279</v>
      </c>
      <c r="B106" s="38" t="s">
        <v>277</v>
      </c>
      <c r="C106">
        <v>0.1</v>
      </c>
      <c r="D106">
        <v>0.2</v>
      </c>
      <c r="E106">
        <v>0</v>
      </c>
      <c r="F106">
        <v>0.17971530940223054</v>
      </c>
      <c r="G106">
        <v>0</v>
      </c>
      <c r="H106">
        <v>1</v>
      </c>
      <c r="I106" t="s">
        <v>91</v>
      </c>
      <c r="L106" t="str">
        <f t="shared" si="3"/>
        <v>HRA</v>
      </c>
      <c r="M106">
        <f t="shared" si="4"/>
        <v>0.2</v>
      </c>
      <c r="N106">
        <f t="shared" si="5"/>
        <v>0.17971530940223054</v>
      </c>
      <c r="P106" t="str">
        <f>L110</f>
        <v>HRC</v>
      </c>
      <c r="Q106">
        <f t="shared" ref="Q106:R106" si="8">M110</f>
        <v>0.39</v>
      </c>
      <c r="R106" s="39">
        <f t="shared" si="8"/>
        <v>0.37456320218828149</v>
      </c>
    </row>
    <row r="107" spans="1:18" x14ac:dyDescent="0.25">
      <c r="A107" t="s">
        <v>280</v>
      </c>
      <c r="B107" s="38" t="s">
        <v>277</v>
      </c>
      <c r="C107">
        <v>0.1</v>
      </c>
      <c r="D107">
        <v>0.36</v>
      </c>
      <c r="E107">
        <v>0</v>
      </c>
      <c r="F107">
        <v>0.33510832940041863</v>
      </c>
      <c r="G107">
        <v>0</v>
      </c>
      <c r="H107">
        <v>1</v>
      </c>
      <c r="I107" t="s">
        <v>92</v>
      </c>
      <c r="L107" t="str">
        <f t="shared" si="3"/>
        <v>HRBW</v>
      </c>
      <c r="M107">
        <f t="shared" si="4"/>
        <v>0.36</v>
      </c>
      <c r="N107">
        <f t="shared" si="5"/>
        <v>0.33510832940041863</v>
      </c>
      <c r="P107" t="str">
        <f>L113</f>
        <v>HREW</v>
      </c>
      <c r="Q107">
        <f t="shared" ref="Q107:R107" si="9">M113</f>
        <v>0.39</v>
      </c>
      <c r="R107" s="39">
        <f t="shared" si="9"/>
        <v>0.3646883497365106</v>
      </c>
    </row>
    <row r="108" spans="1:18" x14ac:dyDescent="0.25">
      <c r="A108" t="s">
        <v>281</v>
      </c>
      <c r="B108" s="38" t="s">
        <v>277</v>
      </c>
      <c r="C108">
        <v>0.1</v>
      </c>
      <c r="D108">
        <v>0.26</v>
      </c>
      <c r="E108">
        <v>0</v>
      </c>
      <c r="F108">
        <v>0.24697690668064382</v>
      </c>
      <c r="G108">
        <v>0</v>
      </c>
      <c r="H108">
        <v>1</v>
      </c>
      <c r="I108" t="s">
        <v>92</v>
      </c>
      <c r="L108" t="str">
        <f t="shared" si="3"/>
        <v>HRBW</v>
      </c>
      <c r="M108">
        <f t="shared" si="4"/>
        <v>0.26</v>
      </c>
      <c r="N108">
        <f t="shared" si="5"/>
        <v>0.24697690668064382</v>
      </c>
      <c r="P108" t="str">
        <f>L116</f>
        <v>HRFW</v>
      </c>
      <c r="Q108">
        <f t="shared" ref="Q108:R108" si="10">M116</f>
        <v>0.28000000000000003</v>
      </c>
      <c r="R108" s="39">
        <f t="shared" si="10"/>
        <v>0.25670526374334329</v>
      </c>
    </row>
    <row r="109" spans="1:18" x14ac:dyDescent="0.25">
      <c r="A109" t="s">
        <v>282</v>
      </c>
      <c r="B109" s="38" t="s">
        <v>277</v>
      </c>
      <c r="C109">
        <v>0.1</v>
      </c>
      <c r="D109">
        <v>0.39</v>
      </c>
      <c r="E109">
        <v>0</v>
      </c>
      <c r="F109">
        <v>0.37456320218828149</v>
      </c>
      <c r="G109">
        <v>0</v>
      </c>
      <c r="H109">
        <v>1</v>
      </c>
      <c r="I109" t="s">
        <v>92</v>
      </c>
      <c r="L109" t="str">
        <f t="shared" si="3"/>
        <v>HRBW</v>
      </c>
      <c r="M109">
        <f t="shared" si="4"/>
        <v>0.39</v>
      </c>
      <c r="N109">
        <f t="shared" si="5"/>
        <v>0.37456320218828149</v>
      </c>
      <c r="P109" t="str">
        <f>L119</f>
        <v>HRHW</v>
      </c>
      <c r="Q109">
        <f t="shared" ref="Q109:R109" si="11">M119</f>
        <v>0.45</v>
      </c>
      <c r="R109" s="39">
        <f t="shared" si="11"/>
        <v>0.44384410825597254</v>
      </c>
    </row>
    <row r="110" spans="1:18" x14ac:dyDescent="0.25">
      <c r="A110" t="s">
        <v>283</v>
      </c>
      <c r="B110" s="38" t="s">
        <v>277</v>
      </c>
      <c r="C110">
        <v>0.1</v>
      </c>
      <c r="D110">
        <v>0.39</v>
      </c>
      <c r="E110">
        <v>0</v>
      </c>
      <c r="F110">
        <v>0.37456320218828149</v>
      </c>
      <c r="G110">
        <v>0</v>
      </c>
      <c r="H110">
        <v>1</v>
      </c>
      <c r="I110" t="s">
        <v>93</v>
      </c>
      <c r="L110" t="str">
        <f t="shared" si="3"/>
        <v>HRC</v>
      </c>
      <c r="M110">
        <f t="shared" si="4"/>
        <v>0.39</v>
      </c>
      <c r="N110">
        <f t="shared" si="5"/>
        <v>0.37456320218828149</v>
      </c>
      <c r="P110" t="str">
        <f>L121</f>
        <v>HR15N</v>
      </c>
      <c r="Q110">
        <f t="shared" ref="Q110:R110" si="12">M121</f>
        <v>0.42</v>
      </c>
      <c r="R110" s="39">
        <f t="shared" si="12"/>
        <v>0.39433183035806213</v>
      </c>
    </row>
    <row r="111" spans="1:18" x14ac:dyDescent="0.25">
      <c r="A111" t="s">
        <v>284</v>
      </c>
      <c r="B111" s="38" t="s">
        <v>277</v>
      </c>
      <c r="C111">
        <v>0.1</v>
      </c>
      <c r="D111">
        <v>0.34</v>
      </c>
      <c r="E111">
        <v>0</v>
      </c>
      <c r="F111">
        <v>0.32526541844090873</v>
      </c>
      <c r="G111">
        <v>0</v>
      </c>
      <c r="H111">
        <v>1</v>
      </c>
      <c r="I111" t="s">
        <v>93</v>
      </c>
      <c r="L111" t="str">
        <f t="shared" si="3"/>
        <v>HRC</v>
      </c>
      <c r="M111">
        <f t="shared" si="4"/>
        <v>0.34</v>
      </c>
      <c r="N111">
        <f t="shared" si="5"/>
        <v>0.32526541844090873</v>
      </c>
      <c r="P111" t="str">
        <f>L124</f>
        <v>HR30N</v>
      </c>
      <c r="Q111">
        <f t="shared" ref="Q111:R111" si="13">M124</f>
        <v>0.3</v>
      </c>
      <c r="R111" s="39">
        <f t="shared" si="13"/>
        <v>0.26645373413322521</v>
      </c>
    </row>
    <row r="112" spans="1:18" x14ac:dyDescent="0.25">
      <c r="A112" t="s">
        <v>285</v>
      </c>
      <c r="B112" s="38" t="s">
        <v>277</v>
      </c>
      <c r="C112">
        <v>0.1</v>
      </c>
      <c r="D112">
        <v>0.32</v>
      </c>
      <c r="E112">
        <v>0</v>
      </c>
      <c r="F112">
        <v>0.31543238963926873</v>
      </c>
      <c r="G112">
        <v>0</v>
      </c>
      <c r="H112">
        <v>1</v>
      </c>
      <c r="I112" t="s">
        <v>93</v>
      </c>
      <c r="L112" t="str">
        <f t="shared" si="3"/>
        <v>HRC</v>
      </c>
      <c r="M112">
        <f t="shared" si="4"/>
        <v>0.32</v>
      </c>
      <c r="N112">
        <f t="shared" si="5"/>
        <v>0.31543238963926873</v>
      </c>
      <c r="P112" t="str">
        <f>L127</f>
        <v>HR45N</v>
      </c>
      <c r="Q112">
        <f t="shared" ref="Q112:R112" si="14">M127</f>
        <v>0.5</v>
      </c>
      <c r="R112" s="39">
        <f t="shared" si="14"/>
        <v>0.4736006676869654</v>
      </c>
    </row>
    <row r="113" spans="1:18" x14ac:dyDescent="0.25">
      <c r="A113" t="s">
        <v>286</v>
      </c>
      <c r="B113" s="38" t="s">
        <v>277</v>
      </c>
      <c r="C113">
        <v>0.1</v>
      </c>
      <c r="D113">
        <v>0.39</v>
      </c>
      <c r="E113">
        <v>0</v>
      </c>
      <c r="F113">
        <v>0.3646883497365106</v>
      </c>
      <c r="G113">
        <v>0</v>
      </c>
      <c r="H113">
        <v>1</v>
      </c>
      <c r="I113" t="s">
        <v>94</v>
      </c>
      <c r="L113" t="str">
        <f t="shared" si="3"/>
        <v>HREW</v>
      </c>
      <c r="M113">
        <f t="shared" si="4"/>
        <v>0.39</v>
      </c>
      <c r="N113">
        <f t="shared" si="5"/>
        <v>0.3646883497365106</v>
      </c>
      <c r="P113" t="str">
        <f>L130</f>
        <v>HR15TW</v>
      </c>
      <c r="Q113">
        <f t="shared" ref="Q113:R113" si="15">M130</f>
        <v>0.45</v>
      </c>
      <c r="R113" s="39">
        <f t="shared" si="15"/>
        <v>0.4141226779995747</v>
      </c>
    </row>
    <row r="114" spans="1:18" x14ac:dyDescent="0.25">
      <c r="A114" t="s">
        <v>287</v>
      </c>
      <c r="B114" s="38" t="s">
        <v>277</v>
      </c>
      <c r="C114">
        <v>0.1</v>
      </c>
      <c r="D114">
        <v>0.49</v>
      </c>
      <c r="E114">
        <v>0</v>
      </c>
      <c r="F114">
        <v>0.48352620656334588</v>
      </c>
      <c r="G114">
        <v>0</v>
      </c>
      <c r="H114">
        <v>1</v>
      </c>
      <c r="I114" t="s">
        <v>94</v>
      </c>
      <c r="L114" t="str">
        <f t="shared" si="3"/>
        <v>HREW</v>
      </c>
      <c r="M114">
        <f t="shared" si="4"/>
        <v>0.49</v>
      </c>
      <c r="N114">
        <f t="shared" si="5"/>
        <v>0.48352620656334588</v>
      </c>
      <c r="P114" t="str">
        <f>L133</f>
        <v>HR30TW</v>
      </c>
      <c r="Q114">
        <f t="shared" ref="Q114:R114" si="16">M133</f>
        <v>0.57999999999999996</v>
      </c>
      <c r="R114" s="39">
        <f t="shared" si="16"/>
        <v>0.55308009585731743</v>
      </c>
    </row>
    <row r="115" spans="1:18" x14ac:dyDescent="0.25">
      <c r="A115" t="s">
        <v>288</v>
      </c>
      <c r="B115" s="38" t="s">
        <v>277</v>
      </c>
      <c r="C115">
        <v>0.1</v>
      </c>
      <c r="D115">
        <v>0.49</v>
      </c>
      <c r="E115">
        <v>0</v>
      </c>
      <c r="F115">
        <v>0.48352620656334588</v>
      </c>
      <c r="G115">
        <v>0</v>
      </c>
      <c r="H115">
        <v>1</v>
      </c>
      <c r="I115" t="s">
        <v>94</v>
      </c>
      <c r="L115" t="str">
        <f t="shared" si="3"/>
        <v>HREW</v>
      </c>
      <c r="M115">
        <f t="shared" si="4"/>
        <v>0.49</v>
      </c>
      <c r="N115">
        <f t="shared" si="5"/>
        <v>0.48352620656334588</v>
      </c>
      <c r="P115" t="str">
        <f>L136</f>
        <v>HR45TW</v>
      </c>
      <c r="Q115">
        <f t="shared" ref="Q115:R115" si="17">M136</f>
        <v>0.7</v>
      </c>
      <c r="R115" s="39">
        <f t="shared" si="17"/>
        <v>0.68249365743099732</v>
      </c>
    </row>
    <row r="116" spans="1:18" x14ac:dyDescent="0.25">
      <c r="A116" t="s">
        <v>289</v>
      </c>
      <c r="B116" s="38" t="s">
        <v>277</v>
      </c>
      <c r="C116">
        <v>0.1</v>
      </c>
      <c r="D116">
        <v>0.28000000000000003</v>
      </c>
      <c r="E116">
        <v>0</v>
      </c>
      <c r="F116">
        <v>0.25670526374334329</v>
      </c>
      <c r="G116">
        <v>0</v>
      </c>
      <c r="H116">
        <v>1</v>
      </c>
      <c r="I116" t="s">
        <v>95</v>
      </c>
      <c r="L116" t="str">
        <f t="shared" si="3"/>
        <v>HRFW</v>
      </c>
      <c r="M116">
        <f t="shared" si="4"/>
        <v>0.28000000000000003</v>
      </c>
      <c r="N116">
        <f t="shared" si="5"/>
        <v>0.25670526374334329</v>
      </c>
      <c r="R116" s="39"/>
    </row>
    <row r="117" spans="1:18" x14ac:dyDescent="0.25">
      <c r="A117" t="s">
        <v>290</v>
      </c>
      <c r="B117" s="38" t="s">
        <v>277</v>
      </c>
      <c r="C117">
        <v>0.1</v>
      </c>
      <c r="D117">
        <v>0.47</v>
      </c>
      <c r="E117">
        <v>0</v>
      </c>
      <c r="F117">
        <v>0.4537593992784496</v>
      </c>
      <c r="G117">
        <v>0</v>
      </c>
      <c r="H117">
        <v>1</v>
      </c>
      <c r="I117" t="s">
        <v>95</v>
      </c>
      <c r="L117" t="str">
        <f t="shared" si="3"/>
        <v>HRFW</v>
      </c>
      <c r="M117">
        <f t="shared" si="4"/>
        <v>0.47</v>
      </c>
      <c r="N117">
        <f t="shared" si="5"/>
        <v>0.4537593992784496</v>
      </c>
      <c r="P117" t="s">
        <v>291</v>
      </c>
      <c r="R117" s="39"/>
    </row>
    <row r="118" spans="1:18" x14ac:dyDescent="0.25">
      <c r="A118" t="s">
        <v>292</v>
      </c>
      <c r="B118" s="38" t="s">
        <v>277</v>
      </c>
      <c r="C118">
        <v>0.1</v>
      </c>
      <c r="D118">
        <v>0.45</v>
      </c>
      <c r="E118">
        <v>0</v>
      </c>
      <c r="F118">
        <v>0.44384410825597254</v>
      </c>
      <c r="G118">
        <v>0</v>
      </c>
      <c r="H118">
        <v>1</v>
      </c>
      <c r="I118" t="s">
        <v>95</v>
      </c>
      <c r="L118" t="str">
        <f t="shared" si="3"/>
        <v>HRFW</v>
      </c>
      <c r="M118">
        <f t="shared" si="4"/>
        <v>0.45</v>
      </c>
      <c r="N118">
        <f t="shared" si="5"/>
        <v>0.44384410825597254</v>
      </c>
      <c r="P118" t="str">
        <f>L105</f>
        <v>HRA</v>
      </c>
      <c r="Q118">
        <f t="shared" ref="Q118:R118" si="18">M105</f>
        <v>0.32</v>
      </c>
      <c r="R118" s="39">
        <f t="shared" si="18"/>
        <v>0.29579991959691171</v>
      </c>
    </row>
    <row r="119" spans="1:18" x14ac:dyDescent="0.25">
      <c r="A119" t="s">
        <v>293</v>
      </c>
      <c r="B119" s="38" t="s">
        <v>277</v>
      </c>
      <c r="C119">
        <v>0.1</v>
      </c>
      <c r="D119">
        <v>0.45</v>
      </c>
      <c r="E119">
        <v>0</v>
      </c>
      <c r="F119">
        <v>0.44384410825597254</v>
      </c>
      <c r="G119">
        <v>0</v>
      </c>
      <c r="H119">
        <v>1</v>
      </c>
      <c r="I119" t="s">
        <v>96</v>
      </c>
      <c r="L119" t="str">
        <f t="shared" si="3"/>
        <v>HRHW</v>
      </c>
      <c r="M119">
        <f t="shared" si="4"/>
        <v>0.45</v>
      </c>
      <c r="N119">
        <f t="shared" si="5"/>
        <v>0.44384410825597254</v>
      </c>
      <c r="P119" t="str">
        <f>L108</f>
        <v>HRBW</v>
      </c>
      <c r="Q119">
        <f t="shared" ref="Q119:R119" si="19">M108</f>
        <v>0.26</v>
      </c>
      <c r="R119" s="39">
        <f t="shared" si="19"/>
        <v>0.24697690668064382</v>
      </c>
    </row>
    <row r="120" spans="1:18" x14ac:dyDescent="0.25">
      <c r="A120" t="s">
        <v>294</v>
      </c>
      <c r="B120" s="38" t="s">
        <v>277</v>
      </c>
      <c r="C120">
        <v>0.1</v>
      </c>
      <c r="D120">
        <v>0.36</v>
      </c>
      <c r="E120">
        <v>0</v>
      </c>
      <c r="F120">
        <v>0.35482050734637566</v>
      </c>
      <c r="G120">
        <v>0</v>
      </c>
      <c r="H120">
        <v>1</v>
      </c>
      <c r="I120" t="s">
        <v>96</v>
      </c>
      <c r="L120" t="str">
        <f t="shared" si="3"/>
        <v>HRHW</v>
      </c>
      <c r="M120">
        <f t="shared" si="4"/>
        <v>0.36</v>
      </c>
      <c r="N120">
        <f t="shared" si="5"/>
        <v>0.35482050734637566</v>
      </c>
      <c r="P120" t="str">
        <f>L111</f>
        <v>HRC</v>
      </c>
      <c r="Q120">
        <f t="shared" ref="Q120:R120" si="20">M111</f>
        <v>0.34</v>
      </c>
      <c r="R120" s="39">
        <f t="shared" si="20"/>
        <v>0.32526541844090873</v>
      </c>
    </row>
    <row r="121" spans="1:18" x14ac:dyDescent="0.25">
      <c r="A121" t="s">
        <v>295</v>
      </c>
      <c r="B121" s="38" t="s">
        <v>277</v>
      </c>
      <c r="C121">
        <v>0.1</v>
      </c>
      <c r="D121">
        <v>0.42</v>
      </c>
      <c r="E121">
        <v>0</v>
      </c>
      <c r="F121">
        <v>0.39433183035806213</v>
      </c>
      <c r="G121">
        <v>0</v>
      </c>
      <c r="H121">
        <v>1</v>
      </c>
      <c r="I121" t="s">
        <v>97</v>
      </c>
      <c r="L121" t="str">
        <f t="shared" si="3"/>
        <v>HR15N</v>
      </c>
      <c r="M121">
        <f t="shared" si="4"/>
        <v>0.42</v>
      </c>
      <c r="N121">
        <f t="shared" si="5"/>
        <v>0.39433183035806213</v>
      </c>
      <c r="P121" t="str">
        <f>L114</f>
        <v>HREW</v>
      </c>
      <c r="Q121">
        <f t="shared" ref="Q121:R121" si="21">M114</f>
        <v>0.49</v>
      </c>
      <c r="R121" s="39">
        <f t="shared" si="21"/>
        <v>0.48352620656334588</v>
      </c>
    </row>
    <row r="122" spans="1:18" x14ac:dyDescent="0.25">
      <c r="A122" t="s">
        <v>296</v>
      </c>
      <c r="B122" s="38" t="s">
        <v>277</v>
      </c>
      <c r="C122">
        <v>0.1</v>
      </c>
      <c r="D122">
        <v>0.42</v>
      </c>
      <c r="E122">
        <v>0</v>
      </c>
      <c r="F122">
        <v>0.40422468063385181</v>
      </c>
      <c r="G122">
        <v>0</v>
      </c>
      <c r="H122">
        <v>1</v>
      </c>
      <c r="I122" t="s">
        <v>97</v>
      </c>
      <c r="L122" t="str">
        <f t="shared" si="3"/>
        <v>HR15N</v>
      </c>
      <c r="M122">
        <f t="shared" si="4"/>
        <v>0.42</v>
      </c>
      <c r="N122">
        <f t="shared" si="5"/>
        <v>0.40422468063385181</v>
      </c>
      <c r="P122" t="str">
        <f>L117</f>
        <v>HRFW</v>
      </c>
      <c r="Q122">
        <f t="shared" ref="Q122:R122" si="22">M117</f>
        <v>0.47</v>
      </c>
      <c r="R122" s="39">
        <f t="shared" si="22"/>
        <v>0.4537593992784496</v>
      </c>
    </row>
    <row r="123" spans="1:18" x14ac:dyDescent="0.25">
      <c r="A123" t="s">
        <v>297</v>
      </c>
      <c r="B123" s="38" t="s">
        <v>277</v>
      </c>
      <c r="C123">
        <v>0.1</v>
      </c>
      <c r="D123">
        <v>0.51</v>
      </c>
      <c r="E123">
        <v>0</v>
      </c>
      <c r="F123">
        <v>0.50338612658032145</v>
      </c>
      <c r="G123">
        <v>0</v>
      </c>
      <c r="H123">
        <v>1</v>
      </c>
      <c r="I123" t="s">
        <v>97</v>
      </c>
      <c r="L123" t="str">
        <f t="shared" si="3"/>
        <v>HR15N</v>
      </c>
      <c r="M123">
        <f t="shared" si="4"/>
        <v>0.51</v>
      </c>
      <c r="N123">
        <f t="shared" si="5"/>
        <v>0.50338612658032145</v>
      </c>
      <c r="P123" t="str">
        <f>L120</f>
        <v>HRHW</v>
      </c>
      <c r="R123" s="39"/>
    </row>
    <row r="124" spans="1:18" x14ac:dyDescent="0.25">
      <c r="A124" t="s">
        <v>298</v>
      </c>
      <c r="B124" s="38" t="s">
        <v>277</v>
      </c>
      <c r="C124">
        <v>0.1</v>
      </c>
      <c r="D124">
        <v>0.3</v>
      </c>
      <c r="E124">
        <v>0</v>
      </c>
      <c r="F124">
        <v>0.26645373413322521</v>
      </c>
      <c r="G124">
        <v>0</v>
      </c>
      <c r="H124">
        <v>1</v>
      </c>
      <c r="I124" t="s">
        <v>98</v>
      </c>
      <c r="L124" t="str">
        <f t="shared" si="3"/>
        <v>HR30N</v>
      </c>
      <c r="M124">
        <f t="shared" si="4"/>
        <v>0.3</v>
      </c>
      <c r="N124">
        <f t="shared" si="5"/>
        <v>0.26645373413322521</v>
      </c>
      <c r="P124" t="str">
        <f>L122</f>
        <v>HR15N</v>
      </c>
      <c r="Q124">
        <f t="shared" ref="Q124:R124" si="23">M122</f>
        <v>0.42</v>
      </c>
      <c r="R124" s="39">
        <f t="shared" si="23"/>
        <v>0.40422468063385181</v>
      </c>
    </row>
    <row r="125" spans="1:18" x14ac:dyDescent="0.25">
      <c r="A125" t="s">
        <v>299</v>
      </c>
      <c r="B125" s="38" t="s">
        <v>277</v>
      </c>
      <c r="C125">
        <v>0.1</v>
      </c>
      <c r="D125">
        <v>0.47</v>
      </c>
      <c r="E125">
        <v>0</v>
      </c>
      <c r="F125">
        <v>0.4537593992784496</v>
      </c>
      <c r="G125">
        <v>0</v>
      </c>
      <c r="H125">
        <v>1</v>
      </c>
      <c r="I125" t="s">
        <v>98</v>
      </c>
      <c r="L125" t="str">
        <f t="shared" si="3"/>
        <v>HR30N</v>
      </c>
      <c r="M125">
        <f t="shared" si="4"/>
        <v>0.47</v>
      </c>
      <c r="N125">
        <f t="shared" si="5"/>
        <v>0.4537593992784496</v>
      </c>
      <c r="P125" t="str">
        <f>L125</f>
        <v>HR30N</v>
      </c>
      <c r="Q125">
        <f t="shared" ref="Q125:R125" si="24">M125</f>
        <v>0.47</v>
      </c>
      <c r="R125" s="39">
        <f t="shared" si="24"/>
        <v>0.4537593992784496</v>
      </c>
    </row>
    <row r="126" spans="1:18" x14ac:dyDescent="0.25">
      <c r="A126" t="s">
        <v>300</v>
      </c>
      <c r="B126" s="38" t="s">
        <v>277</v>
      </c>
      <c r="C126">
        <v>0.1</v>
      </c>
      <c r="D126">
        <v>0.54</v>
      </c>
      <c r="E126">
        <v>0</v>
      </c>
      <c r="F126">
        <v>0.52325671752356839</v>
      </c>
      <c r="G126">
        <v>0</v>
      </c>
      <c r="H126">
        <v>1</v>
      </c>
      <c r="I126" t="s">
        <v>98</v>
      </c>
      <c r="L126" t="str">
        <f t="shared" si="3"/>
        <v>HR30N</v>
      </c>
      <c r="M126">
        <f t="shared" si="4"/>
        <v>0.54</v>
      </c>
      <c r="N126">
        <f t="shared" si="5"/>
        <v>0.52325671752356839</v>
      </c>
      <c r="P126" t="str">
        <f>L128</f>
        <v>HR45N</v>
      </c>
      <c r="Q126">
        <f t="shared" ref="Q126:R126" si="25">M128</f>
        <v>0.25</v>
      </c>
      <c r="R126" s="39">
        <f t="shared" si="25"/>
        <v>0.21793942377077957</v>
      </c>
    </row>
    <row r="127" spans="1:18" x14ac:dyDescent="0.25">
      <c r="A127" t="s">
        <v>301</v>
      </c>
      <c r="B127" s="38" t="s">
        <v>277</v>
      </c>
      <c r="C127">
        <v>0.1</v>
      </c>
      <c r="D127">
        <v>0.5</v>
      </c>
      <c r="E127">
        <v>0</v>
      </c>
      <c r="F127">
        <v>0.4736006676869654</v>
      </c>
      <c r="G127">
        <v>0</v>
      </c>
      <c r="H127">
        <v>1</v>
      </c>
      <c r="I127" t="s">
        <v>99</v>
      </c>
      <c r="L127" t="str">
        <f t="shared" si="3"/>
        <v>HR45N</v>
      </c>
      <c r="M127">
        <f t="shared" si="4"/>
        <v>0.5</v>
      </c>
      <c r="N127">
        <f t="shared" si="5"/>
        <v>0.4736006676869654</v>
      </c>
      <c r="P127" t="str">
        <f>L131</f>
        <v>HR15TW</v>
      </c>
      <c r="Q127">
        <f t="shared" ref="Q127:R127" si="26">M131</f>
        <v>0.39</v>
      </c>
      <c r="R127" s="39">
        <f t="shared" si="26"/>
        <v>0.3646883497365106</v>
      </c>
    </row>
    <row r="128" spans="1:18" x14ac:dyDescent="0.25">
      <c r="A128" t="s">
        <v>302</v>
      </c>
      <c r="B128" s="38" t="s">
        <v>277</v>
      </c>
      <c r="C128">
        <v>0.1</v>
      </c>
      <c r="D128">
        <v>0.25</v>
      </c>
      <c r="E128">
        <v>0</v>
      </c>
      <c r="F128">
        <v>0.21793942377077957</v>
      </c>
      <c r="G128">
        <v>0</v>
      </c>
      <c r="H128">
        <v>1</v>
      </c>
      <c r="I128" t="s">
        <v>99</v>
      </c>
      <c r="L128" t="str">
        <f t="shared" si="3"/>
        <v>HR45N</v>
      </c>
      <c r="M128">
        <f t="shared" si="4"/>
        <v>0.25</v>
      </c>
      <c r="N128">
        <f t="shared" si="5"/>
        <v>0.21793942377077957</v>
      </c>
      <c r="P128" t="str">
        <f>L134</f>
        <v>HR30TW</v>
      </c>
      <c r="Q128">
        <f t="shared" ref="Q128:R128" si="27">M134</f>
        <v>0.64</v>
      </c>
      <c r="R128" s="39">
        <f t="shared" si="27"/>
        <v>0.62273396601882847</v>
      </c>
    </row>
    <row r="129" spans="1:18" x14ac:dyDescent="0.25">
      <c r="A129" t="s">
        <v>303</v>
      </c>
      <c r="B129" s="38" t="s">
        <v>277</v>
      </c>
      <c r="C129">
        <v>0.1</v>
      </c>
      <c r="D129">
        <v>0.2</v>
      </c>
      <c r="E129">
        <v>0</v>
      </c>
      <c r="F129">
        <v>0.17971530940223054</v>
      </c>
      <c r="G129">
        <v>0</v>
      </c>
      <c r="H129">
        <v>1</v>
      </c>
      <c r="I129" t="s">
        <v>99</v>
      </c>
      <c r="L129" t="str">
        <f t="shared" si="3"/>
        <v>HR45N</v>
      </c>
      <c r="M129">
        <f t="shared" si="4"/>
        <v>0.2</v>
      </c>
      <c r="N129">
        <f t="shared" si="5"/>
        <v>0.17971530940223054</v>
      </c>
      <c r="P129" t="str">
        <f>L137</f>
        <v>HR45TW</v>
      </c>
      <c r="Q129">
        <f t="shared" ref="Q129:R129" si="28">M137</f>
        <v>0.41</v>
      </c>
      <c r="R129" s="39">
        <f t="shared" si="28"/>
        <v>0.38444452452016981</v>
      </c>
    </row>
    <row r="130" spans="1:18" x14ac:dyDescent="0.25">
      <c r="A130" t="s">
        <v>304</v>
      </c>
      <c r="B130" s="38" t="s">
        <v>277</v>
      </c>
      <c r="C130">
        <v>0.1</v>
      </c>
      <c r="D130">
        <v>0.45</v>
      </c>
      <c r="E130">
        <v>0</v>
      </c>
      <c r="F130">
        <v>0.4141226779995747</v>
      </c>
      <c r="G130">
        <v>0</v>
      </c>
      <c r="H130">
        <v>1</v>
      </c>
      <c r="I130" t="s">
        <v>100</v>
      </c>
      <c r="L130" t="str">
        <f t="shared" ref="L130:L193" si="29">I130</f>
        <v>HR15TW</v>
      </c>
      <c r="M130">
        <f t="shared" ref="M130:M193" si="30">D130</f>
        <v>0.45</v>
      </c>
      <c r="N130">
        <f t="shared" ref="N130:N193" si="31">F130</f>
        <v>0.4141226779995747</v>
      </c>
      <c r="R130" s="39"/>
    </row>
    <row r="131" spans="1:18" x14ac:dyDescent="0.25">
      <c r="A131" t="s">
        <v>305</v>
      </c>
      <c r="B131" s="38" t="s">
        <v>277</v>
      </c>
      <c r="C131">
        <v>0.1</v>
      </c>
      <c r="D131">
        <v>0.39</v>
      </c>
      <c r="E131">
        <v>0</v>
      </c>
      <c r="F131">
        <v>0.3646883497365106</v>
      </c>
      <c r="G131">
        <v>0</v>
      </c>
      <c r="H131">
        <v>1</v>
      </c>
      <c r="I131" t="s">
        <v>100</v>
      </c>
      <c r="L131" t="str">
        <f t="shared" si="29"/>
        <v>HR15TW</v>
      </c>
      <c r="M131">
        <f t="shared" si="30"/>
        <v>0.39</v>
      </c>
      <c r="N131">
        <f t="shared" si="31"/>
        <v>0.3646883497365106</v>
      </c>
      <c r="P131" t="s">
        <v>306</v>
      </c>
      <c r="R131" s="39"/>
    </row>
    <row r="132" spans="1:18" x14ac:dyDescent="0.25">
      <c r="A132" t="s">
        <v>307</v>
      </c>
      <c r="B132" s="38" t="s">
        <v>277</v>
      </c>
      <c r="C132">
        <v>0.1</v>
      </c>
      <c r="D132">
        <v>0.31158530446307792</v>
      </c>
      <c r="E132">
        <v>0</v>
      </c>
      <c r="F132">
        <v>0.29579991959691171</v>
      </c>
      <c r="G132">
        <v>0</v>
      </c>
      <c r="H132">
        <v>1</v>
      </c>
      <c r="I132" t="s">
        <v>100</v>
      </c>
      <c r="L132" t="str">
        <f t="shared" si="29"/>
        <v>HR15TW</v>
      </c>
      <c r="M132">
        <f t="shared" si="30"/>
        <v>0.31158530446307792</v>
      </c>
      <c r="N132">
        <f t="shared" si="31"/>
        <v>0.29579991959691171</v>
      </c>
      <c r="P132" t="str">
        <f>L106</f>
        <v>HRA</v>
      </c>
      <c r="Q132">
        <f t="shared" ref="Q132:R132" si="32">M106</f>
        <v>0.2</v>
      </c>
      <c r="R132" s="39">
        <f t="shared" si="32"/>
        <v>0.17971530940223054</v>
      </c>
    </row>
    <row r="133" spans="1:18" x14ac:dyDescent="0.25">
      <c r="A133" t="s">
        <v>308</v>
      </c>
      <c r="B133" s="38" t="s">
        <v>277</v>
      </c>
      <c r="C133">
        <v>0.1</v>
      </c>
      <c r="D133">
        <v>0.57999999999999996</v>
      </c>
      <c r="E133">
        <v>0</v>
      </c>
      <c r="F133">
        <v>0.55308009585731743</v>
      </c>
      <c r="G133">
        <v>0</v>
      </c>
      <c r="H133">
        <v>1</v>
      </c>
      <c r="I133" t="s">
        <v>101</v>
      </c>
      <c r="L133" t="str">
        <f t="shared" si="29"/>
        <v>HR30TW</v>
      </c>
      <c r="M133">
        <f t="shared" si="30"/>
        <v>0.57999999999999996</v>
      </c>
      <c r="N133">
        <f t="shared" si="31"/>
        <v>0.55308009585731743</v>
      </c>
      <c r="P133" t="str">
        <f>L109</f>
        <v>HRBW</v>
      </c>
      <c r="Q133">
        <f t="shared" ref="Q133:R133" si="33">M109</f>
        <v>0.39</v>
      </c>
      <c r="R133" s="39">
        <f t="shared" si="33"/>
        <v>0.37456320218828149</v>
      </c>
    </row>
    <row r="134" spans="1:18" x14ac:dyDescent="0.25">
      <c r="A134" t="s">
        <v>309</v>
      </c>
      <c r="B134" s="38" t="s">
        <v>277</v>
      </c>
      <c r="C134">
        <v>0.1</v>
      </c>
      <c r="D134">
        <v>0.64</v>
      </c>
      <c r="E134">
        <v>0</v>
      </c>
      <c r="F134">
        <v>0.62273396601882847</v>
      </c>
      <c r="G134">
        <v>0</v>
      </c>
      <c r="H134">
        <v>1</v>
      </c>
      <c r="I134" t="s">
        <v>101</v>
      </c>
      <c r="L134" t="str">
        <f t="shared" si="29"/>
        <v>HR30TW</v>
      </c>
      <c r="M134">
        <f t="shared" si="30"/>
        <v>0.64</v>
      </c>
      <c r="N134">
        <f t="shared" si="31"/>
        <v>0.62273396601882847</v>
      </c>
      <c r="P134" t="str">
        <f>L112</f>
        <v>HRC</v>
      </c>
      <c r="Q134">
        <f t="shared" ref="Q134:R134" si="34">M112</f>
        <v>0.32</v>
      </c>
      <c r="R134" s="39">
        <f t="shared" si="34"/>
        <v>0.31543238963926873</v>
      </c>
    </row>
    <row r="135" spans="1:18" x14ac:dyDescent="0.25">
      <c r="A135" t="s">
        <v>310</v>
      </c>
      <c r="B135" s="38" t="s">
        <v>277</v>
      </c>
      <c r="C135">
        <v>0.1</v>
      </c>
      <c r="D135">
        <v>0.22</v>
      </c>
      <c r="E135">
        <v>0</v>
      </c>
      <c r="F135">
        <v>0.19874001216045914</v>
      </c>
      <c r="G135">
        <v>0</v>
      </c>
      <c r="H135">
        <v>1</v>
      </c>
      <c r="I135" t="s">
        <v>101</v>
      </c>
      <c r="L135" t="str">
        <f t="shared" si="29"/>
        <v>HR30TW</v>
      </c>
      <c r="M135">
        <f t="shared" si="30"/>
        <v>0.22</v>
      </c>
      <c r="N135">
        <f t="shared" si="31"/>
        <v>0.19874001216045914</v>
      </c>
      <c r="P135" t="str">
        <f>L115</f>
        <v>HREW</v>
      </c>
      <c r="Q135">
        <f t="shared" ref="Q135:R135" si="35">M115</f>
        <v>0.49</v>
      </c>
      <c r="R135" s="39">
        <f t="shared" si="35"/>
        <v>0.48352620656334588</v>
      </c>
    </row>
    <row r="136" spans="1:18" x14ac:dyDescent="0.25">
      <c r="A136" t="s">
        <v>311</v>
      </c>
      <c r="B136" s="38" t="s">
        <v>277</v>
      </c>
      <c r="C136">
        <v>0.1</v>
      </c>
      <c r="D136">
        <v>0.7</v>
      </c>
      <c r="E136">
        <v>0</v>
      </c>
      <c r="F136">
        <v>0.68249365743099732</v>
      </c>
      <c r="G136">
        <v>0</v>
      </c>
      <c r="H136">
        <v>1</v>
      </c>
      <c r="I136" t="s">
        <v>102</v>
      </c>
      <c r="L136" t="str">
        <f t="shared" si="29"/>
        <v>HR45TW</v>
      </c>
      <c r="M136">
        <f t="shared" si="30"/>
        <v>0.7</v>
      </c>
      <c r="N136">
        <f t="shared" si="31"/>
        <v>0.68249365743099732</v>
      </c>
      <c r="P136" t="str">
        <f>L118</f>
        <v>HRFW</v>
      </c>
      <c r="Q136">
        <f t="shared" ref="Q136:R136" si="36">M118</f>
        <v>0.45</v>
      </c>
      <c r="R136" s="39">
        <f t="shared" si="36"/>
        <v>0.44384410825597254</v>
      </c>
    </row>
    <row r="137" spans="1:18" x14ac:dyDescent="0.25">
      <c r="A137" t="s">
        <v>312</v>
      </c>
      <c r="B137" s="38" t="s">
        <v>277</v>
      </c>
      <c r="C137">
        <v>0.1</v>
      </c>
      <c r="D137">
        <v>0.41</v>
      </c>
      <c r="E137">
        <v>0</v>
      </c>
      <c r="F137">
        <v>0.38444452452016981</v>
      </c>
      <c r="G137">
        <v>0</v>
      </c>
      <c r="H137">
        <v>1</v>
      </c>
      <c r="I137" t="s">
        <v>102</v>
      </c>
      <c r="L137" t="str">
        <f t="shared" si="29"/>
        <v>HR45TW</v>
      </c>
      <c r="M137">
        <f t="shared" si="30"/>
        <v>0.41</v>
      </c>
      <c r="N137">
        <f t="shared" si="31"/>
        <v>0.38444452452016981</v>
      </c>
      <c r="P137" t="str">
        <f>L120</f>
        <v>HRHW</v>
      </c>
      <c r="Q137">
        <f t="shared" ref="Q137:R137" si="37">M120</f>
        <v>0.36</v>
      </c>
      <c r="R137" s="39">
        <f t="shared" si="37"/>
        <v>0.35482050734637566</v>
      </c>
    </row>
    <row r="138" spans="1:18" ht="15.75" thickBot="1" x14ac:dyDescent="0.3">
      <c r="A138" t="s">
        <v>313</v>
      </c>
      <c r="B138" s="40" t="s">
        <v>277</v>
      </c>
      <c r="C138" s="41">
        <v>0.1</v>
      </c>
      <c r="D138" s="41">
        <v>0.39</v>
      </c>
      <c r="E138" s="41">
        <v>0</v>
      </c>
      <c r="F138" s="41">
        <v>0.37456320218828149</v>
      </c>
      <c r="G138" s="41">
        <v>0</v>
      </c>
      <c r="H138" s="41">
        <v>1</v>
      </c>
      <c r="I138" s="41" t="s">
        <v>102</v>
      </c>
      <c r="J138" s="42"/>
      <c r="K138" s="41"/>
      <c r="L138" s="41" t="str">
        <f t="shared" si="29"/>
        <v>HR45TW</v>
      </c>
      <c r="M138" s="41">
        <f t="shared" si="30"/>
        <v>0.39</v>
      </c>
      <c r="N138" s="41">
        <f t="shared" si="31"/>
        <v>0.37456320218828149</v>
      </c>
      <c r="O138" s="41"/>
      <c r="P138" s="41" t="str">
        <f>L123</f>
        <v>HR15N</v>
      </c>
      <c r="Q138" s="41">
        <f t="shared" ref="Q138:R138" si="38">M123</f>
        <v>0.51</v>
      </c>
      <c r="R138" s="43">
        <f t="shared" si="38"/>
        <v>0.50338612658032145</v>
      </c>
    </row>
    <row r="139" spans="1:18" x14ac:dyDescent="0.25">
      <c r="A139" t="s">
        <v>314</v>
      </c>
      <c r="B139" t="s">
        <v>315</v>
      </c>
      <c r="C139">
        <v>1E-3</v>
      </c>
      <c r="D139">
        <v>9.8999999999999991E-3</v>
      </c>
      <c r="E139">
        <v>3.6999999999999998E-5</v>
      </c>
      <c r="F139">
        <v>8.2681000000000004E-3</v>
      </c>
      <c r="G139">
        <v>1.8526000000000001E-7</v>
      </c>
      <c r="H139">
        <v>1</v>
      </c>
      <c r="I139" t="s">
        <v>316</v>
      </c>
      <c r="L139" t="str">
        <f t="shared" si="29"/>
        <v>inHg</v>
      </c>
      <c r="M139">
        <f t="shared" si="30"/>
        <v>9.8999999999999991E-3</v>
      </c>
      <c r="N139">
        <f t="shared" si="31"/>
        <v>8.2681000000000004E-3</v>
      </c>
      <c r="P139" t="str">
        <f>L126</f>
        <v>HR30N</v>
      </c>
      <c r="Q139">
        <f t="shared" ref="Q139:R139" si="39">M126</f>
        <v>0.54</v>
      </c>
      <c r="R139">
        <f t="shared" si="39"/>
        <v>0.52325671752356839</v>
      </c>
    </row>
    <row r="140" spans="1:18" x14ac:dyDescent="0.25">
      <c r="A140" t="s">
        <v>317</v>
      </c>
      <c r="B140" t="s">
        <v>315</v>
      </c>
      <c r="C140">
        <v>5.0000000000000001E-3</v>
      </c>
      <c r="D140">
        <v>9.8999999999999991E-3</v>
      </c>
      <c r="E140">
        <v>1.2038999999999999E-3</v>
      </c>
      <c r="F140">
        <v>7.5380000000000004E-3</v>
      </c>
      <c r="G140">
        <v>1.2030000000000001E-3</v>
      </c>
      <c r="H140">
        <v>1</v>
      </c>
      <c r="I140" t="s">
        <v>316</v>
      </c>
      <c r="L140" t="str">
        <f t="shared" si="29"/>
        <v>inHg</v>
      </c>
      <c r="M140">
        <f t="shared" si="30"/>
        <v>9.8999999999999991E-3</v>
      </c>
      <c r="N140">
        <f t="shared" si="31"/>
        <v>7.5380000000000004E-3</v>
      </c>
      <c r="P140" t="str">
        <f>L129</f>
        <v>HR45N</v>
      </c>
      <c r="Q140">
        <f t="shared" ref="Q140:R140" si="40">M129</f>
        <v>0.2</v>
      </c>
      <c r="R140">
        <f t="shared" si="40"/>
        <v>0.17971530940223054</v>
      </c>
    </row>
    <row r="141" spans="1:18" x14ac:dyDescent="0.25">
      <c r="A141" t="s">
        <v>318</v>
      </c>
      <c r="B141" t="s">
        <v>315</v>
      </c>
      <c r="C141">
        <v>0.01</v>
      </c>
      <c r="D141">
        <v>9.8999999999999991E-3</v>
      </c>
      <c r="E141">
        <v>1.2059E-3</v>
      </c>
      <c r="F141">
        <v>8.9102999999999995E-3</v>
      </c>
      <c r="G141">
        <v>1.1714E-3</v>
      </c>
      <c r="H141">
        <v>1</v>
      </c>
      <c r="I141" t="s">
        <v>316</v>
      </c>
      <c r="L141" t="str">
        <f t="shared" si="29"/>
        <v>inHg</v>
      </c>
      <c r="M141">
        <f t="shared" si="30"/>
        <v>9.8999999999999991E-3</v>
      </c>
      <c r="N141">
        <f t="shared" si="31"/>
        <v>8.9102999999999995E-3</v>
      </c>
      <c r="P141" t="str">
        <f>L132</f>
        <v>HR15TW</v>
      </c>
      <c r="Q141">
        <f t="shared" ref="Q141:R141" si="41">M132</f>
        <v>0.31158530446307792</v>
      </c>
      <c r="R141">
        <f t="shared" si="41"/>
        <v>0.29579991959691171</v>
      </c>
    </row>
    <row r="142" spans="1:18" x14ac:dyDescent="0.25">
      <c r="A142" t="s">
        <v>319</v>
      </c>
      <c r="B142" t="s">
        <v>315</v>
      </c>
      <c r="C142">
        <v>0.05</v>
      </c>
      <c r="D142">
        <v>3.3359E-2</v>
      </c>
      <c r="E142">
        <v>8.0077000000000002E-4</v>
      </c>
      <c r="F142">
        <v>3.2834000000000002E-2</v>
      </c>
      <c r="G142">
        <v>7.0724000000000004E-4</v>
      </c>
      <c r="H142">
        <v>1</v>
      </c>
      <c r="I142" t="s">
        <v>316</v>
      </c>
      <c r="L142" t="str">
        <f t="shared" si="29"/>
        <v>inHg</v>
      </c>
      <c r="M142">
        <f t="shared" si="30"/>
        <v>3.3359E-2</v>
      </c>
      <c r="N142">
        <f t="shared" si="31"/>
        <v>3.2834000000000002E-2</v>
      </c>
      <c r="P142" t="str">
        <f>L135</f>
        <v>HR30TW</v>
      </c>
      <c r="Q142">
        <f t="shared" ref="Q142:R142" si="42">M135</f>
        <v>0.22</v>
      </c>
      <c r="R142">
        <f t="shared" si="42"/>
        <v>0.19874001216045914</v>
      </c>
    </row>
    <row r="143" spans="1:18" x14ac:dyDescent="0.25">
      <c r="A143" t="s">
        <v>320</v>
      </c>
      <c r="B143" t="s">
        <v>315</v>
      </c>
      <c r="C143">
        <v>0.1</v>
      </c>
      <c r="D143">
        <v>6.0157000000000002E-2</v>
      </c>
      <c r="E143">
        <v>5.3638999999999998E-4</v>
      </c>
      <c r="F143">
        <v>5.9927000000000001E-2</v>
      </c>
      <c r="G143">
        <v>4.7197999999999999E-4</v>
      </c>
      <c r="H143">
        <v>1</v>
      </c>
      <c r="I143" t="s">
        <v>316</v>
      </c>
      <c r="L143" t="str">
        <f t="shared" si="29"/>
        <v>inHg</v>
      </c>
      <c r="M143">
        <f t="shared" si="30"/>
        <v>6.0157000000000002E-2</v>
      </c>
      <c r="N143">
        <f t="shared" si="31"/>
        <v>5.9927000000000001E-2</v>
      </c>
      <c r="P143" t="str">
        <f>L138</f>
        <v>HR45TW</v>
      </c>
      <c r="Q143">
        <f t="shared" ref="Q143:R143" si="43">M138</f>
        <v>0.39</v>
      </c>
      <c r="R143">
        <f t="shared" si="43"/>
        <v>0.37456320218828149</v>
      </c>
    </row>
    <row r="144" spans="1:18" x14ac:dyDescent="0.25">
      <c r="A144" t="s">
        <v>321</v>
      </c>
      <c r="B144" t="s">
        <v>315</v>
      </c>
      <c r="C144">
        <v>0.5</v>
      </c>
      <c r="D144">
        <v>0.29059000000000001</v>
      </c>
      <c r="E144">
        <v>1.9249999999999999E-4</v>
      </c>
      <c r="F144">
        <v>0.29002</v>
      </c>
      <c r="G144">
        <v>1.1064E-4</v>
      </c>
      <c r="H144">
        <v>1</v>
      </c>
      <c r="I144" t="s">
        <v>316</v>
      </c>
      <c r="L144" t="str">
        <f t="shared" si="29"/>
        <v>inHg</v>
      </c>
      <c r="M144">
        <f t="shared" si="30"/>
        <v>0.29059000000000001</v>
      </c>
      <c r="N144">
        <f t="shared" si="31"/>
        <v>0.29002</v>
      </c>
    </row>
    <row r="145" spans="1:14" x14ac:dyDescent="0.25">
      <c r="A145" t="s">
        <v>322</v>
      </c>
      <c r="B145" t="s">
        <v>315</v>
      </c>
      <c r="C145">
        <v>1</v>
      </c>
      <c r="D145">
        <v>0.58038999999999996</v>
      </c>
      <c r="E145">
        <v>1.3531E-4</v>
      </c>
      <c r="F145">
        <v>0.57977000000000001</v>
      </c>
      <c r="G145">
        <v>5.5659999999999999E-5</v>
      </c>
      <c r="H145">
        <v>1</v>
      </c>
      <c r="I145" t="s">
        <v>316</v>
      </c>
      <c r="L145" t="str">
        <f t="shared" si="29"/>
        <v>inHg</v>
      </c>
      <c r="M145">
        <f t="shared" si="30"/>
        <v>0.58038999999999996</v>
      </c>
      <c r="N145">
        <f t="shared" si="31"/>
        <v>0.57977000000000001</v>
      </c>
    </row>
    <row r="146" spans="1:14" x14ac:dyDescent="0.25">
      <c r="A146" t="s">
        <v>323</v>
      </c>
      <c r="B146" t="s">
        <v>315</v>
      </c>
      <c r="C146">
        <v>0.01</v>
      </c>
      <c r="D146">
        <v>0.15000000000000002</v>
      </c>
      <c r="E146">
        <v>2.0999999999999999E-5</v>
      </c>
      <c r="F146">
        <v>0.14188999999999999</v>
      </c>
      <c r="G146">
        <v>1.0516999999999999E-5</v>
      </c>
      <c r="H146">
        <v>1</v>
      </c>
      <c r="I146" t="s">
        <v>316</v>
      </c>
      <c r="L146" t="str">
        <f t="shared" si="29"/>
        <v>inHg</v>
      </c>
      <c r="M146">
        <f t="shared" si="30"/>
        <v>0.15000000000000002</v>
      </c>
      <c r="N146">
        <f t="shared" si="31"/>
        <v>0.14188999999999999</v>
      </c>
    </row>
    <row r="147" spans="1:14" x14ac:dyDescent="0.25">
      <c r="A147" t="s">
        <v>324</v>
      </c>
      <c r="B147" t="s">
        <v>315</v>
      </c>
      <c r="C147">
        <v>0.05</v>
      </c>
      <c r="D147">
        <v>0.15000000000000002</v>
      </c>
      <c r="E147">
        <v>4.1234000000000003E-4</v>
      </c>
      <c r="F147">
        <v>0.13372000000000001</v>
      </c>
      <c r="G147">
        <v>3.9606999999999999E-4</v>
      </c>
      <c r="H147">
        <v>1</v>
      </c>
      <c r="I147" t="s">
        <v>316</v>
      </c>
      <c r="L147" t="str">
        <f t="shared" si="29"/>
        <v>inHg</v>
      </c>
      <c r="M147">
        <f t="shared" si="30"/>
        <v>0.15000000000000002</v>
      </c>
      <c r="N147">
        <f t="shared" si="31"/>
        <v>0.13372000000000001</v>
      </c>
    </row>
    <row r="148" spans="1:14" x14ac:dyDescent="0.25">
      <c r="A148" t="s">
        <v>325</v>
      </c>
      <c r="B148" t="s">
        <v>315</v>
      </c>
      <c r="C148">
        <v>0.1</v>
      </c>
      <c r="D148">
        <v>0.15000000000000002</v>
      </c>
      <c r="E148">
        <v>4.0759999999999999E-4</v>
      </c>
      <c r="F148">
        <v>0.14270000000000002</v>
      </c>
      <c r="G148">
        <v>3.7757999999999997E-4</v>
      </c>
      <c r="H148">
        <v>1</v>
      </c>
      <c r="I148" t="s">
        <v>316</v>
      </c>
      <c r="L148" t="str">
        <f t="shared" si="29"/>
        <v>inHg</v>
      </c>
      <c r="M148">
        <f t="shared" si="30"/>
        <v>0.15000000000000002</v>
      </c>
      <c r="N148">
        <f t="shared" si="31"/>
        <v>0.14270000000000002</v>
      </c>
    </row>
    <row r="149" spans="1:14" x14ac:dyDescent="0.25">
      <c r="A149" t="s">
        <v>326</v>
      </c>
      <c r="B149" t="s">
        <v>315</v>
      </c>
      <c r="C149">
        <v>0.5</v>
      </c>
      <c r="D149">
        <v>0.31819999999999998</v>
      </c>
      <c r="E149">
        <v>2.1778999999999999E-4</v>
      </c>
      <c r="F149">
        <v>0.31835000000000002</v>
      </c>
      <c r="G149">
        <v>1.8251000000000001E-4</v>
      </c>
      <c r="H149">
        <v>1</v>
      </c>
      <c r="I149" t="s">
        <v>316</v>
      </c>
      <c r="L149" t="str">
        <f t="shared" si="29"/>
        <v>inHg</v>
      </c>
      <c r="M149">
        <f t="shared" si="30"/>
        <v>0.31819999999999998</v>
      </c>
      <c r="N149">
        <f t="shared" si="31"/>
        <v>0.31835000000000002</v>
      </c>
    </row>
    <row r="150" spans="1:14" x14ac:dyDescent="0.25">
      <c r="A150" t="s">
        <v>327</v>
      </c>
      <c r="B150" t="s">
        <v>315</v>
      </c>
      <c r="C150">
        <v>1</v>
      </c>
      <c r="D150">
        <v>0.59453999999999996</v>
      </c>
      <c r="E150">
        <v>1.1718999999999999E-4</v>
      </c>
      <c r="F150">
        <v>0.59462999999999999</v>
      </c>
      <c r="G150">
        <v>1.0022E-4</v>
      </c>
      <c r="H150">
        <v>1</v>
      </c>
      <c r="I150" t="s">
        <v>316</v>
      </c>
      <c r="L150" t="str">
        <f t="shared" si="29"/>
        <v>inHg</v>
      </c>
      <c r="M150">
        <f t="shared" si="30"/>
        <v>0.59453999999999996</v>
      </c>
      <c r="N150">
        <f t="shared" si="31"/>
        <v>0.59462999999999999</v>
      </c>
    </row>
    <row r="151" spans="1:14" x14ac:dyDescent="0.25">
      <c r="A151" t="s">
        <v>328</v>
      </c>
      <c r="B151" t="s">
        <v>329</v>
      </c>
      <c r="C151">
        <v>1</v>
      </c>
      <c r="D151">
        <v>2.6</v>
      </c>
      <c r="E151">
        <v>1.5999999999999999E-5</v>
      </c>
      <c r="F151">
        <v>2.5579999999999998</v>
      </c>
      <c r="G151">
        <v>9.9593999999999999E-6</v>
      </c>
      <c r="H151">
        <v>1</v>
      </c>
      <c r="I151" t="s">
        <v>330</v>
      </c>
      <c r="L151" t="str">
        <f t="shared" si="29"/>
        <v>psi</v>
      </c>
      <c r="M151">
        <f t="shared" si="30"/>
        <v>2.6</v>
      </c>
      <c r="N151">
        <f t="shared" si="31"/>
        <v>2.5579999999999998</v>
      </c>
    </row>
    <row r="152" spans="1:14" x14ac:dyDescent="0.25">
      <c r="A152" t="s">
        <v>331</v>
      </c>
      <c r="B152" t="s">
        <v>329</v>
      </c>
      <c r="C152">
        <v>5</v>
      </c>
      <c r="D152">
        <v>3.7030000000000003</v>
      </c>
      <c r="E152">
        <v>2.2672999999999999E-4</v>
      </c>
      <c r="F152">
        <v>3.6890000000000001</v>
      </c>
      <c r="G152">
        <v>2.2209000000000001E-4</v>
      </c>
      <c r="H152">
        <v>1</v>
      </c>
      <c r="I152" t="s">
        <v>330</v>
      </c>
      <c r="L152" t="str">
        <f t="shared" si="29"/>
        <v>psi</v>
      </c>
      <c r="M152">
        <f t="shared" si="30"/>
        <v>3.7030000000000003</v>
      </c>
      <c r="N152">
        <f t="shared" si="31"/>
        <v>3.6890000000000001</v>
      </c>
    </row>
    <row r="153" spans="1:14" x14ac:dyDescent="0.25">
      <c r="A153" t="s">
        <v>332</v>
      </c>
      <c r="B153" t="s">
        <v>329</v>
      </c>
      <c r="C153">
        <v>10</v>
      </c>
      <c r="D153">
        <v>6.2370000000000001</v>
      </c>
      <c r="E153">
        <v>1.6072999999999999E-4</v>
      </c>
      <c r="F153">
        <v>6.2216999999999993</v>
      </c>
      <c r="G153">
        <v>1.5343999999999999E-4</v>
      </c>
      <c r="H153">
        <v>1</v>
      </c>
      <c r="I153" t="s">
        <v>330</v>
      </c>
      <c r="L153" t="str">
        <f t="shared" si="29"/>
        <v>psi</v>
      </c>
      <c r="M153">
        <f t="shared" si="30"/>
        <v>6.2370000000000001</v>
      </c>
      <c r="N153">
        <f t="shared" si="31"/>
        <v>6.2216999999999993</v>
      </c>
    </row>
    <row r="154" spans="1:14" x14ac:dyDescent="0.25">
      <c r="A154" t="s">
        <v>333</v>
      </c>
      <c r="B154" t="s">
        <v>329</v>
      </c>
      <c r="C154">
        <v>25</v>
      </c>
      <c r="D154">
        <v>14.962999999999999</v>
      </c>
      <c r="E154">
        <v>4.8541999999999997E-5</v>
      </c>
      <c r="F154">
        <v>14.955</v>
      </c>
      <c r="G154">
        <v>4.3288000000000003E-5</v>
      </c>
      <c r="H154">
        <v>1</v>
      </c>
      <c r="I154" t="s">
        <v>330</v>
      </c>
      <c r="L154" t="str">
        <f t="shared" si="29"/>
        <v>psi</v>
      </c>
      <c r="M154">
        <f t="shared" si="30"/>
        <v>14.962999999999999</v>
      </c>
      <c r="N154">
        <f t="shared" si="31"/>
        <v>14.955</v>
      </c>
    </row>
    <row r="155" spans="1:14" x14ac:dyDescent="0.25">
      <c r="A155" t="s">
        <v>334</v>
      </c>
      <c r="B155" t="s">
        <v>329</v>
      </c>
      <c r="C155">
        <v>50</v>
      </c>
      <c r="D155">
        <v>29.236000000000001</v>
      </c>
      <c r="E155">
        <v>2.6625E-5</v>
      </c>
      <c r="F155">
        <v>29.23</v>
      </c>
      <c r="G155">
        <v>2.2393000000000001E-5</v>
      </c>
      <c r="H155">
        <v>1</v>
      </c>
      <c r="I155" t="s">
        <v>330</v>
      </c>
      <c r="L155" t="str">
        <f t="shared" si="29"/>
        <v>psi</v>
      </c>
      <c r="M155">
        <f t="shared" si="30"/>
        <v>29.236000000000001</v>
      </c>
      <c r="N155">
        <f t="shared" si="31"/>
        <v>29.23</v>
      </c>
    </row>
    <row r="156" spans="1:14" x14ac:dyDescent="0.25">
      <c r="A156" t="s">
        <v>335</v>
      </c>
      <c r="B156" t="s">
        <v>329</v>
      </c>
      <c r="C156">
        <v>100</v>
      </c>
      <c r="D156">
        <v>58.120999999999995</v>
      </c>
      <c r="E156">
        <v>1.5407E-5</v>
      </c>
      <c r="F156">
        <v>58.11</v>
      </c>
      <c r="G156">
        <v>1.1297E-5</v>
      </c>
      <c r="H156">
        <v>1</v>
      </c>
      <c r="I156" t="s">
        <v>330</v>
      </c>
      <c r="L156" t="str">
        <f t="shared" si="29"/>
        <v>psi</v>
      </c>
      <c r="M156">
        <f t="shared" si="30"/>
        <v>58.120999999999995</v>
      </c>
      <c r="N156">
        <f t="shared" si="31"/>
        <v>58.11</v>
      </c>
    </row>
    <row r="157" spans="1:14" x14ac:dyDescent="0.25">
      <c r="A157" t="s">
        <v>336</v>
      </c>
      <c r="B157" t="s">
        <v>329</v>
      </c>
      <c r="C157">
        <v>0.01</v>
      </c>
      <c r="D157">
        <v>0.14000000000000001</v>
      </c>
      <c r="E157">
        <v>1.2999999999999999E-4</v>
      </c>
      <c r="F157">
        <v>0.13481000000000001</v>
      </c>
      <c r="G157">
        <v>1.2769999999999999E-4</v>
      </c>
      <c r="H157">
        <v>1</v>
      </c>
      <c r="I157" t="s">
        <v>330</v>
      </c>
      <c r="L157" t="str">
        <f t="shared" si="29"/>
        <v>psi</v>
      </c>
      <c r="M157">
        <f t="shared" si="30"/>
        <v>0.14000000000000001</v>
      </c>
      <c r="N157">
        <f t="shared" si="31"/>
        <v>0.13481000000000001</v>
      </c>
    </row>
    <row r="158" spans="1:14" x14ac:dyDescent="0.25">
      <c r="A158" t="s">
        <v>337</v>
      </c>
      <c r="B158" t="s">
        <v>329</v>
      </c>
      <c r="C158">
        <v>0.05</v>
      </c>
      <c r="D158">
        <v>0.14000000000000001</v>
      </c>
      <c r="E158">
        <v>1.683E-4</v>
      </c>
      <c r="F158">
        <v>0.12765000000000001</v>
      </c>
      <c r="G158">
        <v>1.6595999999999999E-4</v>
      </c>
      <c r="H158">
        <v>1</v>
      </c>
      <c r="I158" t="s">
        <v>330</v>
      </c>
      <c r="L158" t="str">
        <f t="shared" si="29"/>
        <v>psi</v>
      </c>
      <c r="M158">
        <f t="shared" si="30"/>
        <v>0.14000000000000001</v>
      </c>
      <c r="N158">
        <f t="shared" si="31"/>
        <v>0.12765000000000001</v>
      </c>
    </row>
    <row r="159" spans="1:14" x14ac:dyDescent="0.25">
      <c r="A159" t="s">
        <v>338</v>
      </c>
      <c r="B159" t="s">
        <v>329</v>
      </c>
      <c r="C159">
        <v>0.1</v>
      </c>
      <c r="D159">
        <v>0.14000000000000001</v>
      </c>
      <c r="E159">
        <v>1.6206E-4</v>
      </c>
      <c r="F159">
        <v>0.13702</v>
      </c>
      <c r="G159">
        <v>1.6595E-4</v>
      </c>
      <c r="H159">
        <v>1</v>
      </c>
      <c r="I159" t="s">
        <v>330</v>
      </c>
      <c r="L159" t="str">
        <f t="shared" si="29"/>
        <v>psi</v>
      </c>
      <c r="M159">
        <f t="shared" si="30"/>
        <v>0.14000000000000001</v>
      </c>
      <c r="N159">
        <f t="shared" si="31"/>
        <v>0.13702</v>
      </c>
    </row>
    <row r="160" spans="1:14" x14ac:dyDescent="0.25">
      <c r="A160" t="s">
        <v>339</v>
      </c>
      <c r="B160" t="s">
        <v>329</v>
      </c>
      <c r="C160">
        <v>0.5</v>
      </c>
      <c r="D160">
        <v>0.31788</v>
      </c>
      <c r="E160">
        <v>8.3065000000000005E-5</v>
      </c>
      <c r="F160">
        <v>0.31863000000000002</v>
      </c>
      <c r="G160">
        <v>1.6595999999999999E-4</v>
      </c>
      <c r="H160">
        <v>1</v>
      </c>
      <c r="I160" t="s">
        <v>330</v>
      </c>
      <c r="L160" t="str">
        <f t="shared" si="29"/>
        <v>psi</v>
      </c>
      <c r="M160">
        <f t="shared" si="30"/>
        <v>0.31788</v>
      </c>
      <c r="N160">
        <f t="shared" si="31"/>
        <v>0.31863000000000002</v>
      </c>
    </row>
    <row r="161" spans="1:14" x14ac:dyDescent="0.25">
      <c r="A161" t="s">
        <v>340</v>
      </c>
      <c r="B161" t="s">
        <v>329</v>
      </c>
      <c r="C161">
        <v>1</v>
      </c>
      <c r="D161">
        <v>0.59440999999999999</v>
      </c>
      <c r="E161">
        <v>4.5330000000000001E-5</v>
      </c>
      <c r="F161">
        <v>0.59477999999999998</v>
      </c>
      <c r="G161">
        <v>1.6597000000000001E-4</v>
      </c>
      <c r="H161">
        <v>1</v>
      </c>
      <c r="I161" t="s">
        <v>330</v>
      </c>
      <c r="L161" t="str">
        <f t="shared" si="29"/>
        <v>psi</v>
      </c>
      <c r="M161">
        <f t="shared" si="30"/>
        <v>0.59440999999999999</v>
      </c>
      <c r="N161">
        <f t="shared" si="31"/>
        <v>0.59477999999999998</v>
      </c>
    </row>
    <row r="162" spans="1:14" x14ac:dyDescent="0.25">
      <c r="A162" t="s">
        <v>341</v>
      </c>
      <c r="B162" t="s">
        <v>329</v>
      </c>
      <c r="C162">
        <v>2</v>
      </c>
      <c r="D162">
        <v>1.1649</v>
      </c>
      <c r="E162">
        <v>2.5761E-5</v>
      </c>
      <c r="F162">
        <v>1.1638999999999999</v>
      </c>
      <c r="G162">
        <v>1.6598000000000001E-4</v>
      </c>
      <c r="H162">
        <v>1</v>
      </c>
      <c r="I162" t="s">
        <v>330</v>
      </c>
      <c r="L162" t="str">
        <f t="shared" si="29"/>
        <v>psi</v>
      </c>
      <c r="M162">
        <f t="shared" si="30"/>
        <v>1.1649</v>
      </c>
      <c r="N162">
        <f t="shared" si="31"/>
        <v>1.1638999999999999</v>
      </c>
    </row>
    <row r="163" spans="1:14" x14ac:dyDescent="0.25">
      <c r="A163" t="s">
        <v>342</v>
      </c>
      <c r="B163" t="s">
        <v>329</v>
      </c>
      <c r="C163">
        <v>2.5</v>
      </c>
      <c r="D163">
        <v>1.4539</v>
      </c>
      <c r="E163">
        <v>2.1001000000000001E-5</v>
      </c>
      <c r="F163">
        <v>1.4526999999999999</v>
      </c>
      <c r="G163">
        <v>1.6599E-4</v>
      </c>
      <c r="H163">
        <v>1</v>
      </c>
      <c r="I163" t="s">
        <v>330</v>
      </c>
      <c r="L163" t="str">
        <f t="shared" si="29"/>
        <v>psi</v>
      </c>
      <c r="M163">
        <f t="shared" si="30"/>
        <v>1.4539</v>
      </c>
      <c r="N163">
        <f t="shared" si="31"/>
        <v>1.4526999999999999</v>
      </c>
    </row>
    <row r="164" spans="1:14" x14ac:dyDescent="0.25">
      <c r="A164" t="s">
        <v>343</v>
      </c>
      <c r="B164" t="s">
        <v>329</v>
      </c>
      <c r="C164">
        <v>5</v>
      </c>
      <c r="D164">
        <v>2.9019000000000004</v>
      </c>
      <c r="E164">
        <v>1.1466E-5</v>
      </c>
      <c r="F164">
        <v>2.9003000000000001</v>
      </c>
      <c r="G164">
        <v>1.6590999999999999E-4</v>
      </c>
      <c r="H164">
        <v>1</v>
      </c>
      <c r="I164" t="s">
        <v>330</v>
      </c>
      <c r="L164" t="str">
        <f t="shared" si="29"/>
        <v>psi</v>
      </c>
      <c r="M164">
        <f t="shared" si="30"/>
        <v>2.9019000000000004</v>
      </c>
      <c r="N164">
        <f t="shared" si="31"/>
        <v>2.9003000000000001</v>
      </c>
    </row>
    <row r="165" spans="1:14" x14ac:dyDescent="0.25">
      <c r="A165" t="s">
        <v>344</v>
      </c>
      <c r="B165" t="s">
        <v>329</v>
      </c>
      <c r="C165">
        <v>10</v>
      </c>
      <c r="D165">
        <v>5.8008999999999995</v>
      </c>
      <c r="E165">
        <v>6.9469999999999997E-6</v>
      </c>
      <c r="F165">
        <v>5.7991000000000001</v>
      </c>
      <c r="G165">
        <v>1.6590999999999999E-4</v>
      </c>
      <c r="H165">
        <v>1</v>
      </c>
      <c r="I165" t="s">
        <v>330</v>
      </c>
      <c r="L165" t="str">
        <f t="shared" si="29"/>
        <v>psi</v>
      </c>
      <c r="M165">
        <f t="shared" si="30"/>
        <v>5.8008999999999995</v>
      </c>
      <c r="N165">
        <f t="shared" si="31"/>
        <v>5.7991000000000001</v>
      </c>
    </row>
    <row r="166" spans="1:14" x14ac:dyDescent="0.25">
      <c r="A166" t="s">
        <v>345</v>
      </c>
      <c r="B166" t="s">
        <v>329</v>
      </c>
      <c r="C166">
        <v>1E-3</v>
      </c>
      <c r="D166">
        <v>4.1000000000000003E-3</v>
      </c>
      <c r="E166">
        <v>2.3999999999999998E-3</v>
      </c>
      <c r="F166">
        <v>4.0363999999999999E-3</v>
      </c>
      <c r="G166">
        <v>9.7571999999999995E-7</v>
      </c>
      <c r="H166">
        <v>1</v>
      </c>
      <c r="I166" t="s">
        <v>330</v>
      </c>
      <c r="L166" t="str">
        <f t="shared" si="29"/>
        <v>psi</v>
      </c>
      <c r="M166">
        <f t="shared" si="30"/>
        <v>4.1000000000000003E-3</v>
      </c>
      <c r="N166">
        <f t="shared" si="31"/>
        <v>4.0363999999999999E-3</v>
      </c>
    </row>
    <row r="167" spans="1:14" x14ac:dyDescent="0.25">
      <c r="A167" t="s">
        <v>346</v>
      </c>
      <c r="B167" t="s">
        <v>329</v>
      </c>
      <c r="C167">
        <v>5.0000000000000001E-3</v>
      </c>
      <c r="D167">
        <v>4.9505E-3</v>
      </c>
      <c r="E167">
        <v>1.1244E-3</v>
      </c>
      <c r="F167">
        <v>4.9362E-3</v>
      </c>
      <c r="G167">
        <v>5.421E-4</v>
      </c>
      <c r="H167">
        <v>1</v>
      </c>
      <c r="I167" t="s">
        <v>330</v>
      </c>
      <c r="L167" t="str">
        <f t="shared" si="29"/>
        <v>psi</v>
      </c>
      <c r="M167">
        <f t="shared" si="30"/>
        <v>4.9505E-3</v>
      </c>
      <c r="N167">
        <f t="shared" si="31"/>
        <v>4.9362E-3</v>
      </c>
    </row>
    <row r="168" spans="1:14" x14ac:dyDescent="0.25">
      <c r="A168" t="s">
        <v>347</v>
      </c>
      <c r="B168" t="s">
        <v>329</v>
      </c>
      <c r="C168">
        <v>0.01</v>
      </c>
      <c r="D168">
        <v>7.0616000000000003E-3</v>
      </c>
      <c r="E168">
        <v>3.8631000000000001E-4</v>
      </c>
      <c r="F168">
        <v>7.0425000000000001E-3</v>
      </c>
      <c r="G168">
        <v>3.8733000000000002E-4</v>
      </c>
      <c r="H168">
        <v>1</v>
      </c>
      <c r="I168" t="s">
        <v>330</v>
      </c>
      <c r="L168" t="str">
        <f t="shared" si="29"/>
        <v>psi</v>
      </c>
      <c r="M168">
        <f t="shared" si="30"/>
        <v>7.0616000000000003E-3</v>
      </c>
      <c r="N168">
        <f t="shared" si="31"/>
        <v>7.0425000000000001E-3</v>
      </c>
    </row>
    <row r="169" spans="1:14" x14ac:dyDescent="0.25">
      <c r="A169" t="s">
        <v>348</v>
      </c>
      <c r="B169" t="s">
        <v>329</v>
      </c>
      <c r="C169">
        <v>0.05</v>
      </c>
      <c r="D169">
        <v>2.9352E-2</v>
      </c>
      <c r="E169">
        <v>1.3419000000000001E-7</v>
      </c>
      <c r="F169">
        <v>2.9342E-2</v>
      </c>
      <c r="G169">
        <v>1.3423999999999999E-7</v>
      </c>
      <c r="H169">
        <v>1</v>
      </c>
      <c r="I169" t="s">
        <v>330</v>
      </c>
      <c r="L169" t="str">
        <f t="shared" si="29"/>
        <v>psi</v>
      </c>
      <c r="M169">
        <f t="shared" si="30"/>
        <v>2.9352E-2</v>
      </c>
      <c r="N169">
        <f t="shared" si="31"/>
        <v>2.9342E-2</v>
      </c>
    </row>
    <row r="170" spans="1:14" x14ac:dyDescent="0.25">
      <c r="A170" t="s">
        <v>349</v>
      </c>
      <c r="B170" t="s">
        <v>329</v>
      </c>
      <c r="C170">
        <v>0.1</v>
      </c>
      <c r="D170">
        <v>5.8175999999999999E-2</v>
      </c>
      <c r="E170">
        <v>6.7703999999999995E-8</v>
      </c>
      <c r="F170">
        <v>5.8172000000000001E-2</v>
      </c>
      <c r="G170">
        <v>6.7709000000000001E-8</v>
      </c>
      <c r="H170">
        <v>1</v>
      </c>
      <c r="I170" t="s">
        <v>330</v>
      </c>
      <c r="L170" t="str">
        <f t="shared" si="29"/>
        <v>psi</v>
      </c>
      <c r="M170">
        <f t="shared" si="30"/>
        <v>5.8175999999999999E-2</v>
      </c>
      <c r="N170">
        <f t="shared" si="31"/>
        <v>5.8172000000000001E-2</v>
      </c>
    </row>
    <row r="171" spans="1:14" x14ac:dyDescent="0.25">
      <c r="A171" t="s">
        <v>350</v>
      </c>
      <c r="B171" t="s">
        <v>351</v>
      </c>
      <c r="C171">
        <v>1E-3</v>
      </c>
      <c r="D171">
        <v>4.8999999999999998E-3</v>
      </c>
      <c r="E171">
        <v>0</v>
      </c>
      <c r="F171">
        <v>4.0363999999999999E-3</v>
      </c>
      <c r="G171">
        <v>-9.7808000000000009E-7</v>
      </c>
      <c r="H171">
        <v>1</v>
      </c>
      <c r="I171" t="s">
        <v>330</v>
      </c>
      <c r="L171" t="str">
        <f t="shared" si="29"/>
        <v>psi</v>
      </c>
      <c r="M171">
        <f t="shared" si="30"/>
        <v>4.8999999999999998E-3</v>
      </c>
      <c r="N171">
        <f t="shared" si="31"/>
        <v>4.0363999999999999E-3</v>
      </c>
    </row>
    <row r="172" spans="1:14" x14ac:dyDescent="0.25">
      <c r="A172" t="s">
        <v>352</v>
      </c>
      <c r="B172" t="s">
        <v>351</v>
      </c>
      <c r="C172">
        <v>5.0000000000000001E-3</v>
      </c>
      <c r="D172">
        <v>4.9505E-3</v>
      </c>
      <c r="E172">
        <v>5.3918E-4</v>
      </c>
      <c r="F172">
        <v>4.9362E-3</v>
      </c>
      <c r="G172">
        <v>5.4062000000000001E-4</v>
      </c>
      <c r="H172">
        <v>1</v>
      </c>
      <c r="I172" t="s">
        <v>330</v>
      </c>
      <c r="L172" t="str">
        <f t="shared" si="29"/>
        <v>psi</v>
      </c>
      <c r="M172">
        <f t="shared" si="30"/>
        <v>4.9505E-3</v>
      </c>
      <c r="N172">
        <f t="shared" si="31"/>
        <v>4.9362E-3</v>
      </c>
    </row>
    <row r="173" spans="1:14" x14ac:dyDescent="0.25">
      <c r="A173" t="s">
        <v>353</v>
      </c>
      <c r="B173" t="s">
        <v>351</v>
      </c>
      <c r="C173">
        <v>0.01</v>
      </c>
      <c r="D173">
        <v>7.0616000000000003E-3</v>
      </c>
      <c r="E173">
        <v>3.8524000000000002E-4</v>
      </c>
      <c r="F173">
        <v>7.0425000000000001E-3</v>
      </c>
      <c r="G173">
        <v>3.8624999999999998E-4</v>
      </c>
      <c r="H173">
        <v>1</v>
      </c>
      <c r="I173" t="s">
        <v>330</v>
      </c>
      <c r="L173" t="str">
        <f t="shared" si="29"/>
        <v>psi</v>
      </c>
      <c r="M173">
        <f t="shared" si="30"/>
        <v>7.0616000000000003E-3</v>
      </c>
      <c r="N173">
        <f t="shared" si="31"/>
        <v>7.0425000000000001E-3</v>
      </c>
    </row>
    <row r="174" spans="1:14" x14ac:dyDescent="0.25">
      <c r="A174" t="s">
        <v>354</v>
      </c>
      <c r="B174" t="s">
        <v>351</v>
      </c>
      <c r="C174">
        <v>0.05</v>
      </c>
      <c r="D174">
        <v>2.9352E-2</v>
      </c>
      <c r="E174">
        <v>-1.3449000000000001E-7</v>
      </c>
      <c r="F174">
        <v>2.9342E-2</v>
      </c>
      <c r="G174">
        <v>-1.3454000000000001E-7</v>
      </c>
      <c r="H174">
        <v>1</v>
      </c>
      <c r="I174" t="s">
        <v>330</v>
      </c>
      <c r="L174" t="str">
        <f t="shared" si="29"/>
        <v>psi</v>
      </c>
      <c r="M174">
        <f t="shared" si="30"/>
        <v>2.9352E-2</v>
      </c>
      <c r="N174">
        <f t="shared" si="31"/>
        <v>2.9342E-2</v>
      </c>
    </row>
    <row r="175" spans="1:14" x14ac:dyDescent="0.25">
      <c r="A175" t="s">
        <v>355</v>
      </c>
      <c r="B175" t="s">
        <v>351</v>
      </c>
      <c r="C175">
        <v>0.1</v>
      </c>
      <c r="D175">
        <v>5.8175999999999999E-2</v>
      </c>
      <c r="E175">
        <v>-6.7855999999999996E-8</v>
      </c>
      <c r="F175">
        <v>5.8172000000000001E-2</v>
      </c>
      <c r="G175">
        <v>-6.7861000000000001E-8</v>
      </c>
      <c r="H175">
        <v>1</v>
      </c>
      <c r="I175" t="s">
        <v>330</v>
      </c>
      <c r="L175" t="str">
        <f t="shared" si="29"/>
        <v>psi</v>
      </c>
      <c r="M175">
        <f t="shared" si="30"/>
        <v>5.8175999999999999E-2</v>
      </c>
      <c r="N175">
        <f t="shared" si="31"/>
        <v>5.8172000000000001E-2</v>
      </c>
    </row>
    <row r="176" spans="1:14" x14ac:dyDescent="0.25">
      <c r="A176" t="s">
        <v>356</v>
      </c>
      <c r="B176" t="s">
        <v>329</v>
      </c>
      <c r="C176">
        <v>1E-3</v>
      </c>
      <c r="D176">
        <v>2.5000000000000001E-2</v>
      </c>
      <c r="E176">
        <v>3.0000000000000001E-3</v>
      </c>
      <c r="F176">
        <v>4.0362999999999996E-3</v>
      </c>
      <c r="G176">
        <v>1.0507E-6</v>
      </c>
      <c r="H176">
        <v>1</v>
      </c>
      <c r="I176" t="s">
        <v>330</v>
      </c>
      <c r="L176" t="str">
        <f t="shared" si="29"/>
        <v>psi</v>
      </c>
      <c r="M176">
        <f t="shared" si="30"/>
        <v>2.5000000000000001E-2</v>
      </c>
      <c r="N176">
        <f t="shared" si="31"/>
        <v>4.0362999999999996E-3</v>
      </c>
    </row>
    <row r="177" spans="1:14" x14ac:dyDescent="0.25">
      <c r="A177" t="s">
        <v>357</v>
      </c>
      <c r="B177" t="s">
        <v>329</v>
      </c>
      <c r="C177">
        <v>5.0000000000000001E-3</v>
      </c>
      <c r="D177">
        <v>2.5000000000000001E-2</v>
      </c>
      <c r="E177">
        <v>3.0000000000000001E-3</v>
      </c>
      <c r="F177">
        <v>4.8705000000000007E-3</v>
      </c>
      <c r="G177">
        <v>9.1859000000000003E-5</v>
      </c>
      <c r="H177">
        <v>1</v>
      </c>
      <c r="I177" t="s">
        <v>330</v>
      </c>
      <c r="L177" t="str">
        <f t="shared" si="29"/>
        <v>psi</v>
      </c>
      <c r="M177">
        <f t="shared" si="30"/>
        <v>2.5000000000000001E-2</v>
      </c>
      <c r="N177">
        <f t="shared" si="31"/>
        <v>4.8705000000000007E-3</v>
      </c>
    </row>
    <row r="178" spans="1:14" x14ac:dyDescent="0.25">
      <c r="A178" t="s">
        <v>358</v>
      </c>
      <c r="B178" t="s">
        <v>329</v>
      </c>
      <c r="C178">
        <v>0.01</v>
      </c>
      <c r="D178">
        <v>2.5000000000000001E-2</v>
      </c>
      <c r="E178">
        <v>3.0000000000000001E-3</v>
      </c>
      <c r="F178">
        <v>6.9955E-3</v>
      </c>
      <c r="G178">
        <v>6.5643999999999997E-5</v>
      </c>
      <c r="H178">
        <v>1</v>
      </c>
      <c r="I178" t="s">
        <v>330</v>
      </c>
      <c r="L178" t="str">
        <f t="shared" si="29"/>
        <v>psi</v>
      </c>
      <c r="M178">
        <f t="shared" si="30"/>
        <v>2.5000000000000001E-2</v>
      </c>
      <c r="N178">
        <f t="shared" si="31"/>
        <v>6.9955E-3</v>
      </c>
    </row>
    <row r="179" spans="1:14" x14ac:dyDescent="0.25">
      <c r="A179" t="s">
        <v>359</v>
      </c>
      <c r="B179" t="s">
        <v>329</v>
      </c>
      <c r="C179">
        <v>0.05</v>
      </c>
      <c r="D179">
        <v>2.7565000000000003E-2</v>
      </c>
      <c r="E179">
        <v>2.4870999999999999E-3</v>
      </c>
      <c r="F179">
        <v>2.9342E-2</v>
      </c>
      <c r="G179">
        <v>1.4464E-7</v>
      </c>
      <c r="H179">
        <v>1</v>
      </c>
      <c r="I179" t="s">
        <v>330</v>
      </c>
      <c r="L179" t="str">
        <f t="shared" si="29"/>
        <v>psi</v>
      </c>
      <c r="M179">
        <f t="shared" si="30"/>
        <v>2.7565000000000003E-2</v>
      </c>
      <c r="N179">
        <f t="shared" si="31"/>
        <v>2.9342E-2</v>
      </c>
    </row>
    <row r="180" spans="1:14" x14ac:dyDescent="0.25">
      <c r="A180" t="s">
        <v>360</v>
      </c>
      <c r="B180" t="s">
        <v>329</v>
      </c>
      <c r="C180">
        <v>0.1</v>
      </c>
      <c r="D180">
        <v>5.8178000000000001E-2</v>
      </c>
      <c r="E180">
        <v>7.2947999999999999E-8</v>
      </c>
      <c r="F180">
        <v>5.8172000000000001E-2</v>
      </c>
      <c r="G180">
        <v>7.2954999999999994E-8</v>
      </c>
      <c r="H180">
        <v>1</v>
      </c>
      <c r="I180" t="s">
        <v>330</v>
      </c>
      <c r="L180" t="str">
        <f t="shared" si="29"/>
        <v>psi</v>
      </c>
      <c r="M180">
        <f t="shared" si="30"/>
        <v>5.8178000000000001E-2</v>
      </c>
      <c r="N180">
        <f t="shared" si="31"/>
        <v>5.8172000000000001E-2</v>
      </c>
    </row>
    <row r="181" spans="1:14" x14ac:dyDescent="0.25">
      <c r="A181" t="s">
        <v>361</v>
      </c>
      <c r="B181" t="s">
        <v>329</v>
      </c>
      <c r="C181">
        <v>0.5</v>
      </c>
      <c r="D181">
        <v>0.29004000000000002</v>
      </c>
      <c r="E181">
        <v>1.4632E-8</v>
      </c>
      <c r="F181">
        <v>0.29004000000000002</v>
      </c>
      <c r="G181">
        <v>1.4632999999999999E-8</v>
      </c>
      <c r="H181">
        <v>1</v>
      </c>
      <c r="I181" t="s">
        <v>330</v>
      </c>
      <c r="L181" t="str">
        <f t="shared" si="29"/>
        <v>psi</v>
      </c>
      <c r="M181">
        <f t="shared" si="30"/>
        <v>0.29004000000000002</v>
      </c>
      <c r="N181">
        <f t="shared" si="31"/>
        <v>0.29004000000000002</v>
      </c>
    </row>
    <row r="182" spans="1:14" x14ac:dyDescent="0.25">
      <c r="A182" t="s">
        <v>362</v>
      </c>
      <c r="B182" t="s">
        <v>329</v>
      </c>
      <c r="C182">
        <v>0.01</v>
      </c>
      <c r="D182">
        <v>0.2</v>
      </c>
      <c r="E182">
        <v>0</v>
      </c>
      <c r="F182">
        <v>0.19266</v>
      </c>
      <c r="G182">
        <v>1.9340000000000001E-5</v>
      </c>
      <c r="H182">
        <v>1</v>
      </c>
      <c r="I182" t="s">
        <v>363</v>
      </c>
      <c r="L182" t="str">
        <f t="shared" si="29"/>
        <v>inH2O</v>
      </c>
      <c r="M182">
        <f t="shared" si="30"/>
        <v>0.2</v>
      </c>
      <c r="N182">
        <f t="shared" si="31"/>
        <v>0.19266</v>
      </c>
    </row>
    <row r="183" spans="1:14" x14ac:dyDescent="0.25">
      <c r="A183" t="s">
        <v>364</v>
      </c>
      <c r="B183" t="s">
        <v>329</v>
      </c>
      <c r="C183">
        <v>0.05</v>
      </c>
      <c r="D183">
        <v>0.2</v>
      </c>
      <c r="E183">
        <v>4.2293999999999999E-5</v>
      </c>
      <c r="F183">
        <v>0.19473000000000001</v>
      </c>
      <c r="G183">
        <v>4.2311000000000002E-5</v>
      </c>
      <c r="H183">
        <v>1</v>
      </c>
      <c r="I183" t="s">
        <v>363</v>
      </c>
      <c r="L183" t="str">
        <f t="shared" si="29"/>
        <v>inH2O</v>
      </c>
      <c r="M183">
        <f t="shared" si="30"/>
        <v>0.2</v>
      </c>
      <c r="N183">
        <f t="shared" si="31"/>
        <v>0.19473000000000001</v>
      </c>
    </row>
    <row r="184" spans="1:14" x14ac:dyDescent="0.25">
      <c r="A184" t="s">
        <v>365</v>
      </c>
      <c r="B184" t="s">
        <v>329</v>
      </c>
      <c r="C184">
        <v>0.1</v>
      </c>
      <c r="D184">
        <v>0.20125000000000001</v>
      </c>
      <c r="E184">
        <v>4.0952999999999999E-5</v>
      </c>
      <c r="F184">
        <v>0.19475000000000001</v>
      </c>
      <c r="G184">
        <v>4.0982999999999997E-5</v>
      </c>
      <c r="H184">
        <v>1</v>
      </c>
      <c r="I184" t="s">
        <v>363</v>
      </c>
      <c r="L184" t="str">
        <f t="shared" si="29"/>
        <v>inH2O</v>
      </c>
      <c r="M184">
        <f t="shared" si="30"/>
        <v>0.20125000000000001</v>
      </c>
      <c r="N184">
        <f t="shared" si="31"/>
        <v>0.19475000000000001</v>
      </c>
    </row>
    <row r="185" spans="1:14" x14ac:dyDescent="0.25">
      <c r="A185" t="s">
        <v>366</v>
      </c>
      <c r="B185" t="s">
        <v>329</v>
      </c>
      <c r="C185">
        <v>0.25</v>
      </c>
      <c r="D185">
        <v>0.24206</v>
      </c>
      <c r="E185">
        <v>1.5406000000000001E-5</v>
      </c>
      <c r="F185">
        <v>0.19475999999999999</v>
      </c>
      <c r="G185">
        <v>1.5417000000000002E-5</v>
      </c>
      <c r="H185">
        <v>1</v>
      </c>
      <c r="I185" t="s">
        <v>363</v>
      </c>
      <c r="L185" t="str">
        <f t="shared" si="29"/>
        <v>inH2O</v>
      </c>
      <c r="M185">
        <f t="shared" si="30"/>
        <v>0.24206</v>
      </c>
      <c r="N185">
        <f t="shared" si="31"/>
        <v>0.19475999999999999</v>
      </c>
    </row>
    <row r="186" spans="1:14" x14ac:dyDescent="0.25">
      <c r="A186" t="s">
        <v>367</v>
      </c>
      <c r="B186" t="s">
        <v>329</v>
      </c>
      <c r="C186">
        <v>0.5</v>
      </c>
      <c r="D186">
        <v>0.34883999999999998</v>
      </c>
      <c r="E186">
        <v>1.0698E-5</v>
      </c>
      <c r="F186">
        <v>0.19477</v>
      </c>
      <c r="G186">
        <v>1.0703000000000001E-5</v>
      </c>
      <c r="H186">
        <v>1</v>
      </c>
      <c r="I186" t="s">
        <v>363</v>
      </c>
      <c r="L186" t="str">
        <f t="shared" si="29"/>
        <v>inH2O</v>
      </c>
      <c r="M186">
        <f t="shared" si="30"/>
        <v>0.34883999999999998</v>
      </c>
      <c r="N186">
        <f t="shared" si="31"/>
        <v>0.19477</v>
      </c>
    </row>
    <row r="187" spans="1:14" x14ac:dyDescent="0.25">
      <c r="A187" t="s">
        <v>368</v>
      </c>
      <c r="B187" t="s">
        <v>329</v>
      </c>
      <c r="C187">
        <v>1</v>
      </c>
      <c r="D187">
        <v>0.61165999999999998</v>
      </c>
      <c r="E187">
        <v>6.1044000000000004E-6</v>
      </c>
      <c r="F187">
        <v>0.19478000000000001</v>
      </c>
      <c r="G187">
        <v>6.1063999999999997E-6</v>
      </c>
      <c r="H187">
        <v>1</v>
      </c>
      <c r="I187" t="s">
        <v>363</v>
      </c>
      <c r="L187" t="str">
        <f t="shared" si="29"/>
        <v>inH2O</v>
      </c>
      <c r="M187">
        <f t="shared" si="30"/>
        <v>0.61165999999999998</v>
      </c>
      <c r="N187">
        <f t="shared" si="31"/>
        <v>0.19478000000000001</v>
      </c>
    </row>
    <row r="188" spans="1:14" x14ac:dyDescent="0.25">
      <c r="A188" t="s">
        <v>369</v>
      </c>
      <c r="B188" t="s">
        <v>329</v>
      </c>
      <c r="C188">
        <v>0.01</v>
      </c>
      <c r="D188">
        <v>0.25</v>
      </c>
      <c r="E188">
        <v>9.9999999999999995E-7</v>
      </c>
      <c r="F188">
        <v>0.20907999999999999</v>
      </c>
      <c r="G188">
        <v>4.4761999999999998E-7</v>
      </c>
      <c r="H188">
        <v>1</v>
      </c>
      <c r="I188" t="s">
        <v>370</v>
      </c>
      <c r="L188" t="str">
        <f t="shared" si="29"/>
        <v>mmHg</v>
      </c>
      <c r="M188">
        <f t="shared" si="30"/>
        <v>0.25</v>
      </c>
      <c r="N188">
        <f t="shared" si="31"/>
        <v>0.20907999999999999</v>
      </c>
    </row>
    <row r="189" spans="1:14" x14ac:dyDescent="0.25">
      <c r="A189" t="s">
        <v>371</v>
      </c>
      <c r="B189" t="s">
        <v>329</v>
      </c>
      <c r="C189">
        <v>0.05</v>
      </c>
      <c r="D189">
        <v>0.25</v>
      </c>
      <c r="E189">
        <v>9.9999999999999995E-7</v>
      </c>
      <c r="F189">
        <v>0.21096000000000001</v>
      </c>
      <c r="G189">
        <v>5.7003999999999997E-6</v>
      </c>
      <c r="H189">
        <v>1</v>
      </c>
      <c r="I189" t="s">
        <v>370</v>
      </c>
      <c r="L189" t="str">
        <f t="shared" si="29"/>
        <v>mmHg</v>
      </c>
      <c r="M189">
        <f t="shared" si="30"/>
        <v>0.25</v>
      </c>
      <c r="N189">
        <f t="shared" si="31"/>
        <v>0.21096000000000001</v>
      </c>
    </row>
    <row r="190" spans="1:14" x14ac:dyDescent="0.25">
      <c r="A190" t="s">
        <v>372</v>
      </c>
      <c r="B190" t="s">
        <v>329</v>
      </c>
      <c r="C190">
        <v>0.1</v>
      </c>
      <c r="D190">
        <v>0.25</v>
      </c>
      <c r="E190">
        <v>9.9999999999999995E-7</v>
      </c>
      <c r="F190">
        <v>0.21685000000000001</v>
      </c>
      <c r="G190">
        <v>5.5489000000000004E-6</v>
      </c>
      <c r="H190">
        <v>1</v>
      </c>
      <c r="I190" t="s">
        <v>370</v>
      </c>
      <c r="L190" t="str">
        <f t="shared" si="29"/>
        <v>mmHg</v>
      </c>
      <c r="M190">
        <f t="shared" si="30"/>
        <v>0.25</v>
      </c>
      <c r="N190">
        <f t="shared" si="31"/>
        <v>0.21685000000000001</v>
      </c>
    </row>
    <row r="191" spans="1:14" x14ac:dyDescent="0.25">
      <c r="A191" t="s">
        <v>373</v>
      </c>
      <c r="B191" t="s">
        <v>329</v>
      </c>
      <c r="C191">
        <v>0.25</v>
      </c>
      <c r="D191">
        <v>0.3589</v>
      </c>
      <c r="E191">
        <v>3.0765000000000001E-6</v>
      </c>
      <c r="F191">
        <v>0.35869000000000001</v>
      </c>
      <c r="G191">
        <v>2.7628E-6</v>
      </c>
      <c r="H191">
        <v>1</v>
      </c>
      <c r="I191" t="s">
        <v>370</v>
      </c>
      <c r="L191" t="str">
        <f t="shared" si="29"/>
        <v>mmHg</v>
      </c>
      <c r="M191">
        <f t="shared" si="30"/>
        <v>0.3589</v>
      </c>
      <c r="N191">
        <f t="shared" si="31"/>
        <v>0.35869000000000001</v>
      </c>
    </row>
    <row r="192" spans="1:14" x14ac:dyDescent="0.25">
      <c r="A192" t="s">
        <v>374</v>
      </c>
      <c r="B192" t="s">
        <v>329</v>
      </c>
      <c r="C192">
        <v>0.5</v>
      </c>
      <c r="D192">
        <v>0.61731999999999998</v>
      </c>
      <c r="E192">
        <v>1.7638E-6</v>
      </c>
      <c r="F192">
        <v>0.61721999999999999</v>
      </c>
      <c r="G192">
        <v>1.6073000000000001E-6</v>
      </c>
      <c r="H192">
        <v>1</v>
      </c>
      <c r="I192" t="s">
        <v>370</v>
      </c>
      <c r="L192" t="str">
        <f t="shared" si="29"/>
        <v>mmHg</v>
      </c>
      <c r="M192">
        <f t="shared" si="30"/>
        <v>0.61731999999999998</v>
      </c>
      <c r="N192">
        <f t="shared" si="31"/>
        <v>0.61721999999999999</v>
      </c>
    </row>
    <row r="193" spans="1:14" x14ac:dyDescent="0.25">
      <c r="A193" t="s">
        <v>375</v>
      </c>
      <c r="B193" t="s">
        <v>329</v>
      </c>
      <c r="C193">
        <v>1</v>
      </c>
      <c r="D193">
        <v>2.9077000000000002</v>
      </c>
      <c r="E193">
        <v>4.9790000000000003E-7</v>
      </c>
      <c r="F193">
        <v>2.9076000000000004</v>
      </c>
      <c r="G193">
        <v>3.4135000000000002E-7</v>
      </c>
      <c r="H193">
        <v>1</v>
      </c>
      <c r="I193" t="s">
        <v>370</v>
      </c>
      <c r="L193" t="str">
        <f t="shared" si="29"/>
        <v>mmHg</v>
      </c>
      <c r="M193">
        <f t="shared" si="30"/>
        <v>2.9077000000000002</v>
      </c>
      <c r="N193">
        <f t="shared" si="31"/>
        <v>2.9076000000000004</v>
      </c>
    </row>
    <row r="194" spans="1:14" x14ac:dyDescent="0.25">
      <c r="A194" t="s">
        <v>376</v>
      </c>
      <c r="B194" t="s">
        <v>329</v>
      </c>
      <c r="C194">
        <v>10</v>
      </c>
      <c r="D194">
        <v>5.8038999999999996</v>
      </c>
      <c r="E194">
        <v>3.2140000000000001E-7</v>
      </c>
      <c r="F194">
        <v>5.8037999999999998</v>
      </c>
      <c r="G194">
        <v>1.7102000000000001E-7</v>
      </c>
      <c r="H194">
        <v>1</v>
      </c>
      <c r="I194" t="s">
        <v>370</v>
      </c>
      <c r="L194" t="str">
        <f t="shared" ref="L194:L257" si="44">I194</f>
        <v>mmHg</v>
      </c>
      <c r="M194">
        <f t="shared" ref="M194:M257" si="45">D194</f>
        <v>5.8038999999999996</v>
      </c>
      <c r="N194">
        <f t="shared" ref="N194:N257" si="46">F194</f>
        <v>5.8037999999999998</v>
      </c>
    </row>
    <row r="195" spans="1:14" x14ac:dyDescent="0.25">
      <c r="A195" t="s">
        <v>377</v>
      </c>
      <c r="B195" t="s">
        <v>329</v>
      </c>
      <c r="C195">
        <v>1E-3</v>
      </c>
      <c r="D195">
        <v>4.8999999999999998E-3</v>
      </c>
      <c r="E195">
        <v>1E-8</v>
      </c>
      <c r="F195">
        <v>3.5829E-3</v>
      </c>
      <c r="G195">
        <v>5.4264000000000005E-7</v>
      </c>
      <c r="H195">
        <v>1</v>
      </c>
      <c r="I195" t="s">
        <v>378</v>
      </c>
      <c r="L195" t="str">
        <f t="shared" si="44"/>
        <v>psia</v>
      </c>
      <c r="M195">
        <f t="shared" si="45"/>
        <v>4.8999999999999998E-3</v>
      </c>
      <c r="N195">
        <f t="shared" si="46"/>
        <v>3.5829E-3</v>
      </c>
    </row>
    <row r="196" spans="1:14" x14ac:dyDescent="0.25">
      <c r="A196" t="s">
        <v>379</v>
      </c>
      <c r="B196" t="s">
        <v>329</v>
      </c>
      <c r="C196">
        <v>0.01</v>
      </c>
      <c r="D196">
        <v>6.8000000000000005E-3</v>
      </c>
      <c r="E196">
        <v>1.8229000000000001E-5</v>
      </c>
      <c r="F196">
        <v>6.7747000000000007E-3</v>
      </c>
      <c r="G196">
        <v>1.8294000000000001E-5</v>
      </c>
      <c r="H196">
        <v>1</v>
      </c>
      <c r="I196" t="s">
        <v>378</v>
      </c>
      <c r="L196" t="str">
        <f t="shared" si="44"/>
        <v>psia</v>
      </c>
      <c r="M196">
        <f t="shared" si="45"/>
        <v>6.8000000000000005E-3</v>
      </c>
      <c r="N196">
        <f t="shared" si="46"/>
        <v>6.7747000000000007E-3</v>
      </c>
    </row>
    <row r="197" spans="1:14" x14ac:dyDescent="0.25">
      <c r="A197" t="s">
        <v>380</v>
      </c>
      <c r="B197" t="s">
        <v>329</v>
      </c>
      <c r="C197">
        <v>0.05</v>
      </c>
      <c r="D197">
        <v>2.9223000000000002E-2</v>
      </c>
      <c r="E197">
        <v>4.3382999999999996E-6</v>
      </c>
      <c r="F197">
        <v>2.9211000000000001E-2</v>
      </c>
      <c r="G197">
        <v>4.3402000000000004E-6</v>
      </c>
      <c r="H197">
        <v>1</v>
      </c>
      <c r="I197" t="s">
        <v>378</v>
      </c>
      <c r="L197" t="str">
        <f t="shared" si="44"/>
        <v>psia</v>
      </c>
      <c r="M197">
        <f t="shared" si="45"/>
        <v>2.9223000000000002E-2</v>
      </c>
      <c r="N197">
        <f t="shared" si="46"/>
        <v>2.9211000000000001E-2</v>
      </c>
    </row>
    <row r="198" spans="1:14" x14ac:dyDescent="0.25">
      <c r="A198" t="s">
        <v>381</v>
      </c>
      <c r="B198" t="s">
        <v>329</v>
      </c>
      <c r="C198">
        <v>0.1</v>
      </c>
      <c r="D198">
        <v>5.8154000000000004E-2</v>
      </c>
      <c r="E198">
        <v>3.3477999999999997E-8</v>
      </c>
      <c r="F198">
        <v>5.8141999999999999E-2</v>
      </c>
      <c r="G198">
        <v>3.3484999999999998E-8</v>
      </c>
      <c r="H198">
        <v>1</v>
      </c>
      <c r="I198" t="s">
        <v>378</v>
      </c>
      <c r="L198" t="str">
        <f t="shared" si="44"/>
        <v>psia</v>
      </c>
      <c r="M198">
        <f t="shared" si="45"/>
        <v>5.8154000000000004E-2</v>
      </c>
      <c r="N198">
        <f t="shared" si="46"/>
        <v>5.8141999999999999E-2</v>
      </c>
    </row>
    <row r="199" spans="1:14" x14ac:dyDescent="0.25">
      <c r="A199" t="s">
        <v>382</v>
      </c>
      <c r="B199" t="s">
        <v>329</v>
      </c>
      <c r="C199">
        <v>0.5</v>
      </c>
      <c r="D199">
        <v>0.29003000000000001</v>
      </c>
      <c r="E199">
        <v>6.7126999999999998E-9</v>
      </c>
      <c r="F199">
        <v>0.29003000000000001</v>
      </c>
      <c r="G199">
        <v>6.7126999999999998E-9</v>
      </c>
      <c r="H199">
        <v>1</v>
      </c>
      <c r="I199" t="s">
        <v>378</v>
      </c>
      <c r="L199" t="str">
        <f t="shared" si="44"/>
        <v>psia</v>
      </c>
      <c r="M199">
        <f t="shared" si="45"/>
        <v>0.29003000000000001</v>
      </c>
      <c r="N199">
        <f t="shared" si="46"/>
        <v>0.29003000000000001</v>
      </c>
    </row>
    <row r="200" spans="1:14" x14ac:dyDescent="0.25">
      <c r="A200" t="s">
        <v>383</v>
      </c>
      <c r="B200" t="s">
        <v>329</v>
      </c>
      <c r="C200">
        <v>1</v>
      </c>
      <c r="D200">
        <v>0.58001999999999998</v>
      </c>
      <c r="E200">
        <v>3.3566000000000002E-9</v>
      </c>
      <c r="F200">
        <v>0.58001999999999998</v>
      </c>
      <c r="G200">
        <v>3.3566000000000002E-9</v>
      </c>
      <c r="H200">
        <v>1</v>
      </c>
      <c r="I200" t="s">
        <v>378</v>
      </c>
      <c r="L200" t="str">
        <f t="shared" si="44"/>
        <v>psia</v>
      </c>
      <c r="M200">
        <f t="shared" si="45"/>
        <v>0.58001999999999998</v>
      </c>
      <c r="N200">
        <f t="shared" si="46"/>
        <v>0.58001999999999998</v>
      </c>
    </row>
    <row r="201" spans="1:14" x14ac:dyDescent="0.25">
      <c r="A201" t="s">
        <v>384</v>
      </c>
      <c r="B201" t="s">
        <v>329</v>
      </c>
      <c r="C201">
        <v>1E-3</v>
      </c>
      <c r="D201">
        <v>0.34</v>
      </c>
      <c r="E201">
        <v>1E-8</v>
      </c>
      <c r="F201">
        <v>0.24046999999999999</v>
      </c>
      <c r="G201">
        <v>5.4020000000000003E-7</v>
      </c>
      <c r="H201">
        <v>1</v>
      </c>
      <c r="I201" t="s">
        <v>385</v>
      </c>
      <c r="L201" t="str">
        <f t="shared" si="44"/>
        <v>hPa</v>
      </c>
      <c r="M201">
        <f t="shared" si="45"/>
        <v>0.34</v>
      </c>
      <c r="N201">
        <f t="shared" si="46"/>
        <v>0.24046999999999999</v>
      </c>
    </row>
    <row r="202" spans="1:14" x14ac:dyDescent="0.25">
      <c r="A202" t="s">
        <v>386</v>
      </c>
      <c r="B202" t="s">
        <v>329</v>
      </c>
      <c r="C202">
        <v>0.01</v>
      </c>
      <c r="D202">
        <v>0.34</v>
      </c>
      <c r="E202">
        <v>1E-8</v>
      </c>
      <c r="F202">
        <v>0.24055000000000001</v>
      </c>
      <c r="G202">
        <v>5.4733000000000002E-7</v>
      </c>
      <c r="H202">
        <v>1</v>
      </c>
      <c r="I202" t="s">
        <v>385</v>
      </c>
      <c r="L202" t="str">
        <f t="shared" si="44"/>
        <v>hPa</v>
      </c>
      <c r="M202">
        <f t="shared" si="45"/>
        <v>0.34</v>
      </c>
      <c r="N202">
        <f t="shared" si="46"/>
        <v>0.24055000000000001</v>
      </c>
    </row>
    <row r="203" spans="1:14" x14ac:dyDescent="0.25">
      <c r="A203" t="s">
        <v>387</v>
      </c>
      <c r="B203" t="s">
        <v>329</v>
      </c>
      <c r="C203">
        <v>0.05</v>
      </c>
      <c r="D203">
        <v>0.34</v>
      </c>
      <c r="E203">
        <v>1E-8</v>
      </c>
      <c r="F203">
        <v>0.24222000000000002</v>
      </c>
      <c r="G203">
        <v>5.4356999999999999E-7</v>
      </c>
      <c r="H203">
        <v>1</v>
      </c>
      <c r="I203" t="s">
        <v>385</v>
      </c>
      <c r="L203" t="str">
        <f t="shared" si="44"/>
        <v>hPa</v>
      </c>
      <c r="M203">
        <f t="shared" si="45"/>
        <v>0.34</v>
      </c>
      <c r="N203">
        <f t="shared" si="46"/>
        <v>0.24222000000000002</v>
      </c>
    </row>
    <row r="204" spans="1:14" x14ac:dyDescent="0.25">
      <c r="A204" t="s">
        <v>388</v>
      </c>
      <c r="B204" t="s">
        <v>329</v>
      </c>
      <c r="C204">
        <v>0.1</v>
      </c>
      <c r="D204">
        <v>0.34</v>
      </c>
      <c r="E204">
        <v>1E-8</v>
      </c>
      <c r="F204">
        <v>0.24738000000000002</v>
      </c>
      <c r="G204">
        <v>5.2516999999999998E-7</v>
      </c>
      <c r="H204">
        <v>1</v>
      </c>
      <c r="I204" t="s">
        <v>385</v>
      </c>
      <c r="L204" t="str">
        <f t="shared" si="44"/>
        <v>hPa</v>
      </c>
      <c r="M204">
        <f t="shared" si="45"/>
        <v>0.34</v>
      </c>
      <c r="N204">
        <f t="shared" si="46"/>
        <v>0.24738000000000002</v>
      </c>
    </row>
    <row r="205" spans="1:14" x14ac:dyDescent="0.25">
      <c r="A205" t="s">
        <v>389</v>
      </c>
      <c r="B205" t="s">
        <v>329</v>
      </c>
      <c r="C205">
        <v>0.5</v>
      </c>
      <c r="D205">
        <v>0.37674000000000002</v>
      </c>
      <c r="E205">
        <v>3.4511E-7</v>
      </c>
      <c r="F205">
        <v>0.37674000000000002</v>
      </c>
      <c r="G205">
        <v>3.4511E-7</v>
      </c>
      <c r="H205">
        <v>1</v>
      </c>
      <c r="I205" t="s">
        <v>385</v>
      </c>
      <c r="L205" t="str">
        <f t="shared" si="44"/>
        <v>hPa</v>
      </c>
      <c r="M205">
        <f t="shared" si="45"/>
        <v>0.37674000000000002</v>
      </c>
      <c r="N205">
        <f t="shared" si="46"/>
        <v>0.37674000000000002</v>
      </c>
    </row>
    <row r="206" spans="1:14" x14ac:dyDescent="0.25">
      <c r="A206" t="s">
        <v>390</v>
      </c>
      <c r="B206" t="s">
        <v>329</v>
      </c>
      <c r="C206">
        <v>1</v>
      </c>
      <c r="D206">
        <v>0.62787999999999999</v>
      </c>
      <c r="E206">
        <v>2.0715E-7</v>
      </c>
      <c r="F206">
        <v>0.62786999999999993</v>
      </c>
      <c r="G206">
        <v>2.0715E-7</v>
      </c>
      <c r="H206">
        <v>1</v>
      </c>
      <c r="I206" t="s">
        <v>385</v>
      </c>
      <c r="L206" t="str">
        <f t="shared" si="44"/>
        <v>hPa</v>
      </c>
      <c r="M206">
        <f t="shared" si="45"/>
        <v>0.62787999999999999</v>
      </c>
      <c r="N206">
        <f t="shared" si="46"/>
        <v>0.62786999999999993</v>
      </c>
    </row>
    <row r="207" spans="1:14" x14ac:dyDescent="0.25">
      <c r="A207" t="s">
        <v>391</v>
      </c>
      <c r="B207" t="s">
        <v>329</v>
      </c>
      <c r="C207">
        <v>10</v>
      </c>
      <c r="D207">
        <v>5.8049999999999997</v>
      </c>
      <c r="E207">
        <v>2.241E-8</v>
      </c>
      <c r="F207">
        <v>5.8049999999999997</v>
      </c>
      <c r="G207">
        <v>2.241E-8</v>
      </c>
      <c r="H207">
        <v>1</v>
      </c>
      <c r="I207" t="s">
        <v>385</v>
      </c>
      <c r="L207" t="str">
        <f t="shared" si="44"/>
        <v>hPa</v>
      </c>
      <c r="M207">
        <f t="shared" si="45"/>
        <v>5.8049999999999997</v>
      </c>
      <c r="N207">
        <f t="shared" si="46"/>
        <v>5.8049999999999997</v>
      </c>
    </row>
    <row r="208" spans="1:14" x14ac:dyDescent="0.25">
      <c r="A208" t="s">
        <v>392</v>
      </c>
      <c r="B208" t="s">
        <v>329</v>
      </c>
      <c r="C208">
        <v>1</v>
      </c>
      <c r="D208">
        <v>9.0399999999999991</v>
      </c>
      <c r="E208">
        <v>0</v>
      </c>
      <c r="F208">
        <v>7.6179868675544631</v>
      </c>
      <c r="G208">
        <v>0</v>
      </c>
      <c r="H208">
        <v>1</v>
      </c>
      <c r="I208" t="s">
        <v>393</v>
      </c>
      <c r="L208" t="str">
        <f t="shared" si="44"/>
        <v>ft alt</v>
      </c>
      <c r="M208">
        <f t="shared" si="45"/>
        <v>9.0399999999999991</v>
      </c>
      <c r="N208">
        <f t="shared" si="46"/>
        <v>7.6179868675544631</v>
      </c>
    </row>
    <row r="209" spans="1:14" x14ac:dyDescent="0.25">
      <c r="A209" t="s">
        <v>394</v>
      </c>
      <c r="B209" t="s">
        <v>329</v>
      </c>
      <c r="C209">
        <v>5</v>
      </c>
      <c r="D209">
        <v>9.0399999999999991</v>
      </c>
      <c r="E209">
        <v>0</v>
      </c>
      <c r="F209">
        <v>8.1306341010415082</v>
      </c>
      <c r="G209">
        <v>0</v>
      </c>
      <c r="H209">
        <v>1</v>
      </c>
      <c r="I209" t="s">
        <v>393</v>
      </c>
      <c r="L209" t="str">
        <f t="shared" si="44"/>
        <v>ft alt</v>
      </c>
      <c r="M209">
        <f t="shared" si="45"/>
        <v>9.0399999999999991</v>
      </c>
      <c r="N209">
        <f t="shared" si="46"/>
        <v>8.1306341010415082</v>
      </c>
    </row>
    <row r="210" spans="1:14" x14ac:dyDescent="0.25">
      <c r="A210" t="s">
        <v>395</v>
      </c>
      <c r="B210" t="s">
        <v>329</v>
      </c>
      <c r="C210">
        <v>10</v>
      </c>
      <c r="D210">
        <v>9.763799378502636</v>
      </c>
      <c r="E210">
        <v>0</v>
      </c>
      <c r="F210">
        <v>9.5570318440783613</v>
      </c>
      <c r="G210">
        <v>0</v>
      </c>
      <c r="H210">
        <v>1</v>
      </c>
      <c r="I210" t="s">
        <v>393</v>
      </c>
      <c r="L210" t="str">
        <f t="shared" si="44"/>
        <v>ft alt</v>
      </c>
      <c r="M210">
        <f t="shared" si="45"/>
        <v>9.763799378502636</v>
      </c>
      <c r="N210">
        <f t="shared" si="46"/>
        <v>9.5570318440783613</v>
      </c>
    </row>
    <row r="211" spans="1:14" x14ac:dyDescent="0.25">
      <c r="A211" t="s">
        <v>396</v>
      </c>
      <c r="B211" t="s">
        <v>329</v>
      </c>
      <c r="C211">
        <v>25</v>
      </c>
      <c r="D211">
        <v>16.534260209092263</v>
      </c>
      <c r="E211">
        <v>0</v>
      </c>
      <c r="F211">
        <v>16.369006846925359</v>
      </c>
      <c r="G211">
        <v>0</v>
      </c>
      <c r="H211">
        <v>1</v>
      </c>
      <c r="I211" t="s">
        <v>393</v>
      </c>
      <c r="L211" t="str">
        <f t="shared" si="44"/>
        <v>ft alt</v>
      </c>
      <c r="M211">
        <f t="shared" si="45"/>
        <v>16.534260209092263</v>
      </c>
      <c r="N211">
        <f t="shared" si="46"/>
        <v>16.369006846925359</v>
      </c>
    </row>
    <row r="212" spans="1:14" x14ac:dyDescent="0.25">
      <c r="A212" t="s">
        <v>397</v>
      </c>
      <c r="B212" t="s">
        <v>329</v>
      </c>
      <c r="C212">
        <v>50</v>
      </c>
      <c r="D212">
        <v>30.116784360025111</v>
      </c>
      <c r="E212">
        <v>0</v>
      </c>
      <c r="F212">
        <v>29.978084574358792</v>
      </c>
      <c r="G212">
        <v>0</v>
      </c>
      <c r="H212">
        <v>1</v>
      </c>
      <c r="I212" t="s">
        <v>393</v>
      </c>
      <c r="L212" t="str">
        <f t="shared" si="44"/>
        <v>ft alt</v>
      </c>
      <c r="M212">
        <f t="shared" si="45"/>
        <v>30.116784360025111</v>
      </c>
      <c r="N212">
        <f t="shared" si="46"/>
        <v>29.978084574358792</v>
      </c>
    </row>
    <row r="213" spans="1:14" x14ac:dyDescent="0.25">
      <c r="A213" t="s">
        <v>398</v>
      </c>
      <c r="B213" t="s">
        <v>329</v>
      </c>
      <c r="C213">
        <v>100</v>
      </c>
      <c r="D213">
        <v>58.631304911778727</v>
      </c>
      <c r="E213">
        <v>0</v>
      </c>
      <c r="F213">
        <v>58.494873562717324</v>
      </c>
      <c r="G213">
        <v>0</v>
      </c>
      <c r="H213">
        <v>1</v>
      </c>
      <c r="I213" t="s">
        <v>393</v>
      </c>
      <c r="L213" t="str">
        <f t="shared" si="44"/>
        <v>ft alt</v>
      </c>
      <c r="M213">
        <f t="shared" si="45"/>
        <v>58.631304911778727</v>
      </c>
      <c r="N213">
        <f t="shared" si="46"/>
        <v>58.494873562717324</v>
      </c>
    </row>
    <row r="214" spans="1:14" x14ac:dyDescent="0.25">
      <c r="A214" t="s">
        <v>399</v>
      </c>
      <c r="B214" t="s">
        <v>329</v>
      </c>
      <c r="C214">
        <v>0.01</v>
      </c>
      <c r="D214">
        <v>6.3E-2</v>
      </c>
      <c r="E214">
        <v>3.0000000000000001E-3</v>
      </c>
      <c r="F214">
        <v>6.3102000000000005E-2</v>
      </c>
      <c r="G214">
        <v>2.9383E-3</v>
      </c>
      <c r="H214">
        <v>1</v>
      </c>
      <c r="I214" t="s">
        <v>363</v>
      </c>
      <c r="L214" t="str">
        <f t="shared" si="44"/>
        <v>inH2O</v>
      </c>
      <c r="M214">
        <f t="shared" si="45"/>
        <v>6.3E-2</v>
      </c>
      <c r="N214">
        <f t="shared" si="46"/>
        <v>6.3102000000000005E-2</v>
      </c>
    </row>
    <row r="215" spans="1:14" x14ac:dyDescent="0.25">
      <c r="A215" t="s">
        <v>400</v>
      </c>
      <c r="B215" t="s">
        <v>329</v>
      </c>
      <c r="C215">
        <v>0.05</v>
      </c>
      <c r="D215">
        <v>6.5952999999999998E-2</v>
      </c>
      <c r="E215">
        <v>3.2160000000000001E-3</v>
      </c>
      <c r="F215">
        <v>6.5893000000000007E-2</v>
      </c>
      <c r="G215">
        <v>3.2100000000000002E-3</v>
      </c>
      <c r="H215">
        <v>1</v>
      </c>
      <c r="I215" t="s">
        <v>363</v>
      </c>
      <c r="L215" t="str">
        <f t="shared" si="44"/>
        <v>inH2O</v>
      </c>
      <c r="M215">
        <f t="shared" si="45"/>
        <v>6.5952999999999998E-2</v>
      </c>
      <c r="N215">
        <f t="shared" si="46"/>
        <v>6.5893000000000007E-2</v>
      </c>
    </row>
    <row r="216" spans="1:14" x14ac:dyDescent="0.25">
      <c r="A216" t="s">
        <v>401</v>
      </c>
      <c r="B216" t="s">
        <v>329</v>
      </c>
      <c r="C216">
        <v>0.1</v>
      </c>
      <c r="D216">
        <v>8.1879000000000007E-2</v>
      </c>
      <c r="E216">
        <v>2.8473999999999999E-3</v>
      </c>
      <c r="F216">
        <v>8.1795000000000007E-2</v>
      </c>
      <c r="G216">
        <v>2.8352999999999998E-3</v>
      </c>
      <c r="H216">
        <v>1</v>
      </c>
      <c r="I216" t="s">
        <v>363</v>
      </c>
      <c r="L216" t="str">
        <f t="shared" si="44"/>
        <v>inH2O</v>
      </c>
      <c r="M216">
        <f t="shared" si="45"/>
        <v>8.1879000000000007E-2</v>
      </c>
      <c r="N216">
        <f t="shared" si="46"/>
        <v>8.1795000000000007E-2</v>
      </c>
    </row>
    <row r="217" spans="1:14" x14ac:dyDescent="0.25">
      <c r="A217" t="s">
        <v>402</v>
      </c>
      <c r="B217" t="s">
        <v>329</v>
      </c>
      <c r="C217">
        <v>0.25</v>
      </c>
      <c r="D217">
        <v>0.15708</v>
      </c>
      <c r="E217">
        <v>1.7558000000000001E-3</v>
      </c>
      <c r="F217">
        <v>0.15698000000000001</v>
      </c>
      <c r="G217">
        <v>1.7417000000000001E-3</v>
      </c>
      <c r="H217">
        <v>1</v>
      </c>
      <c r="I217" t="s">
        <v>363</v>
      </c>
      <c r="L217" t="str">
        <f t="shared" si="44"/>
        <v>inH2O</v>
      </c>
      <c r="M217">
        <f t="shared" si="45"/>
        <v>0.15708</v>
      </c>
      <c r="N217">
        <f t="shared" si="46"/>
        <v>0.15698000000000001</v>
      </c>
    </row>
    <row r="218" spans="1:14" x14ac:dyDescent="0.25">
      <c r="A218" t="s">
        <v>403</v>
      </c>
      <c r="B218" t="s">
        <v>329</v>
      </c>
      <c r="C218">
        <v>0.5</v>
      </c>
      <c r="D218">
        <v>0.29616999999999999</v>
      </c>
      <c r="E218">
        <v>1.0074999999999999E-3</v>
      </c>
      <c r="F218">
        <v>0.29610000000000003</v>
      </c>
      <c r="G218">
        <v>9.9577999999999993E-4</v>
      </c>
      <c r="H218">
        <v>1</v>
      </c>
      <c r="I218" t="s">
        <v>363</v>
      </c>
      <c r="L218" t="str">
        <f t="shared" si="44"/>
        <v>inH2O</v>
      </c>
      <c r="M218">
        <f t="shared" si="45"/>
        <v>0.29616999999999999</v>
      </c>
      <c r="N218">
        <f t="shared" si="46"/>
        <v>0.29610000000000003</v>
      </c>
    </row>
    <row r="219" spans="1:14" x14ac:dyDescent="0.25">
      <c r="A219" t="s">
        <v>404</v>
      </c>
      <c r="B219" t="s">
        <v>329</v>
      </c>
      <c r="C219">
        <v>1</v>
      </c>
      <c r="D219">
        <v>0.58313999999999999</v>
      </c>
      <c r="E219">
        <v>5.3300999999999999E-4</v>
      </c>
      <c r="F219">
        <v>0.58258999999999994</v>
      </c>
      <c r="G219">
        <v>5.1871000000000003E-4</v>
      </c>
      <c r="H219">
        <v>1</v>
      </c>
      <c r="I219" t="s">
        <v>363</v>
      </c>
      <c r="L219" t="str">
        <f t="shared" si="44"/>
        <v>inH2O</v>
      </c>
      <c r="M219">
        <f t="shared" si="45"/>
        <v>0.58313999999999999</v>
      </c>
      <c r="N219">
        <f t="shared" si="46"/>
        <v>0.58258999999999994</v>
      </c>
    </row>
    <row r="220" spans="1:14" x14ac:dyDescent="0.25">
      <c r="A220" t="s">
        <v>405</v>
      </c>
      <c r="B220" t="s">
        <v>329</v>
      </c>
      <c r="C220">
        <v>1E-3</v>
      </c>
      <c r="D220">
        <v>2.5000000000000001E-2</v>
      </c>
      <c r="E220">
        <v>1.5E-3</v>
      </c>
      <c r="F220">
        <v>6.0458999999999999E-3</v>
      </c>
      <c r="G220">
        <v>9.7426000000000001E-4</v>
      </c>
      <c r="H220">
        <v>1</v>
      </c>
      <c r="I220" t="s">
        <v>330</v>
      </c>
      <c r="L220" t="str">
        <f t="shared" si="44"/>
        <v>psi</v>
      </c>
      <c r="M220">
        <f t="shared" si="45"/>
        <v>2.5000000000000001E-2</v>
      </c>
      <c r="N220">
        <f t="shared" si="46"/>
        <v>6.0458999999999999E-3</v>
      </c>
    </row>
    <row r="221" spans="1:14" x14ac:dyDescent="0.25">
      <c r="A221" t="s">
        <v>406</v>
      </c>
      <c r="B221" t="s">
        <v>329</v>
      </c>
      <c r="C221">
        <v>5.0000000000000001E-3</v>
      </c>
      <c r="D221">
        <v>2.5000000000000001E-2</v>
      </c>
      <c r="E221">
        <v>1.5E-3</v>
      </c>
      <c r="F221">
        <v>6.6027000000000004E-3</v>
      </c>
      <c r="G221">
        <v>9.7075999999999998E-4</v>
      </c>
      <c r="H221">
        <v>1</v>
      </c>
      <c r="I221" t="s">
        <v>330</v>
      </c>
      <c r="L221" t="str">
        <f t="shared" si="44"/>
        <v>psi</v>
      </c>
      <c r="M221">
        <f t="shared" si="45"/>
        <v>2.5000000000000001E-2</v>
      </c>
      <c r="N221">
        <f t="shared" si="46"/>
        <v>6.6027000000000004E-3</v>
      </c>
    </row>
    <row r="222" spans="1:14" x14ac:dyDescent="0.25">
      <c r="A222" t="s">
        <v>407</v>
      </c>
      <c r="B222" t="s">
        <v>329</v>
      </c>
      <c r="C222">
        <v>0.01</v>
      </c>
      <c r="D222">
        <v>2.5000000000000001E-2</v>
      </c>
      <c r="E222">
        <v>1.5E-3</v>
      </c>
      <c r="F222">
        <v>8.1570999999999987E-3</v>
      </c>
      <c r="G222">
        <v>9.3066000000000004E-4</v>
      </c>
      <c r="H222">
        <v>1</v>
      </c>
      <c r="I222" t="s">
        <v>330</v>
      </c>
      <c r="L222" t="str">
        <f t="shared" si="44"/>
        <v>psi</v>
      </c>
      <c r="M222">
        <f t="shared" si="45"/>
        <v>2.5000000000000001E-2</v>
      </c>
      <c r="N222">
        <f t="shared" si="46"/>
        <v>8.1570999999999987E-3</v>
      </c>
    </row>
    <row r="223" spans="1:14" x14ac:dyDescent="0.25">
      <c r="A223" t="s">
        <v>408</v>
      </c>
      <c r="B223" t="s">
        <v>329</v>
      </c>
      <c r="C223">
        <v>0.05</v>
      </c>
      <c r="D223">
        <v>2.8525999999999999E-2</v>
      </c>
      <c r="E223">
        <v>1.3825E-3</v>
      </c>
      <c r="F223">
        <v>2.9347000000000002E-2</v>
      </c>
      <c r="G223">
        <v>5.5254999999999996E-4</v>
      </c>
      <c r="H223">
        <v>1</v>
      </c>
      <c r="I223" t="s">
        <v>330</v>
      </c>
      <c r="L223" t="str">
        <f t="shared" si="44"/>
        <v>psi</v>
      </c>
      <c r="M223">
        <f t="shared" si="45"/>
        <v>2.8525999999999999E-2</v>
      </c>
      <c r="N223">
        <f t="shared" si="46"/>
        <v>2.9347000000000002E-2</v>
      </c>
    </row>
    <row r="224" spans="1:14" x14ac:dyDescent="0.25">
      <c r="A224" t="s">
        <v>409</v>
      </c>
      <c r="B224" t="s">
        <v>329</v>
      </c>
      <c r="C224">
        <v>0.1</v>
      </c>
      <c r="D224">
        <v>5.8061000000000001E-2</v>
      </c>
      <c r="E224">
        <v>3.9798999999999998E-4</v>
      </c>
      <c r="F224">
        <v>5.8124000000000002E-2</v>
      </c>
      <c r="G224">
        <v>3.3115E-4</v>
      </c>
      <c r="H224">
        <v>1</v>
      </c>
      <c r="I224" t="s">
        <v>330</v>
      </c>
      <c r="L224" t="str">
        <f t="shared" si="44"/>
        <v>psi</v>
      </c>
      <c r="M224">
        <f t="shared" si="45"/>
        <v>5.8061000000000001E-2</v>
      </c>
      <c r="N224">
        <f t="shared" si="46"/>
        <v>5.8124000000000002E-2</v>
      </c>
    </row>
    <row r="225" spans="1:14" x14ac:dyDescent="0.25">
      <c r="A225" t="s">
        <v>410</v>
      </c>
      <c r="B225" t="s">
        <v>329</v>
      </c>
      <c r="C225">
        <v>0.5</v>
      </c>
      <c r="D225">
        <v>0.29003000000000001</v>
      </c>
      <c r="E225">
        <v>7.2562000000000001E-5</v>
      </c>
      <c r="F225">
        <v>0.28976000000000002</v>
      </c>
      <c r="G225">
        <v>7.1952000000000005E-5</v>
      </c>
      <c r="H225">
        <v>1</v>
      </c>
      <c r="I225" t="s">
        <v>330</v>
      </c>
      <c r="L225" t="str">
        <f t="shared" si="44"/>
        <v>psi</v>
      </c>
      <c r="M225">
        <f t="shared" si="45"/>
        <v>0.29003000000000001</v>
      </c>
      <c r="N225">
        <f t="shared" si="46"/>
        <v>0.28976000000000002</v>
      </c>
    </row>
    <row r="226" spans="1:14" x14ac:dyDescent="0.25">
      <c r="A226" t="s">
        <v>411</v>
      </c>
      <c r="B226" t="s">
        <v>329</v>
      </c>
      <c r="C226">
        <v>1</v>
      </c>
      <c r="D226">
        <v>0.58000999999999991</v>
      </c>
      <c r="E226">
        <v>3.667E-5</v>
      </c>
      <c r="F226">
        <v>0.5797199999999999</v>
      </c>
      <c r="G226">
        <v>3.6081000000000002E-5</v>
      </c>
      <c r="H226">
        <v>1</v>
      </c>
      <c r="I226" t="s">
        <v>330</v>
      </c>
      <c r="L226" t="str">
        <f t="shared" si="44"/>
        <v>psi</v>
      </c>
      <c r="M226">
        <f t="shared" si="45"/>
        <v>0.58000999999999991</v>
      </c>
      <c r="N226">
        <f t="shared" si="46"/>
        <v>0.5797199999999999</v>
      </c>
    </row>
    <row r="227" spans="1:14" x14ac:dyDescent="0.25">
      <c r="A227" t="s">
        <v>412</v>
      </c>
      <c r="B227" t="s">
        <v>329</v>
      </c>
      <c r="C227">
        <v>2.5</v>
      </c>
      <c r="D227">
        <v>1.45</v>
      </c>
      <c r="E227">
        <v>1.4766000000000001E-5</v>
      </c>
      <c r="F227">
        <v>1.4497</v>
      </c>
      <c r="G227">
        <v>1.4443999999999999E-5</v>
      </c>
      <c r="H227">
        <v>1</v>
      </c>
      <c r="I227" t="s">
        <v>330</v>
      </c>
      <c r="L227" t="str">
        <f t="shared" si="44"/>
        <v>psi</v>
      </c>
      <c r="M227">
        <f t="shared" si="45"/>
        <v>1.45</v>
      </c>
      <c r="N227">
        <f t="shared" si="46"/>
        <v>1.4497</v>
      </c>
    </row>
    <row r="228" spans="1:14" x14ac:dyDescent="0.25">
      <c r="A228" t="s">
        <v>413</v>
      </c>
      <c r="B228" t="s">
        <v>329</v>
      </c>
      <c r="C228">
        <v>5</v>
      </c>
      <c r="D228">
        <v>2.9000000000000004</v>
      </c>
      <c r="E228">
        <v>7.4694E-6</v>
      </c>
      <c r="F228">
        <v>2.8997000000000002</v>
      </c>
      <c r="G228">
        <v>7.2230000000000001E-6</v>
      </c>
      <c r="H228">
        <v>1</v>
      </c>
      <c r="I228" t="s">
        <v>330</v>
      </c>
      <c r="L228" t="str">
        <f t="shared" si="44"/>
        <v>psi</v>
      </c>
      <c r="M228">
        <f t="shared" si="45"/>
        <v>2.9000000000000004</v>
      </c>
      <c r="N228">
        <f t="shared" si="46"/>
        <v>2.8997000000000002</v>
      </c>
    </row>
    <row r="229" spans="1:14" x14ac:dyDescent="0.25">
      <c r="A229" t="s">
        <v>414</v>
      </c>
      <c r="B229" t="s">
        <v>329</v>
      </c>
      <c r="C229">
        <v>0.01</v>
      </c>
      <c r="D229">
        <v>0.69000000000000006</v>
      </c>
      <c r="E229">
        <v>6.3E-3</v>
      </c>
      <c r="F229">
        <v>0.17494999999999999</v>
      </c>
      <c r="G229">
        <v>1.7729000000000002E-2</v>
      </c>
      <c r="H229">
        <v>1</v>
      </c>
      <c r="I229" t="s">
        <v>415</v>
      </c>
      <c r="L229" t="str">
        <f t="shared" si="44"/>
        <v>in H2O</v>
      </c>
      <c r="M229">
        <f t="shared" si="45"/>
        <v>0.69000000000000006</v>
      </c>
      <c r="N229">
        <f t="shared" si="46"/>
        <v>0.17494999999999999</v>
      </c>
    </row>
    <row r="230" spans="1:14" x14ac:dyDescent="0.25">
      <c r="A230" t="s">
        <v>416</v>
      </c>
      <c r="B230" t="s">
        <v>329</v>
      </c>
      <c r="C230">
        <v>0.05</v>
      </c>
      <c r="D230">
        <v>0.69000000000000006</v>
      </c>
      <c r="E230">
        <v>6.3461000000000004E-3</v>
      </c>
      <c r="F230">
        <v>0.17707000000000001</v>
      </c>
      <c r="G230">
        <v>1.7696E-2</v>
      </c>
      <c r="H230">
        <v>1</v>
      </c>
      <c r="I230" t="s">
        <v>415</v>
      </c>
      <c r="L230" t="str">
        <f t="shared" si="44"/>
        <v>in H2O</v>
      </c>
      <c r="M230">
        <f t="shared" si="45"/>
        <v>0.69000000000000006</v>
      </c>
      <c r="N230">
        <f t="shared" si="46"/>
        <v>0.17707000000000001</v>
      </c>
    </row>
    <row r="231" spans="1:14" x14ac:dyDescent="0.25">
      <c r="A231" t="s">
        <v>417</v>
      </c>
      <c r="B231" t="s">
        <v>329</v>
      </c>
      <c r="C231">
        <v>0.1</v>
      </c>
      <c r="D231">
        <v>0.69000000000000006</v>
      </c>
      <c r="E231">
        <v>6.3768000000000002E-3</v>
      </c>
      <c r="F231">
        <v>0.18357000000000001</v>
      </c>
      <c r="G231">
        <v>1.7579999999999998E-2</v>
      </c>
      <c r="H231">
        <v>1</v>
      </c>
      <c r="I231" t="s">
        <v>415</v>
      </c>
      <c r="L231" t="str">
        <f t="shared" si="44"/>
        <v>in H2O</v>
      </c>
      <c r="M231">
        <f t="shared" si="45"/>
        <v>0.69000000000000006</v>
      </c>
      <c r="N231">
        <f t="shared" si="46"/>
        <v>0.18357000000000001</v>
      </c>
    </row>
    <row r="232" spans="1:14" x14ac:dyDescent="0.25">
      <c r="A232" t="s">
        <v>418</v>
      </c>
      <c r="B232" t="s">
        <v>329</v>
      </c>
      <c r="C232">
        <v>0.25</v>
      </c>
      <c r="D232">
        <v>0.69000000000000006</v>
      </c>
      <c r="E232">
        <v>6.5827000000000004E-3</v>
      </c>
      <c r="F232">
        <v>0.22505</v>
      </c>
      <c r="G232">
        <v>1.6858999999999999E-2</v>
      </c>
      <c r="H232">
        <v>1</v>
      </c>
      <c r="I232" t="s">
        <v>415</v>
      </c>
      <c r="L232" t="str">
        <f t="shared" si="44"/>
        <v>in H2O</v>
      </c>
      <c r="M232">
        <f t="shared" si="45"/>
        <v>0.69000000000000006</v>
      </c>
      <c r="N232">
        <f t="shared" si="46"/>
        <v>0.22505</v>
      </c>
    </row>
    <row r="233" spans="1:14" x14ac:dyDescent="0.25">
      <c r="A233" t="s">
        <v>419</v>
      </c>
      <c r="B233" t="s">
        <v>329</v>
      </c>
      <c r="C233">
        <v>0.5</v>
      </c>
      <c r="D233">
        <v>0.69000000000000006</v>
      </c>
      <c r="E233">
        <v>7.3007999999999997E-3</v>
      </c>
      <c r="F233">
        <v>0.33356000000000002</v>
      </c>
      <c r="G233">
        <v>1.5148999999999999E-2</v>
      </c>
      <c r="H233">
        <v>1</v>
      </c>
      <c r="I233" t="s">
        <v>415</v>
      </c>
      <c r="L233" t="str">
        <f t="shared" si="44"/>
        <v>in H2O</v>
      </c>
      <c r="M233">
        <f t="shared" si="45"/>
        <v>0.69000000000000006</v>
      </c>
      <c r="N233">
        <f t="shared" si="46"/>
        <v>0.33356000000000002</v>
      </c>
    </row>
    <row r="234" spans="1:14" x14ac:dyDescent="0.25">
      <c r="A234" t="s">
        <v>420</v>
      </c>
      <c r="B234" t="s">
        <v>329</v>
      </c>
      <c r="C234">
        <v>1</v>
      </c>
      <c r="D234">
        <v>0.80455999999999994</v>
      </c>
      <c r="E234">
        <v>9.9749000000000001E-3</v>
      </c>
      <c r="F234">
        <v>0.59631999999999996</v>
      </c>
      <c r="G234">
        <v>1.1846000000000001E-2</v>
      </c>
      <c r="H234">
        <v>1</v>
      </c>
      <c r="I234" t="s">
        <v>415</v>
      </c>
      <c r="L234" t="str">
        <f t="shared" si="44"/>
        <v>in H2O</v>
      </c>
      <c r="M234">
        <f t="shared" si="45"/>
        <v>0.80455999999999994</v>
      </c>
      <c r="N234">
        <f t="shared" si="46"/>
        <v>0.59631999999999996</v>
      </c>
    </row>
    <row r="235" spans="1:14" x14ac:dyDescent="0.25">
      <c r="A235" t="s">
        <v>421</v>
      </c>
      <c r="B235" t="s">
        <v>329</v>
      </c>
      <c r="C235">
        <v>2.5</v>
      </c>
      <c r="D235">
        <v>1.4565999999999999</v>
      </c>
      <c r="E235">
        <v>6.4441000000000003E-3</v>
      </c>
      <c r="F235">
        <v>1.4478</v>
      </c>
      <c r="G235">
        <v>6.4386000000000001E-3</v>
      </c>
      <c r="H235">
        <v>1</v>
      </c>
      <c r="I235" t="s">
        <v>415</v>
      </c>
      <c r="L235" t="str">
        <f t="shared" si="44"/>
        <v>in H2O</v>
      </c>
      <c r="M235">
        <f t="shared" si="45"/>
        <v>1.4565999999999999</v>
      </c>
      <c r="N235">
        <f t="shared" si="46"/>
        <v>1.4478</v>
      </c>
    </row>
    <row r="236" spans="1:14" x14ac:dyDescent="0.25">
      <c r="A236" t="s">
        <v>422</v>
      </c>
      <c r="B236" t="s">
        <v>329</v>
      </c>
      <c r="C236">
        <v>5</v>
      </c>
      <c r="D236">
        <v>2.9031000000000002</v>
      </c>
      <c r="E236">
        <v>3.4686999999999999E-3</v>
      </c>
      <c r="F236">
        <v>2.8913000000000002</v>
      </c>
      <c r="G236">
        <v>3.4637000000000001E-3</v>
      </c>
      <c r="H236">
        <v>1</v>
      </c>
      <c r="I236" t="s">
        <v>415</v>
      </c>
      <c r="L236" t="str">
        <f t="shared" si="44"/>
        <v>in H2O</v>
      </c>
      <c r="M236">
        <f t="shared" si="45"/>
        <v>2.9031000000000002</v>
      </c>
      <c r="N236">
        <f t="shared" si="46"/>
        <v>2.8913000000000002</v>
      </c>
    </row>
    <row r="237" spans="1:14" x14ac:dyDescent="0.25">
      <c r="A237" t="s">
        <v>423</v>
      </c>
      <c r="B237" t="s">
        <v>329</v>
      </c>
      <c r="C237">
        <v>10</v>
      </c>
      <c r="D237">
        <v>5.8014999999999999</v>
      </c>
      <c r="E237">
        <v>1.7734999999999999E-3</v>
      </c>
      <c r="F237">
        <v>5.7881</v>
      </c>
      <c r="G237">
        <v>1.7683E-3</v>
      </c>
      <c r="H237">
        <v>1</v>
      </c>
      <c r="I237" t="s">
        <v>415</v>
      </c>
      <c r="L237" t="str">
        <f t="shared" si="44"/>
        <v>in H2O</v>
      </c>
      <c r="M237">
        <f t="shared" si="45"/>
        <v>5.8014999999999999</v>
      </c>
      <c r="N237">
        <f t="shared" si="46"/>
        <v>5.7881</v>
      </c>
    </row>
    <row r="238" spans="1:14" x14ac:dyDescent="0.25">
      <c r="A238" t="s">
        <v>424</v>
      </c>
      <c r="B238">
        <v>0</v>
      </c>
      <c r="C238" t="s">
        <v>425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L238">
        <f t="shared" si="44"/>
        <v>0</v>
      </c>
      <c r="M238">
        <f t="shared" si="45"/>
        <v>0</v>
      </c>
      <c r="N238">
        <f t="shared" si="46"/>
        <v>0</v>
      </c>
    </row>
    <row r="239" spans="1:14" x14ac:dyDescent="0.25">
      <c r="A239" t="s">
        <v>424</v>
      </c>
      <c r="B239">
        <v>0</v>
      </c>
      <c r="C239" t="s">
        <v>425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L239">
        <f t="shared" si="44"/>
        <v>0</v>
      </c>
      <c r="M239">
        <f t="shared" si="45"/>
        <v>0</v>
      </c>
      <c r="N239">
        <f t="shared" si="46"/>
        <v>0</v>
      </c>
    </row>
    <row r="240" spans="1:14" x14ac:dyDescent="0.25">
      <c r="A240" t="s">
        <v>424</v>
      </c>
      <c r="B240">
        <v>0</v>
      </c>
      <c r="C240" t="s">
        <v>425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L240">
        <f t="shared" si="44"/>
        <v>0</v>
      </c>
      <c r="M240">
        <f t="shared" si="45"/>
        <v>0</v>
      </c>
      <c r="N240">
        <f t="shared" si="46"/>
        <v>0</v>
      </c>
    </row>
    <row r="241" spans="1:14" x14ac:dyDescent="0.25">
      <c r="A241" t="s">
        <v>424</v>
      </c>
      <c r="B241">
        <v>0</v>
      </c>
      <c r="C241" t="s">
        <v>425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L241">
        <f t="shared" si="44"/>
        <v>0</v>
      </c>
      <c r="M241">
        <f t="shared" si="45"/>
        <v>0</v>
      </c>
      <c r="N241">
        <f t="shared" si="46"/>
        <v>0</v>
      </c>
    </row>
    <row r="242" spans="1:14" x14ac:dyDescent="0.25">
      <c r="A242" t="s">
        <v>424</v>
      </c>
      <c r="B242">
        <v>0</v>
      </c>
      <c r="C242" t="s">
        <v>425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L242">
        <f t="shared" si="44"/>
        <v>0</v>
      </c>
      <c r="M242">
        <f t="shared" si="45"/>
        <v>0</v>
      </c>
      <c r="N242">
        <f t="shared" si="46"/>
        <v>0</v>
      </c>
    </row>
    <row r="243" spans="1:14" x14ac:dyDescent="0.25">
      <c r="A243" t="s">
        <v>424</v>
      </c>
      <c r="B243">
        <v>0</v>
      </c>
      <c r="C243" t="s">
        <v>425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L243">
        <f t="shared" si="44"/>
        <v>0</v>
      </c>
      <c r="M243">
        <f t="shared" si="45"/>
        <v>0</v>
      </c>
      <c r="N243">
        <f t="shared" si="46"/>
        <v>0</v>
      </c>
    </row>
    <row r="244" spans="1:14" x14ac:dyDescent="0.25">
      <c r="A244" t="s">
        <v>424</v>
      </c>
      <c r="B244">
        <v>0</v>
      </c>
      <c r="C244" t="s">
        <v>425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L244">
        <f t="shared" si="44"/>
        <v>0</v>
      </c>
      <c r="M244">
        <f t="shared" si="45"/>
        <v>0</v>
      </c>
      <c r="N244">
        <f t="shared" si="46"/>
        <v>0</v>
      </c>
    </row>
    <row r="245" spans="1:14" x14ac:dyDescent="0.25">
      <c r="A245" t="s">
        <v>424</v>
      </c>
      <c r="B245">
        <v>0</v>
      </c>
      <c r="C245" t="s">
        <v>425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L245">
        <f t="shared" si="44"/>
        <v>0</v>
      </c>
      <c r="M245">
        <f t="shared" si="45"/>
        <v>0</v>
      </c>
      <c r="N245">
        <f t="shared" si="46"/>
        <v>0</v>
      </c>
    </row>
    <row r="246" spans="1:14" x14ac:dyDescent="0.25">
      <c r="A246" t="s">
        <v>424</v>
      </c>
      <c r="B246">
        <v>0</v>
      </c>
      <c r="C246" t="s">
        <v>425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L246">
        <f t="shared" si="44"/>
        <v>0</v>
      </c>
      <c r="M246">
        <f t="shared" si="45"/>
        <v>0</v>
      </c>
      <c r="N246">
        <f t="shared" si="46"/>
        <v>0</v>
      </c>
    </row>
    <row r="247" spans="1:14" x14ac:dyDescent="0.25">
      <c r="A247" t="s">
        <v>424</v>
      </c>
      <c r="B247">
        <v>0</v>
      </c>
      <c r="C247" t="s">
        <v>425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L247">
        <f t="shared" si="44"/>
        <v>0</v>
      </c>
      <c r="M247">
        <f t="shared" si="45"/>
        <v>0</v>
      </c>
      <c r="N247">
        <f t="shared" si="46"/>
        <v>0</v>
      </c>
    </row>
    <row r="248" spans="1:14" x14ac:dyDescent="0.25">
      <c r="A248" t="s">
        <v>424</v>
      </c>
      <c r="B248">
        <v>0</v>
      </c>
      <c r="C248" t="s">
        <v>425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L248">
        <f t="shared" si="44"/>
        <v>0</v>
      </c>
      <c r="M248">
        <f t="shared" si="45"/>
        <v>0</v>
      </c>
      <c r="N248">
        <f t="shared" si="46"/>
        <v>0</v>
      </c>
    </row>
    <row r="249" spans="1:14" x14ac:dyDescent="0.25">
      <c r="A249" t="s">
        <v>424</v>
      </c>
      <c r="B249">
        <v>0</v>
      </c>
      <c r="C249" t="s">
        <v>425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L249">
        <f t="shared" si="44"/>
        <v>0</v>
      </c>
      <c r="M249">
        <f t="shared" si="45"/>
        <v>0</v>
      </c>
      <c r="N249">
        <f t="shared" si="46"/>
        <v>0</v>
      </c>
    </row>
    <row r="250" spans="1:14" x14ac:dyDescent="0.25">
      <c r="A250" t="s">
        <v>424</v>
      </c>
      <c r="B250">
        <v>0</v>
      </c>
      <c r="C250" t="s">
        <v>425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L250">
        <f t="shared" si="44"/>
        <v>0</v>
      </c>
      <c r="M250">
        <f t="shared" si="45"/>
        <v>0</v>
      </c>
      <c r="N250">
        <f t="shared" si="46"/>
        <v>0</v>
      </c>
    </row>
    <row r="251" spans="1:14" x14ac:dyDescent="0.25">
      <c r="A251" t="s">
        <v>424</v>
      </c>
      <c r="B251">
        <v>0</v>
      </c>
      <c r="C251" t="s">
        <v>425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L251">
        <f t="shared" si="44"/>
        <v>0</v>
      </c>
      <c r="M251">
        <f t="shared" si="45"/>
        <v>0</v>
      </c>
      <c r="N251">
        <f t="shared" si="46"/>
        <v>0</v>
      </c>
    </row>
    <row r="252" spans="1:14" x14ac:dyDescent="0.25">
      <c r="A252" t="s">
        <v>424</v>
      </c>
      <c r="B252">
        <v>0</v>
      </c>
      <c r="C252" t="s">
        <v>425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L252">
        <f t="shared" si="44"/>
        <v>0</v>
      </c>
      <c r="M252">
        <f t="shared" si="45"/>
        <v>0</v>
      </c>
      <c r="N252">
        <f t="shared" si="46"/>
        <v>0</v>
      </c>
    </row>
    <row r="253" spans="1:14" x14ac:dyDescent="0.25">
      <c r="A253" t="s">
        <v>424</v>
      </c>
      <c r="B253">
        <v>0</v>
      </c>
      <c r="C253" t="s">
        <v>425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L253">
        <f t="shared" si="44"/>
        <v>0</v>
      </c>
      <c r="M253">
        <f t="shared" si="45"/>
        <v>0</v>
      </c>
      <c r="N253">
        <f t="shared" si="46"/>
        <v>0</v>
      </c>
    </row>
    <row r="254" spans="1:14" x14ac:dyDescent="0.25">
      <c r="A254" t="s">
        <v>424</v>
      </c>
      <c r="B254">
        <v>0</v>
      </c>
      <c r="C254" t="s">
        <v>425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L254">
        <f t="shared" si="44"/>
        <v>0</v>
      </c>
      <c r="M254">
        <f t="shared" si="45"/>
        <v>0</v>
      </c>
      <c r="N254">
        <f t="shared" si="46"/>
        <v>0</v>
      </c>
    </row>
    <row r="255" spans="1:14" x14ac:dyDescent="0.25">
      <c r="A255" t="s">
        <v>424</v>
      </c>
      <c r="B255">
        <v>0</v>
      </c>
      <c r="C255" t="s">
        <v>425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L255">
        <f t="shared" si="44"/>
        <v>0</v>
      </c>
      <c r="M255">
        <f t="shared" si="45"/>
        <v>0</v>
      </c>
      <c r="N255">
        <f t="shared" si="46"/>
        <v>0</v>
      </c>
    </row>
    <row r="256" spans="1:14" x14ac:dyDescent="0.25">
      <c r="A256" t="s">
        <v>424</v>
      </c>
      <c r="B256">
        <v>0</v>
      </c>
      <c r="C256" t="s">
        <v>425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L256">
        <f t="shared" si="44"/>
        <v>0</v>
      </c>
      <c r="M256">
        <f t="shared" si="45"/>
        <v>0</v>
      </c>
      <c r="N256">
        <f t="shared" si="46"/>
        <v>0</v>
      </c>
    </row>
    <row r="257" spans="1:14" x14ac:dyDescent="0.25">
      <c r="A257" t="s">
        <v>424</v>
      </c>
      <c r="B257">
        <v>0</v>
      </c>
      <c r="C257" t="s">
        <v>425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L257">
        <f t="shared" si="44"/>
        <v>0</v>
      </c>
      <c r="M257">
        <f t="shared" si="45"/>
        <v>0</v>
      </c>
      <c r="N257">
        <f t="shared" si="46"/>
        <v>0</v>
      </c>
    </row>
    <row r="258" spans="1:14" x14ac:dyDescent="0.25">
      <c r="A258" t="s">
        <v>424</v>
      </c>
      <c r="B258">
        <v>0</v>
      </c>
      <c r="C258" t="s">
        <v>425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L258">
        <f t="shared" ref="L258:L321" si="47">I258</f>
        <v>0</v>
      </c>
      <c r="M258">
        <f t="shared" ref="M258:M321" si="48">D258</f>
        <v>0</v>
      </c>
      <c r="N258">
        <f t="shared" ref="N258:N321" si="49">F258</f>
        <v>0</v>
      </c>
    </row>
    <row r="259" spans="1:14" x14ac:dyDescent="0.25">
      <c r="A259" t="s">
        <v>424</v>
      </c>
      <c r="B259">
        <v>0</v>
      </c>
      <c r="C259" t="s">
        <v>425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L259">
        <f t="shared" si="47"/>
        <v>0</v>
      </c>
      <c r="M259">
        <f t="shared" si="48"/>
        <v>0</v>
      </c>
      <c r="N259">
        <f t="shared" si="49"/>
        <v>0</v>
      </c>
    </row>
    <row r="260" spans="1:14" x14ac:dyDescent="0.25">
      <c r="A260" t="s">
        <v>424</v>
      </c>
      <c r="B260">
        <v>0</v>
      </c>
      <c r="C260" t="s">
        <v>425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L260">
        <f t="shared" si="47"/>
        <v>0</v>
      </c>
      <c r="M260">
        <f t="shared" si="48"/>
        <v>0</v>
      </c>
      <c r="N260">
        <f t="shared" si="49"/>
        <v>0</v>
      </c>
    </row>
    <row r="261" spans="1:14" x14ac:dyDescent="0.25">
      <c r="A261" t="s">
        <v>424</v>
      </c>
      <c r="B261">
        <v>0</v>
      </c>
      <c r="C261" t="s">
        <v>425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L261">
        <f t="shared" si="47"/>
        <v>0</v>
      </c>
      <c r="M261">
        <f t="shared" si="48"/>
        <v>0</v>
      </c>
      <c r="N261">
        <f t="shared" si="49"/>
        <v>0</v>
      </c>
    </row>
    <row r="262" spans="1:14" x14ac:dyDescent="0.25">
      <c r="A262" t="s">
        <v>424</v>
      </c>
      <c r="B262">
        <v>0</v>
      </c>
      <c r="C262" t="s">
        <v>425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L262">
        <f t="shared" si="47"/>
        <v>0</v>
      </c>
      <c r="M262">
        <f t="shared" si="48"/>
        <v>0</v>
      </c>
      <c r="N262">
        <f t="shared" si="49"/>
        <v>0</v>
      </c>
    </row>
    <row r="263" spans="1:14" x14ac:dyDescent="0.25">
      <c r="A263" t="s">
        <v>424</v>
      </c>
      <c r="B263">
        <v>0</v>
      </c>
      <c r="C263" t="s">
        <v>425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L263">
        <f t="shared" si="47"/>
        <v>0</v>
      </c>
      <c r="M263">
        <f t="shared" si="48"/>
        <v>0</v>
      </c>
      <c r="N263">
        <f t="shared" si="49"/>
        <v>0</v>
      </c>
    </row>
    <row r="264" spans="1:14" x14ac:dyDescent="0.25">
      <c r="A264" t="s">
        <v>424</v>
      </c>
      <c r="B264">
        <v>0</v>
      </c>
      <c r="C264" t="s">
        <v>425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L264">
        <f t="shared" si="47"/>
        <v>0</v>
      </c>
      <c r="M264">
        <f t="shared" si="48"/>
        <v>0</v>
      </c>
      <c r="N264">
        <f t="shared" si="49"/>
        <v>0</v>
      </c>
    </row>
    <row r="265" spans="1:14" x14ac:dyDescent="0.25">
      <c r="A265" t="s">
        <v>424</v>
      </c>
      <c r="B265">
        <v>0</v>
      </c>
      <c r="C265" t="s">
        <v>425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L265">
        <f t="shared" si="47"/>
        <v>0</v>
      </c>
      <c r="M265">
        <f t="shared" si="48"/>
        <v>0</v>
      </c>
      <c r="N265">
        <f t="shared" si="49"/>
        <v>0</v>
      </c>
    </row>
    <row r="266" spans="1:14" x14ac:dyDescent="0.25">
      <c r="A266" t="s">
        <v>424</v>
      </c>
      <c r="B266">
        <v>0</v>
      </c>
      <c r="C266" t="s">
        <v>425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L266">
        <f t="shared" si="47"/>
        <v>0</v>
      </c>
      <c r="M266">
        <f t="shared" si="48"/>
        <v>0</v>
      </c>
      <c r="N266">
        <f t="shared" si="49"/>
        <v>0</v>
      </c>
    </row>
    <row r="267" spans="1:14" x14ac:dyDescent="0.25">
      <c r="A267" t="s">
        <v>424</v>
      </c>
      <c r="B267">
        <v>0</v>
      </c>
      <c r="C267" t="s">
        <v>425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L267">
        <f t="shared" si="47"/>
        <v>0</v>
      </c>
      <c r="M267">
        <f t="shared" si="48"/>
        <v>0</v>
      </c>
      <c r="N267">
        <f t="shared" si="49"/>
        <v>0</v>
      </c>
    </row>
    <row r="268" spans="1:14" x14ac:dyDescent="0.25">
      <c r="A268" t="s">
        <v>424</v>
      </c>
      <c r="B268">
        <v>0</v>
      </c>
      <c r="C268" t="s">
        <v>425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L268">
        <f t="shared" si="47"/>
        <v>0</v>
      </c>
      <c r="M268">
        <f t="shared" si="48"/>
        <v>0</v>
      </c>
      <c r="N268">
        <f t="shared" si="49"/>
        <v>0</v>
      </c>
    </row>
    <row r="269" spans="1:14" x14ac:dyDescent="0.25">
      <c r="A269" t="s">
        <v>424</v>
      </c>
      <c r="B269">
        <v>0</v>
      </c>
      <c r="C269" t="s">
        <v>425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L269">
        <f t="shared" si="47"/>
        <v>0</v>
      </c>
      <c r="M269">
        <f t="shared" si="48"/>
        <v>0</v>
      </c>
      <c r="N269">
        <f t="shared" si="49"/>
        <v>0</v>
      </c>
    </row>
    <row r="270" spans="1:14" x14ac:dyDescent="0.25">
      <c r="A270" t="s">
        <v>424</v>
      </c>
      <c r="B270">
        <v>0</v>
      </c>
      <c r="C270" t="s">
        <v>425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L270">
        <f t="shared" si="47"/>
        <v>0</v>
      </c>
      <c r="M270">
        <f t="shared" si="48"/>
        <v>0</v>
      </c>
      <c r="N270">
        <f t="shared" si="49"/>
        <v>0</v>
      </c>
    </row>
    <row r="271" spans="1:14" x14ac:dyDescent="0.25">
      <c r="A271" t="s">
        <v>424</v>
      </c>
      <c r="B271">
        <v>0</v>
      </c>
      <c r="C271" t="s">
        <v>425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L271">
        <f t="shared" si="47"/>
        <v>0</v>
      </c>
      <c r="M271">
        <f t="shared" si="48"/>
        <v>0</v>
      </c>
      <c r="N271">
        <f t="shared" si="49"/>
        <v>0</v>
      </c>
    </row>
    <row r="272" spans="1:14" x14ac:dyDescent="0.25">
      <c r="A272" t="s">
        <v>424</v>
      </c>
      <c r="B272">
        <v>0</v>
      </c>
      <c r="C272" t="s">
        <v>425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L272">
        <f t="shared" si="47"/>
        <v>0</v>
      </c>
      <c r="M272">
        <f t="shared" si="48"/>
        <v>0</v>
      </c>
      <c r="N272">
        <f t="shared" si="49"/>
        <v>0</v>
      </c>
    </row>
    <row r="273" spans="1:14" x14ac:dyDescent="0.25">
      <c r="A273" t="s">
        <v>424</v>
      </c>
      <c r="B273">
        <v>0</v>
      </c>
      <c r="C273" t="s">
        <v>425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L273">
        <f t="shared" si="47"/>
        <v>0</v>
      </c>
      <c r="M273">
        <f t="shared" si="48"/>
        <v>0</v>
      </c>
      <c r="N273">
        <f t="shared" si="49"/>
        <v>0</v>
      </c>
    </row>
    <row r="274" spans="1:14" x14ac:dyDescent="0.25">
      <c r="A274" t="s">
        <v>424</v>
      </c>
      <c r="B274">
        <v>0</v>
      </c>
      <c r="C274" t="s">
        <v>425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L274">
        <f t="shared" si="47"/>
        <v>0</v>
      </c>
      <c r="M274">
        <f t="shared" si="48"/>
        <v>0</v>
      </c>
      <c r="N274">
        <f t="shared" si="49"/>
        <v>0</v>
      </c>
    </row>
    <row r="275" spans="1:14" x14ac:dyDescent="0.25">
      <c r="A275" t="s">
        <v>424</v>
      </c>
      <c r="B275">
        <v>0</v>
      </c>
      <c r="C275" t="s">
        <v>425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L275">
        <f t="shared" si="47"/>
        <v>0</v>
      </c>
      <c r="M275">
        <f t="shared" si="48"/>
        <v>0</v>
      </c>
      <c r="N275">
        <f t="shared" si="49"/>
        <v>0</v>
      </c>
    </row>
    <row r="276" spans="1:14" x14ac:dyDescent="0.25">
      <c r="A276" t="s">
        <v>424</v>
      </c>
      <c r="B276">
        <v>0</v>
      </c>
      <c r="C276" t="s">
        <v>425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L276">
        <f t="shared" si="47"/>
        <v>0</v>
      </c>
      <c r="M276">
        <f t="shared" si="48"/>
        <v>0</v>
      </c>
      <c r="N276">
        <f t="shared" si="49"/>
        <v>0</v>
      </c>
    </row>
    <row r="277" spans="1:14" x14ac:dyDescent="0.25">
      <c r="A277" t="s">
        <v>424</v>
      </c>
      <c r="B277">
        <v>0</v>
      </c>
      <c r="C277" t="s">
        <v>425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L277">
        <f t="shared" si="47"/>
        <v>0</v>
      </c>
      <c r="M277">
        <f t="shared" si="48"/>
        <v>0</v>
      </c>
      <c r="N277">
        <f t="shared" si="49"/>
        <v>0</v>
      </c>
    </row>
    <row r="278" spans="1:14" x14ac:dyDescent="0.25">
      <c r="A278" t="s">
        <v>424</v>
      </c>
      <c r="B278">
        <v>0</v>
      </c>
      <c r="C278" t="s">
        <v>425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L278">
        <f t="shared" si="47"/>
        <v>0</v>
      </c>
      <c r="M278">
        <f t="shared" si="48"/>
        <v>0</v>
      </c>
      <c r="N278">
        <f t="shared" si="49"/>
        <v>0</v>
      </c>
    </row>
    <row r="279" spans="1:14" x14ac:dyDescent="0.25">
      <c r="A279" t="s">
        <v>424</v>
      </c>
      <c r="B279">
        <v>0</v>
      </c>
      <c r="C279" t="s">
        <v>425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L279">
        <f t="shared" si="47"/>
        <v>0</v>
      </c>
      <c r="M279">
        <f t="shared" si="48"/>
        <v>0</v>
      </c>
      <c r="N279">
        <f t="shared" si="49"/>
        <v>0</v>
      </c>
    </row>
    <row r="280" spans="1:14" x14ac:dyDescent="0.25">
      <c r="A280" t="s">
        <v>424</v>
      </c>
      <c r="B280">
        <v>0</v>
      </c>
      <c r="C280" t="s">
        <v>425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L280">
        <f t="shared" si="47"/>
        <v>0</v>
      </c>
      <c r="M280">
        <f t="shared" si="48"/>
        <v>0</v>
      </c>
      <c r="N280">
        <f t="shared" si="49"/>
        <v>0</v>
      </c>
    </row>
    <row r="281" spans="1:14" x14ac:dyDescent="0.25">
      <c r="A281" t="s">
        <v>424</v>
      </c>
      <c r="B281">
        <v>0</v>
      </c>
      <c r="C281" t="s">
        <v>425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L281">
        <f t="shared" si="47"/>
        <v>0</v>
      </c>
      <c r="M281">
        <f t="shared" si="48"/>
        <v>0</v>
      </c>
      <c r="N281">
        <f t="shared" si="49"/>
        <v>0</v>
      </c>
    </row>
    <row r="282" spans="1:14" x14ac:dyDescent="0.25">
      <c r="A282" t="s">
        <v>424</v>
      </c>
      <c r="B282">
        <v>0</v>
      </c>
      <c r="C282" t="s">
        <v>425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L282">
        <f t="shared" si="47"/>
        <v>0</v>
      </c>
      <c r="M282">
        <f t="shared" si="48"/>
        <v>0</v>
      </c>
      <c r="N282">
        <f t="shared" si="49"/>
        <v>0</v>
      </c>
    </row>
    <row r="283" spans="1:14" x14ac:dyDescent="0.25">
      <c r="A283" t="s">
        <v>424</v>
      </c>
      <c r="B283">
        <v>0</v>
      </c>
      <c r="C283" t="s">
        <v>425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L283">
        <f t="shared" si="47"/>
        <v>0</v>
      </c>
      <c r="M283">
        <f t="shared" si="48"/>
        <v>0</v>
      </c>
      <c r="N283">
        <f t="shared" si="49"/>
        <v>0</v>
      </c>
    </row>
    <row r="284" spans="1:14" x14ac:dyDescent="0.25">
      <c r="A284" t="s">
        <v>424</v>
      </c>
      <c r="B284">
        <v>0</v>
      </c>
      <c r="C284" t="s">
        <v>425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L284">
        <f t="shared" si="47"/>
        <v>0</v>
      </c>
      <c r="M284">
        <f t="shared" si="48"/>
        <v>0</v>
      </c>
      <c r="N284">
        <f t="shared" si="49"/>
        <v>0</v>
      </c>
    </row>
    <row r="285" spans="1:14" x14ac:dyDescent="0.25">
      <c r="A285" t="s">
        <v>424</v>
      </c>
      <c r="B285">
        <v>0</v>
      </c>
      <c r="C285" t="s">
        <v>425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L285">
        <f t="shared" si="47"/>
        <v>0</v>
      </c>
      <c r="M285">
        <f t="shared" si="48"/>
        <v>0</v>
      </c>
      <c r="N285">
        <f t="shared" si="49"/>
        <v>0</v>
      </c>
    </row>
    <row r="286" spans="1:14" x14ac:dyDescent="0.25">
      <c r="A286" t="s">
        <v>424</v>
      </c>
      <c r="B286">
        <v>0</v>
      </c>
      <c r="C286" t="s">
        <v>425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L286">
        <f t="shared" si="47"/>
        <v>0</v>
      </c>
      <c r="M286">
        <f t="shared" si="48"/>
        <v>0</v>
      </c>
      <c r="N286">
        <f t="shared" si="49"/>
        <v>0</v>
      </c>
    </row>
    <row r="287" spans="1:14" x14ac:dyDescent="0.25">
      <c r="A287" t="s">
        <v>424</v>
      </c>
      <c r="B287">
        <v>0</v>
      </c>
      <c r="C287" t="s">
        <v>425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L287">
        <f t="shared" si="47"/>
        <v>0</v>
      </c>
      <c r="M287">
        <f t="shared" si="48"/>
        <v>0</v>
      </c>
      <c r="N287">
        <f t="shared" si="49"/>
        <v>0</v>
      </c>
    </row>
    <row r="288" spans="1:14" x14ac:dyDescent="0.25">
      <c r="A288" t="s">
        <v>424</v>
      </c>
      <c r="B288">
        <v>0</v>
      </c>
      <c r="C288" t="s">
        <v>425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L288">
        <f t="shared" si="47"/>
        <v>0</v>
      </c>
      <c r="M288">
        <f t="shared" si="48"/>
        <v>0</v>
      </c>
      <c r="N288">
        <f t="shared" si="49"/>
        <v>0</v>
      </c>
    </row>
    <row r="289" spans="1:14" x14ac:dyDescent="0.25">
      <c r="A289" t="s">
        <v>424</v>
      </c>
      <c r="B289">
        <v>0</v>
      </c>
      <c r="C289" t="s">
        <v>425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L289">
        <f t="shared" si="47"/>
        <v>0</v>
      </c>
      <c r="M289">
        <f t="shared" si="48"/>
        <v>0</v>
      </c>
      <c r="N289">
        <f t="shared" si="49"/>
        <v>0</v>
      </c>
    </row>
    <row r="290" spans="1:14" x14ac:dyDescent="0.25">
      <c r="A290" t="s">
        <v>424</v>
      </c>
      <c r="B290">
        <v>0</v>
      </c>
      <c r="C290" t="s">
        <v>425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L290">
        <f t="shared" si="47"/>
        <v>0</v>
      </c>
      <c r="M290">
        <f t="shared" si="48"/>
        <v>0</v>
      </c>
      <c r="N290">
        <f t="shared" si="49"/>
        <v>0</v>
      </c>
    </row>
    <row r="291" spans="1:14" x14ac:dyDescent="0.25">
      <c r="A291" t="s">
        <v>424</v>
      </c>
      <c r="B291">
        <v>0</v>
      </c>
      <c r="C291" t="s">
        <v>425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L291">
        <f t="shared" si="47"/>
        <v>0</v>
      </c>
      <c r="M291">
        <f t="shared" si="48"/>
        <v>0</v>
      </c>
      <c r="N291">
        <f t="shared" si="49"/>
        <v>0</v>
      </c>
    </row>
    <row r="292" spans="1:14" x14ac:dyDescent="0.25">
      <c r="A292" t="s">
        <v>424</v>
      </c>
      <c r="B292">
        <v>0</v>
      </c>
      <c r="C292" t="s">
        <v>425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L292">
        <f t="shared" si="47"/>
        <v>0</v>
      </c>
      <c r="M292">
        <f t="shared" si="48"/>
        <v>0</v>
      </c>
      <c r="N292">
        <f t="shared" si="49"/>
        <v>0</v>
      </c>
    </row>
    <row r="293" spans="1:14" x14ac:dyDescent="0.25">
      <c r="A293" t="s">
        <v>424</v>
      </c>
      <c r="B293">
        <v>0</v>
      </c>
      <c r="C293" t="s">
        <v>425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L293">
        <f t="shared" si="47"/>
        <v>0</v>
      </c>
      <c r="M293">
        <f t="shared" si="48"/>
        <v>0</v>
      </c>
      <c r="N293">
        <f t="shared" si="49"/>
        <v>0</v>
      </c>
    </row>
    <row r="294" spans="1:14" x14ac:dyDescent="0.25">
      <c r="A294" t="s">
        <v>424</v>
      </c>
      <c r="B294">
        <v>0</v>
      </c>
      <c r="C294" t="s">
        <v>425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L294">
        <f t="shared" si="47"/>
        <v>0</v>
      </c>
      <c r="M294">
        <f t="shared" si="48"/>
        <v>0</v>
      </c>
      <c r="N294">
        <f t="shared" si="49"/>
        <v>0</v>
      </c>
    </row>
    <row r="295" spans="1:14" x14ac:dyDescent="0.25">
      <c r="A295" t="s">
        <v>424</v>
      </c>
      <c r="B295">
        <v>0</v>
      </c>
      <c r="C295" t="s">
        <v>425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L295">
        <f t="shared" si="47"/>
        <v>0</v>
      </c>
      <c r="M295">
        <f t="shared" si="48"/>
        <v>0</v>
      </c>
      <c r="N295">
        <f t="shared" si="49"/>
        <v>0</v>
      </c>
    </row>
    <row r="296" spans="1:14" x14ac:dyDescent="0.25">
      <c r="A296" t="s">
        <v>424</v>
      </c>
      <c r="B296">
        <v>0</v>
      </c>
      <c r="C296" t="s">
        <v>425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L296">
        <f t="shared" si="47"/>
        <v>0</v>
      </c>
      <c r="M296">
        <f t="shared" si="48"/>
        <v>0</v>
      </c>
      <c r="N296">
        <f t="shared" si="49"/>
        <v>0</v>
      </c>
    </row>
    <row r="297" spans="1:14" x14ac:dyDescent="0.25">
      <c r="A297" t="s">
        <v>424</v>
      </c>
      <c r="B297">
        <v>0</v>
      </c>
      <c r="C297" t="s">
        <v>425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L297">
        <f t="shared" si="47"/>
        <v>0</v>
      </c>
      <c r="M297">
        <f t="shared" si="48"/>
        <v>0</v>
      </c>
      <c r="N297">
        <f t="shared" si="49"/>
        <v>0</v>
      </c>
    </row>
    <row r="298" spans="1:14" x14ac:dyDescent="0.25">
      <c r="A298" t="s">
        <v>424</v>
      </c>
      <c r="B298">
        <v>0</v>
      </c>
      <c r="C298" t="s">
        <v>425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L298">
        <f t="shared" si="47"/>
        <v>0</v>
      </c>
      <c r="M298">
        <f t="shared" si="48"/>
        <v>0</v>
      </c>
      <c r="N298">
        <f t="shared" si="49"/>
        <v>0</v>
      </c>
    </row>
    <row r="299" spans="1:14" x14ac:dyDescent="0.25">
      <c r="A299" t="s">
        <v>424</v>
      </c>
      <c r="B299">
        <v>0</v>
      </c>
      <c r="C299" t="s">
        <v>425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L299">
        <f t="shared" si="47"/>
        <v>0</v>
      </c>
      <c r="M299">
        <f t="shared" si="48"/>
        <v>0</v>
      </c>
      <c r="N299">
        <f t="shared" si="49"/>
        <v>0</v>
      </c>
    </row>
    <row r="300" spans="1:14" x14ac:dyDescent="0.25">
      <c r="A300" t="s">
        <v>424</v>
      </c>
      <c r="B300">
        <v>0</v>
      </c>
      <c r="C300" t="s">
        <v>425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L300">
        <f t="shared" si="47"/>
        <v>0</v>
      </c>
      <c r="M300">
        <f t="shared" si="48"/>
        <v>0</v>
      </c>
      <c r="N300">
        <f t="shared" si="49"/>
        <v>0</v>
      </c>
    </row>
    <row r="301" spans="1:14" x14ac:dyDescent="0.25">
      <c r="A301" t="s">
        <v>424</v>
      </c>
      <c r="B301">
        <v>0</v>
      </c>
      <c r="C301" t="s">
        <v>425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L301">
        <f t="shared" si="47"/>
        <v>0</v>
      </c>
      <c r="M301">
        <f t="shared" si="48"/>
        <v>0</v>
      </c>
      <c r="N301">
        <f t="shared" si="49"/>
        <v>0</v>
      </c>
    </row>
    <row r="302" spans="1:14" x14ac:dyDescent="0.25">
      <c r="A302" t="s">
        <v>424</v>
      </c>
      <c r="B302">
        <v>0</v>
      </c>
      <c r="C302" t="s">
        <v>425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L302">
        <f t="shared" si="47"/>
        <v>0</v>
      </c>
      <c r="M302">
        <f t="shared" si="48"/>
        <v>0</v>
      </c>
      <c r="N302">
        <f t="shared" si="49"/>
        <v>0</v>
      </c>
    </row>
    <row r="303" spans="1:14" x14ac:dyDescent="0.25">
      <c r="A303" t="s">
        <v>424</v>
      </c>
      <c r="B303">
        <v>0</v>
      </c>
      <c r="C303" t="s">
        <v>425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L303">
        <f t="shared" si="47"/>
        <v>0</v>
      </c>
      <c r="M303">
        <f t="shared" si="48"/>
        <v>0</v>
      </c>
      <c r="N303">
        <f t="shared" si="49"/>
        <v>0</v>
      </c>
    </row>
    <row r="304" spans="1:14" x14ac:dyDescent="0.25">
      <c r="A304" t="s">
        <v>424</v>
      </c>
      <c r="B304">
        <v>0</v>
      </c>
      <c r="C304" t="s">
        <v>425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L304">
        <f t="shared" si="47"/>
        <v>0</v>
      </c>
      <c r="M304">
        <f t="shared" si="48"/>
        <v>0</v>
      </c>
      <c r="N304">
        <f t="shared" si="49"/>
        <v>0</v>
      </c>
    </row>
    <row r="305" spans="1:14" x14ac:dyDescent="0.25">
      <c r="A305" t="s">
        <v>424</v>
      </c>
      <c r="B305">
        <v>0</v>
      </c>
      <c r="C305" t="s">
        <v>425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L305">
        <f t="shared" si="47"/>
        <v>0</v>
      </c>
      <c r="M305">
        <f t="shared" si="48"/>
        <v>0</v>
      </c>
      <c r="N305">
        <f t="shared" si="49"/>
        <v>0</v>
      </c>
    </row>
    <row r="306" spans="1:14" x14ac:dyDescent="0.25">
      <c r="A306" t="s">
        <v>424</v>
      </c>
      <c r="B306">
        <v>0</v>
      </c>
      <c r="C306" t="s">
        <v>425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L306">
        <f t="shared" si="47"/>
        <v>0</v>
      </c>
      <c r="M306">
        <f t="shared" si="48"/>
        <v>0</v>
      </c>
      <c r="N306">
        <f t="shared" si="49"/>
        <v>0</v>
      </c>
    </row>
    <row r="307" spans="1:14" x14ac:dyDescent="0.25">
      <c r="A307" t="s">
        <v>424</v>
      </c>
      <c r="B307">
        <v>0</v>
      </c>
      <c r="C307" t="s">
        <v>425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L307">
        <f t="shared" si="47"/>
        <v>0</v>
      </c>
      <c r="M307">
        <f t="shared" si="48"/>
        <v>0</v>
      </c>
      <c r="N307">
        <f t="shared" si="49"/>
        <v>0</v>
      </c>
    </row>
    <row r="308" spans="1:14" x14ac:dyDescent="0.25">
      <c r="A308" t="s">
        <v>424</v>
      </c>
      <c r="B308">
        <v>0</v>
      </c>
      <c r="C308" t="s">
        <v>425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L308">
        <f t="shared" si="47"/>
        <v>0</v>
      </c>
      <c r="M308">
        <f t="shared" si="48"/>
        <v>0</v>
      </c>
      <c r="N308">
        <f t="shared" si="49"/>
        <v>0</v>
      </c>
    </row>
    <row r="309" spans="1:14" x14ac:dyDescent="0.25">
      <c r="A309" t="s">
        <v>424</v>
      </c>
      <c r="B309">
        <v>0</v>
      </c>
      <c r="C309" t="s">
        <v>425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L309">
        <f t="shared" si="47"/>
        <v>0</v>
      </c>
      <c r="M309">
        <f t="shared" si="48"/>
        <v>0</v>
      </c>
      <c r="N309">
        <f t="shared" si="49"/>
        <v>0</v>
      </c>
    </row>
    <row r="310" spans="1:14" x14ac:dyDescent="0.25">
      <c r="A310" t="s">
        <v>424</v>
      </c>
      <c r="B310">
        <v>0</v>
      </c>
      <c r="C310" t="s">
        <v>425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L310">
        <f t="shared" si="47"/>
        <v>0</v>
      </c>
      <c r="M310">
        <f t="shared" si="48"/>
        <v>0</v>
      </c>
      <c r="N310">
        <f t="shared" si="49"/>
        <v>0</v>
      </c>
    </row>
    <row r="311" spans="1:14" x14ac:dyDescent="0.25">
      <c r="A311" t="s">
        <v>424</v>
      </c>
      <c r="B311">
        <v>0</v>
      </c>
      <c r="C311" t="s">
        <v>425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L311">
        <f t="shared" si="47"/>
        <v>0</v>
      </c>
      <c r="M311">
        <f t="shared" si="48"/>
        <v>0</v>
      </c>
      <c r="N311">
        <f t="shared" si="49"/>
        <v>0</v>
      </c>
    </row>
    <row r="312" spans="1:14" x14ac:dyDescent="0.25">
      <c r="A312" t="s">
        <v>424</v>
      </c>
      <c r="B312">
        <v>0</v>
      </c>
      <c r="C312" t="s">
        <v>425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L312">
        <f t="shared" si="47"/>
        <v>0</v>
      </c>
      <c r="M312">
        <f t="shared" si="48"/>
        <v>0</v>
      </c>
      <c r="N312">
        <f t="shared" si="49"/>
        <v>0</v>
      </c>
    </row>
    <row r="313" spans="1:14" x14ac:dyDescent="0.25">
      <c r="A313" t="s">
        <v>424</v>
      </c>
      <c r="B313">
        <v>0</v>
      </c>
      <c r="C313" t="s">
        <v>425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L313">
        <f t="shared" si="47"/>
        <v>0</v>
      </c>
      <c r="M313">
        <f t="shared" si="48"/>
        <v>0</v>
      </c>
      <c r="N313">
        <f t="shared" si="49"/>
        <v>0</v>
      </c>
    </row>
    <row r="314" spans="1:14" x14ac:dyDescent="0.25">
      <c r="A314" t="s">
        <v>424</v>
      </c>
      <c r="B314">
        <v>0</v>
      </c>
      <c r="C314" t="s">
        <v>425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L314">
        <f t="shared" si="47"/>
        <v>0</v>
      </c>
      <c r="M314">
        <f t="shared" si="48"/>
        <v>0</v>
      </c>
      <c r="N314">
        <f t="shared" si="49"/>
        <v>0</v>
      </c>
    </row>
    <row r="315" spans="1:14" x14ac:dyDescent="0.25">
      <c r="A315" t="s">
        <v>424</v>
      </c>
      <c r="B315">
        <v>0</v>
      </c>
      <c r="C315" t="s">
        <v>425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L315">
        <f t="shared" si="47"/>
        <v>0</v>
      </c>
      <c r="M315">
        <f t="shared" si="48"/>
        <v>0</v>
      </c>
      <c r="N315">
        <f t="shared" si="49"/>
        <v>0</v>
      </c>
    </row>
    <row r="316" spans="1:14" x14ac:dyDescent="0.25">
      <c r="A316" t="s">
        <v>424</v>
      </c>
      <c r="B316">
        <v>0</v>
      </c>
      <c r="C316" t="s">
        <v>425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L316">
        <f t="shared" si="47"/>
        <v>0</v>
      </c>
      <c r="M316">
        <f t="shared" si="48"/>
        <v>0</v>
      </c>
      <c r="N316">
        <f t="shared" si="49"/>
        <v>0</v>
      </c>
    </row>
    <row r="317" spans="1:14" x14ac:dyDescent="0.25">
      <c r="A317" t="s">
        <v>424</v>
      </c>
      <c r="B317">
        <v>0</v>
      </c>
      <c r="C317" t="s">
        <v>425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L317">
        <f t="shared" si="47"/>
        <v>0</v>
      </c>
      <c r="M317">
        <f t="shared" si="48"/>
        <v>0</v>
      </c>
      <c r="N317">
        <f t="shared" si="49"/>
        <v>0</v>
      </c>
    </row>
    <row r="318" spans="1:14" x14ac:dyDescent="0.25">
      <c r="A318" t="s">
        <v>424</v>
      </c>
      <c r="B318">
        <v>0</v>
      </c>
      <c r="C318" t="s">
        <v>425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L318">
        <f t="shared" si="47"/>
        <v>0</v>
      </c>
      <c r="M318">
        <f t="shared" si="48"/>
        <v>0</v>
      </c>
      <c r="N318">
        <f t="shared" si="49"/>
        <v>0</v>
      </c>
    </row>
    <row r="319" spans="1:14" x14ac:dyDescent="0.25">
      <c r="A319" t="s">
        <v>424</v>
      </c>
      <c r="B319">
        <v>0</v>
      </c>
      <c r="C319" t="s">
        <v>425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L319">
        <f t="shared" si="47"/>
        <v>0</v>
      </c>
      <c r="M319">
        <f t="shared" si="48"/>
        <v>0</v>
      </c>
      <c r="N319">
        <f t="shared" si="49"/>
        <v>0</v>
      </c>
    </row>
    <row r="320" spans="1:14" x14ac:dyDescent="0.25">
      <c r="A320" t="s">
        <v>424</v>
      </c>
      <c r="B320">
        <v>0</v>
      </c>
      <c r="C320" t="s">
        <v>425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L320">
        <f t="shared" si="47"/>
        <v>0</v>
      </c>
      <c r="M320">
        <f t="shared" si="48"/>
        <v>0</v>
      </c>
      <c r="N320">
        <f t="shared" si="49"/>
        <v>0</v>
      </c>
    </row>
    <row r="321" spans="1:14" x14ac:dyDescent="0.25">
      <c r="A321" t="s">
        <v>424</v>
      </c>
      <c r="B321">
        <v>0</v>
      </c>
      <c r="C321" t="s">
        <v>425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L321">
        <f t="shared" si="47"/>
        <v>0</v>
      </c>
      <c r="M321">
        <f t="shared" si="48"/>
        <v>0</v>
      </c>
      <c r="N321">
        <f t="shared" si="49"/>
        <v>0</v>
      </c>
    </row>
    <row r="322" spans="1:14" x14ac:dyDescent="0.25">
      <c r="A322" t="s">
        <v>424</v>
      </c>
      <c r="B322">
        <v>0</v>
      </c>
      <c r="C322" t="s">
        <v>425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L322">
        <f t="shared" ref="L322:L385" si="50">I322</f>
        <v>0</v>
      </c>
      <c r="M322">
        <f t="shared" ref="M322:M385" si="51">D322</f>
        <v>0</v>
      </c>
      <c r="N322">
        <f t="shared" ref="N322:N385" si="52">F322</f>
        <v>0</v>
      </c>
    </row>
    <row r="323" spans="1:14" x14ac:dyDescent="0.25">
      <c r="A323" t="s">
        <v>424</v>
      </c>
      <c r="B323">
        <v>0</v>
      </c>
      <c r="C323" t="s">
        <v>425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L323">
        <f t="shared" si="50"/>
        <v>0</v>
      </c>
      <c r="M323">
        <f t="shared" si="51"/>
        <v>0</v>
      </c>
      <c r="N323">
        <f t="shared" si="52"/>
        <v>0</v>
      </c>
    </row>
    <row r="324" spans="1:14" x14ac:dyDescent="0.25">
      <c r="A324" t="s">
        <v>424</v>
      </c>
      <c r="B324">
        <v>0</v>
      </c>
      <c r="C324" t="s">
        <v>425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L324">
        <f t="shared" si="50"/>
        <v>0</v>
      </c>
      <c r="M324">
        <f t="shared" si="51"/>
        <v>0</v>
      </c>
      <c r="N324">
        <f t="shared" si="52"/>
        <v>0</v>
      </c>
    </row>
    <row r="325" spans="1:14" x14ac:dyDescent="0.25">
      <c r="A325" t="s">
        <v>424</v>
      </c>
      <c r="B325">
        <v>0</v>
      </c>
      <c r="C325" t="s">
        <v>425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L325">
        <f t="shared" si="50"/>
        <v>0</v>
      </c>
      <c r="M325">
        <f t="shared" si="51"/>
        <v>0</v>
      </c>
      <c r="N325">
        <f t="shared" si="52"/>
        <v>0</v>
      </c>
    </row>
    <row r="326" spans="1:14" x14ac:dyDescent="0.25">
      <c r="A326" t="s">
        <v>424</v>
      </c>
      <c r="B326">
        <v>0</v>
      </c>
      <c r="C326" t="s">
        <v>425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L326">
        <f t="shared" si="50"/>
        <v>0</v>
      </c>
      <c r="M326">
        <f t="shared" si="51"/>
        <v>0</v>
      </c>
      <c r="N326">
        <f t="shared" si="52"/>
        <v>0</v>
      </c>
    </row>
    <row r="327" spans="1:14" x14ac:dyDescent="0.25">
      <c r="A327" t="s">
        <v>424</v>
      </c>
      <c r="B327">
        <v>0</v>
      </c>
      <c r="C327" t="s">
        <v>425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L327">
        <f t="shared" si="50"/>
        <v>0</v>
      </c>
      <c r="M327">
        <f t="shared" si="51"/>
        <v>0</v>
      </c>
      <c r="N327">
        <f t="shared" si="52"/>
        <v>0</v>
      </c>
    </row>
    <row r="328" spans="1:14" x14ac:dyDescent="0.25">
      <c r="A328" t="s">
        <v>424</v>
      </c>
      <c r="B328">
        <v>0</v>
      </c>
      <c r="C328" t="s">
        <v>425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L328">
        <f t="shared" si="50"/>
        <v>0</v>
      </c>
      <c r="M328">
        <f t="shared" si="51"/>
        <v>0</v>
      </c>
      <c r="N328">
        <f t="shared" si="52"/>
        <v>0</v>
      </c>
    </row>
    <row r="329" spans="1:14" x14ac:dyDescent="0.25">
      <c r="A329" t="s">
        <v>424</v>
      </c>
      <c r="B329">
        <v>0</v>
      </c>
      <c r="C329" t="s">
        <v>425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L329">
        <f t="shared" si="50"/>
        <v>0</v>
      </c>
      <c r="M329">
        <f t="shared" si="51"/>
        <v>0</v>
      </c>
      <c r="N329">
        <f t="shared" si="52"/>
        <v>0</v>
      </c>
    </row>
    <row r="330" spans="1:14" x14ac:dyDescent="0.25">
      <c r="A330" t="s">
        <v>424</v>
      </c>
      <c r="B330">
        <v>0</v>
      </c>
      <c r="C330" t="s">
        <v>425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L330">
        <f t="shared" si="50"/>
        <v>0</v>
      </c>
      <c r="M330">
        <f t="shared" si="51"/>
        <v>0</v>
      </c>
      <c r="N330">
        <f t="shared" si="52"/>
        <v>0</v>
      </c>
    </row>
    <row r="331" spans="1:14" x14ac:dyDescent="0.25">
      <c r="A331" t="s">
        <v>424</v>
      </c>
      <c r="B331">
        <v>0</v>
      </c>
      <c r="C331" t="s">
        <v>425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L331">
        <f t="shared" si="50"/>
        <v>0</v>
      </c>
      <c r="M331">
        <f t="shared" si="51"/>
        <v>0</v>
      </c>
      <c r="N331">
        <f t="shared" si="52"/>
        <v>0</v>
      </c>
    </row>
    <row r="332" spans="1:14" x14ac:dyDescent="0.25">
      <c r="A332" t="s">
        <v>424</v>
      </c>
      <c r="B332">
        <v>0</v>
      </c>
      <c r="C332" t="s">
        <v>425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L332">
        <f t="shared" si="50"/>
        <v>0</v>
      </c>
      <c r="M332">
        <f t="shared" si="51"/>
        <v>0</v>
      </c>
      <c r="N332">
        <f t="shared" si="52"/>
        <v>0</v>
      </c>
    </row>
    <row r="333" spans="1:14" x14ac:dyDescent="0.25">
      <c r="A333" t="s">
        <v>424</v>
      </c>
      <c r="B333">
        <v>0</v>
      </c>
      <c r="C333" t="s">
        <v>425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L333">
        <f t="shared" si="50"/>
        <v>0</v>
      </c>
      <c r="M333">
        <f t="shared" si="51"/>
        <v>0</v>
      </c>
      <c r="N333">
        <f t="shared" si="52"/>
        <v>0</v>
      </c>
    </row>
    <row r="334" spans="1:14" x14ac:dyDescent="0.25">
      <c r="A334" t="s">
        <v>424</v>
      </c>
      <c r="B334">
        <v>0</v>
      </c>
      <c r="C334" t="s">
        <v>425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L334">
        <f t="shared" si="50"/>
        <v>0</v>
      </c>
      <c r="M334">
        <f t="shared" si="51"/>
        <v>0</v>
      </c>
      <c r="N334">
        <f t="shared" si="52"/>
        <v>0</v>
      </c>
    </row>
    <row r="335" spans="1:14" x14ac:dyDescent="0.25">
      <c r="A335" t="s">
        <v>424</v>
      </c>
      <c r="B335">
        <v>0</v>
      </c>
      <c r="C335" t="s">
        <v>425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L335">
        <f t="shared" si="50"/>
        <v>0</v>
      </c>
      <c r="M335">
        <f t="shared" si="51"/>
        <v>0</v>
      </c>
      <c r="N335">
        <f t="shared" si="52"/>
        <v>0</v>
      </c>
    </row>
    <row r="336" spans="1:14" x14ac:dyDescent="0.25">
      <c r="A336" t="s">
        <v>424</v>
      </c>
      <c r="B336">
        <v>0</v>
      </c>
      <c r="C336" t="s">
        <v>425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L336">
        <f t="shared" si="50"/>
        <v>0</v>
      </c>
      <c r="M336">
        <f t="shared" si="51"/>
        <v>0</v>
      </c>
      <c r="N336">
        <f t="shared" si="52"/>
        <v>0</v>
      </c>
    </row>
    <row r="337" spans="1:14" x14ac:dyDescent="0.25">
      <c r="A337" t="s">
        <v>424</v>
      </c>
      <c r="B337">
        <v>0</v>
      </c>
      <c r="C337" t="s">
        <v>425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L337">
        <f t="shared" si="50"/>
        <v>0</v>
      </c>
      <c r="M337">
        <f t="shared" si="51"/>
        <v>0</v>
      </c>
      <c r="N337">
        <f t="shared" si="52"/>
        <v>0</v>
      </c>
    </row>
    <row r="338" spans="1:14" x14ac:dyDescent="0.25">
      <c r="A338" t="s">
        <v>424</v>
      </c>
      <c r="B338">
        <v>0</v>
      </c>
      <c r="C338" t="s">
        <v>425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L338">
        <f t="shared" si="50"/>
        <v>0</v>
      </c>
      <c r="M338">
        <f t="shared" si="51"/>
        <v>0</v>
      </c>
      <c r="N338">
        <f t="shared" si="52"/>
        <v>0</v>
      </c>
    </row>
    <row r="339" spans="1:14" x14ac:dyDescent="0.25">
      <c r="A339" t="s">
        <v>424</v>
      </c>
      <c r="B339">
        <v>0</v>
      </c>
      <c r="C339" t="s">
        <v>425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L339">
        <f t="shared" si="50"/>
        <v>0</v>
      </c>
      <c r="M339">
        <f t="shared" si="51"/>
        <v>0</v>
      </c>
      <c r="N339">
        <f t="shared" si="52"/>
        <v>0</v>
      </c>
    </row>
    <row r="340" spans="1:14" x14ac:dyDescent="0.25">
      <c r="A340" t="s">
        <v>424</v>
      </c>
      <c r="B340">
        <v>0</v>
      </c>
      <c r="C340" t="s">
        <v>425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L340">
        <f t="shared" si="50"/>
        <v>0</v>
      </c>
      <c r="M340">
        <f t="shared" si="51"/>
        <v>0</v>
      </c>
      <c r="N340">
        <f t="shared" si="52"/>
        <v>0</v>
      </c>
    </row>
    <row r="341" spans="1:14" x14ac:dyDescent="0.25">
      <c r="A341" t="s">
        <v>424</v>
      </c>
      <c r="B341">
        <v>0</v>
      </c>
      <c r="C341" t="s">
        <v>425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L341">
        <f t="shared" si="50"/>
        <v>0</v>
      </c>
      <c r="M341">
        <f t="shared" si="51"/>
        <v>0</v>
      </c>
      <c r="N341">
        <f t="shared" si="52"/>
        <v>0</v>
      </c>
    </row>
    <row r="342" spans="1:14" x14ac:dyDescent="0.25">
      <c r="A342" t="s">
        <v>424</v>
      </c>
      <c r="B342">
        <v>0</v>
      </c>
      <c r="C342" t="s">
        <v>425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L342">
        <f t="shared" si="50"/>
        <v>0</v>
      </c>
      <c r="M342">
        <f t="shared" si="51"/>
        <v>0</v>
      </c>
      <c r="N342">
        <f t="shared" si="52"/>
        <v>0</v>
      </c>
    </row>
    <row r="343" spans="1:14" x14ac:dyDescent="0.25">
      <c r="A343" t="s">
        <v>424</v>
      </c>
      <c r="B343">
        <v>0</v>
      </c>
      <c r="C343" t="s">
        <v>425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L343">
        <f t="shared" si="50"/>
        <v>0</v>
      </c>
      <c r="M343">
        <f t="shared" si="51"/>
        <v>0</v>
      </c>
      <c r="N343">
        <f t="shared" si="52"/>
        <v>0</v>
      </c>
    </row>
    <row r="344" spans="1:14" x14ac:dyDescent="0.25">
      <c r="A344" t="s">
        <v>424</v>
      </c>
      <c r="B344">
        <v>0</v>
      </c>
      <c r="C344" t="s">
        <v>425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L344">
        <f t="shared" si="50"/>
        <v>0</v>
      </c>
      <c r="M344">
        <f t="shared" si="51"/>
        <v>0</v>
      </c>
      <c r="N344">
        <f t="shared" si="52"/>
        <v>0</v>
      </c>
    </row>
    <row r="345" spans="1:14" x14ac:dyDescent="0.25">
      <c r="A345" t="s">
        <v>424</v>
      </c>
      <c r="B345">
        <v>0</v>
      </c>
      <c r="C345" t="s">
        <v>425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L345">
        <f t="shared" si="50"/>
        <v>0</v>
      </c>
      <c r="M345">
        <f t="shared" si="51"/>
        <v>0</v>
      </c>
      <c r="N345">
        <f t="shared" si="52"/>
        <v>0</v>
      </c>
    </row>
    <row r="346" spans="1:14" x14ac:dyDescent="0.25">
      <c r="A346" t="s">
        <v>424</v>
      </c>
      <c r="B346">
        <v>0</v>
      </c>
      <c r="C346" t="s">
        <v>425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L346">
        <f t="shared" si="50"/>
        <v>0</v>
      </c>
      <c r="M346">
        <f t="shared" si="51"/>
        <v>0</v>
      </c>
      <c r="N346">
        <f t="shared" si="52"/>
        <v>0</v>
      </c>
    </row>
    <row r="347" spans="1:14" x14ac:dyDescent="0.25">
      <c r="A347" t="s">
        <v>424</v>
      </c>
      <c r="B347">
        <v>0</v>
      </c>
      <c r="C347" t="s">
        <v>425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L347">
        <f t="shared" si="50"/>
        <v>0</v>
      </c>
      <c r="M347">
        <f t="shared" si="51"/>
        <v>0</v>
      </c>
      <c r="N347">
        <f t="shared" si="52"/>
        <v>0</v>
      </c>
    </row>
    <row r="348" spans="1:14" x14ac:dyDescent="0.25">
      <c r="A348" t="s">
        <v>424</v>
      </c>
      <c r="B348">
        <v>0</v>
      </c>
      <c r="C348" t="s">
        <v>425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L348">
        <f t="shared" si="50"/>
        <v>0</v>
      </c>
      <c r="M348">
        <f t="shared" si="51"/>
        <v>0</v>
      </c>
      <c r="N348">
        <f t="shared" si="52"/>
        <v>0</v>
      </c>
    </row>
    <row r="349" spans="1:14" x14ac:dyDescent="0.25">
      <c r="A349" t="s">
        <v>424</v>
      </c>
      <c r="B349">
        <v>0</v>
      </c>
      <c r="C349" t="s">
        <v>425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L349">
        <f t="shared" si="50"/>
        <v>0</v>
      </c>
      <c r="M349">
        <f t="shared" si="51"/>
        <v>0</v>
      </c>
      <c r="N349">
        <f t="shared" si="52"/>
        <v>0</v>
      </c>
    </row>
    <row r="350" spans="1:14" x14ac:dyDescent="0.25">
      <c r="A350" t="s">
        <v>424</v>
      </c>
      <c r="B350">
        <v>0</v>
      </c>
      <c r="C350" t="s">
        <v>425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L350">
        <f t="shared" si="50"/>
        <v>0</v>
      </c>
      <c r="M350">
        <f t="shared" si="51"/>
        <v>0</v>
      </c>
      <c r="N350">
        <f t="shared" si="52"/>
        <v>0</v>
      </c>
    </row>
    <row r="351" spans="1:14" x14ac:dyDescent="0.25">
      <c r="A351" t="s">
        <v>424</v>
      </c>
      <c r="B351">
        <v>0</v>
      </c>
      <c r="C351" t="s">
        <v>425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L351">
        <f t="shared" si="50"/>
        <v>0</v>
      </c>
      <c r="M351">
        <f t="shared" si="51"/>
        <v>0</v>
      </c>
      <c r="N351">
        <f t="shared" si="52"/>
        <v>0</v>
      </c>
    </row>
    <row r="352" spans="1:14" x14ac:dyDescent="0.25">
      <c r="A352" t="s">
        <v>424</v>
      </c>
      <c r="B352">
        <v>0</v>
      </c>
      <c r="C352" t="s">
        <v>425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L352">
        <f t="shared" si="50"/>
        <v>0</v>
      </c>
      <c r="M352">
        <f t="shared" si="51"/>
        <v>0</v>
      </c>
      <c r="N352">
        <f t="shared" si="52"/>
        <v>0</v>
      </c>
    </row>
    <row r="353" spans="1:14" x14ac:dyDescent="0.25">
      <c r="A353" t="s">
        <v>424</v>
      </c>
      <c r="B353">
        <v>0</v>
      </c>
      <c r="C353" t="s">
        <v>425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L353">
        <f t="shared" si="50"/>
        <v>0</v>
      </c>
      <c r="M353">
        <f t="shared" si="51"/>
        <v>0</v>
      </c>
      <c r="N353">
        <f t="shared" si="52"/>
        <v>0</v>
      </c>
    </row>
    <row r="354" spans="1:14" x14ac:dyDescent="0.25">
      <c r="A354" t="s">
        <v>424</v>
      </c>
      <c r="B354">
        <v>0</v>
      </c>
      <c r="C354" t="s">
        <v>425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L354">
        <f t="shared" si="50"/>
        <v>0</v>
      </c>
      <c r="M354">
        <f t="shared" si="51"/>
        <v>0</v>
      </c>
      <c r="N354">
        <f t="shared" si="52"/>
        <v>0</v>
      </c>
    </row>
    <row r="355" spans="1:14" x14ac:dyDescent="0.25">
      <c r="A355" t="s">
        <v>424</v>
      </c>
      <c r="B355">
        <v>0</v>
      </c>
      <c r="C355" t="s">
        <v>425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L355">
        <f t="shared" si="50"/>
        <v>0</v>
      </c>
      <c r="M355">
        <f t="shared" si="51"/>
        <v>0</v>
      </c>
      <c r="N355">
        <f t="shared" si="52"/>
        <v>0</v>
      </c>
    </row>
    <row r="356" spans="1:14" x14ac:dyDescent="0.25">
      <c r="A356" t="s">
        <v>424</v>
      </c>
      <c r="B356">
        <v>0</v>
      </c>
      <c r="C356" t="s">
        <v>425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L356">
        <f t="shared" si="50"/>
        <v>0</v>
      </c>
      <c r="M356">
        <f t="shared" si="51"/>
        <v>0</v>
      </c>
      <c r="N356">
        <f t="shared" si="52"/>
        <v>0</v>
      </c>
    </row>
    <row r="357" spans="1:14" x14ac:dyDescent="0.25">
      <c r="A357" t="s">
        <v>424</v>
      </c>
      <c r="B357">
        <v>0</v>
      </c>
      <c r="C357" t="s">
        <v>425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L357">
        <f t="shared" si="50"/>
        <v>0</v>
      </c>
      <c r="M357">
        <f t="shared" si="51"/>
        <v>0</v>
      </c>
      <c r="N357">
        <f t="shared" si="52"/>
        <v>0</v>
      </c>
    </row>
    <row r="358" spans="1:14" x14ac:dyDescent="0.25">
      <c r="A358" t="s">
        <v>424</v>
      </c>
      <c r="B358">
        <v>0</v>
      </c>
      <c r="C358" t="s">
        <v>425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L358">
        <f t="shared" si="50"/>
        <v>0</v>
      </c>
      <c r="M358">
        <f t="shared" si="51"/>
        <v>0</v>
      </c>
      <c r="N358">
        <f t="shared" si="52"/>
        <v>0</v>
      </c>
    </row>
    <row r="359" spans="1:14" x14ac:dyDescent="0.25">
      <c r="A359" t="s">
        <v>424</v>
      </c>
      <c r="B359">
        <v>0</v>
      </c>
      <c r="C359" t="s">
        <v>425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L359">
        <f t="shared" si="50"/>
        <v>0</v>
      </c>
      <c r="M359">
        <f t="shared" si="51"/>
        <v>0</v>
      </c>
      <c r="N359">
        <f t="shared" si="52"/>
        <v>0</v>
      </c>
    </row>
    <row r="360" spans="1:14" x14ac:dyDescent="0.25">
      <c r="A360" t="s">
        <v>424</v>
      </c>
      <c r="B360">
        <v>0</v>
      </c>
      <c r="C360" t="s">
        <v>425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L360">
        <f t="shared" si="50"/>
        <v>0</v>
      </c>
      <c r="M360">
        <f t="shared" si="51"/>
        <v>0</v>
      </c>
      <c r="N360">
        <f t="shared" si="52"/>
        <v>0</v>
      </c>
    </row>
    <row r="361" spans="1:14" x14ac:dyDescent="0.25">
      <c r="A361" t="s">
        <v>424</v>
      </c>
      <c r="B361">
        <v>0</v>
      </c>
      <c r="C361" t="s">
        <v>425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L361">
        <f t="shared" si="50"/>
        <v>0</v>
      </c>
      <c r="M361">
        <f t="shared" si="51"/>
        <v>0</v>
      </c>
      <c r="N361">
        <f t="shared" si="52"/>
        <v>0</v>
      </c>
    </row>
    <row r="362" spans="1:14" x14ac:dyDescent="0.25">
      <c r="A362" t="s">
        <v>424</v>
      </c>
      <c r="B362">
        <v>0</v>
      </c>
      <c r="C362" t="s">
        <v>425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L362">
        <f t="shared" si="50"/>
        <v>0</v>
      </c>
      <c r="M362">
        <f t="shared" si="51"/>
        <v>0</v>
      </c>
      <c r="N362">
        <f t="shared" si="52"/>
        <v>0</v>
      </c>
    </row>
    <row r="363" spans="1:14" x14ac:dyDescent="0.25">
      <c r="A363" t="s">
        <v>424</v>
      </c>
      <c r="B363">
        <v>0</v>
      </c>
      <c r="C363" t="s">
        <v>425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L363">
        <f t="shared" si="50"/>
        <v>0</v>
      </c>
      <c r="M363">
        <f t="shared" si="51"/>
        <v>0</v>
      </c>
      <c r="N363">
        <f t="shared" si="52"/>
        <v>0</v>
      </c>
    </row>
    <row r="364" spans="1:14" x14ac:dyDescent="0.25">
      <c r="A364" t="s">
        <v>424</v>
      </c>
      <c r="B364">
        <v>0</v>
      </c>
      <c r="C364" t="s">
        <v>425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L364">
        <f t="shared" si="50"/>
        <v>0</v>
      </c>
      <c r="M364">
        <f t="shared" si="51"/>
        <v>0</v>
      </c>
      <c r="N364">
        <f t="shared" si="52"/>
        <v>0</v>
      </c>
    </row>
    <row r="365" spans="1:14" x14ac:dyDescent="0.25">
      <c r="A365" t="s">
        <v>424</v>
      </c>
      <c r="B365">
        <v>0</v>
      </c>
      <c r="C365" t="s">
        <v>425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L365">
        <f t="shared" si="50"/>
        <v>0</v>
      </c>
      <c r="M365">
        <f t="shared" si="51"/>
        <v>0</v>
      </c>
      <c r="N365">
        <f t="shared" si="52"/>
        <v>0</v>
      </c>
    </row>
    <row r="366" spans="1:14" x14ac:dyDescent="0.25">
      <c r="A366" t="s">
        <v>424</v>
      </c>
      <c r="B366">
        <v>0</v>
      </c>
      <c r="C366" t="s">
        <v>425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L366">
        <f t="shared" si="50"/>
        <v>0</v>
      </c>
      <c r="M366">
        <f t="shared" si="51"/>
        <v>0</v>
      </c>
      <c r="N366">
        <f t="shared" si="52"/>
        <v>0</v>
      </c>
    </row>
    <row r="367" spans="1:14" x14ac:dyDescent="0.25">
      <c r="A367" t="s">
        <v>424</v>
      </c>
      <c r="B367">
        <v>0</v>
      </c>
      <c r="C367" t="s">
        <v>425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L367">
        <f t="shared" si="50"/>
        <v>0</v>
      </c>
      <c r="M367">
        <f t="shared" si="51"/>
        <v>0</v>
      </c>
      <c r="N367">
        <f t="shared" si="52"/>
        <v>0</v>
      </c>
    </row>
    <row r="368" spans="1:14" x14ac:dyDescent="0.25">
      <c r="A368" t="s">
        <v>424</v>
      </c>
      <c r="B368">
        <v>0</v>
      </c>
      <c r="C368" t="s">
        <v>425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L368">
        <f t="shared" si="50"/>
        <v>0</v>
      </c>
      <c r="M368">
        <f t="shared" si="51"/>
        <v>0</v>
      </c>
      <c r="N368">
        <f t="shared" si="52"/>
        <v>0</v>
      </c>
    </row>
    <row r="369" spans="1:14" x14ac:dyDescent="0.25">
      <c r="A369" t="s">
        <v>424</v>
      </c>
      <c r="B369">
        <v>0</v>
      </c>
      <c r="C369" t="s">
        <v>425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L369">
        <f t="shared" si="50"/>
        <v>0</v>
      </c>
      <c r="M369">
        <f t="shared" si="51"/>
        <v>0</v>
      </c>
      <c r="N369">
        <f t="shared" si="52"/>
        <v>0</v>
      </c>
    </row>
    <row r="370" spans="1:14" x14ac:dyDescent="0.25">
      <c r="A370" t="s">
        <v>424</v>
      </c>
      <c r="B370">
        <v>0</v>
      </c>
      <c r="C370" t="s">
        <v>425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L370">
        <f t="shared" si="50"/>
        <v>0</v>
      </c>
      <c r="M370">
        <f t="shared" si="51"/>
        <v>0</v>
      </c>
      <c r="N370">
        <f t="shared" si="52"/>
        <v>0</v>
      </c>
    </row>
    <row r="371" spans="1:14" x14ac:dyDescent="0.25">
      <c r="A371" t="s">
        <v>424</v>
      </c>
      <c r="B371">
        <v>0</v>
      </c>
      <c r="C371" t="s">
        <v>425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L371">
        <f t="shared" si="50"/>
        <v>0</v>
      </c>
      <c r="M371">
        <f t="shared" si="51"/>
        <v>0</v>
      </c>
      <c r="N371">
        <f t="shared" si="52"/>
        <v>0</v>
      </c>
    </row>
    <row r="372" spans="1:14" x14ac:dyDescent="0.25">
      <c r="A372" t="s">
        <v>424</v>
      </c>
      <c r="B372">
        <v>0</v>
      </c>
      <c r="C372" t="s">
        <v>425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L372">
        <f t="shared" si="50"/>
        <v>0</v>
      </c>
      <c r="M372">
        <f t="shared" si="51"/>
        <v>0</v>
      </c>
      <c r="N372">
        <f t="shared" si="52"/>
        <v>0</v>
      </c>
    </row>
    <row r="373" spans="1:14" x14ac:dyDescent="0.25">
      <c r="A373" t="s">
        <v>424</v>
      </c>
      <c r="B373">
        <v>0</v>
      </c>
      <c r="C373" t="s">
        <v>425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L373">
        <f t="shared" si="50"/>
        <v>0</v>
      </c>
      <c r="M373">
        <f t="shared" si="51"/>
        <v>0</v>
      </c>
      <c r="N373">
        <f t="shared" si="52"/>
        <v>0</v>
      </c>
    </row>
    <row r="374" spans="1:14" x14ac:dyDescent="0.25">
      <c r="A374" t="s">
        <v>424</v>
      </c>
      <c r="B374">
        <v>0</v>
      </c>
      <c r="C374" t="s">
        <v>425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L374">
        <f t="shared" si="50"/>
        <v>0</v>
      </c>
      <c r="M374">
        <f t="shared" si="51"/>
        <v>0</v>
      </c>
      <c r="N374">
        <f t="shared" si="52"/>
        <v>0</v>
      </c>
    </row>
    <row r="375" spans="1:14" x14ac:dyDescent="0.25">
      <c r="A375" t="s">
        <v>424</v>
      </c>
      <c r="B375">
        <v>0</v>
      </c>
      <c r="C375" t="s">
        <v>425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L375">
        <f t="shared" si="50"/>
        <v>0</v>
      </c>
      <c r="M375">
        <f t="shared" si="51"/>
        <v>0</v>
      </c>
      <c r="N375">
        <f t="shared" si="52"/>
        <v>0</v>
      </c>
    </row>
    <row r="376" spans="1:14" x14ac:dyDescent="0.25">
      <c r="A376" t="s">
        <v>424</v>
      </c>
      <c r="B376">
        <v>0</v>
      </c>
      <c r="C376" t="s">
        <v>425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L376">
        <f t="shared" si="50"/>
        <v>0</v>
      </c>
      <c r="M376">
        <f t="shared" si="51"/>
        <v>0</v>
      </c>
      <c r="N376">
        <f t="shared" si="52"/>
        <v>0</v>
      </c>
    </row>
    <row r="377" spans="1:14" x14ac:dyDescent="0.25">
      <c r="A377" t="s">
        <v>424</v>
      </c>
      <c r="B377">
        <v>0</v>
      </c>
      <c r="C377" t="s">
        <v>425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L377">
        <f t="shared" si="50"/>
        <v>0</v>
      </c>
      <c r="M377">
        <f t="shared" si="51"/>
        <v>0</v>
      </c>
      <c r="N377">
        <f t="shared" si="52"/>
        <v>0</v>
      </c>
    </row>
    <row r="378" spans="1:14" x14ac:dyDescent="0.25">
      <c r="A378" t="s">
        <v>424</v>
      </c>
      <c r="B378">
        <v>0</v>
      </c>
      <c r="C378" t="s">
        <v>425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L378">
        <f t="shared" si="50"/>
        <v>0</v>
      </c>
      <c r="M378">
        <f t="shared" si="51"/>
        <v>0</v>
      </c>
      <c r="N378">
        <f t="shared" si="52"/>
        <v>0</v>
      </c>
    </row>
    <row r="379" spans="1:14" x14ac:dyDescent="0.25">
      <c r="A379" t="s">
        <v>424</v>
      </c>
      <c r="B379">
        <v>0</v>
      </c>
      <c r="C379" t="s">
        <v>425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L379">
        <f t="shared" si="50"/>
        <v>0</v>
      </c>
      <c r="M379">
        <f t="shared" si="51"/>
        <v>0</v>
      </c>
      <c r="N379">
        <f t="shared" si="52"/>
        <v>0</v>
      </c>
    </row>
    <row r="380" spans="1:14" x14ac:dyDescent="0.25">
      <c r="A380" t="s">
        <v>424</v>
      </c>
      <c r="B380">
        <v>0</v>
      </c>
      <c r="C380" t="s">
        <v>425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L380">
        <f t="shared" si="50"/>
        <v>0</v>
      </c>
      <c r="M380">
        <f t="shared" si="51"/>
        <v>0</v>
      </c>
      <c r="N380">
        <f t="shared" si="52"/>
        <v>0</v>
      </c>
    </row>
    <row r="381" spans="1:14" x14ac:dyDescent="0.25">
      <c r="A381" t="s">
        <v>424</v>
      </c>
      <c r="B381">
        <v>0</v>
      </c>
      <c r="C381" t="s">
        <v>425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L381">
        <f t="shared" si="50"/>
        <v>0</v>
      </c>
      <c r="M381">
        <f t="shared" si="51"/>
        <v>0</v>
      </c>
      <c r="N381">
        <f t="shared" si="52"/>
        <v>0</v>
      </c>
    </row>
    <row r="382" spans="1:14" x14ac:dyDescent="0.25">
      <c r="A382" t="s">
        <v>424</v>
      </c>
      <c r="B382">
        <v>0</v>
      </c>
      <c r="C382" t="s">
        <v>425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L382">
        <f t="shared" si="50"/>
        <v>0</v>
      </c>
      <c r="M382">
        <f t="shared" si="51"/>
        <v>0</v>
      </c>
      <c r="N382">
        <f t="shared" si="52"/>
        <v>0</v>
      </c>
    </row>
    <row r="383" spans="1:14" x14ac:dyDescent="0.25">
      <c r="A383" t="s">
        <v>424</v>
      </c>
      <c r="B383">
        <v>0</v>
      </c>
      <c r="C383" t="s">
        <v>425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L383">
        <f t="shared" si="50"/>
        <v>0</v>
      </c>
      <c r="M383">
        <f t="shared" si="51"/>
        <v>0</v>
      </c>
      <c r="N383">
        <f t="shared" si="52"/>
        <v>0</v>
      </c>
    </row>
    <row r="384" spans="1:14" x14ac:dyDescent="0.25">
      <c r="A384" t="s">
        <v>424</v>
      </c>
      <c r="B384">
        <v>0</v>
      </c>
      <c r="C384" t="s">
        <v>425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L384">
        <f t="shared" si="50"/>
        <v>0</v>
      </c>
      <c r="M384">
        <f t="shared" si="51"/>
        <v>0</v>
      </c>
      <c r="N384">
        <f t="shared" si="52"/>
        <v>0</v>
      </c>
    </row>
    <row r="385" spans="1:14" x14ac:dyDescent="0.25">
      <c r="A385" t="s">
        <v>424</v>
      </c>
      <c r="B385">
        <v>0</v>
      </c>
      <c r="C385" t="s">
        <v>425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L385">
        <f t="shared" si="50"/>
        <v>0</v>
      </c>
      <c r="M385">
        <f t="shared" si="51"/>
        <v>0</v>
      </c>
      <c r="N385">
        <f t="shared" si="52"/>
        <v>0</v>
      </c>
    </row>
    <row r="386" spans="1:14" x14ac:dyDescent="0.25">
      <c r="A386" t="s">
        <v>424</v>
      </c>
      <c r="B386">
        <v>0</v>
      </c>
      <c r="C386" t="s">
        <v>425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L386">
        <f t="shared" ref="L386:L434" si="53">I386</f>
        <v>0</v>
      </c>
      <c r="M386">
        <f t="shared" ref="M386:M397" si="54">D386</f>
        <v>0</v>
      </c>
      <c r="N386">
        <f t="shared" ref="N386:N397" si="55">F386</f>
        <v>0</v>
      </c>
    </row>
    <row r="387" spans="1:14" x14ac:dyDescent="0.25">
      <c r="A387" t="s">
        <v>424</v>
      </c>
      <c r="B387">
        <v>0</v>
      </c>
      <c r="C387" t="s">
        <v>425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L387">
        <f t="shared" si="53"/>
        <v>0</v>
      </c>
      <c r="M387">
        <f t="shared" si="54"/>
        <v>0</v>
      </c>
      <c r="N387">
        <f t="shared" si="55"/>
        <v>0</v>
      </c>
    </row>
    <row r="388" spans="1:14" x14ac:dyDescent="0.25">
      <c r="A388" t="s">
        <v>424</v>
      </c>
      <c r="B388">
        <v>0</v>
      </c>
      <c r="C388" t="s">
        <v>425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L388">
        <f t="shared" si="53"/>
        <v>0</v>
      </c>
      <c r="M388">
        <f t="shared" si="54"/>
        <v>0</v>
      </c>
      <c r="N388">
        <f t="shared" si="55"/>
        <v>0</v>
      </c>
    </row>
    <row r="389" spans="1:14" x14ac:dyDescent="0.25">
      <c r="A389" t="s">
        <v>424</v>
      </c>
      <c r="B389">
        <v>0</v>
      </c>
      <c r="C389" t="s">
        <v>425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L389">
        <f t="shared" si="53"/>
        <v>0</v>
      </c>
      <c r="M389">
        <f t="shared" si="54"/>
        <v>0</v>
      </c>
      <c r="N389">
        <f t="shared" si="55"/>
        <v>0</v>
      </c>
    </row>
    <row r="390" spans="1:14" x14ac:dyDescent="0.25">
      <c r="A390" t="s">
        <v>424</v>
      </c>
      <c r="B390">
        <v>0</v>
      </c>
      <c r="C390" t="s">
        <v>425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L390">
        <f t="shared" si="53"/>
        <v>0</v>
      </c>
      <c r="M390">
        <f t="shared" si="54"/>
        <v>0</v>
      </c>
      <c r="N390">
        <f t="shared" si="55"/>
        <v>0</v>
      </c>
    </row>
    <row r="391" spans="1:14" x14ac:dyDescent="0.25">
      <c r="A391" t="s">
        <v>424</v>
      </c>
      <c r="B391">
        <v>0</v>
      </c>
      <c r="C391" t="s">
        <v>425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L391">
        <f t="shared" si="53"/>
        <v>0</v>
      </c>
      <c r="M391">
        <f t="shared" si="54"/>
        <v>0</v>
      </c>
      <c r="N391">
        <f t="shared" si="55"/>
        <v>0</v>
      </c>
    </row>
    <row r="392" spans="1:14" x14ac:dyDescent="0.25">
      <c r="A392" t="s">
        <v>424</v>
      </c>
      <c r="B392">
        <v>0</v>
      </c>
      <c r="C392" t="s">
        <v>425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L392">
        <f t="shared" si="53"/>
        <v>0</v>
      </c>
      <c r="M392">
        <f t="shared" si="54"/>
        <v>0</v>
      </c>
      <c r="N392">
        <f t="shared" si="55"/>
        <v>0</v>
      </c>
    </row>
    <row r="393" spans="1:14" x14ac:dyDescent="0.25">
      <c r="A393" t="s">
        <v>424</v>
      </c>
      <c r="B393">
        <v>0</v>
      </c>
      <c r="C393" t="s">
        <v>425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L393">
        <f t="shared" si="53"/>
        <v>0</v>
      </c>
      <c r="M393">
        <f t="shared" si="54"/>
        <v>0</v>
      </c>
      <c r="N393">
        <f t="shared" si="55"/>
        <v>0</v>
      </c>
    </row>
    <row r="394" spans="1:14" x14ac:dyDescent="0.25">
      <c r="A394" t="s">
        <v>424</v>
      </c>
      <c r="B394">
        <v>0</v>
      </c>
      <c r="C394" t="s">
        <v>425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L394">
        <f t="shared" si="53"/>
        <v>0</v>
      </c>
      <c r="M394">
        <f t="shared" si="54"/>
        <v>0</v>
      </c>
      <c r="N394">
        <f t="shared" si="55"/>
        <v>0</v>
      </c>
    </row>
    <row r="395" spans="1:14" x14ac:dyDescent="0.25">
      <c r="A395" t="s">
        <v>424</v>
      </c>
      <c r="B395">
        <v>0</v>
      </c>
      <c r="C395" t="s">
        <v>425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L395">
        <f t="shared" si="53"/>
        <v>0</v>
      </c>
      <c r="M395">
        <f t="shared" si="54"/>
        <v>0</v>
      </c>
      <c r="N395">
        <f t="shared" si="55"/>
        <v>0</v>
      </c>
    </row>
    <row r="396" spans="1:14" x14ac:dyDescent="0.25">
      <c r="A396" t="s">
        <v>424</v>
      </c>
      <c r="B396">
        <v>0</v>
      </c>
      <c r="C396" t="s">
        <v>425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L396">
        <f t="shared" si="53"/>
        <v>0</v>
      </c>
      <c r="M396">
        <f t="shared" si="54"/>
        <v>0</v>
      </c>
      <c r="N396">
        <f t="shared" si="55"/>
        <v>0</v>
      </c>
    </row>
    <row r="397" spans="1:14" x14ac:dyDescent="0.25">
      <c r="A397" t="s">
        <v>424</v>
      </c>
      <c r="B397">
        <v>0</v>
      </c>
      <c r="C397" t="s">
        <v>425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L397">
        <f t="shared" si="53"/>
        <v>0</v>
      </c>
      <c r="M397">
        <f t="shared" si="54"/>
        <v>0</v>
      </c>
      <c r="N397">
        <f t="shared" si="55"/>
        <v>0</v>
      </c>
    </row>
    <row r="398" spans="1:14" x14ac:dyDescent="0.25">
      <c r="A398" t="s">
        <v>424</v>
      </c>
      <c r="B398">
        <v>0</v>
      </c>
      <c r="C398" t="s">
        <v>425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L398">
        <f t="shared" si="53"/>
        <v>0</v>
      </c>
      <c r="M398">
        <f>D398</f>
        <v>0</v>
      </c>
      <c r="N398">
        <f>F398</f>
        <v>0</v>
      </c>
    </row>
    <row r="399" spans="1:14" x14ac:dyDescent="0.25">
      <c r="A399" t="s">
        <v>424</v>
      </c>
      <c r="B399">
        <v>0</v>
      </c>
      <c r="C399" t="s">
        <v>425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L399">
        <f t="shared" si="53"/>
        <v>0</v>
      </c>
      <c r="M399">
        <f t="shared" ref="M399:M434" si="56">D399</f>
        <v>0</v>
      </c>
      <c r="N399">
        <f t="shared" ref="N399:N434" si="57">F399</f>
        <v>0</v>
      </c>
    </row>
    <row r="400" spans="1:14" x14ac:dyDescent="0.25">
      <c r="A400" t="s">
        <v>424</v>
      </c>
      <c r="B400">
        <v>0</v>
      </c>
      <c r="C400" t="s">
        <v>425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L400">
        <f t="shared" si="53"/>
        <v>0</v>
      </c>
      <c r="M400">
        <f t="shared" si="56"/>
        <v>0</v>
      </c>
      <c r="N400">
        <f t="shared" si="57"/>
        <v>0</v>
      </c>
    </row>
    <row r="401" spans="1:14" x14ac:dyDescent="0.25">
      <c r="A401" t="s">
        <v>424</v>
      </c>
      <c r="B401">
        <v>0</v>
      </c>
      <c r="C401" t="s">
        <v>425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L401">
        <f t="shared" si="53"/>
        <v>0</v>
      </c>
      <c r="M401">
        <f t="shared" si="56"/>
        <v>0</v>
      </c>
      <c r="N401">
        <f t="shared" si="57"/>
        <v>0</v>
      </c>
    </row>
    <row r="402" spans="1:14" x14ac:dyDescent="0.25">
      <c r="A402" t="s">
        <v>424</v>
      </c>
      <c r="B402">
        <v>0</v>
      </c>
      <c r="C402" t="s">
        <v>425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L402">
        <f t="shared" si="53"/>
        <v>0</v>
      </c>
      <c r="M402">
        <f t="shared" si="56"/>
        <v>0</v>
      </c>
      <c r="N402">
        <f t="shared" si="57"/>
        <v>0</v>
      </c>
    </row>
    <row r="403" spans="1:14" x14ac:dyDescent="0.25">
      <c r="A403" t="s">
        <v>424</v>
      </c>
      <c r="B403">
        <v>0</v>
      </c>
      <c r="C403" t="s">
        <v>425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L403">
        <f t="shared" si="53"/>
        <v>0</v>
      </c>
      <c r="M403">
        <f t="shared" si="56"/>
        <v>0</v>
      </c>
      <c r="N403">
        <f t="shared" si="57"/>
        <v>0</v>
      </c>
    </row>
    <row r="404" spans="1:14" x14ac:dyDescent="0.25">
      <c r="A404" t="s">
        <v>424</v>
      </c>
      <c r="B404">
        <v>0</v>
      </c>
      <c r="C404" t="s">
        <v>425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L404">
        <f t="shared" si="53"/>
        <v>0</v>
      </c>
      <c r="M404">
        <f t="shared" si="56"/>
        <v>0</v>
      </c>
      <c r="N404">
        <f t="shared" si="57"/>
        <v>0</v>
      </c>
    </row>
    <row r="405" spans="1:14" x14ac:dyDescent="0.25">
      <c r="A405" t="s">
        <v>424</v>
      </c>
      <c r="B405">
        <v>0</v>
      </c>
      <c r="C405" t="s">
        <v>425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L405">
        <f t="shared" si="53"/>
        <v>0</v>
      </c>
      <c r="M405">
        <f t="shared" si="56"/>
        <v>0</v>
      </c>
      <c r="N405">
        <f t="shared" si="57"/>
        <v>0</v>
      </c>
    </row>
    <row r="406" spans="1:14" x14ac:dyDescent="0.25">
      <c r="A406" t="s">
        <v>424</v>
      </c>
      <c r="B406">
        <v>0</v>
      </c>
      <c r="C406" t="s">
        <v>425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L406">
        <f t="shared" si="53"/>
        <v>0</v>
      </c>
      <c r="M406">
        <f t="shared" si="56"/>
        <v>0</v>
      </c>
      <c r="N406">
        <f t="shared" si="57"/>
        <v>0</v>
      </c>
    </row>
    <row r="407" spans="1:14" x14ac:dyDescent="0.25">
      <c r="A407" t="s">
        <v>424</v>
      </c>
      <c r="B407">
        <v>0</v>
      </c>
      <c r="C407" t="s">
        <v>425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L407">
        <f t="shared" si="53"/>
        <v>0</v>
      </c>
      <c r="M407">
        <f t="shared" si="56"/>
        <v>0</v>
      </c>
      <c r="N407">
        <f t="shared" si="57"/>
        <v>0</v>
      </c>
    </row>
    <row r="408" spans="1:14" x14ac:dyDescent="0.25">
      <c r="A408" t="s">
        <v>424</v>
      </c>
      <c r="B408">
        <v>0</v>
      </c>
      <c r="C408" t="s">
        <v>425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L408">
        <f t="shared" si="53"/>
        <v>0</v>
      </c>
      <c r="M408">
        <f t="shared" si="56"/>
        <v>0</v>
      </c>
      <c r="N408">
        <f t="shared" si="57"/>
        <v>0</v>
      </c>
    </row>
    <row r="409" spans="1:14" x14ac:dyDescent="0.25">
      <c r="A409" t="s">
        <v>424</v>
      </c>
      <c r="B409">
        <v>0</v>
      </c>
      <c r="C409" t="s">
        <v>425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L409">
        <f t="shared" si="53"/>
        <v>0</v>
      </c>
      <c r="M409">
        <f t="shared" si="56"/>
        <v>0</v>
      </c>
      <c r="N409">
        <f t="shared" si="57"/>
        <v>0</v>
      </c>
    </row>
    <row r="410" spans="1:14" x14ac:dyDescent="0.25">
      <c r="A410" t="s">
        <v>424</v>
      </c>
      <c r="B410">
        <v>0</v>
      </c>
      <c r="C410" t="s">
        <v>425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L410">
        <f t="shared" si="53"/>
        <v>0</v>
      </c>
      <c r="M410">
        <f t="shared" si="56"/>
        <v>0</v>
      </c>
      <c r="N410">
        <f t="shared" si="57"/>
        <v>0</v>
      </c>
    </row>
    <row r="411" spans="1:14" x14ac:dyDescent="0.25">
      <c r="A411" t="s">
        <v>424</v>
      </c>
      <c r="B411">
        <v>0</v>
      </c>
      <c r="C411" t="s">
        <v>425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L411">
        <f t="shared" si="53"/>
        <v>0</v>
      </c>
      <c r="M411">
        <f t="shared" si="56"/>
        <v>0</v>
      </c>
      <c r="N411">
        <f t="shared" si="57"/>
        <v>0</v>
      </c>
    </row>
    <row r="412" spans="1:14" x14ac:dyDescent="0.25">
      <c r="A412" t="s">
        <v>424</v>
      </c>
      <c r="B412">
        <v>0</v>
      </c>
      <c r="C412" t="s">
        <v>425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L412">
        <f t="shared" si="53"/>
        <v>0</v>
      </c>
      <c r="M412">
        <f t="shared" si="56"/>
        <v>0</v>
      </c>
      <c r="N412">
        <f t="shared" si="57"/>
        <v>0</v>
      </c>
    </row>
    <row r="413" spans="1:14" x14ac:dyDescent="0.25">
      <c r="A413" t="s">
        <v>424</v>
      </c>
      <c r="B413">
        <v>0</v>
      </c>
      <c r="C413" t="s">
        <v>425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L413">
        <f t="shared" si="53"/>
        <v>0</v>
      </c>
      <c r="M413">
        <f t="shared" si="56"/>
        <v>0</v>
      </c>
      <c r="N413">
        <f t="shared" si="57"/>
        <v>0</v>
      </c>
    </row>
    <row r="414" spans="1:14" x14ac:dyDescent="0.25">
      <c r="A414" t="s">
        <v>424</v>
      </c>
      <c r="B414">
        <v>0</v>
      </c>
      <c r="C414" t="s">
        <v>425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L414">
        <f t="shared" si="53"/>
        <v>0</v>
      </c>
      <c r="M414">
        <f t="shared" si="56"/>
        <v>0</v>
      </c>
      <c r="N414">
        <f t="shared" si="57"/>
        <v>0</v>
      </c>
    </row>
    <row r="415" spans="1:14" x14ac:dyDescent="0.25">
      <c r="A415" t="s">
        <v>424</v>
      </c>
      <c r="B415">
        <v>0</v>
      </c>
      <c r="C415" t="s">
        <v>425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L415">
        <f t="shared" si="53"/>
        <v>0</v>
      </c>
      <c r="M415">
        <f t="shared" si="56"/>
        <v>0</v>
      </c>
      <c r="N415">
        <f t="shared" si="57"/>
        <v>0</v>
      </c>
    </row>
    <row r="416" spans="1:14" x14ac:dyDescent="0.25">
      <c r="A416" t="s">
        <v>424</v>
      </c>
      <c r="B416">
        <v>0</v>
      </c>
      <c r="C416" t="s">
        <v>425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L416">
        <f t="shared" si="53"/>
        <v>0</v>
      </c>
      <c r="M416">
        <f t="shared" si="56"/>
        <v>0</v>
      </c>
      <c r="N416">
        <f t="shared" si="57"/>
        <v>0</v>
      </c>
    </row>
    <row r="417" spans="1:14" x14ac:dyDescent="0.25">
      <c r="A417" t="s">
        <v>424</v>
      </c>
      <c r="B417">
        <v>0</v>
      </c>
      <c r="C417" t="s">
        <v>425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L417">
        <f t="shared" si="53"/>
        <v>0</v>
      </c>
      <c r="M417">
        <f t="shared" si="56"/>
        <v>0</v>
      </c>
      <c r="N417">
        <f t="shared" si="57"/>
        <v>0</v>
      </c>
    </row>
    <row r="418" spans="1:14" x14ac:dyDescent="0.25">
      <c r="A418" t="s">
        <v>424</v>
      </c>
      <c r="B418">
        <v>0</v>
      </c>
      <c r="C418" t="s">
        <v>425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L418">
        <f t="shared" si="53"/>
        <v>0</v>
      </c>
      <c r="M418">
        <f t="shared" si="56"/>
        <v>0</v>
      </c>
      <c r="N418">
        <f t="shared" si="57"/>
        <v>0</v>
      </c>
    </row>
    <row r="419" spans="1:14" x14ac:dyDescent="0.25">
      <c r="A419" t="s">
        <v>424</v>
      </c>
      <c r="B419">
        <v>0</v>
      </c>
      <c r="C419" t="s">
        <v>425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L419">
        <f t="shared" si="53"/>
        <v>0</v>
      </c>
      <c r="M419">
        <f t="shared" si="56"/>
        <v>0</v>
      </c>
      <c r="N419">
        <f t="shared" si="57"/>
        <v>0</v>
      </c>
    </row>
    <row r="420" spans="1:14" x14ac:dyDescent="0.25">
      <c r="A420" t="s">
        <v>424</v>
      </c>
      <c r="B420">
        <v>0</v>
      </c>
      <c r="C420" t="s">
        <v>425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L420">
        <f t="shared" si="53"/>
        <v>0</v>
      </c>
      <c r="M420">
        <f t="shared" si="56"/>
        <v>0</v>
      </c>
      <c r="N420">
        <f t="shared" si="57"/>
        <v>0</v>
      </c>
    </row>
    <row r="421" spans="1:14" x14ac:dyDescent="0.25">
      <c r="A421" t="s">
        <v>424</v>
      </c>
      <c r="B421">
        <v>0</v>
      </c>
      <c r="C421" t="s">
        <v>425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L421">
        <f t="shared" si="53"/>
        <v>0</v>
      </c>
      <c r="M421">
        <f t="shared" si="56"/>
        <v>0</v>
      </c>
      <c r="N421">
        <f t="shared" si="57"/>
        <v>0</v>
      </c>
    </row>
    <row r="422" spans="1:14" x14ac:dyDescent="0.25">
      <c r="A422" t="s">
        <v>424</v>
      </c>
      <c r="B422">
        <v>0</v>
      </c>
      <c r="C422" t="s">
        <v>425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L422">
        <f t="shared" si="53"/>
        <v>0</v>
      </c>
      <c r="M422">
        <f t="shared" si="56"/>
        <v>0</v>
      </c>
      <c r="N422">
        <f t="shared" si="57"/>
        <v>0</v>
      </c>
    </row>
    <row r="423" spans="1:14" x14ac:dyDescent="0.25">
      <c r="A423" t="s">
        <v>424</v>
      </c>
      <c r="B423">
        <v>0</v>
      </c>
      <c r="C423" t="s">
        <v>425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L423">
        <f t="shared" si="53"/>
        <v>0</v>
      </c>
      <c r="M423">
        <f t="shared" si="56"/>
        <v>0</v>
      </c>
      <c r="N423">
        <f t="shared" si="57"/>
        <v>0</v>
      </c>
    </row>
    <row r="424" spans="1:14" x14ac:dyDescent="0.25">
      <c r="A424" t="s">
        <v>424</v>
      </c>
      <c r="B424">
        <v>0</v>
      </c>
      <c r="C424" t="s">
        <v>425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L424">
        <f t="shared" si="53"/>
        <v>0</v>
      </c>
      <c r="M424">
        <f t="shared" si="56"/>
        <v>0</v>
      </c>
      <c r="N424">
        <f t="shared" si="57"/>
        <v>0</v>
      </c>
    </row>
    <row r="425" spans="1:14" x14ac:dyDescent="0.25">
      <c r="A425" t="s">
        <v>424</v>
      </c>
      <c r="B425">
        <v>0</v>
      </c>
      <c r="C425" t="s">
        <v>425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L425">
        <f t="shared" si="53"/>
        <v>0</v>
      </c>
      <c r="M425">
        <f t="shared" si="56"/>
        <v>0</v>
      </c>
      <c r="N425">
        <f t="shared" si="57"/>
        <v>0</v>
      </c>
    </row>
    <row r="426" spans="1:14" x14ac:dyDescent="0.25">
      <c r="A426" t="s">
        <v>424</v>
      </c>
      <c r="B426">
        <v>0</v>
      </c>
      <c r="C426" t="s">
        <v>425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L426">
        <f t="shared" si="53"/>
        <v>0</v>
      </c>
      <c r="M426">
        <f t="shared" si="56"/>
        <v>0</v>
      </c>
      <c r="N426">
        <f t="shared" si="57"/>
        <v>0</v>
      </c>
    </row>
    <row r="427" spans="1:14" x14ac:dyDescent="0.25">
      <c r="A427" t="s">
        <v>424</v>
      </c>
      <c r="B427">
        <v>0</v>
      </c>
      <c r="C427" t="s">
        <v>425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L427">
        <f t="shared" si="53"/>
        <v>0</v>
      </c>
      <c r="M427">
        <f t="shared" si="56"/>
        <v>0</v>
      </c>
      <c r="N427">
        <f t="shared" si="57"/>
        <v>0</v>
      </c>
    </row>
    <row r="428" spans="1:14" x14ac:dyDescent="0.25">
      <c r="A428" t="s">
        <v>424</v>
      </c>
      <c r="B428">
        <v>0</v>
      </c>
      <c r="C428" t="s">
        <v>425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L428">
        <f t="shared" si="53"/>
        <v>0</v>
      </c>
      <c r="M428">
        <f t="shared" si="56"/>
        <v>0</v>
      </c>
      <c r="N428">
        <f t="shared" si="57"/>
        <v>0</v>
      </c>
    </row>
    <row r="429" spans="1:14" x14ac:dyDescent="0.25">
      <c r="A429" t="s">
        <v>424</v>
      </c>
      <c r="B429">
        <v>0</v>
      </c>
      <c r="C429" t="s">
        <v>425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L429">
        <f t="shared" si="53"/>
        <v>0</v>
      </c>
      <c r="M429">
        <f t="shared" si="56"/>
        <v>0</v>
      </c>
      <c r="N429">
        <f t="shared" si="57"/>
        <v>0</v>
      </c>
    </row>
    <row r="430" spans="1:14" x14ac:dyDescent="0.25">
      <c r="A430" t="s">
        <v>424</v>
      </c>
      <c r="B430">
        <v>0</v>
      </c>
      <c r="C430" t="s">
        <v>425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L430">
        <f t="shared" si="53"/>
        <v>0</v>
      </c>
      <c r="M430">
        <f t="shared" si="56"/>
        <v>0</v>
      </c>
      <c r="N430">
        <f t="shared" si="57"/>
        <v>0</v>
      </c>
    </row>
    <row r="431" spans="1:14" x14ac:dyDescent="0.25">
      <c r="A431" t="s">
        <v>424</v>
      </c>
      <c r="B431">
        <v>0</v>
      </c>
      <c r="C431" t="s">
        <v>425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L431">
        <f t="shared" si="53"/>
        <v>0</v>
      </c>
      <c r="M431">
        <f t="shared" si="56"/>
        <v>0</v>
      </c>
      <c r="N431">
        <f t="shared" si="57"/>
        <v>0</v>
      </c>
    </row>
    <row r="432" spans="1:14" x14ac:dyDescent="0.25">
      <c r="A432" t="s">
        <v>424</v>
      </c>
      <c r="B432">
        <v>0</v>
      </c>
      <c r="C432" t="s">
        <v>425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L432">
        <f t="shared" si="53"/>
        <v>0</v>
      </c>
      <c r="M432">
        <f t="shared" si="56"/>
        <v>0</v>
      </c>
      <c r="N432">
        <f t="shared" si="57"/>
        <v>0</v>
      </c>
    </row>
    <row r="433" spans="1:14" x14ac:dyDescent="0.25">
      <c r="A433" t="s">
        <v>424</v>
      </c>
      <c r="B433">
        <v>0</v>
      </c>
      <c r="C433" t="s">
        <v>425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L433">
        <f t="shared" si="53"/>
        <v>0</v>
      </c>
      <c r="M433">
        <f t="shared" si="56"/>
        <v>0</v>
      </c>
      <c r="N433">
        <f t="shared" si="57"/>
        <v>0</v>
      </c>
    </row>
    <row r="434" spans="1:14" x14ac:dyDescent="0.25">
      <c r="A434" t="s">
        <v>424</v>
      </c>
      <c r="B434">
        <v>0</v>
      </c>
      <c r="C434" t="s">
        <v>425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L434">
        <f t="shared" si="53"/>
        <v>0</v>
      </c>
      <c r="M434">
        <f t="shared" si="56"/>
        <v>0</v>
      </c>
      <c r="N434">
        <f t="shared" si="57"/>
        <v>0</v>
      </c>
    </row>
    <row r="435" spans="1:14" x14ac:dyDescent="0.25">
      <c r="A435" t="s">
        <v>424</v>
      </c>
      <c r="B435">
        <v>0</v>
      </c>
      <c r="C435" t="s">
        <v>425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L435">
        <f t="shared" ref="L435:L498" si="58">I435</f>
        <v>0</v>
      </c>
      <c r="M435">
        <f t="shared" ref="M435:M498" si="59">D435</f>
        <v>0</v>
      </c>
      <c r="N435">
        <f t="shared" ref="N435:N498" si="60">F435</f>
        <v>0</v>
      </c>
    </row>
    <row r="436" spans="1:14" x14ac:dyDescent="0.25">
      <c r="A436" t="s">
        <v>424</v>
      </c>
      <c r="B436">
        <v>0</v>
      </c>
      <c r="C436" t="s">
        <v>425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L436">
        <f t="shared" si="58"/>
        <v>0</v>
      </c>
      <c r="M436">
        <f t="shared" si="59"/>
        <v>0</v>
      </c>
      <c r="N436">
        <f t="shared" si="60"/>
        <v>0</v>
      </c>
    </row>
    <row r="437" spans="1:14" x14ac:dyDescent="0.25">
      <c r="A437" t="s">
        <v>424</v>
      </c>
      <c r="B437">
        <v>0</v>
      </c>
      <c r="C437" t="s">
        <v>425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L437">
        <f t="shared" si="58"/>
        <v>0</v>
      </c>
      <c r="M437">
        <f t="shared" si="59"/>
        <v>0</v>
      </c>
      <c r="N437">
        <f t="shared" si="60"/>
        <v>0</v>
      </c>
    </row>
    <row r="438" spans="1:14" x14ac:dyDescent="0.25">
      <c r="A438" t="s">
        <v>424</v>
      </c>
      <c r="B438">
        <v>0</v>
      </c>
      <c r="C438" t="s">
        <v>425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L438">
        <f t="shared" si="58"/>
        <v>0</v>
      </c>
      <c r="M438">
        <f t="shared" si="59"/>
        <v>0</v>
      </c>
      <c r="N438">
        <f t="shared" si="60"/>
        <v>0</v>
      </c>
    </row>
    <row r="439" spans="1:14" x14ac:dyDescent="0.25">
      <c r="A439" t="s">
        <v>424</v>
      </c>
      <c r="B439">
        <v>0</v>
      </c>
      <c r="C439" t="s">
        <v>425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L439">
        <f t="shared" si="58"/>
        <v>0</v>
      </c>
      <c r="M439">
        <f t="shared" si="59"/>
        <v>0</v>
      </c>
      <c r="N439">
        <f t="shared" si="60"/>
        <v>0</v>
      </c>
    </row>
    <row r="440" spans="1:14" x14ac:dyDescent="0.25">
      <c r="A440" t="s">
        <v>424</v>
      </c>
      <c r="B440">
        <v>0</v>
      </c>
      <c r="C440" t="s">
        <v>425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L440">
        <f t="shared" si="58"/>
        <v>0</v>
      </c>
      <c r="M440">
        <f t="shared" si="59"/>
        <v>0</v>
      </c>
      <c r="N440">
        <f t="shared" si="60"/>
        <v>0</v>
      </c>
    </row>
    <row r="441" spans="1:14" x14ac:dyDescent="0.25">
      <c r="A441" t="s">
        <v>424</v>
      </c>
      <c r="B441">
        <v>0</v>
      </c>
      <c r="C441" t="s">
        <v>425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L441">
        <f t="shared" si="58"/>
        <v>0</v>
      </c>
      <c r="M441">
        <f t="shared" si="59"/>
        <v>0</v>
      </c>
      <c r="N441">
        <f t="shared" si="60"/>
        <v>0</v>
      </c>
    </row>
    <row r="442" spans="1:14" x14ac:dyDescent="0.25">
      <c r="A442" t="s">
        <v>424</v>
      </c>
      <c r="B442">
        <v>0</v>
      </c>
      <c r="C442" t="s">
        <v>425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L442">
        <f t="shared" si="58"/>
        <v>0</v>
      </c>
      <c r="M442">
        <f t="shared" si="59"/>
        <v>0</v>
      </c>
      <c r="N442">
        <f t="shared" si="60"/>
        <v>0</v>
      </c>
    </row>
    <row r="443" spans="1:14" x14ac:dyDescent="0.25">
      <c r="A443" t="s">
        <v>424</v>
      </c>
      <c r="B443">
        <v>0</v>
      </c>
      <c r="C443" t="s">
        <v>425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L443">
        <f t="shared" si="58"/>
        <v>0</v>
      </c>
      <c r="M443">
        <f t="shared" si="59"/>
        <v>0</v>
      </c>
      <c r="N443">
        <f t="shared" si="60"/>
        <v>0</v>
      </c>
    </row>
    <row r="444" spans="1:14" x14ac:dyDescent="0.25">
      <c r="A444" t="s">
        <v>424</v>
      </c>
      <c r="B444">
        <v>0</v>
      </c>
      <c r="C444" t="s">
        <v>425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L444">
        <f t="shared" si="58"/>
        <v>0</v>
      </c>
      <c r="M444">
        <f t="shared" si="59"/>
        <v>0</v>
      </c>
      <c r="N444">
        <f t="shared" si="60"/>
        <v>0</v>
      </c>
    </row>
    <row r="445" spans="1:14" x14ac:dyDescent="0.25">
      <c r="A445" t="s">
        <v>424</v>
      </c>
      <c r="B445">
        <v>0</v>
      </c>
      <c r="C445" t="s">
        <v>425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L445">
        <f t="shared" si="58"/>
        <v>0</v>
      </c>
      <c r="M445">
        <f t="shared" si="59"/>
        <v>0</v>
      </c>
      <c r="N445">
        <f t="shared" si="60"/>
        <v>0</v>
      </c>
    </row>
    <row r="446" spans="1:14" x14ac:dyDescent="0.25">
      <c r="A446" t="s">
        <v>424</v>
      </c>
      <c r="B446">
        <v>0</v>
      </c>
      <c r="C446" t="s">
        <v>425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L446">
        <f t="shared" si="58"/>
        <v>0</v>
      </c>
      <c r="M446">
        <f t="shared" si="59"/>
        <v>0</v>
      </c>
      <c r="N446">
        <f t="shared" si="60"/>
        <v>0</v>
      </c>
    </row>
    <row r="447" spans="1:14" x14ac:dyDescent="0.25">
      <c r="A447" t="s">
        <v>424</v>
      </c>
      <c r="B447">
        <v>0</v>
      </c>
      <c r="C447" t="s">
        <v>425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L447">
        <f t="shared" si="58"/>
        <v>0</v>
      </c>
      <c r="M447">
        <f t="shared" si="59"/>
        <v>0</v>
      </c>
      <c r="N447">
        <f t="shared" si="60"/>
        <v>0</v>
      </c>
    </row>
    <row r="448" spans="1:14" x14ac:dyDescent="0.25">
      <c r="A448" t="s">
        <v>424</v>
      </c>
      <c r="B448">
        <v>0</v>
      </c>
      <c r="C448" t="s">
        <v>425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L448">
        <f t="shared" si="58"/>
        <v>0</v>
      </c>
      <c r="M448">
        <f t="shared" si="59"/>
        <v>0</v>
      </c>
      <c r="N448">
        <f t="shared" si="60"/>
        <v>0</v>
      </c>
    </row>
    <row r="449" spans="1:14" x14ac:dyDescent="0.25">
      <c r="A449" t="s">
        <v>424</v>
      </c>
      <c r="B449">
        <v>0</v>
      </c>
      <c r="C449" t="s">
        <v>425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L449">
        <f t="shared" si="58"/>
        <v>0</v>
      </c>
      <c r="M449">
        <f t="shared" si="59"/>
        <v>0</v>
      </c>
      <c r="N449">
        <f t="shared" si="60"/>
        <v>0</v>
      </c>
    </row>
    <row r="450" spans="1:14" x14ac:dyDescent="0.25">
      <c r="A450" t="s">
        <v>424</v>
      </c>
      <c r="B450">
        <v>0</v>
      </c>
      <c r="C450" t="s">
        <v>425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L450">
        <f t="shared" si="58"/>
        <v>0</v>
      </c>
      <c r="M450">
        <f t="shared" si="59"/>
        <v>0</v>
      </c>
      <c r="N450">
        <f t="shared" si="60"/>
        <v>0</v>
      </c>
    </row>
    <row r="451" spans="1:14" x14ac:dyDescent="0.25">
      <c r="A451" t="s">
        <v>424</v>
      </c>
      <c r="B451">
        <v>0</v>
      </c>
      <c r="C451" t="s">
        <v>425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L451">
        <f t="shared" si="58"/>
        <v>0</v>
      </c>
      <c r="M451">
        <f t="shared" si="59"/>
        <v>0</v>
      </c>
      <c r="N451">
        <f t="shared" si="60"/>
        <v>0</v>
      </c>
    </row>
    <row r="452" spans="1:14" x14ac:dyDescent="0.25">
      <c r="A452" t="s">
        <v>424</v>
      </c>
      <c r="B452">
        <v>0</v>
      </c>
      <c r="C452" t="s">
        <v>425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L452">
        <f t="shared" si="58"/>
        <v>0</v>
      </c>
      <c r="M452">
        <f t="shared" si="59"/>
        <v>0</v>
      </c>
      <c r="N452">
        <f t="shared" si="60"/>
        <v>0</v>
      </c>
    </row>
    <row r="453" spans="1:14" x14ac:dyDescent="0.25">
      <c r="A453" t="s">
        <v>424</v>
      </c>
      <c r="B453">
        <v>0</v>
      </c>
      <c r="C453" t="s">
        <v>425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L453">
        <f t="shared" si="58"/>
        <v>0</v>
      </c>
      <c r="M453">
        <f t="shared" si="59"/>
        <v>0</v>
      </c>
      <c r="N453">
        <f t="shared" si="60"/>
        <v>0</v>
      </c>
    </row>
    <row r="454" spans="1:14" x14ac:dyDescent="0.25">
      <c r="A454" t="s">
        <v>424</v>
      </c>
      <c r="B454">
        <v>0</v>
      </c>
      <c r="C454" t="s">
        <v>425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L454">
        <f t="shared" si="58"/>
        <v>0</v>
      </c>
      <c r="M454">
        <f t="shared" si="59"/>
        <v>0</v>
      </c>
      <c r="N454">
        <f t="shared" si="60"/>
        <v>0</v>
      </c>
    </row>
    <row r="455" spans="1:14" x14ac:dyDescent="0.25">
      <c r="A455" t="s">
        <v>424</v>
      </c>
      <c r="B455">
        <v>0</v>
      </c>
      <c r="C455" t="s">
        <v>425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L455">
        <f t="shared" si="58"/>
        <v>0</v>
      </c>
      <c r="M455">
        <f t="shared" si="59"/>
        <v>0</v>
      </c>
      <c r="N455">
        <f t="shared" si="60"/>
        <v>0</v>
      </c>
    </row>
    <row r="456" spans="1:14" x14ac:dyDescent="0.25">
      <c r="A456" t="s">
        <v>424</v>
      </c>
      <c r="B456">
        <v>0</v>
      </c>
      <c r="C456" t="s">
        <v>425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L456">
        <f t="shared" si="58"/>
        <v>0</v>
      </c>
      <c r="M456">
        <f t="shared" si="59"/>
        <v>0</v>
      </c>
      <c r="N456">
        <f t="shared" si="60"/>
        <v>0</v>
      </c>
    </row>
    <row r="457" spans="1:14" x14ac:dyDescent="0.25">
      <c r="A457" t="s">
        <v>424</v>
      </c>
      <c r="B457">
        <v>0</v>
      </c>
      <c r="C457" t="s">
        <v>425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L457">
        <f t="shared" si="58"/>
        <v>0</v>
      </c>
      <c r="M457">
        <f t="shared" si="59"/>
        <v>0</v>
      </c>
      <c r="N457">
        <f t="shared" si="60"/>
        <v>0</v>
      </c>
    </row>
    <row r="458" spans="1:14" x14ac:dyDescent="0.25">
      <c r="A458" t="s">
        <v>424</v>
      </c>
      <c r="B458">
        <v>0</v>
      </c>
      <c r="C458" t="s">
        <v>425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L458">
        <f t="shared" si="58"/>
        <v>0</v>
      </c>
      <c r="M458">
        <f t="shared" si="59"/>
        <v>0</v>
      </c>
      <c r="N458">
        <f t="shared" si="60"/>
        <v>0</v>
      </c>
    </row>
    <row r="459" spans="1:14" x14ac:dyDescent="0.25">
      <c r="A459" t="s">
        <v>424</v>
      </c>
      <c r="B459">
        <v>0</v>
      </c>
      <c r="C459" t="s">
        <v>425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L459">
        <f t="shared" si="58"/>
        <v>0</v>
      </c>
      <c r="M459">
        <f t="shared" si="59"/>
        <v>0</v>
      </c>
      <c r="N459">
        <f t="shared" si="60"/>
        <v>0</v>
      </c>
    </row>
    <row r="460" spans="1:14" x14ac:dyDescent="0.25">
      <c r="A460" t="s">
        <v>424</v>
      </c>
      <c r="B460">
        <v>0</v>
      </c>
      <c r="C460" t="s">
        <v>425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L460">
        <f t="shared" si="58"/>
        <v>0</v>
      </c>
      <c r="M460">
        <f t="shared" si="59"/>
        <v>0</v>
      </c>
      <c r="N460">
        <f t="shared" si="60"/>
        <v>0</v>
      </c>
    </row>
    <row r="461" spans="1:14" x14ac:dyDescent="0.25">
      <c r="A461" t="s">
        <v>424</v>
      </c>
      <c r="B461">
        <v>0</v>
      </c>
      <c r="C461" t="s">
        <v>425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L461">
        <f t="shared" si="58"/>
        <v>0</v>
      </c>
      <c r="M461">
        <f t="shared" si="59"/>
        <v>0</v>
      </c>
      <c r="N461">
        <f t="shared" si="60"/>
        <v>0</v>
      </c>
    </row>
    <row r="462" spans="1:14" x14ac:dyDescent="0.25">
      <c r="A462" t="s">
        <v>424</v>
      </c>
      <c r="B462">
        <v>0</v>
      </c>
      <c r="C462" t="s">
        <v>425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L462">
        <f t="shared" si="58"/>
        <v>0</v>
      </c>
      <c r="M462">
        <f t="shared" si="59"/>
        <v>0</v>
      </c>
      <c r="N462">
        <f t="shared" si="60"/>
        <v>0</v>
      </c>
    </row>
    <row r="463" spans="1:14" x14ac:dyDescent="0.25">
      <c r="A463" t="s">
        <v>424</v>
      </c>
      <c r="B463">
        <v>0</v>
      </c>
      <c r="C463" t="s">
        <v>425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L463">
        <f t="shared" si="58"/>
        <v>0</v>
      </c>
      <c r="M463">
        <f t="shared" si="59"/>
        <v>0</v>
      </c>
      <c r="N463">
        <f t="shared" si="60"/>
        <v>0</v>
      </c>
    </row>
    <row r="464" spans="1:14" x14ac:dyDescent="0.25">
      <c r="A464" t="s">
        <v>424</v>
      </c>
      <c r="B464">
        <v>0</v>
      </c>
      <c r="C464" t="s">
        <v>425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L464">
        <f t="shared" si="58"/>
        <v>0</v>
      </c>
      <c r="M464">
        <f t="shared" si="59"/>
        <v>0</v>
      </c>
      <c r="N464">
        <f t="shared" si="60"/>
        <v>0</v>
      </c>
    </row>
    <row r="465" spans="1:14" x14ac:dyDescent="0.25">
      <c r="A465" t="s">
        <v>424</v>
      </c>
      <c r="B465">
        <v>0</v>
      </c>
      <c r="C465" t="s">
        <v>425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L465">
        <f t="shared" si="58"/>
        <v>0</v>
      </c>
      <c r="M465">
        <f t="shared" si="59"/>
        <v>0</v>
      </c>
      <c r="N465">
        <f t="shared" si="60"/>
        <v>0</v>
      </c>
    </row>
    <row r="466" spans="1:14" x14ac:dyDescent="0.25">
      <c r="A466" t="s">
        <v>424</v>
      </c>
      <c r="B466">
        <v>0</v>
      </c>
      <c r="C466" t="s">
        <v>425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L466">
        <f t="shared" si="58"/>
        <v>0</v>
      </c>
      <c r="M466">
        <f t="shared" si="59"/>
        <v>0</v>
      </c>
      <c r="N466">
        <f t="shared" si="60"/>
        <v>0</v>
      </c>
    </row>
    <row r="467" spans="1:14" x14ac:dyDescent="0.25">
      <c r="A467" t="s">
        <v>424</v>
      </c>
      <c r="B467">
        <v>0</v>
      </c>
      <c r="C467" t="s">
        <v>425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L467">
        <f t="shared" si="58"/>
        <v>0</v>
      </c>
      <c r="M467">
        <f t="shared" si="59"/>
        <v>0</v>
      </c>
      <c r="N467">
        <f t="shared" si="60"/>
        <v>0</v>
      </c>
    </row>
    <row r="468" spans="1:14" x14ac:dyDescent="0.25">
      <c r="A468" t="s">
        <v>424</v>
      </c>
      <c r="B468">
        <v>0</v>
      </c>
      <c r="C468" t="s">
        <v>425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L468">
        <f t="shared" si="58"/>
        <v>0</v>
      </c>
      <c r="M468">
        <f t="shared" si="59"/>
        <v>0</v>
      </c>
      <c r="N468">
        <f t="shared" si="60"/>
        <v>0</v>
      </c>
    </row>
    <row r="469" spans="1:14" x14ac:dyDescent="0.25">
      <c r="A469" t="s">
        <v>424</v>
      </c>
      <c r="B469">
        <v>0</v>
      </c>
      <c r="C469" t="s">
        <v>425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L469">
        <f t="shared" si="58"/>
        <v>0</v>
      </c>
      <c r="M469">
        <f t="shared" si="59"/>
        <v>0</v>
      </c>
      <c r="N469">
        <f t="shared" si="60"/>
        <v>0</v>
      </c>
    </row>
    <row r="470" spans="1:14" x14ac:dyDescent="0.25">
      <c r="A470" t="s">
        <v>424</v>
      </c>
      <c r="B470">
        <v>0</v>
      </c>
      <c r="C470" t="s">
        <v>425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L470">
        <f t="shared" si="58"/>
        <v>0</v>
      </c>
      <c r="M470">
        <f t="shared" si="59"/>
        <v>0</v>
      </c>
      <c r="N470">
        <f t="shared" si="60"/>
        <v>0</v>
      </c>
    </row>
    <row r="471" spans="1:14" x14ac:dyDescent="0.25">
      <c r="A471" t="s">
        <v>424</v>
      </c>
      <c r="B471">
        <v>0</v>
      </c>
      <c r="C471" t="s">
        <v>425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L471">
        <f t="shared" si="58"/>
        <v>0</v>
      </c>
      <c r="M471">
        <f t="shared" si="59"/>
        <v>0</v>
      </c>
      <c r="N471">
        <f t="shared" si="60"/>
        <v>0</v>
      </c>
    </row>
    <row r="472" spans="1:14" x14ac:dyDescent="0.25">
      <c r="A472" t="s">
        <v>424</v>
      </c>
      <c r="B472">
        <v>0</v>
      </c>
      <c r="C472" t="s">
        <v>425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L472">
        <f t="shared" si="58"/>
        <v>0</v>
      </c>
      <c r="M472">
        <f t="shared" si="59"/>
        <v>0</v>
      </c>
      <c r="N472">
        <f t="shared" si="60"/>
        <v>0</v>
      </c>
    </row>
    <row r="473" spans="1:14" x14ac:dyDescent="0.25">
      <c r="A473" t="s">
        <v>424</v>
      </c>
      <c r="B473">
        <v>0</v>
      </c>
      <c r="C473" t="s">
        <v>425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L473">
        <f t="shared" si="58"/>
        <v>0</v>
      </c>
      <c r="M473">
        <f t="shared" si="59"/>
        <v>0</v>
      </c>
      <c r="N473">
        <f t="shared" si="60"/>
        <v>0</v>
      </c>
    </row>
    <row r="474" spans="1:14" x14ac:dyDescent="0.25">
      <c r="A474" t="s">
        <v>424</v>
      </c>
      <c r="B474">
        <v>0</v>
      </c>
      <c r="C474" t="s">
        <v>425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L474">
        <f t="shared" si="58"/>
        <v>0</v>
      </c>
      <c r="M474">
        <f t="shared" si="59"/>
        <v>0</v>
      </c>
      <c r="N474">
        <f t="shared" si="60"/>
        <v>0</v>
      </c>
    </row>
    <row r="475" spans="1:14" x14ac:dyDescent="0.25">
      <c r="A475" t="s">
        <v>424</v>
      </c>
      <c r="B475">
        <v>0</v>
      </c>
      <c r="C475" t="s">
        <v>425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L475">
        <f t="shared" si="58"/>
        <v>0</v>
      </c>
      <c r="M475">
        <f t="shared" si="59"/>
        <v>0</v>
      </c>
      <c r="N475">
        <f t="shared" si="60"/>
        <v>0</v>
      </c>
    </row>
    <row r="476" spans="1:14" x14ac:dyDescent="0.25">
      <c r="A476" t="s">
        <v>424</v>
      </c>
      <c r="B476">
        <v>0</v>
      </c>
      <c r="C476" t="s">
        <v>425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L476">
        <f t="shared" si="58"/>
        <v>0</v>
      </c>
      <c r="M476">
        <f t="shared" si="59"/>
        <v>0</v>
      </c>
      <c r="N476">
        <f t="shared" si="60"/>
        <v>0</v>
      </c>
    </row>
    <row r="477" spans="1:14" x14ac:dyDescent="0.25">
      <c r="A477" t="s">
        <v>424</v>
      </c>
      <c r="B477">
        <v>0</v>
      </c>
      <c r="C477" t="s">
        <v>425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L477">
        <f t="shared" si="58"/>
        <v>0</v>
      </c>
      <c r="M477">
        <f t="shared" si="59"/>
        <v>0</v>
      </c>
      <c r="N477">
        <f t="shared" si="60"/>
        <v>0</v>
      </c>
    </row>
    <row r="478" spans="1:14" x14ac:dyDescent="0.25">
      <c r="A478" t="s">
        <v>424</v>
      </c>
      <c r="B478">
        <v>0</v>
      </c>
      <c r="C478" t="s">
        <v>425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L478">
        <f t="shared" si="58"/>
        <v>0</v>
      </c>
      <c r="M478">
        <f t="shared" si="59"/>
        <v>0</v>
      </c>
      <c r="N478">
        <f t="shared" si="60"/>
        <v>0</v>
      </c>
    </row>
    <row r="479" spans="1:14" x14ac:dyDescent="0.25">
      <c r="A479" t="s">
        <v>424</v>
      </c>
      <c r="B479">
        <v>0</v>
      </c>
      <c r="C479" t="s">
        <v>425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L479">
        <f t="shared" si="58"/>
        <v>0</v>
      </c>
      <c r="M479">
        <f t="shared" si="59"/>
        <v>0</v>
      </c>
      <c r="N479">
        <f t="shared" si="60"/>
        <v>0</v>
      </c>
    </row>
    <row r="480" spans="1:14" x14ac:dyDescent="0.25">
      <c r="A480" t="s">
        <v>424</v>
      </c>
      <c r="B480">
        <v>0</v>
      </c>
      <c r="C480" t="s">
        <v>425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L480">
        <f t="shared" si="58"/>
        <v>0</v>
      </c>
      <c r="M480">
        <f t="shared" si="59"/>
        <v>0</v>
      </c>
      <c r="N480">
        <f t="shared" si="60"/>
        <v>0</v>
      </c>
    </row>
    <row r="481" spans="1:14" x14ac:dyDescent="0.25">
      <c r="A481" t="s">
        <v>424</v>
      </c>
      <c r="B481">
        <v>0</v>
      </c>
      <c r="C481" t="s">
        <v>425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L481">
        <f t="shared" si="58"/>
        <v>0</v>
      </c>
      <c r="M481">
        <f t="shared" si="59"/>
        <v>0</v>
      </c>
      <c r="N481">
        <f t="shared" si="60"/>
        <v>0</v>
      </c>
    </row>
    <row r="482" spans="1:14" x14ac:dyDescent="0.25">
      <c r="A482" t="s">
        <v>424</v>
      </c>
      <c r="B482">
        <v>0</v>
      </c>
      <c r="C482" t="s">
        <v>425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L482">
        <f t="shared" si="58"/>
        <v>0</v>
      </c>
      <c r="M482">
        <f t="shared" si="59"/>
        <v>0</v>
      </c>
      <c r="N482">
        <f t="shared" si="60"/>
        <v>0</v>
      </c>
    </row>
    <row r="483" spans="1:14" x14ac:dyDescent="0.25">
      <c r="A483" t="s">
        <v>424</v>
      </c>
      <c r="B483">
        <v>0</v>
      </c>
      <c r="C483" t="s">
        <v>425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L483">
        <f t="shared" si="58"/>
        <v>0</v>
      </c>
      <c r="M483">
        <f t="shared" si="59"/>
        <v>0</v>
      </c>
      <c r="N483">
        <f t="shared" si="60"/>
        <v>0</v>
      </c>
    </row>
    <row r="484" spans="1:14" x14ac:dyDescent="0.25">
      <c r="A484" t="s">
        <v>424</v>
      </c>
      <c r="B484">
        <v>0</v>
      </c>
      <c r="C484" t="s">
        <v>425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L484">
        <f t="shared" si="58"/>
        <v>0</v>
      </c>
      <c r="M484">
        <f t="shared" si="59"/>
        <v>0</v>
      </c>
      <c r="N484">
        <f t="shared" si="60"/>
        <v>0</v>
      </c>
    </row>
    <row r="485" spans="1:14" x14ac:dyDescent="0.25">
      <c r="A485" t="s">
        <v>424</v>
      </c>
      <c r="B485">
        <v>0</v>
      </c>
      <c r="C485" t="s">
        <v>425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L485">
        <f t="shared" si="58"/>
        <v>0</v>
      </c>
      <c r="M485">
        <f t="shared" si="59"/>
        <v>0</v>
      </c>
      <c r="N485">
        <f t="shared" si="60"/>
        <v>0</v>
      </c>
    </row>
    <row r="486" spans="1:14" x14ac:dyDescent="0.25">
      <c r="A486" t="s">
        <v>424</v>
      </c>
      <c r="B486">
        <v>0</v>
      </c>
      <c r="C486" t="s">
        <v>425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L486">
        <f t="shared" si="58"/>
        <v>0</v>
      </c>
      <c r="M486">
        <f t="shared" si="59"/>
        <v>0</v>
      </c>
      <c r="N486">
        <f t="shared" si="60"/>
        <v>0</v>
      </c>
    </row>
    <row r="487" spans="1:14" x14ac:dyDescent="0.25">
      <c r="A487" t="s">
        <v>424</v>
      </c>
      <c r="B487">
        <v>0</v>
      </c>
      <c r="C487" t="s">
        <v>425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L487">
        <f t="shared" si="58"/>
        <v>0</v>
      </c>
      <c r="M487">
        <f t="shared" si="59"/>
        <v>0</v>
      </c>
      <c r="N487">
        <f t="shared" si="60"/>
        <v>0</v>
      </c>
    </row>
    <row r="488" spans="1:14" x14ac:dyDescent="0.25">
      <c r="A488" t="s">
        <v>424</v>
      </c>
      <c r="B488">
        <v>0</v>
      </c>
      <c r="C488" t="s">
        <v>425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L488">
        <f t="shared" si="58"/>
        <v>0</v>
      </c>
      <c r="M488">
        <f t="shared" si="59"/>
        <v>0</v>
      </c>
      <c r="N488">
        <f t="shared" si="60"/>
        <v>0</v>
      </c>
    </row>
    <row r="489" spans="1:14" x14ac:dyDescent="0.25">
      <c r="A489" t="s">
        <v>424</v>
      </c>
      <c r="B489">
        <v>0</v>
      </c>
      <c r="C489" t="s">
        <v>425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L489">
        <f t="shared" si="58"/>
        <v>0</v>
      </c>
      <c r="M489">
        <f t="shared" si="59"/>
        <v>0</v>
      </c>
      <c r="N489">
        <f t="shared" si="60"/>
        <v>0</v>
      </c>
    </row>
    <row r="490" spans="1:14" x14ac:dyDescent="0.25">
      <c r="A490" t="s">
        <v>424</v>
      </c>
      <c r="B490">
        <v>0</v>
      </c>
      <c r="C490" t="s">
        <v>425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L490">
        <f t="shared" si="58"/>
        <v>0</v>
      </c>
      <c r="M490">
        <f t="shared" si="59"/>
        <v>0</v>
      </c>
      <c r="N490">
        <f t="shared" si="60"/>
        <v>0</v>
      </c>
    </row>
    <row r="491" spans="1:14" x14ac:dyDescent="0.25">
      <c r="A491" t="s">
        <v>424</v>
      </c>
      <c r="B491">
        <v>0</v>
      </c>
      <c r="C491" t="s">
        <v>425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L491">
        <f t="shared" si="58"/>
        <v>0</v>
      </c>
      <c r="M491">
        <f t="shared" si="59"/>
        <v>0</v>
      </c>
      <c r="N491">
        <f t="shared" si="60"/>
        <v>0</v>
      </c>
    </row>
    <row r="492" spans="1:14" x14ac:dyDescent="0.25">
      <c r="A492" t="s">
        <v>424</v>
      </c>
      <c r="B492">
        <v>0</v>
      </c>
      <c r="C492" t="s">
        <v>425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L492">
        <f t="shared" si="58"/>
        <v>0</v>
      </c>
      <c r="M492">
        <f t="shared" si="59"/>
        <v>0</v>
      </c>
      <c r="N492">
        <f t="shared" si="60"/>
        <v>0</v>
      </c>
    </row>
    <row r="493" spans="1:14" x14ac:dyDescent="0.25">
      <c r="A493" t="s">
        <v>424</v>
      </c>
      <c r="B493">
        <v>0</v>
      </c>
      <c r="C493" t="s">
        <v>425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L493">
        <f t="shared" si="58"/>
        <v>0</v>
      </c>
      <c r="M493">
        <f t="shared" si="59"/>
        <v>0</v>
      </c>
      <c r="N493">
        <f t="shared" si="60"/>
        <v>0</v>
      </c>
    </row>
    <row r="494" spans="1:14" x14ac:dyDescent="0.25">
      <c r="A494" t="s">
        <v>424</v>
      </c>
      <c r="B494">
        <v>0</v>
      </c>
      <c r="C494" t="s">
        <v>425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L494">
        <f t="shared" si="58"/>
        <v>0</v>
      </c>
      <c r="M494">
        <f t="shared" si="59"/>
        <v>0</v>
      </c>
      <c r="N494">
        <f t="shared" si="60"/>
        <v>0</v>
      </c>
    </row>
    <row r="495" spans="1:14" x14ac:dyDescent="0.25">
      <c r="A495" t="s">
        <v>424</v>
      </c>
      <c r="B495">
        <v>0</v>
      </c>
      <c r="C495" t="s">
        <v>425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L495">
        <f t="shared" si="58"/>
        <v>0</v>
      </c>
      <c r="M495">
        <f t="shared" si="59"/>
        <v>0</v>
      </c>
      <c r="N495">
        <f t="shared" si="60"/>
        <v>0</v>
      </c>
    </row>
    <row r="496" spans="1:14" x14ac:dyDescent="0.25">
      <c r="A496" t="s">
        <v>424</v>
      </c>
      <c r="B496">
        <v>0</v>
      </c>
      <c r="C496" t="s">
        <v>425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L496">
        <f t="shared" si="58"/>
        <v>0</v>
      </c>
      <c r="M496">
        <f t="shared" si="59"/>
        <v>0</v>
      </c>
      <c r="N496">
        <f t="shared" si="60"/>
        <v>0</v>
      </c>
    </row>
    <row r="497" spans="1:14" x14ac:dyDescent="0.25">
      <c r="A497" t="s">
        <v>424</v>
      </c>
      <c r="B497">
        <v>0</v>
      </c>
      <c r="C497" t="s">
        <v>425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L497">
        <f t="shared" si="58"/>
        <v>0</v>
      </c>
      <c r="M497">
        <f t="shared" si="59"/>
        <v>0</v>
      </c>
      <c r="N497">
        <f t="shared" si="60"/>
        <v>0</v>
      </c>
    </row>
    <row r="498" spans="1:14" x14ac:dyDescent="0.25">
      <c r="A498" t="s">
        <v>424</v>
      </c>
      <c r="B498">
        <v>0</v>
      </c>
      <c r="C498" t="s">
        <v>425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L498">
        <f t="shared" si="58"/>
        <v>0</v>
      </c>
      <c r="M498">
        <f t="shared" si="59"/>
        <v>0</v>
      </c>
      <c r="N498">
        <f t="shared" si="60"/>
        <v>0</v>
      </c>
    </row>
    <row r="499" spans="1:14" x14ac:dyDescent="0.25">
      <c r="A499" t="s">
        <v>424</v>
      </c>
      <c r="B499">
        <v>0</v>
      </c>
      <c r="C499" t="s">
        <v>425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L499">
        <f t="shared" ref="L499:L562" si="61">I499</f>
        <v>0</v>
      </c>
      <c r="M499">
        <f t="shared" ref="M499:M562" si="62">D499</f>
        <v>0</v>
      </c>
      <c r="N499">
        <f t="shared" ref="N499:N562" si="63">F499</f>
        <v>0</v>
      </c>
    </row>
    <row r="500" spans="1:14" x14ac:dyDescent="0.25">
      <c r="A500" t="s">
        <v>424</v>
      </c>
      <c r="B500">
        <v>0</v>
      </c>
      <c r="C500" t="s">
        <v>425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L500">
        <f t="shared" si="61"/>
        <v>0</v>
      </c>
      <c r="M500">
        <f t="shared" si="62"/>
        <v>0</v>
      </c>
      <c r="N500">
        <f t="shared" si="63"/>
        <v>0</v>
      </c>
    </row>
    <row r="501" spans="1:14" x14ac:dyDescent="0.25">
      <c r="A501" t="s">
        <v>424</v>
      </c>
      <c r="B501">
        <v>0</v>
      </c>
      <c r="C501" t="s">
        <v>425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L501">
        <f t="shared" si="61"/>
        <v>0</v>
      </c>
      <c r="M501">
        <f t="shared" si="62"/>
        <v>0</v>
      </c>
      <c r="N501">
        <f t="shared" si="63"/>
        <v>0</v>
      </c>
    </row>
    <row r="502" spans="1:14" x14ac:dyDescent="0.25">
      <c r="A502" t="s">
        <v>424</v>
      </c>
      <c r="B502">
        <v>0</v>
      </c>
      <c r="C502" t="s">
        <v>425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L502">
        <f t="shared" si="61"/>
        <v>0</v>
      </c>
      <c r="M502">
        <f t="shared" si="62"/>
        <v>0</v>
      </c>
      <c r="N502">
        <f t="shared" si="63"/>
        <v>0</v>
      </c>
    </row>
    <row r="503" spans="1:14" x14ac:dyDescent="0.25">
      <c r="A503" t="s">
        <v>424</v>
      </c>
      <c r="B503">
        <v>0</v>
      </c>
      <c r="C503" t="s">
        <v>425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L503">
        <f t="shared" si="61"/>
        <v>0</v>
      </c>
      <c r="M503">
        <f t="shared" si="62"/>
        <v>0</v>
      </c>
      <c r="N503">
        <f t="shared" si="63"/>
        <v>0</v>
      </c>
    </row>
    <row r="504" spans="1:14" x14ac:dyDescent="0.25">
      <c r="A504" t="s">
        <v>424</v>
      </c>
      <c r="B504">
        <v>0</v>
      </c>
      <c r="C504" t="s">
        <v>425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L504">
        <f t="shared" si="61"/>
        <v>0</v>
      </c>
      <c r="M504">
        <f t="shared" si="62"/>
        <v>0</v>
      </c>
      <c r="N504">
        <f t="shared" si="63"/>
        <v>0</v>
      </c>
    </row>
    <row r="505" spans="1:14" x14ac:dyDescent="0.25">
      <c r="A505" t="s">
        <v>424</v>
      </c>
      <c r="B505">
        <v>0</v>
      </c>
      <c r="C505" t="s">
        <v>425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L505">
        <f t="shared" si="61"/>
        <v>0</v>
      </c>
      <c r="M505">
        <f t="shared" si="62"/>
        <v>0</v>
      </c>
      <c r="N505">
        <f t="shared" si="63"/>
        <v>0</v>
      </c>
    </row>
    <row r="506" spans="1:14" x14ac:dyDescent="0.25">
      <c r="A506" t="s">
        <v>424</v>
      </c>
      <c r="B506">
        <v>0</v>
      </c>
      <c r="C506" t="s">
        <v>425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L506">
        <f t="shared" si="61"/>
        <v>0</v>
      </c>
      <c r="M506">
        <f t="shared" si="62"/>
        <v>0</v>
      </c>
      <c r="N506">
        <f t="shared" si="63"/>
        <v>0</v>
      </c>
    </row>
    <row r="507" spans="1:14" x14ac:dyDescent="0.25">
      <c r="A507" t="s">
        <v>424</v>
      </c>
      <c r="B507">
        <v>0</v>
      </c>
      <c r="C507" t="s">
        <v>425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L507">
        <f t="shared" si="61"/>
        <v>0</v>
      </c>
      <c r="M507">
        <f t="shared" si="62"/>
        <v>0</v>
      </c>
      <c r="N507">
        <f t="shared" si="63"/>
        <v>0</v>
      </c>
    </row>
    <row r="508" spans="1:14" x14ac:dyDescent="0.25">
      <c r="A508" t="s">
        <v>424</v>
      </c>
      <c r="B508">
        <v>0</v>
      </c>
      <c r="C508" t="s">
        <v>425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L508">
        <f t="shared" si="61"/>
        <v>0</v>
      </c>
      <c r="M508">
        <f t="shared" si="62"/>
        <v>0</v>
      </c>
      <c r="N508">
        <f t="shared" si="63"/>
        <v>0</v>
      </c>
    </row>
    <row r="509" spans="1:14" x14ac:dyDescent="0.25">
      <c r="A509" t="s">
        <v>424</v>
      </c>
      <c r="B509">
        <v>0</v>
      </c>
      <c r="C509" t="s">
        <v>425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L509">
        <f t="shared" si="61"/>
        <v>0</v>
      </c>
      <c r="M509">
        <f t="shared" si="62"/>
        <v>0</v>
      </c>
      <c r="N509">
        <f t="shared" si="63"/>
        <v>0</v>
      </c>
    </row>
    <row r="510" spans="1:14" x14ac:dyDescent="0.25">
      <c r="A510" t="s">
        <v>424</v>
      </c>
      <c r="B510">
        <v>0</v>
      </c>
      <c r="C510" t="s">
        <v>425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L510">
        <f t="shared" si="61"/>
        <v>0</v>
      </c>
      <c r="M510">
        <f t="shared" si="62"/>
        <v>0</v>
      </c>
      <c r="N510">
        <f t="shared" si="63"/>
        <v>0</v>
      </c>
    </row>
    <row r="511" spans="1:14" x14ac:dyDescent="0.25">
      <c r="A511" t="s">
        <v>424</v>
      </c>
      <c r="B511">
        <v>0</v>
      </c>
      <c r="C511" t="s">
        <v>425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L511">
        <f t="shared" si="61"/>
        <v>0</v>
      </c>
      <c r="M511">
        <f t="shared" si="62"/>
        <v>0</v>
      </c>
      <c r="N511">
        <f t="shared" si="63"/>
        <v>0</v>
      </c>
    </row>
    <row r="512" spans="1:14" x14ac:dyDescent="0.25">
      <c r="A512" t="s">
        <v>424</v>
      </c>
      <c r="B512">
        <v>0</v>
      </c>
      <c r="C512" t="s">
        <v>425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L512">
        <f t="shared" si="61"/>
        <v>0</v>
      </c>
      <c r="M512">
        <f t="shared" si="62"/>
        <v>0</v>
      </c>
      <c r="N512">
        <f t="shared" si="63"/>
        <v>0</v>
      </c>
    </row>
    <row r="513" spans="1:14" x14ac:dyDescent="0.25">
      <c r="A513" t="s">
        <v>424</v>
      </c>
      <c r="B513">
        <v>0</v>
      </c>
      <c r="C513" t="s">
        <v>425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L513">
        <f t="shared" si="61"/>
        <v>0</v>
      </c>
      <c r="M513">
        <f t="shared" si="62"/>
        <v>0</v>
      </c>
      <c r="N513">
        <f t="shared" si="63"/>
        <v>0</v>
      </c>
    </row>
    <row r="514" spans="1:14" x14ac:dyDescent="0.25">
      <c r="A514" t="s">
        <v>424</v>
      </c>
      <c r="B514">
        <v>0</v>
      </c>
      <c r="C514" t="s">
        <v>425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L514">
        <f t="shared" si="61"/>
        <v>0</v>
      </c>
      <c r="M514">
        <f t="shared" si="62"/>
        <v>0</v>
      </c>
      <c r="N514">
        <f t="shared" si="63"/>
        <v>0</v>
      </c>
    </row>
    <row r="515" spans="1:14" x14ac:dyDescent="0.25">
      <c r="A515" t="s">
        <v>424</v>
      </c>
      <c r="B515">
        <v>0</v>
      </c>
      <c r="C515" t="s">
        <v>425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L515">
        <f t="shared" si="61"/>
        <v>0</v>
      </c>
      <c r="M515">
        <f t="shared" si="62"/>
        <v>0</v>
      </c>
      <c r="N515">
        <f t="shared" si="63"/>
        <v>0</v>
      </c>
    </row>
    <row r="516" spans="1:14" x14ac:dyDescent="0.25">
      <c r="A516" t="s">
        <v>424</v>
      </c>
      <c r="B516">
        <v>0</v>
      </c>
      <c r="C516" t="s">
        <v>425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L516">
        <f t="shared" si="61"/>
        <v>0</v>
      </c>
      <c r="M516">
        <f t="shared" si="62"/>
        <v>0</v>
      </c>
      <c r="N516">
        <f t="shared" si="63"/>
        <v>0</v>
      </c>
    </row>
    <row r="517" spans="1:14" x14ac:dyDescent="0.25">
      <c r="A517" t="s">
        <v>424</v>
      </c>
      <c r="B517">
        <v>0</v>
      </c>
      <c r="C517" t="s">
        <v>425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L517">
        <f t="shared" si="61"/>
        <v>0</v>
      </c>
      <c r="M517">
        <f t="shared" si="62"/>
        <v>0</v>
      </c>
      <c r="N517">
        <f t="shared" si="63"/>
        <v>0</v>
      </c>
    </row>
    <row r="518" spans="1:14" x14ac:dyDescent="0.25">
      <c r="A518" t="s">
        <v>424</v>
      </c>
      <c r="B518">
        <v>0</v>
      </c>
      <c r="C518" t="s">
        <v>425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L518">
        <f t="shared" si="61"/>
        <v>0</v>
      </c>
      <c r="M518">
        <f t="shared" si="62"/>
        <v>0</v>
      </c>
      <c r="N518">
        <f t="shared" si="63"/>
        <v>0</v>
      </c>
    </row>
    <row r="519" spans="1:14" x14ac:dyDescent="0.25">
      <c r="A519" t="s">
        <v>424</v>
      </c>
      <c r="B519">
        <v>0</v>
      </c>
      <c r="C519" t="s">
        <v>425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L519">
        <f t="shared" si="61"/>
        <v>0</v>
      </c>
      <c r="M519">
        <f t="shared" si="62"/>
        <v>0</v>
      </c>
      <c r="N519">
        <f t="shared" si="63"/>
        <v>0</v>
      </c>
    </row>
    <row r="520" spans="1:14" x14ac:dyDescent="0.25">
      <c r="A520" t="s">
        <v>424</v>
      </c>
      <c r="B520">
        <v>0</v>
      </c>
      <c r="C520" t="s">
        <v>425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L520">
        <f t="shared" si="61"/>
        <v>0</v>
      </c>
      <c r="M520">
        <f t="shared" si="62"/>
        <v>0</v>
      </c>
      <c r="N520">
        <f t="shared" si="63"/>
        <v>0</v>
      </c>
    </row>
    <row r="521" spans="1:14" x14ac:dyDescent="0.25">
      <c r="A521" t="s">
        <v>424</v>
      </c>
      <c r="B521">
        <v>0</v>
      </c>
      <c r="C521" t="s">
        <v>425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L521">
        <f t="shared" si="61"/>
        <v>0</v>
      </c>
      <c r="M521">
        <f t="shared" si="62"/>
        <v>0</v>
      </c>
      <c r="N521">
        <f t="shared" si="63"/>
        <v>0</v>
      </c>
    </row>
    <row r="522" spans="1:14" x14ac:dyDescent="0.25">
      <c r="A522" t="s">
        <v>424</v>
      </c>
      <c r="B522">
        <v>0</v>
      </c>
      <c r="C522" t="s">
        <v>425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L522">
        <f t="shared" si="61"/>
        <v>0</v>
      </c>
      <c r="M522">
        <f t="shared" si="62"/>
        <v>0</v>
      </c>
      <c r="N522">
        <f t="shared" si="63"/>
        <v>0</v>
      </c>
    </row>
    <row r="523" spans="1:14" x14ac:dyDescent="0.25">
      <c r="A523" t="s">
        <v>424</v>
      </c>
      <c r="B523">
        <v>0</v>
      </c>
      <c r="C523" t="s">
        <v>425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L523">
        <f t="shared" si="61"/>
        <v>0</v>
      </c>
      <c r="M523">
        <f t="shared" si="62"/>
        <v>0</v>
      </c>
      <c r="N523">
        <f t="shared" si="63"/>
        <v>0</v>
      </c>
    </row>
    <row r="524" spans="1:14" x14ac:dyDescent="0.25">
      <c r="A524" t="s">
        <v>424</v>
      </c>
      <c r="B524">
        <v>0</v>
      </c>
      <c r="C524" t="s">
        <v>425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L524">
        <f t="shared" si="61"/>
        <v>0</v>
      </c>
      <c r="M524">
        <f t="shared" si="62"/>
        <v>0</v>
      </c>
      <c r="N524">
        <f t="shared" si="63"/>
        <v>0</v>
      </c>
    </row>
    <row r="525" spans="1:14" x14ac:dyDescent="0.25">
      <c r="A525" t="s">
        <v>424</v>
      </c>
      <c r="B525">
        <v>0</v>
      </c>
      <c r="C525" t="s">
        <v>425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L525">
        <f t="shared" si="61"/>
        <v>0</v>
      </c>
      <c r="M525">
        <f t="shared" si="62"/>
        <v>0</v>
      </c>
      <c r="N525">
        <f t="shared" si="63"/>
        <v>0</v>
      </c>
    </row>
    <row r="526" spans="1:14" x14ac:dyDescent="0.25">
      <c r="A526" t="s">
        <v>424</v>
      </c>
      <c r="B526">
        <v>0</v>
      </c>
      <c r="C526" t="s">
        <v>425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L526">
        <f t="shared" si="61"/>
        <v>0</v>
      </c>
      <c r="M526">
        <f t="shared" si="62"/>
        <v>0</v>
      </c>
      <c r="N526">
        <f t="shared" si="63"/>
        <v>0</v>
      </c>
    </row>
    <row r="527" spans="1:14" x14ac:dyDescent="0.25">
      <c r="A527" t="s">
        <v>424</v>
      </c>
      <c r="B527">
        <v>0</v>
      </c>
      <c r="C527" t="s">
        <v>425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L527">
        <f t="shared" si="61"/>
        <v>0</v>
      </c>
      <c r="M527">
        <f t="shared" si="62"/>
        <v>0</v>
      </c>
      <c r="N527">
        <f t="shared" si="63"/>
        <v>0</v>
      </c>
    </row>
    <row r="528" spans="1:14" x14ac:dyDescent="0.25">
      <c r="A528" t="s">
        <v>424</v>
      </c>
      <c r="B528">
        <v>0</v>
      </c>
      <c r="C528" t="s">
        <v>425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L528">
        <f t="shared" si="61"/>
        <v>0</v>
      </c>
      <c r="M528">
        <f t="shared" si="62"/>
        <v>0</v>
      </c>
      <c r="N528">
        <f t="shared" si="63"/>
        <v>0</v>
      </c>
    </row>
    <row r="529" spans="1:14" x14ac:dyDescent="0.25">
      <c r="A529" t="s">
        <v>424</v>
      </c>
      <c r="B529">
        <v>0</v>
      </c>
      <c r="C529" t="s">
        <v>425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L529">
        <f t="shared" si="61"/>
        <v>0</v>
      </c>
      <c r="M529">
        <f t="shared" si="62"/>
        <v>0</v>
      </c>
      <c r="N529">
        <f t="shared" si="63"/>
        <v>0</v>
      </c>
    </row>
    <row r="530" spans="1:14" x14ac:dyDescent="0.25">
      <c r="A530" t="s">
        <v>424</v>
      </c>
      <c r="B530">
        <v>0</v>
      </c>
      <c r="C530" t="s">
        <v>425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L530">
        <f t="shared" si="61"/>
        <v>0</v>
      </c>
      <c r="M530">
        <f t="shared" si="62"/>
        <v>0</v>
      </c>
      <c r="N530">
        <f t="shared" si="63"/>
        <v>0</v>
      </c>
    </row>
    <row r="531" spans="1:14" x14ac:dyDescent="0.25">
      <c r="A531" t="s">
        <v>424</v>
      </c>
      <c r="B531">
        <v>0</v>
      </c>
      <c r="C531" t="s">
        <v>425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L531">
        <f t="shared" si="61"/>
        <v>0</v>
      </c>
      <c r="M531">
        <f t="shared" si="62"/>
        <v>0</v>
      </c>
      <c r="N531">
        <f t="shared" si="63"/>
        <v>0</v>
      </c>
    </row>
    <row r="532" spans="1:14" x14ac:dyDescent="0.25">
      <c r="A532" t="s">
        <v>424</v>
      </c>
      <c r="B532">
        <v>0</v>
      </c>
      <c r="C532" t="s">
        <v>425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L532">
        <f t="shared" si="61"/>
        <v>0</v>
      </c>
      <c r="M532">
        <f t="shared" si="62"/>
        <v>0</v>
      </c>
      <c r="N532">
        <f t="shared" si="63"/>
        <v>0</v>
      </c>
    </row>
    <row r="533" spans="1:14" x14ac:dyDescent="0.25">
      <c r="A533" t="s">
        <v>424</v>
      </c>
      <c r="B533">
        <v>0</v>
      </c>
      <c r="C533" t="s">
        <v>425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L533">
        <f t="shared" si="61"/>
        <v>0</v>
      </c>
      <c r="M533">
        <f t="shared" si="62"/>
        <v>0</v>
      </c>
      <c r="N533">
        <f t="shared" si="63"/>
        <v>0</v>
      </c>
    </row>
    <row r="534" spans="1:14" x14ac:dyDescent="0.25">
      <c r="A534" t="s">
        <v>424</v>
      </c>
      <c r="B534">
        <v>0</v>
      </c>
      <c r="C534" t="s">
        <v>425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L534">
        <f t="shared" si="61"/>
        <v>0</v>
      </c>
      <c r="M534">
        <f t="shared" si="62"/>
        <v>0</v>
      </c>
      <c r="N534">
        <f t="shared" si="63"/>
        <v>0</v>
      </c>
    </row>
    <row r="535" spans="1:14" x14ac:dyDescent="0.25">
      <c r="A535" t="s">
        <v>424</v>
      </c>
      <c r="B535">
        <v>0</v>
      </c>
      <c r="C535" t="s">
        <v>425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L535">
        <f t="shared" si="61"/>
        <v>0</v>
      </c>
      <c r="M535">
        <f t="shared" si="62"/>
        <v>0</v>
      </c>
      <c r="N535">
        <f t="shared" si="63"/>
        <v>0</v>
      </c>
    </row>
    <row r="536" spans="1:14" x14ac:dyDescent="0.25">
      <c r="A536" t="s">
        <v>424</v>
      </c>
      <c r="B536">
        <v>0</v>
      </c>
      <c r="C536" t="s">
        <v>425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L536">
        <f t="shared" si="61"/>
        <v>0</v>
      </c>
      <c r="M536">
        <f t="shared" si="62"/>
        <v>0</v>
      </c>
      <c r="N536">
        <f t="shared" si="63"/>
        <v>0</v>
      </c>
    </row>
    <row r="537" spans="1:14" x14ac:dyDescent="0.25">
      <c r="A537" t="s">
        <v>424</v>
      </c>
      <c r="B537">
        <v>0</v>
      </c>
      <c r="C537" t="s">
        <v>425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L537">
        <f t="shared" si="61"/>
        <v>0</v>
      </c>
      <c r="M537">
        <f t="shared" si="62"/>
        <v>0</v>
      </c>
      <c r="N537">
        <f t="shared" si="63"/>
        <v>0</v>
      </c>
    </row>
    <row r="538" spans="1:14" x14ac:dyDescent="0.25">
      <c r="A538" t="s">
        <v>424</v>
      </c>
      <c r="B538">
        <v>0</v>
      </c>
      <c r="C538" t="s">
        <v>425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L538">
        <f t="shared" si="61"/>
        <v>0</v>
      </c>
      <c r="M538">
        <f t="shared" si="62"/>
        <v>0</v>
      </c>
      <c r="N538">
        <f t="shared" si="63"/>
        <v>0</v>
      </c>
    </row>
    <row r="539" spans="1:14" x14ac:dyDescent="0.25">
      <c r="A539" t="s">
        <v>424</v>
      </c>
      <c r="B539">
        <v>0</v>
      </c>
      <c r="C539" t="s">
        <v>425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L539">
        <f t="shared" si="61"/>
        <v>0</v>
      </c>
      <c r="M539">
        <f t="shared" si="62"/>
        <v>0</v>
      </c>
      <c r="N539">
        <f t="shared" si="63"/>
        <v>0</v>
      </c>
    </row>
    <row r="540" spans="1:14" x14ac:dyDescent="0.25">
      <c r="A540" t="s">
        <v>424</v>
      </c>
      <c r="B540">
        <v>0</v>
      </c>
      <c r="C540" t="s">
        <v>425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L540">
        <f t="shared" si="61"/>
        <v>0</v>
      </c>
      <c r="M540">
        <f t="shared" si="62"/>
        <v>0</v>
      </c>
      <c r="N540">
        <f t="shared" si="63"/>
        <v>0</v>
      </c>
    </row>
    <row r="541" spans="1:14" x14ac:dyDescent="0.25">
      <c r="A541" t="s">
        <v>424</v>
      </c>
      <c r="B541">
        <v>0</v>
      </c>
      <c r="C541" t="s">
        <v>425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L541">
        <f t="shared" si="61"/>
        <v>0</v>
      </c>
      <c r="M541">
        <f t="shared" si="62"/>
        <v>0</v>
      </c>
      <c r="N541">
        <f t="shared" si="63"/>
        <v>0</v>
      </c>
    </row>
    <row r="542" spans="1:14" x14ac:dyDescent="0.25">
      <c r="A542" t="s">
        <v>424</v>
      </c>
      <c r="B542">
        <v>0</v>
      </c>
      <c r="C542" t="s">
        <v>425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L542">
        <f t="shared" si="61"/>
        <v>0</v>
      </c>
      <c r="M542">
        <f t="shared" si="62"/>
        <v>0</v>
      </c>
      <c r="N542">
        <f t="shared" si="63"/>
        <v>0</v>
      </c>
    </row>
    <row r="543" spans="1:14" x14ac:dyDescent="0.25">
      <c r="A543" t="s">
        <v>424</v>
      </c>
      <c r="B543">
        <v>0</v>
      </c>
      <c r="C543" t="s">
        <v>425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L543">
        <f t="shared" si="61"/>
        <v>0</v>
      </c>
      <c r="M543">
        <f t="shared" si="62"/>
        <v>0</v>
      </c>
      <c r="N543">
        <f t="shared" si="63"/>
        <v>0</v>
      </c>
    </row>
    <row r="544" spans="1:14" x14ac:dyDescent="0.25">
      <c r="A544" t="s">
        <v>424</v>
      </c>
      <c r="B544">
        <v>0</v>
      </c>
      <c r="C544" t="s">
        <v>425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L544">
        <f t="shared" si="61"/>
        <v>0</v>
      </c>
      <c r="M544">
        <f t="shared" si="62"/>
        <v>0</v>
      </c>
      <c r="N544">
        <f t="shared" si="63"/>
        <v>0</v>
      </c>
    </row>
    <row r="545" spans="1:14" x14ac:dyDescent="0.25">
      <c r="A545" t="s">
        <v>424</v>
      </c>
      <c r="B545">
        <v>0</v>
      </c>
      <c r="C545" t="s">
        <v>425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L545">
        <f t="shared" si="61"/>
        <v>0</v>
      </c>
      <c r="M545">
        <f t="shared" si="62"/>
        <v>0</v>
      </c>
      <c r="N545">
        <f t="shared" si="63"/>
        <v>0</v>
      </c>
    </row>
    <row r="546" spans="1:14" x14ac:dyDescent="0.25">
      <c r="A546" t="s">
        <v>424</v>
      </c>
      <c r="B546">
        <v>0</v>
      </c>
      <c r="C546" t="s">
        <v>425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L546">
        <f t="shared" si="61"/>
        <v>0</v>
      </c>
      <c r="M546">
        <f t="shared" si="62"/>
        <v>0</v>
      </c>
      <c r="N546">
        <f t="shared" si="63"/>
        <v>0</v>
      </c>
    </row>
    <row r="547" spans="1:14" x14ac:dyDescent="0.25">
      <c r="A547" t="s">
        <v>424</v>
      </c>
      <c r="B547">
        <v>0</v>
      </c>
      <c r="C547" t="s">
        <v>425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L547">
        <f t="shared" si="61"/>
        <v>0</v>
      </c>
      <c r="M547">
        <f t="shared" si="62"/>
        <v>0</v>
      </c>
      <c r="N547">
        <f t="shared" si="63"/>
        <v>0</v>
      </c>
    </row>
    <row r="548" spans="1:14" x14ac:dyDescent="0.25">
      <c r="A548" t="s">
        <v>424</v>
      </c>
      <c r="B548">
        <v>0</v>
      </c>
      <c r="C548" t="s">
        <v>425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L548">
        <f t="shared" si="61"/>
        <v>0</v>
      </c>
      <c r="M548">
        <f t="shared" si="62"/>
        <v>0</v>
      </c>
      <c r="N548">
        <f t="shared" si="63"/>
        <v>0</v>
      </c>
    </row>
    <row r="549" spans="1:14" x14ac:dyDescent="0.25">
      <c r="A549" t="s">
        <v>424</v>
      </c>
      <c r="B549">
        <v>0</v>
      </c>
      <c r="C549" t="s">
        <v>425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L549">
        <f t="shared" si="61"/>
        <v>0</v>
      </c>
      <c r="M549">
        <f t="shared" si="62"/>
        <v>0</v>
      </c>
      <c r="N549">
        <f t="shared" si="63"/>
        <v>0</v>
      </c>
    </row>
    <row r="550" spans="1:14" x14ac:dyDescent="0.25">
      <c r="A550" t="s">
        <v>424</v>
      </c>
      <c r="B550">
        <v>0</v>
      </c>
      <c r="C550" t="s">
        <v>425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L550">
        <f t="shared" si="61"/>
        <v>0</v>
      </c>
      <c r="M550">
        <f t="shared" si="62"/>
        <v>0</v>
      </c>
      <c r="N550">
        <f t="shared" si="63"/>
        <v>0</v>
      </c>
    </row>
    <row r="551" spans="1:14" x14ac:dyDescent="0.25">
      <c r="A551" t="s">
        <v>424</v>
      </c>
      <c r="B551">
        <v>0</v>
      </c>
      <c r="C551" t="s">
        <v>425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L551">
        <f t="shared" si="61"/>
        <v>0</v>
      </c>
      <c r="M551">
        <f t="shared" si="62"/>
        <v>0</v>
      </c>
      <c r="N551">
        <f t="shared" si="63"/>
        <v>0</v>
      </c>
    </row>
    <row r="552" spans="1:14" x14ac:dyDescent="0.25">
      <c r="A552" t="s">
        <v>424</v>
      </c>
      <c r="B552">
        <v>0</v>
      </c>
      <c r="C552" t="s">
        <v>425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L552">
        <f t="shared" si="61"/>
        <v>0</v>
      </c>
      <c r="M552">
        <f t="shared" si="62"/>
        <v>0</v>
      </c>
      <c r="N552">
        <f t="shared" si="63"/>
        <v>0</v>
      </c>
    </row>
    <row r="553" spans="1:14" x14ac:dyDescent="0.25">
      <c r="A553" t="s">
        <v>424</v>
      </c>
      <c r="B553">
        <v>0</v>
      </c>
      <c r="C553" t="s">
        <v>425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L553">
        <f t="shared" si="61"/>
        <v>0</v>
      </c>
      <c r="M553">
        <f t="shared" si="62"/>
        <v>0</v>
      </c>
      <c r="N553">
        <f t="shared" si="63"/>
        <v>0</v>
      </c>
    </row>
    <row r="554" spans="1:14" x14ac:dyDescent="0.25">
      <c r="A554" t="s">
        <v>424</v>
      </c>
      <c r="B554">
        <v>0</v>
      </c>
      <c r="C554" t="s">
        <v>425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L554">
        <f t="shared" si="61"/>
        <v>0</v>
      </c>
      <c r="M554">
        <f t="shared" si="62"/>
        <v>0</v>
      </c>
      <c r="N554">
        <f t="shared" si="63"/>
        <v>0</v>
      </c>
    </row>
    <row r="555" spans="1:14" x14ac:dyDescent="0.25">
      <c r="A555" t="s">
        <v>424</v>
      </c>
      <c r="B555">
        <v>0</v>
      </c>
      <c r="C555" t="s">
        <v>425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L555">
        <f t="shared" si="61"/>
        <v>0</v>
      </c>
      <c r="M555">
        <f t="shared" si="62"/>
        <v>0</v>
      </c>
      <c r="N555">
        <f t="shared" si="63"/>
        <v>0</v>
      </c>
    </row>
    <row r="556" spans="1:14" x14ac:dyDescent="0.25">
      <c r="A556" t="s">
        <v>424</v>
      </c>
      <c r="B556">
        <v>0</v>
      </c>
      <c r="C556" t="s">
        <v>425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L556">
        <f t="shared" si="61"/>
        <v>0</v>
      </c>
      <c r="M556">
        <f t="shared" si="62"/>
        <v>0</v>
      </c>
      <c r="N556">
        <f t="shared" si="63"/>
        <v>0</v>
      </c>
    </row>
    <row r="557" spans="1:14" x14ac:dyDescent="0.25">
      <c r="A557" t="s">
        <v>424</v>
      </c>
      <c r="B557">
        <v>0</v>
      </c>
      <c r="C557" t="s">
        <v>425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L557">
        <f t="shared" si="61"/>
        <v>0</v>
      </c>
      <c r="M557">
        <f t="shared" si="62"/>
        <v>0</v>
      </c>
      <c r="N557">
        <f t="shared" si="63"/>
        <v>0</v>
      </c>
    </row>
    <row r="558" spans="1:14" x14ac:dyDescent="0.25">
      <c r="A558" t="s">
        <v>424</v>
      </c>
      <c r="B558">
        <v>0</v>
      </c>
      <c r="C558" t="s">
        <v>425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L558">
        <f t="shared" si="61"/>
        <v>0</v>
      </c>
      <c r="M558">
        <f t="shared" si="62"/>
        <v>0</v>
      </c>
      <c r="N558">
        <f t="shared" si="63"/>
        <v>0</v>
      </c>
    </row>
    <row r="559" spans="1:14" x14ac:dyDescent="0.25">
      <c r="A559" t="s">
        <v>424</v>
      </c>
      <c r="B559">
        <v>0</v>
      </c>
      <c r="C559" t="s">
        <v>425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L559">
        <f t="shared" si="61"/>
        <v>0</v>
      </c>
      <c r="M559">
        <f t="shared" si="62"/>
        <v>0</v>
      </c>
      <c r="N559">
        <f t="shared" si="63"/>
        <v>0</v>
      </c>
    </row>
    <row r="560" spans="1:14" x14ac:dyDescent="0.25">
      <c r="A560" t="s">
        <v>424</v>
      </c>
      <c r="B560">
        <v>0</v>
      </c>
      <c r="C560" t="s">
        <v>425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L560">
        <f t="shared" si="61"/>
        <v>0</v>
      </c>
      <c r="M560">
        <f t="shared" si="62"/>
        <v>0</v>
      </c>
      <c r="N560">
        <f t="shared" si="63"/>
        <v>0</v>
      </c>
    </row>
    <row r="561" spans="1:14" x14ac:dyDescent="0.25">
      <c r="A561" t="s">
        <v>424</v>
      </c>
      <c r="B561">
        <v>0</v>
      </c>
      <c r="C561" t="s">
        <v>425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L561">
        <f t="shared" si="61"/>
        <v>0</v>
      </c>
      <c r="M561">
        <f t="shared" si="62"/>
        <v>0</v>
      </c>
      <c r="N561">
        <f t="shared" si="63"/>
        <v>0</v>
      </c>
    </row>
    <row r="562" spans="1:14" x14ac:dyDescent="0.25">
      <c r="A562" t="s">
        <v>424</v>
      </c>
      <c r="B562">
        <v>0</v>
      </c>
      <c r="C562" t="s">
        <v>425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L562">
        <f t="shared" si="61"/>
        <v>0</v>
      </c>
      <c r="M562">
        <f t="shared" si="62"/>
        <v>0</v>
      </c>
      <c r="N562">
        <f t="shared" si="63"/>
        <v>0</v>
      </c>
    </row>
    <row r="563" spans="1:14" x14ac:dyDescent="0.25">
      <c r="A563" t="s">
        <v>424</v>
      </c>
      <c r="B563">
        <v>0</v>
      </c>
      <c r="C563" t="s">
        <v>425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L563">
        <f t="shared" ref="L563:L597" si="64">I563</f>
        <v>0</v>
      </c>
      <c r="M563">
        <f t="shared" ref="M563:M597" si="65">D563</f>
        <v>0</v>
      </c>
      <c r="N563">
        <f t="shared" ref="N563:N597" si="66">F563</f>
        <v>0</v>
      </c>
    </row>
    <row r="564" spans="1:14" x14ac:dyDescent="0.25">
      <c r="A564" t="s">
        <v>424</v>
      </c>
      <c r="B564">
        <v>0</v>
      </c>
      <c r="C564" t="s">
        <v>425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L564">
        <f t="shared" si="64"/>
        <v>0</v>
      </c>
      <c r="M564">
        <f t="shared" si="65"/>
        <v>0</v>
      </c>
      <c r="N564">
        <f t="shared" si="66"/>
        <v>0</v>
      </c>
    </row>
    <row r="565" spans="1:14" x14ac:dyDescent="0.25">
      <c r="A565" t="s">
        <v>424</v>
      </c>
      <c r="B565">
        <v>0</v>
      </c>
      <c r="C565" t="s">
        <v>425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L565">
        <f t="shared" si="64"/>
        <v>0</v>
      </c>
      <c r="M565">
        <f t="shared" si="65"/>
        <v>0</v>
      </c>
      <c r="N565">
        <f t="shared" si="66"/>
        <v>0</v>
      </c>
    </row>
    <row r="566" spans="1:14" x14ac:dyDescent="0.25">
      <c r="A566" t="s">
        <v>424</v>
      </c>
      <c r="B566">
        <v>0</v>
      </c>
      <c r="C566" t="s">
        <v>425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L566">
        <f t="shared" si="64"/>
        <v>0</v>
      </c>
      <c r="M566">
        <f t="shared" si="65"/>
        <v>0</v>
      </c>
      <c r="N566">
        <f t="shared" si="66"/>
        <v>0</v>
      </c>
    </row>
    <row r="567" spans="1:14" x14ac:dyDescent="0.25">
      <c r="A567" t="s">
        <v>424</v>
      </c>
      <c r="B567">
        <v>0</v>
      </c>
      <c r="C567" t="s">
        <v>425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L567">
        <f t="shared" si="64"/>
        <v>0</v>
      </c>
      <c r="M567">
        <f t="shared" si="65"/>
        <v>0</v>
      </c>
      <c r="N567">
        <f t="shared" si="66"/>
        <v>0</v>
      </c>
    </row>
    <row r="568" spans="1:14" x14ac:dyDescent="0.25">
      <c r="A568" t="s">
        <v>424</v>
      </c>
      <c r="B568">
        <v>0</v>
      </c>
      <c r="C568" t="s">
        <v>425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L568">
        <f t="shared" si="64"/>
        <v>0</v>
      </c>
      <c r="M568">
        <f t="shared" si="65"/>
        <v>0</v>
      </c>
      <c r="N568">
        <f t="shared" si="66"/>
        <v>0</v>
      </c>
    </row>
    <row r="569" spans="1:14" x14ac:dyDescent="0.25">
      <c r="A569" t="s">
        <v>424</v>
      </c>
      <c r="B569">
        <v>0</v>
      </c>
      <c r="C569" t="s">
        <v>425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L569">
        <f t="shared" si="64"/>
        <v>0</v>
      </c>
      <c r="M569">
        <f t="shared" si="65"/>
        <v>0</v>
      </c>
      <c r="N569">
        <f t="shared" si="66"/>
        <v>0</v>
      </c>
    </row>
    <row r="570" spans="1:14" x14ac:dyDescent="0.25">
      <c r="A570" t="s">
        <v>424</v>
      </c>
      <c r="B570">
        <v>0</v>
      </c>
      <c r="C570" t="s">
        <v>425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L570">
        <f t="shared" si="64"/>
        <v>0</v>
      </c>
      <c r="M570">
        <f t="shared" si="65"/>
        <v>0</v>
      </c>
      <c r="N570">
        <f t="shared" si="66"/>
        <v>0</v>
      </c>
    </row>
    <row r="571" spans="1:14" x14ac:dyDescent="0.25">
      <c r="A571" t="s">
        <v>424</v>
      </c>
      <c r="B571">
        <v>0</v>
      </c>
      <c r="C571" t="s">
        <v>425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L571">
        <f t="shared" si="64"/>
        <v>0</v>
      </c>
      <c r="M571">
        <f t="shared" si="65"/>
        <v>0</v>
      </c>
      <c r="N571">
        <f t="shared" si="66"/>
        <v>0</v>
      </c>
    </row>
    <row r="572" spans="1:14" x14ac:dyDescent="0.25">
      <c r="A572" t="s">
        <v>424</v>
      </c>
      <c r="B572">
        <v>0</v>
      </c>
      <c r="C572" t="s">
        <v>425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L572">
        <f t="shared" si="64"/>
        <v>0</v>
      </c>
      <c r="M572">
        <f t="shared" si="65"/>
        <v>0</v>
      </c>
      <c r="N572">
        <f t="shared" si="66"/>
        <v>0</v>
      </c>
    </row>
    <row r="573" spans="1:14" x14ac:dyDescent="0.25">
      <c r="A573" t="s">
        <v>424</v>
      </c>
      <c r="B573">
        <v>0</v>
      </c>
      <c r="C573" t="s">
        <v>425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L573">
        <f t="shared" si="64"/>
        <v>0</v>
      </c>
      <c r="M573">
        <f t="shared" si="65"/>
        <v>0</v>
      </c>
      <c r="N573">
        <f t="shared" si="66"/>
        <v>0</v>
      </c>
    </row>
    <row r="574" spans="1:14" x14ac:dyDescent="0.25">
      <c r="A574" t="s">
        <v>424</v>
      </c>
      <c r="B574">
        <v>0</v>
      </c>
      <c r="C574" t="s">
        <v>425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L574">
        <f t="shared" si="64"/>
        <v>0</v>
      </c>
      <c r="M574">
        <f t="shared" si="65"/>
        <v>0</v>
      </c>
      <c r="N574">
        <f t="shared" si="66"/>
        <v>0</v>
      </c>
    </row>
    <row r="575" spans="1:14" x14ac:dyDescent="0.25">
      <c r="A575" t="s">
        <v>424</v>
      </c>
      <c r="B575">
        <v>0</v>
      </c>
      <c r="C575" t="s">
        <v>425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L575">
        <f t="shared" si="64"/>
        <v>0</v>
      </c>
      <c r="M575">
        <f t="shared" si="65"/>
        <v>0</v>
      </c>
      <c r="N575">
        <f t="shared" si="66"/>
        <v>0</v>
      </c>
    </row>
    <row r="576" spans="1:14" x14ac:dyDescent="0.25">
      <c r="A576" t="s">
        <v>424</v>
      </c>
      <c r="B576">
        <v>0</v>
      </c>
      <c r="C576" t="s">
        <v>425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L576">
        <f t="shared" si="64"/>
        <v>0</v>
      </c>
      <c r="M576">
        <f t="shared" si="65"/>
        <v>0</v>
      </c>
      <c r="N576">
        <f t="shared" si="66"/>
        <v>0</v>
      </c>
    </row>
    <row r="577" spans="1:14" x14ac:dyDescent="0.25">
      <c r="A577" t="s">
        <v>424</v>
      </c>
      <c r="B577">
        <v>0</v>
      </c>
      <c r="C577" t="s">
        <v>425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L577">
        <f t="shared" si="64"/>
        <v>0</v>
      </c>
      <c r="M577">
        <f t="shared" si="65"/>
        <v>0</v>
      </c>
      <c r="N577">
        <f t="shared" si="66"/>
        <v>0</v>
      </c>
    </row>
    <row r="578" spans="1:14" x14ac:dyDescent="0.25">
      <c r="A578" t="s">
        <v>424</v>
      </c>
      <c r="B578">
        <v>0</v>
      </c>
      <c r="C578" t="s">
        <v>425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L578">
        <f t="shared" si="64"/>
        <v>0</v>
      </c>
      <c r="M578">
        <f t="shared" si="65"/>
        <v>0</v>
      </c>
      <c r="N578">
        <f t="shared" si="66"/>
        <v>0</v>
      </c>
    </row>
    <row r="579" spans="1:14" x14ac:dyDescent="0.25">
      <c r="A579" t="s">
        <v>424</v>
      </c>
      <c r="B579">
        <v>0</v>
      </c>
      <c r="C579" t="s">
        <v>425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L579">
        <f t="shared" si="64"/>
        <v>0</v>
      </c>
      <c r="M579">
        <f t="shared" si="65"/>
        <v>0</v>
      </c>
      <c r="N579">
        <f t="shared" si="66"/>
        <v>0</v>
      </c>
    </row>
    <row r="580" spans="1:14" x14ac:dyDescent="0.25">
      <c r="A580" t="s">
        <v>424</v>
      </c>
      <c r="B580">
        <v>0</v>
      </c>
      <c r="C580" t="s">
        <v>425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L580">
        <f t="shared" si="64"/>
        <v>0</v>
      </c>
      <c r="M580">
        <f t="shared" si="65"/>
        <v>0</v>
      </c>
      <c r="N580">
        <f t="shared" si="66"/>
        <v>0</v>
      </c>
    </row>
    <row r="581" spans="1:14" x14ac:dyDescent="0.25">
      <c r="A581" t="s">
        <v>424</v>
      </c>
      <c r="B581">
        <v>0</v>
      </c>
      <c r="C581" t="s">
        <v>425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L581">
        <f t="shared" si="64"/>
        <v>0</v>
      </c>
      <c r="M581">
        <f t="shared" si="65"/>
        <v>0</v>
      </c>
      <c r="N581">
        <f t="shared" si="66"/>
        <v>0</v>
      </c>
    </row>
    <row r="582" spans="1:14" x14ac:dyDescent="0.25">
      <c r="A582" t="s">
        <v>424</v>
      </c>
      <c r="B582">
        <v>0</v>
      </c>
      <c r="C582" t="s">
        <v>425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L582">
        <f t="shared" si="64"/>
        <v>0</v>
      </c>
      <c r="M582">
        <f t="shared" si="65"/>
        <v>0</v>
      </c>
      <c r="N582">
        <f t="shared" si="66"/>
        <v>0</v>
      </c>
    </row>
    <row r="583" spans="1:14" x14ac:dyDescent="0.25">
      <c r="A583" t="s">
        <v>424</v>
      </c>
      <c r="B583">
        <v>0</v>
      </c>
      <c r="C583" t="s">
        <v>425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L583">
        <f t="shared" si="64"/>
        <v>0</v>
      </c>
      <c r="M583">
        <f t="shared" si="65"/>
        <v>0</v>
      </c>
      <c r="N583">
        <f t="shared" si="66"/>
        <v>0</v>
      </c>
    </row>
    <row r="584" spans="1:14" x14ac:dyDescent="0.25">
      <c r="A584" t="s">
        <v>424</v>
      </c>
      <c r="B584">
        <v>0</v>
      </c>
      <c r="C584" t="s">
        <v>425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L584">
        <f t="shared" si="64"/>
        <v>0</v>
      </c>
      <c r="M584">
        <f t="shared" si="65"/>
        <v>0</v>
      </c>
      <c r="N584">
        <f t="shared" si="66"/>
        <v>0</v>
      </c>
    </row>
    <row r="585" spans="1:14" x14ac:dyDescent="0.25">
      <c r="A585" t="s">
        <v>424</v>
      </c>
      <c r="B585">
        <v>0</v>
      </c>
      <c r="C585" t="s">
        <v>425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L585">
        <f t="shared" si="64"/>
        <v>0</v>
      </c>
      <c r="M585">
        <f t="shared" si="65"/>
        <v>0</v>
      </c>
      <c r="N585">
        <f t="shared" si="66"/>
        <v>0</v>
      </c>
    </row>
    <row r="586" spans="1:14" x14ac:dyDescent="0.25">
      <c r="A586" t="s">
        <v>424</v>
      </c>
      <c r="B586">
        <v>0</v>
      </c>
      <c r="C586" t="s">
        <v>425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L586">
        <f t="shared" si="64"/>
        <v>0</v>
      </c>
      <c r="M586">
        <f t="shared" si="65"/>
        <v>0</v>
      </c>
      <c r="N586">
        <f t="shared" si="66"/>
        <v>0</v>
      </c>
    </row>
    <row r="587" spans="1:14" x14ac:dyDescent="0.25">
      <c r="A587" t="s">
        <v>424</v>
      </c>
      <c r="B587">
        <v>0</v>
      </c>
      <c r="C587" t="s">
        <v>425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L587">
        <f t="shared" si="64"/>
        <v>0</v>
      </c>
      <c r="M587">
        <f t="shared" si="65"/>
        <v>0</v>
      </c>
      <c r="N587">
        <f t="shared" si="66"/>
        <v>0</v>
      </c>
    </row>
    <row r="588" spans="1:14" x14ac:dyDescent="0.25">
      <c r="A588" t="s">
        <v>424</v>
      </c>
      <c r="B588">
        <v>0</v>
      </c>
      <c r="C588" t="s">
        <v>425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L588">
        <f t="shared" si="64"/>
        <v>0</v>
      </c>
      <c r="M588">
        <f t="shared" si="65"/>
        <v>0</v>
      </c>
      <c r="N588">
        <f t="shared" si="66"/>
        <v>0</v>
      </c>
    </row>
    <row r="589" spans="1:14" x14ac:dyDescent="0.25">
      <c r="A589" t="s">
        <v>424</v>
      </c>
      <c r="B589">
        <v>0</v>
      </c>
      <c r="C589" t="s">
        <v>425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L589">
        <f t="shared" si="64"/>
        <v>0</v>
      </c>
      <c r="M589">
        <f t="shared" si="65"/>
        <v>0</v>
      </c>
      <c r="N589">
        <f t="shared" si="66"/>
        <v>0</v>
      </c>
    </row>
    <row r="590" spans="1:14" x14ac:dyDescent="0.25">
      <c r="A590" t="s">
        <v>424</v>
      </c>
      <c r="B590">
        <v>0</v>
      </c>
      <c r="C590" t="s">
        <v>425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L590">
        <f t="shared" si="64"/>
        <v>0</v>
      </c>
      <c r="M590">
        <f t="shared" si="65"/>
        <v>0</v>
      </c>
      <c r="N590">
        <f t="shared" si="66"/>
        <v>0</v>
      </c>
    </row>
    <row r="591" spans="1:14" x14ac:dyDescent="0.25">
      <c r="A591" t="s">
        <v>424</v>
      </c>
      <c r="B591">
        <v>0</v>
      </c>
      <c r="C591" t="s">
        <v>425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L591">
        <f t="shared" si="64"/>
        <v>0</v>
      </c>
      <c r="M591">
        <f t="shared" si="65"/>
        <v>0</v>
      </c>
      <c r="N591">
        <f t="shared" si="66"/>
        <v>0</v>
      </c>
    </row>
    <row r="592" spans="1:14" x14ac:dyDescent="0.25">
      <c r="A592" t="s">
        <v>424</v>
      </c>
      <c r="B592">
        <v>0</v>
      </c>
      <c r="C592" t="s">
        <v>425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L592">
        <f t="shared" si="64"/>
        <v>0</v>
      </c>
      <c r="M592">
        <f t="shared" si="65"/>
        <v>0</v>
      </c>
      <c r="N592">
        <f t="shared" si="66"/>
        <v>0</v>
      </c>
    </row>
    <row r="593" spans="1:14" x14ac:dyDescent="0.25">
      <c r="A593" t="s">
        <v>424</v>
      </c>
      <c r="B593">
        <v>0</v>
      </c>
      <c r="C593" t="s">
        <v>425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L593">
        <f t="shared" si="64"/>
        <v>0</v>
      </c>
      <c r="M593">
        <f t="shared" si="65"/>
        <v>0</v>
      </c>
      <c r="N593">
        <f t="shared" si="66"/>
        <v>0</v>
      </c>
    </row>
    <row r="594" spans="1:14" x14ac:dyDescent="0.25">
      <c r="A594" t="s">
        <v>424</v>
      </c>
      <c r="B594">
        <v>0</v>
      </c>
      <c r="C594" t="s">
        <v>425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L594">
        <f t="shared" si="64"/>
        <v>0</v>
      </c>
      <c r="M594">
        <f t="shared" si="65"/>
        <v>0</v>
      </c>
      <c r="N594">
        <f t="shared" si="66"/>
        <v>0</v>
      </c>
    </row>
    <row r="595" spans="1:14" x14ac:dyDescent="0.25">
      <c r="A595" t="s">
        <v>424</v>
      </c>
      <c r="B595">
        <v>0</v>
      </c>
      <c r="C595" t="s">
        <v>425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L595">
        <f t="shared" si="64"/>
        <v>0</v>
      </c>
      <c r="M595">
        <f t="shared" si="65"/>
        <v>0</v>
      </c>
      <c r="N595">
        <f t="shared" si="66"/>
        <v>0</v>
      </c>
    </row>
    <row r="596" spans="1:14" x14ac:dyDescent="0.25">
      <c r="A596" t="s">
        <v>424</v>
      </c>
      <c r="B596">
        <v>0</v>
      </c>
      <c r="C596" t="s">
        <v>425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L596">
        <f t="shared" si="64"/>
        <v>0</v>
      </c>
      <c r="M596">
        <f t="shared" si="65"/>
        <v>0</v>
      </c>
      <c r="N596">
        <f t="shared" si="66"/>
        <v>0</v>
      </c>
    </row>
    <row r="597" spans="1:14" x14ac:dyDescent="0.25">
      <c r="A597" t="s">
        <v>424</v>
      </c>
      <c r="B597">
        <v>0</v>
      </c>
      <c r="C597" t="s">
        <v>425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L597">
        <f t="shared" si="64"/>
        <v>0</v>
      </c>
      <c r="M597">
        <f t="shared" si="65"/>
        <v>0</v>
      </c>
      <c r="N597">
        <f t="shared" si="66"/>
        <v>0</v>
      </c>
    </row>
  </sheetData>
  <pageMargins left="0.7" right="0.7" top="0.75" bottom="0.75" header="0.3" footer="0.3"/>
  <pageSetup orientation="portrait" horizontalDpi="4294967295" verticalDpi="4294967295" r:id="rId1"/>
  <customProperties>
    <customPr name="%locator_row%" r:id="rId2"/>
    <customPr name="%startcell%" r:id="rId3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G9"/>
  <sheetViews>
    <sheetView workbookViewId="0">
      <selection activeCell="C16" sqref="C16"/>
    </sheetView>
  </sheetViews>
  <sheetFormatPr defaultColWidth="9.140625" defaultRowHeight="15" x14ac:dyDescent="0.25"/>
  <cols>
    <col min="1" max="1" width="9.140625" style="29"/>
    <col min="2" max="2" width="18" style="29" customWidth="1"/>
    <col min="3" max="3" width="26.85546875" style="29" customWidth="1"/>
    <col min="4" max="5" width="9.140625" style="29"/>
    <col min="6" max="6" width="6.42578125" style="29" customWidth="1"/>
    <col min="7" max="7" width="9.140625" style="29" hidden="1" customWidth="1"/>
    <col min="8" max="8" width="28.5703125" style="29" customWidth="1"/>
    <col min="9" max="16384" width="9.140625" style="29"/>
  </cols>
  <sheetData>
    <row r="1" spans="1:3" x14ac:dyDescent="0.25">
      <c r="A1" s="29" t="str">
        <f>IF(C5=1,"A2LA","Blank")</f>
        <v>A2LA</v>
      </c>
    </row>
    <row r="2" spans="1:3" ht="2.25" customHeight="1" x14ac:dyDescent="0.25"/>
    <row r="3" spans="1:3" ht="10.5" customHeight="1" x14ac:dyDescent="0.25"/>
    <row r="4" spans="1:3" ht="87.75" customHeight="1" x14ac:dyDescent="0.25"/>
    <row r="5" spans="1:3" ht="41.25" customHeight="1" x14ac:dyDescent="0.25">
      <c r="C5" s="29">
        <f>IF(Worksheet!AA4=TRUE,1,"")</f>
        <v>1</v>
      </c>
    </row>
    <row r="6" spans="1:3" ht="16.5" customHeight="1" x14ac:dyDescent="0.25"/>
    <row r="8" spans="1:3" ht="16.5" customHeight="1" x14ac:dyDescent="0.25"/>
    <row r="9" spans="1:3" x14ac:dyDescent="0.25">
      <c r="C9" s="31"/>
    </row>
  </sheetData>
  <pageMargins left="0.7" right="0.7" top="0.75" bottom="0.75" header="0.3" footer="0.3"/>
  <pageSetup orientation="portrait" horizontalDpi="4294967292" r:id="rId1"/>
  <customProperties>
    <customPr name="%locator_row%" r:id="rId2"/>
    <customPr name="%startcell%" r:id="rId3"/>
  </customProperties>
  <drawing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84D17-3A88-48C3-AC85-5A1507DA6143}">
  <sheetPr codeName="Sheet8"/>
  <dimension ref="A1:G232"/>
  <sheetViews>
    <sheetView workbookViewId="0">
      <selection activeCell="N6" sqref="N6"/>
    </sheetView>
  </sheetViews>
  <sheetFormatPr defaultRowHeight="15" x14ac:dyDescent="0.25"/>
  <cols>
    <col min="1" max="1" width="51.140625" bestFit="1" customWidth="1"/>
    <col min="2" max="2" width="56" bestFit="1" customWidth="1"/>
    <col min="3" max="3" width="30" bestFit="1" customWidth="1"/>
    <col min="4" max="4" width="18.42578125" bestFit="1" customWidth="1"/>
    <col min="5" max="5" width="8.28515625" bestFit="1" customWidth="1"/>
    <col min="6" max="6" width="11.140625" bestFit="1" customWidth="1"/>
  </cols>
  <sheetData>
    <row r="1" spans="1:7" x14ac:dyDescent="0.25">
      <c r="A1" t="s">
        <v>431</v>
      </c>
      <c r="B1" t="s">
        <v>1038</v>
      </c>
      <c r="C1" t="s">
        <v>1037</v>
      </c>
      <c r="D1" t="s">
        <v>432</v>
      </c>
      <c r="E1" t="s">
        <v>1036</v>
      </c>
      <c r="F1" t="s">
        <v>661</v>
      </c>
      <c r="G1" t="s">
        <v>433</v>
      </c>
    </row>
    <row r="2" spans="1:7" x14ac:dyDescent="0.25">
      <c r="A2" t="s">
        <v>473</v>
      </c>
      <c r="B2" t="s">
        <v>1024</v>
      </c>
      <c r="C2" t="s">
        <v>1224</v>
      </c>
      <c r="D2" t="s">
        <v>1023</v>
      </c>
      <c r="E2">
        <v>71</v>
      </c>
      <c r="F2" t="b" cm="1">
        <f t="array" ref="F2">IFERROR(OR(_xlfn._xlws.FILTER(Table6[companyid FILTER],Table6[companyid]=Table1[[#This Row],[companyid]])),FALSE)</f>
        <v>1</v>
      </c>
      <c r="G2">
        <v>57132</v>
      </c>
    </row>
    <row r="3" spans="1:7" x14ac:dyDescent="0.25">
      <c r="A3" t="s">
        <v>474</v>
      </c>
      <c r="B3" t="s">
        <v>1014</v>
      </c>
      <c r="C3" t="s">
        <v>1225</v>
      </c>
      <c r="D3" t="s">
        <v>1012</v>
      </c>
      <c r="E3">
        <v>43</v>
      </c>
      <c r="F3" t="b" cm="1">
        <f t="array" ref="F3">IFERROR(OR(_xlfn._xlws.FILTER(Table6[companyid FILTER],Table6[companyid]=Table1[[#This Row],[companyid]])),FALSE)</f>
        <v>1</v>
      </c>
      <c r="G3">
        <v>57170</v>
      </c>
    </row>
    <row r="4" spans="1:7" x14ac:dyDescent="0.25">
      <c r="A4" t="s">
        <v>474</v>
      </c>
      <c r="B4" t="s">
        <v>1013</v>
      </c>
      <c r="C4" t="s">
        <v>1225</v>
      </c>
      <c r="D4" t="s">
        <v>1012</v>
      </c>
      <c r="E4">
        <v>13</v>
      </c>
      <c r="F4" t="b" cm="1">
        <f t="array" ref="F4">IFERROR(OR(_xlfn._xlws.FILTER(Table6[companyid FILTER],Table6[companyid]=Table1[[#This Row],[companyid]])),FALSE)</f>
        <v>1</v>
      </c>
      <c r="G4">
        <v>57170</v>
      </c>
    </row>
    <row r="5" spans="1:7" x14ac:dyDescent="0.25">
      <c r="A5" t="s">
        <v>436</v>
      </c>
      <c r="B5" t="s">
        <v>437</v>
      </c>
      <c r="C5" t="s">
        <v>1226</v>
      </c>
      <c r="D5" t="s">
        <v>438</v>
      </c>
      <c r="E5">
        <v>125</v>
      </c>
      <c r="F5" t="b" cm="1">
        <f t="array" ref="F5">IFERROR(OR(_xlfn._xlws.FILTER(Table6[companyid FILTER],Table6[companyid]=Table1[[#This Row],[companyid]])),FALSE)</f>
        <v>1</v>
      </c>
      <c r="G5">
        <v>57113</v>
      </c>
    </row>
    <row r="6" spans="1:7" x14ac:dyDescent="0.25">
      <c r="A6" t="s">
        <v>440</v>
      </c>
      <c r="B6" t="s">
        <v>441</v>
      </c>
      <c r="C6" t="s">
        <v>1227</v>
      </c>
      <c r="D6" t="s">
        <v>442</v>
      </c>
      <c r="E6">
        <v>1</v>
      </c>
      <c r="F6" t="b" cm="1">
        <f t="array" ref="F6">IFERROR(OR(_xlfn._xlws.FILTER(Table6[companyid FILTER],Table6[companyid]=Table1[[#This Row],[companyid]])),FALSE)</f>
        <v>0</v>
      </c>
      <c r="G6">
        <v>57158</v>
      </c>
    </row>
    <row r="7" spans="1:7" x14ac:dyDescent="0.25">
      <c r="A7" t="s">
        <v>446</v>
      </c>
      <c r="B7" t="s">
        <v>989</v>
      </c>
      <c r="C7" t="s">
        <v>1228</v>
      </c>
      <c r="D7" t="s">
        <v>988</v>
      </c>
      <c r="E7">
        <v>6</v>
      </c>
      <c r="F7" t="b" cm="1">
        <f t="array" ref="F7">IFERROR(OR(_xlfn._xlws.FILTER(Table6[companyid FILTER],Table6[companyid]=Table1[[#This Row],[companyid]])),FALSE)</f>
        <v>1</v>
      </c>
      <c r="G7">
        <v>57240</v>
      </c>
    </row>
    <row r="8" spans="1:7" x14ac:dyDescent="0.25">
      <c r="A8" t="s">
        <v>478</v>
      </c>
      <c r="B8" t="s">
        <v>984</v>
      </c>
      <c r="C8" t="s">
        <v>1228</v>
      </c>
      <c r="D8" t="s">
        <v>445</v>
      </c>
      <c r="E8">
        <v>394</v>
      </c>
      <c r="F8" t="b" cm="1">
        <f t="array" ref="F8">IFERROR(OR(_xlfn._xlws.FILTER(Table6[companyid FILTER],Table6[companyid]=Table1[[#This Row],[companyid]])),FALSE)</f>
        <v>1</v>
      </c>
      <c r="G8">
        <v>57248</v>
      </c>
    </row>
    <row r="9" spans="1:7" x14ac:dyDescent="0.25">
      <c r="A9" t="s">
        <v>478</v>
      </c>
      <c r="B9" t="s">
        <v>984</v>
      </c>
      <c r="C9" t="s">
        <v>1228</v>
      </c>
      <c r="D9" t="s">
        <v>983</v>
      </c>
      <c r="E9">
        <v>103</v>
      </c>
      <c r="F9" t="b" cm="1">
        <f t="array" ref="F9">IFERROR(OR(_xlfn._xlws.FILTER(Table6[companyid FILTER],Table6[companyid]=Table1[[#This Row],[companyid]])),FALSE)</f>
        <v>1</v>
      </c>
      <c r="G9">
        <v>57248</v>
      </c>
    </row>
    <row r="10" spans="1:7" x14ac:dyDescent="0.25">
      <c r="A10" t="s">
        <v>443</v>
      </c>
      <c r="B10" t="s">
        <v>444</v>
      </c>
      <c r="C10" t="s">
        <v>1228</v>
      </c>
      <c r="D10" t="s">
        <v>445</v>
      </c>
      <c r="E10">
        <v>692</v>
      </c>
      <c r="F10" t="b" cm="1">
        <f t="array" ref="F10">IFERROR(OR(_xlfn._xlws.FILTER(Table6[companyid FILTER],Table6[companyid]=Table1[[#This Row],[companyid]])),FALSE)</f>
        <v>1</v>
      </c>
      <c r="G10">
        <v>57221</v>
      </c>
    </row>
    <row r="11" spans="1:7" x14ac:dyDescent="0.25">
      <c r="A11" t="s">
        <v>443</v>
      </c>
      <c r="B11" t="s">
        <v>979</v>
      </c>
      <c r="C11" t="s">
        <v>1229</v>
      </c>
      <c r="D11" t="s">
        <v>445</v>
      </c>
      <c r="E11">
        <v>665</v>
      </c>
      <c r="F11" t="b" cm="1">
        <f t="array" ref="F11">IFERROR(OR(_xlfn._xlws.FILTER(Table6[companyid FILTER],Table6[companyid]=Table1[[#This Row],[companyid]])),FALSE)</f>
        <v>1</v>
      </c>
      <c r="G11">
        <v>57221</v>
      </c>
    </row>
    <row r="12" spans="1:7" x14ac:dyDescent="0.25">
      <c r="A12" t="s">
        <v>443</v>
      </c>
      <c r="B12" t="s">
        <v>979</v>
      </c>
      <c r="C12" t="s">
        <v>1229</v>
      </c>
      <c r="D12" t="s">
        <v>1221</v>
      </c>
      <c r="E12">
        <v>593</v>
      </c>
      <c r="F12" t="b" cm="1">
        <f t="array" ref="F12">IFERROR(OR(_xlfn._xlws.FILTER(Table6[companyid FILTER],Table6[companyid]=Table1[[#This Row],[companyid]])),FALSE)</f>
        <v>1</v>
      </c>
      <c r="G12">
        <v>57221</v>
      </c>
    </row>
    <row r="13" spans="1:7" x14ac:dyDescent="0.25">
      <c r="A13" t="s">
        <v>439</v>
      </c>
      <c r="B13" t="s">
        <v>968</v>
      </c>
      <c r="C13" t="s">
        <v>1230</v>
      </c>
      <c r="D13" t="s">
        <v>967</v>
      </c>
      <c r="E13">
        <v>9</v>
      </c>
      <c r="F13" t="b" cm="1">
        <f t="array" ref="F13">IFERROR(OR(_xlfn._xlws.FILTER(Table6[companyid FILTER],Table6[companyid]=Table1[[#This Row],[companyid]])),FALSE)</f>
        <v>1</v>
      </c>
      <c r="G13">
        <v>57178</v>
      </c>
    </row>
    <row r="14" spans="1:7" x14ac:dyDescent="0.25">
      <c r="A14" t="s">
        <v>491</v>
      </c>
      <c r="B14" t="s">
        <v>954</v>
      </c>
      <c r="C14" t="s">
        <v>1231</v>
      </c>
      <c r="D14" t="s">
        <v>953</v>
      </c>
      <c r="E14">
        <v>45</v>
      </c>
      <c r="F14" t="b" cm="1">
        <f t="array" ref="F14">IFERROR(OR(_xlfn._xlws.FILTER(Table6[companyid FILTER],Table6[companyid]=Table1[[#This Row],[companyid]])),FALSE)</f>
        <v>1</v>
      </c>
      <c r="G14">
        <v>57332</v>
      </c>
    </row>
    <row r="15" spans="1:7" x14ac:dyDescent="0.25">
      <c r="A15" t="s">
        <v>451</v>
      </c>
      <c r="B15" t="s">
        <v>452</v>
      </c>
      <c r="C15" t="s">
        <v>1232</v>
      </c>
      <c r="D15" t="s">
        <v>453</v>
      </c>
      <c r="E15">
        <v>372</v>
      </c>
      <c r="F15" t="b" cm="1">
        <f t="array" ref="F15">IFERROR(OR(_xlfn._xlws.FILTER(Table6[companyid FILTER],Table6[companyid]=Table1[[#This Row],[companyid]])),FALSE)</f>
        <v>1</v>
      </c>
      <c r="G15">
        <v>57283</v>
      </c>
    </row>
    <row r="16" spans="1:7" x14ac:dyDescent="0.25">
      <c r="A16" t="s">
        <v>447</v>
      </c>
      <c r="C16" t="s">
        <v>1233</v>
      </c>
      <c r="E16">
        <v>0</v>
      </c>
      <c r="F16" t="b" cm="1">
        <f t="array" ref="F16">IFERROR(OR(_xlfn._xlws.FILTER(Table6[companyid FILTER],Table6[companyid]=Table1[[#This Row],[companyid]])),FALSE)</f>
        <v>0</v>
      </c>
      <c r="G16">
        <v>57280</v>
      </c>
    </row>
    <row r="17" spans="1:7" x14ac:dyDescent="0.25">
      <c r="A17" t="s">
        <v>448</v>
      </c>
      <c r="B17" t="s">
        <v>449</v>
      </c>
      <c r="C17" t="s">
        <v>1234</v>
      </c>
      <c r="D17" t="s">
        <v>450</v>
      </c>
      <c r="E17">
        <v>174</v>
      </c>
      <c r="F17" t="b" cm="1">
        <f t="array" ref="F17">IFERROR(OR(_xlfn._xlws.FILTER(Table6[companyid FILTER],Table6[companyid]=Table1[[#This Row],[companyid]])),FALSE)</f>
        <v>1</v>
      </c>
      <c r="G17">
        <v>57298</v>
      </c>
    </row>
    <row r="18" spans="1:7" x14ac:dyDescent="0.25">
      <c r="A18" t="s">
        <v>448</v>
      </c>
      <c r="B18" t="s">
        <v>919</v>
      </c>
      <c r="C18" t="s">
        <v>1235</v>
      </c>
      <c r="D18" t="s">
        <v>450</v>
      </c>
      <c r="E18">
        <v>172</v>
      </c>
      <c r="F18" t="b" cm="1">
        <f t="array" ref="F18">IFERROR(OR(_xlfn._xlws.FILTER(Table6[companyid FILTER],Table6[companyid]=Table1[[#This Row],[companyid]])),FALSE)</f>
        <v>1</v>
      </c>
      <c r="G18">
        <v>57298</v>
      </c>
    </row>
    <row r="19" spans="1:7" x14ac:dyDescent="0.25">
      <c r="A19" t="s">
        <v>460</v>
      </c>
      <c r="B19" t="s">
        <v>917</v>
      </c>
      <c r="C19" t="s">
        <v>1236</v>
      </c>
      <c r="D19" t="s">
        <v>462</v>
      </c>
      <c r="E19">
        <v>21</v>
      </c>
      <c r="F19" t="b" cm="1">
        <f t="array" ref="F19">IFERROR(OR(_xlfn._xlws.FILTER(Table6[companyid FILTER],Table6[companyid]=Table1[[#This Row],[companyid]])),FALSE)</f>
        <v>1</v>
      </c>
      <c r="G19">
        <v>57439</v>
      </c>
    </row>
    <row r="20" spans="1:7" x14ac:dyDescent="0.25">
      <c r="A20" t="s">
        <v>460</v>
      </c>
      <c r="B20" t="s">
        <v>461</v>
      </c>
      <c r="C20" t="s">
        <v>1237</v>
      </c>
      <c r="D20" t="s">
        <v>462</v>
      </c>
      <c r="E20">
        <v>14</v>
      </c>
      <c r="F20" t="b" cm="1">
        <f t="array" ref="F20">IFERROR(OR(_xlfn._xlws.FILTER(Table6[companyid FILTER],Table6[companyid]=Table1[[#This Row],[companyid]])),FALSE)</f>
        <v>1</v>
      </c>
      <c r="G20">
        <v>57439</v>
      </c>
    </row>
    <row r="21" spans="1:7" x14ac:dyDescent="0.25">
      <c r="A21" t="s">
        <v>463</v>
      </c>
      <c r="B21" t="s">
        <v>916</v>
      </c>
      <c r="C21" t="s">
        <v>1238</v>
      </c>
      <c r="D21" t="s">
        <v>915</v>
      </c>
      <c r="E21">
        <v>18</v>
      </c>
      <c r="F21" t="b" cm="1">
        <f t="array" ref="F21">IFERROR(OR(_xlfn._xlws.FILTER(Table6[companyid FILTER],Table6[companyid]=Table1[[#This Row],[companyid]])),FALSE)</f>
        <v>1</v>
      </c>
      <c r="G21">
        <v>57437</v>
      </c>
    </row>
    <row r="22" spans="1:7" x14ac:dyDescent="0.25">
      <c r="A22" t="s">
        <v>464</v>
      </c>
      <c r="B22" t="s">
        <v>465</v>
      </c>
      <c r="C22" t="s">
        <v>1239</v>
      </c>
      <c r="D22" t="s">
        <v>908</v>
      </c>
      <c r="E22">
        <v>28</v>
      </c>
      <c r="F22" t="b" cm="1">
        <f t="array" ref="F22">IFERROR(OR(_xlfn._xlws.FILTER(Table6[companyid FILTER],Table6[companyid]=Table1[[#This Row],[companyid]])),FALSE)</f>
        <v>1</v>
      </c>
      <c r="G22">
        <v>57464</v>
      </c>
    </row>
    <row r="23" spans="1:7" x14ac:dyDescent="0.25">
      <c r="A23" t="s">
        <v>464</v>
      </c>
      <c r="B23" t="s">
        <v>465</v>
      </c>
      <c r="C23" t="s">
        <v>1239</v>
      </c>
      <c r="D23" t="s">
        <v>466</v>
      </c>
      <c r="E23">
        <v>17</v>
      </c>
      <c r="F23" t="b" cm="1">
        <f t="array" ref="F23">IFERROR(OR(_xlfn._xlws.FILTER(Table6[companyid FILTER],Table6[companyid]=Table1[[#This Row],[companyid]])),FALSE)</f>
        <v>1</v>
      </c>
      <c r="G23">
        <v>57464</v>
      </c>
    </row>
    <row r="24" spans="1:7" x14ac:dyDescent="0.25">
      <c r="A24" t="s">
        <v>470</v>
      </c>
      <c r="B24" t="s">
        <v>471</v>
      </c>
      <c r="C24" t="s">
        <v>1240</v>
      </c>
      <c r="D24" t="s">
        <v>472</v>
      </c>
      <c r="E24">
        <v>410</v>
      </c>
      <c r="F24" t="b" cm="1">
        <f t="array" ref="F24">IFERROR(OR(_xlfn._xlws.FILTER(Table6[companyid FILTER],Table6[companyid]=Table1[[#This Row],[companyid]])),FALSE)</f>
        <v>1</v>
      </c>
      <c r="G24">
        <v>57461</v>
      </c>
    </row>
    <row r="25" spans="1:7" x14ac:dyDescent="0.25">
      <c r="A25" t="s">
        <v>470</v>
      </c>
      <c r="B25" t="s">
        <v>905</v>
      </c>
      <c r="C25" t="s">
        <v>1240</v>
      </c>
      <c r="D25" t="s">
        <v>472</v>
      </c>
      <c r="E25">
        <v>407</v>
      </c>
      <c r="F25" t="b" cm="1">
        <f t="array" ref="F25">IFERROR(OR(_xlfn._xlws.FILTER(Table6[companyid FILTER],Table6[companyid]=Table1[[#This Row],[companyid]])),FALSE)</f>
        <v>1</v>
      </c>
      <c r="G25">
        <v>57461</v>
      </c>
    </row>
    <row r="26" spans="1:7" x14ac:dyDescent="0.25">
      <c r="A26" t="s">
        <v>470</v>
      </c>
      <c r="B26" t="s">
        <v>905</v>
      </c>
      <c r="C26" t="s">
        <v>1240</v>
      </c>
      <c r="E26">
        <v>365</v>
      </c>
      <c r="F26" t="b" cm="1">
        <f t="array" ref="F26">IFERROR(OR(_xlfn._xlws.FILTER(Table6[companyid FILTER],Table6[companyid]=Table1[[#This Row],[companyid]])),FALSE)</f>
        <v>1</v>
      </c>
      <c r="G26">
        <v>57461</v>
      </c>
    </row>
    <row r="27" spans="1:7" x14ac:dyDescent="0.25">
      <c r="A27" t="s">
        <v>467</v>
      </c>
      <c r="B27" t="s">
        <v>468</v>
      </c>
      <c r="C27" t="s">
        <v>1241</v>
      </c>
      <c r="D27" t="s">
        <v>469</v>
      </c>
      <c r="E27">
        <v>190</v>
      </c>
      <c r="F27" t="b" cm="1">
        <f t="array" ref="F27">IFERROR(OR(_xlfn._xlws.FILTER(Table6[companyid FILTER],Table6[companyid]=Table1[[#This Row],[companyid]])),FALSE)</f>
        <v>1</v>
      </c>
      <c r="G27">
        <v>57460</v>
      </c>
    </row>
    <row r="28" spans="1:7" x14ac:dyDescent="0.25">
      <c r="A28" t="s">
        <v>467</v>
      </c>
      <c r="B28" t="s">
        <v>905</v>
      </c>
      <c r="C28" t="s">
        <v>1240</v>
      </c>
      <c r="D28" t="s">
        <v>472</v>
      </c>
      <c r="E28">
        <v>190</v>
      </c>
      <c r="F28" t="b" cm="1">
        <f t="array" ref="F28">IFERROR(OR(_xlfn._xlws.FILTER(Table6[companyid FILTER],Table6[companyid]=Table1[[#This Row],[companyid]])),FALSE)</f>
        <v>1</v>
      </c>
      <c r="G28">
        <v>57460</v>
      </c>
    </row>
    <row r="29" spans="1:7" x14ac:dyDescent="0.25">
      <c r="A29" t="s">
        <v>457</v>
      </c>
      <c r="B29" t="s">
        <v>458</v>
      </c>
      <c r="C29" t="s">
        <v>1242</v>
      </c>
      <c r="D29" t="s">
        <v>459</v>
      </c>
      <c r="E29">
        <v>81</v>
      </c>
      <c r="F29" t="b" cm="1">
        <f t="array" ref="F29">IFERROR(OR(_xlfn._xlws.FILTER(Table6[companyid FILTER],Table6[companyid]=Table1[[#This Row],[companyid]])),FALSE)</f>
        <v>1</v>
      </c>
      <c r="G29">
        <v>57421</v>
      </c>
    </row>
    <row r="30" spans="1:7" x14ac:dyDescent="0.25">
      <c r="A30" t="s">
        <v>486</v>
      </c>
      <c r="C30" t="s">
        <v>1233</v>
      </c>
      <c r="E30">
        <v>0</v>
      </c>
      <c r="F30" t="b" cm="1">
        <f t="array" ref="F30">IFERROR(OR(_xlfn._xlws.FILTER(Table6[companyid FILTER],Table6[companyid]=Table1[[#This Row],[companyid]])),FALSE)</f>
        <v>0</v>
      </c>
      <c r="G30">
        <v>57381</v>
      </c>
    </row>
    <row r="31" spans="1:7" x14ac:dyDescent="0.25">
      <c r="A31" t="s">
        <v>482</v>
      </c>
      <c r="B31" t="s">
        <v>483</v>
      </c>
      <c r="C31" t="s">
        <v>1243</v>
      </c>
      <c r="D31" t="s">
        <v>484</v>
      </c>
      <c r="E31">
        <v>138</v>
      </c>
      <c r="F31" t="b" cm="1">
        <f t="array" ref="F31">IFERROR(OR(_xlfn._xlws.FILTER(Table6[companyid FILTER],Table6[companyid]=Table1[[#This Row],[companyid]])),FALSE)</f>
        <v>1</v>
      </c>
      <c r="G31">
        <v>57534</v>
      </c>
    </row>
    <row r="32" spans="1:7" x14ac:dyDescent="0.25">
      <c r="A32" t="s">
        <v>485</v>
      </c>
      <c r="B32" t="s">
        <v>878</v>
      </c>
      <c r="C32" t="s">
        <v>1244</v>
      </c>
      <c r="D32" t="s">
        <v>876</v>
      </c>
      <c r="E32">
        <v>8</v>
      </c>
      <c r="F32" t="b" cm="1">
        <f t="array" ref="F32">IFERROR(OR(_xlfn._xlws.FILTER(Table6[companyid FILTER],Table6[companyid]=Table1[[#This Row],[companyid]])),FALSE)</f>
        <v>1</v>
      </c>
      <c r="G32">
        <v>57562</v>
      </c>
    </row>
    <row r="33" spans="1:7" x14ac:dyDescent="0.25">
      <c r="A33" t="s">
        <v>485</v>
      </c>
      <c r="B33" t="s">
        <v>877</v>
      </c>
      <c r="C33" t="s">
        <v>1244</v>
      </c>
      <c r="D33" t="s">
        <v>876</v>
      </c>
      <c r="E33">
        <v>2</v>
      </c>
      <c r="F33" t="b" cm="1">
        <f t="array" ref="F33">IFERROR(OR(_xlfn._xlws.FILTER(Table6[companyid FILTER],Table6[companyid]=Table1[[#This Row],[companyid]])),FALSE)</f>
        <v>1</v>
      </c>
      <c r="G33">
        <v>57562</v>
      </c>
    </row>
    <row r="34" spans="1:7" x14ac:dyDescent="0.25">
      <c r="A34" t="s">
        <v>556</v>
      </c>
      <c r="C34" t="s">
        <v>1233</v>
      </c>
      <c r="E34">
        <v>3</v>
      </c>
      <c r="F34" t="b" cm="1">
        <f t="array" ref="F34">IFERROR(OR(_xlfn._xlws.FILTER(Table6[companyid FILTER],Table6[companyid]=Table1[[#This Row],[companyid]])),FALSE)</f>
        <v>1</v>
      </c>
      <c r="G34">
        <v>61312</v>
      </c>
    </row>
    <row r="35" spans="1:7" x14ac:dyDescent="0.25">
      <c r="A35" t="s">
        <v>558</v>
      </c>
      <c r="B35" t="s">
        <v>559</v>
      </c>
      <c r="C35" t="s">
        <v>1245</v>
      </c>
      <c r="D35" t="s">
        <v>560</v>
      </c>
      <c r="E35">
        <v>13</v>
      </c>
      <c r="F35" t="b" cm="1">
        <f t="array" ref="F35">IFERROR(OR(_xlfn._xlws.FILTER(Table6[companyid FILTER],Table6[companyid]=Table1[[#This Row],[companyid]])),FALSE)</f>
        <v>1</v>
      </c>
      <c r="G35">
        <v>87871</v>
      </c>
    </row>
    <row r="36" spans="1:7" x14ac:dyDescent="0.25">
      <c r="A36" t="s">
        <v>475</v>
      </c>
      <c r="B36" t="s">
        <v>476</v>
      </c>
      <c r="C36" t="s">
        <v>1246</v>
      </c>
      <c r="D36" t="s">
        <v>477</v>
      </c>
      <c r="E36">
        <v>94</v>
      </c>
      <c r="F36" t="b" cm="1">
        <f t="array" ref="F36">IFERROR(OR(_xlfn._xlws.FILTER(Table6[companyid FILTER],Table6[companyid]=Table1[[#This Row],[companyid]])),FALSE)</f>
        <v>1</v>
      </c>
      <c r="G36">
        <v>57492</v>
      </c>
    </row>
    <row r="37" spans="1:7" x14ac:dyDescent="0.25">
      <c r="A37" t="s">
        <v>494</v>
      </c>
      <c r="B37" t="s">
        <v>495</v>
      </c>
      <c r="C37" t="s">
        <v>1247</v>
      </c>
      <c r="D37" t="s">
        <v>496</v>
      </c>
      <c r="E37">
        <v>303</v>
      </c>
      <c r="F37" t="b" cm="1">
        <f t="array" ref="F37">IFERROR(OR(_xlfn._xlws.FILTER(Table6[companyid FILTER],Table6[companyid]=Table1[[#This Row],[companyid]])),FALSE)</f>
        <v>1</v>
      </c>
      <c r="G37">
        <v>57481</v>
      </c>
    </row>
    <row r="38" spans="1:7" x14ac:dyDescent="0.25">
      <c r="A38" t="s">
        <v>494</v>
      </c>
      <c r="B38" t="s">
        <v>875</v>
      </c>
      <c r="C38" t="s">
        <v>1247</v>
      </c>
      <c r="D38" t="s">
        <v>496</v>
      </c>
      <c r="E38">
        <v>294</v>
      </c>
      <c r="F38" t="b" cm="1">
        <f t="array" ref="F38">IFERROR(OR(_xlfn._xlws.FILTER(Table6[companyid FILTER],Table6[companyid]=Table1[[#This Row],[companyid]])),FALSE)</f>
        <v>1</v>
      </c>
      <c r="G38">
        <v>57481</v>
      </c>
    </row>
    <row r="39" spans="1:7" x14ac:dyDescent="0.25">
      <c r="A39" t="s">
        <v>494</v>
      </c>
      <c r="B39" t="s">
        <v>875</v>
      </c>
      <c r="C39" t="s">
        <v>1247</v>
      </c>
      <c r="D39" t="s">
        <v>874</v>
      </c>
      <c r="E39">
        <v>276</v>
      </c>
      <c r="F39" t="b" cm="1">
        <f t="array" ref="F39">IFERROR(OR(_xlfn._xlws.FILTER(Table6[companyid FILTER],Table6[companyid]=Table1[[#This Row],[companyid]])),FALSE)</f>
        <v>1</v>
      </c>
      <c r="G39">
        <v>57481</v>
      </c>
    </row>
    <row r="40" spans="1:7" x14ac:dyDescent="0.25">
      <c r="A40" t="s">
        <v>493</v>
      </c>
      <c r="B40" t="s">
        <v>864</v>
      </c>
      <c r="C40" t="s">
        <v>1248</v>
      </c>
      <c r="D40" t="s">
        <v>862</v>
      </c>
      <c r="E40">
        <v>369</v>
      </c>
      <c r="F40" t="b" cm="1">
        <f t="array" ref="F40">IFERROR(OR(_xlfn._xlws.FILTER(Table6[companyid FILTER],Table6[companyid]=Table1[[#This Row],[companyid]])),FALSE)</f>
        <v>1</v>
      </c>
      <c r="G40">
        <v>57508</v>
      </c>
    </row>
    <row r="41" spans="1:7" x14ac:dyDescent="0.25">
      <c r="A41" t="s">
        <v>493</v>
      </c>
      <c r="B41" t="s">
        <v>863</v>
      </c>
      <c r="C41" t="s">
        <v>1249</v>
      </c>
      <c r="D41" t="s">
        <v>862</v>
      </c>
      <c r="E41">
        <v>132</v>
      </c>
      <c r="F41" t="b" cm="1">
        <f t="array" ref="F41">IFERROR(OR(_xlfn._xlws.FILTER(Table6[companyid FILTER],Table6[companyid]=Table1[[#This Row],[companyid]])),FALSE)</f>
        <v>1</v>
      </c>
      <c r="G41">
        <v>57508</v>
      </c>
    </row>
    <row r="42" spans="1:7" x14ac:dyDescent="0.25">
      <c r="A42" t="s">
        <v>490</v>
      </c>
      <c r="C42" t="s">
        <v>1233</v>
      </c>
      <c r="E42">
        <v>0</v>
      </c>
      <c r="F42" t="b" cm="1">
        <f t="array" ref="F42">IFERROR(OR(_xlfn._xlws.FILTER(Table6[companyid FILTER],Table6[companyid]=Table1[[#This Row],[companyid]])),FALSE)</f>
        <v>0</v>
      </c>
      <c r="G42">
        <v>57613</v>
      </c>
    </row>
    <row r="43" spans="1:7" x14ac:dyDescent="0.25">
      <c r="A43" t="s">
        <v>487</v>
      </c>
      <c r="B43" t="s">
        <v>488</v>
      </c>
      <c r="C43" t="s">
        <v>1228</v>
      </c>
      <c r="D43" t="s">
        <v>489</v>
      </c>
      <c r="E43">
        <v>30</v>
      </c>
      <c r="F43" t="b" cm="1">
        <f t="array" ref="F43">IFERROR(OR(_xlfn._xlws.FILTER(Table6[companyid FILTER],Table6[companyid]=Table1[[#This Row],[companyid]])),FALSE)</f>
        <v>1</v>
      </c>
      <c r="G43">
        <v>57598</v>
      </c>
    </row>
    <row r="44" spans="1:7" x14ac:dyDescent="0.25">
      <c r="A44" t="s">
        <v>487</v>
      </c>
      <c r="B44" t="s">
        <v>488</v>
      </c>
      <c r="C44" t="s">
        <v>1228</v>
      </c>
      <c r="D44" t="s">
        <v>851</v>
      </c>
      <c r="E44">
        <v>15</v>
      </c>
      <c r="F44" t="b" cm="1">
        <f t="array" ref="F44">IFERROR(OR(_xlfn._xlws.FILTER(Table6[companyid FILTER],Table6[companyid]=Table1[[#This Row],[companyid]])),FALSE)</f>
        <v>1</v>
      </c>
      <c r="G44">
        <v>57598</v>
      </c>
    </row>
    <row r="45" spans="1:7" x14ac:dyDescent="0.25">
      <c r="A45" t="s">
        <v>506</v>
      </c>
      <c r="B45" t="s">
        <v>850</v>
      </c>
      <c r="C45" t="s">
        <v>1250</v>
      </c>
      <c r="D45" t="s">
        <v>848</v>
      </c>
      <c r="E45">
        <v>12</v>
      </c>
      <c r="F45" t="b" cm="1">
        <f t="array" ref="F45">IFERROR(OR(_xlfn._xlws.FILTER(Table6[companyid FILTER],Table6[companyid]=Table1[[#This Row],[companyid]])),FALSE)</f>
        <v>1</v>
      </c>
      <c r="G45">
        <v>57762</v>
      </c>
    </row>
    <row r="46" spans="1:7" x14ac:dyDescent="0.25">
      <c r="A46" t="s">
        <v>506</v>
      </c>
      <c r="B46" t="s">
        <v>849</v>
      </c>
      <c r="C46" t="s">
        <v>1250</v>
      </c>
      <c r="D46" t="s">
        <v>848</v>
      </c>
      <c r="E46">
        <v>3</v>
      </c>
      <c r="F46" t="b" cm="1">
        <f t="array" ref="F46">IFERROR(OR(_xlfn._xlws.FILTER(Table6[companyid FILTER],Table6[companyid]=Table1[[#This Row],[companyid]])),FALSE)</f>
        <v>1</v>
      </c>
      <c r="G46">
        <v>57762</v>
      </c>
    </row>
    <row r="47" spans="1:7" x14ac:dyDescent="0.25">
      <c r="A47" t="s">
        <v>506</v>
      </c>
      <c r="C47" t="s">
        <v>1233</v>
      </c>
      <c r="E47">
        <v>0</v>
      </c>
      <c r="F47" t="b" cm="1">
        <f t="array" ref="F47">IFERROR(OR(_xlfn._xlws.FILTER(Table6[companyid FILTER],Table6[companyid]=Table1[[#This Row],[companyid]])),FALSE)</f>
        <v>1</v>
      </c>
      <c r="G47">
        <v>57762</v>
      </c>
    </row>
    <row r="48" spans="1:7" x14ac:dyDescent="0.25">
      <c r="A48" t="s">
        <v>503</v>
      </c>
      <c r="B48" t="s">
        <v>504</v>
      </c>
      <c r="C48" t="s">
        <v>1251</v>
      </c>
      <c r="D48" t="s">
        <v>505</v>
      </c>
      <c r="E48">
        <v>14</v>
      </c>
      <c r="F48" t="b" cm="1">
        <f t="array" ref="F48">IFERROR(OR(_xlfn._xlws.FILTER(Table6[companyid FILTER],Table6[companyid]=Table1[[#This Row],[companyid]])),FALSE)</f>
        <v>0</v>
      </c>
      <c r="G48">
        <v>57755</v>
      </c>
    </row>
    <row r="49" spans="1:7" x14ac:dyDescent="0.25">
      <c r="A49" t="s">
        <v>492</v>
      </c>
      <c r="B49" t="s">
        <v>841</v>
      </c>
      <c r="C49" t="s">
        <v>1252</v>
      </c>
      <c r="D49" t="s">
        <v>840</v>
      </c>
      <c r="E49">
        <v>31</v>
      </c>
      <c r="F49" t="b" cm="1">
        <f t="array" ref="F49">IFERROR(OR(_xlfn._xlws.FILTER(Table6[companyid FILTER],Table6[companyid]=Table1[[#This Row],[companyid]])),FALSE)</f>
        <v>1</v>
      </c>
      <c r="G49">
        <v>57682</v>
      </c>
    </row>
    <row r="50" spans="1:7" x14ac:dyDescent="0.25">
      <c r="A50" t="s">
        <v>492</v>
      </c>
      <c r="C50" t="s">
        <v>1233</v>
      </c>
      <c r="E50">
        <v>0</v>
      </c>
      <c r="F50" t="b" cm="1">
        <f t="array" ref="F50">IFERROR(OR(_xlfn._xlws.FILTER(Table6[companyid FILTER],Table6[companyid]=Table1[[#This Row],[companyid]])),FALSE)</f>
        <v>1</v>
      </c>
      <c r="G50">
        <v>57682</v>
      </c>
    </row>
    <row r="51" spans="1:7" x14ac:dyDescent="0.25">
      <c r="A51" t="s">
        <v>500</v>
      </c>
      <c r="B51" t="s">
        <v>501</v>
      </c>
      <c r="C51" t="s">
        <v>1253</v>
      </c>
      <c r="D51" t="s">
        <v>837</v>
      </c>
      <c r="E51">
        <v>38</v>
      </c>
      <c r="F51" t="b" cm="1">
        <f t="array" ref="F51">IFERROR(OR(_xlfn._xlws.FILTER(Table6[companyid FILTER],Table6[companyid]=Table1[[#This Row],[companyid]])),FALSE)</f>
        <v>1</v>
      </c>
      <c r="G51">
        <v>57718</v>
      </c>
    </row>
    <row r="52" spans="1:7" x14ac:dyDescent="0.25">
      <c r="A52" t="s">
        <v>500</v>
      </c>
      <c r="B52" t="s">
        <v>501</v>
      </c>
      <c r="C52" t="s">
        <v>1253</v>
      </c>
      <c r="D52" t="s">
        <v>502</v>
      </c>
      <c r="E52">
        <v>26</v>
      </c>
      <c r="F52" t="b" cm="1">
        <f t="array" ref="F52">IFERROR(OR(_xlfn._xlws.FILTER(Table6[companyid FILTER],Table6[companyid]=Table1[[#This Row],[companyid]])),FALSE)</f>
        <v>1</v>
      </c>
      <c r="G52">
        <v>57718</v>
      </c>
    </row>
    <row r="53" spans="1:7" x14ac:dyDescent="0.25">
      <c r="A53" t="s">
        <v>497</v>
      </c>
      <c r="B53" t="s">
        <v>498</v>
      </c>
      <c r="C53" t="s">
        <v>1254</v>
      </c>
      <c r="D53" t="s">
        <v>499</v>
      </c>
      <c r="E53">
        <v>26</v>
      </c>
      <c r="F53" t="b" cm="1">
        <f t="array" ref="F53">IFERROR(OR(_xlfn._xlws.FILTER(Table6[companyid FILTER],Table6[companyid]=Table1[[#This Row],[companyid]])),FALSE)</f>
        <v>1</v>
      </c>
      <c r="G53">
        <v>57704</v>
      </c>
    </row>
    <row r="54" spans="1:7" x14ac:dyDescent="0.25">
      <c r="A54" t="s">
        <v>510</v>
      </c>
      <c r="B54" t="s">
        <v>820</v>
      </c>
      <c r="C54" t="s">
        <v>1255</v>
      </c>
      <c r="E54">
        <v>27</v>
      </c>
      <c r="F54" t="b" cm="1">
        <f t="array" ref="F54">IFERROR(OR(_xlfn._xlws.FILTER(Table6[companyid FILTER],Table6[companyid]=Table1[[#This Row],[companyid]])),FALSE)</f>
        <v>1</v>
      </c>
      <c r="G54">
        <v>57844</v>
      </c>
    </row>
    <row r="55" spans="1:7" x14ac:dyDescent="0.25">
      <c r="A55" t="s">
        <v>510</v>
      </c>
      <c r="B55" t="s">
        <v>819</v>
      </c>
      <c r="C55" t="s">
        <v>1256</v>
      </c>
      <c r="D55" t="s">
        <v>818</v>
      </c>
      <c r="E55">
        <v>9</v>
      </c>
      <c r="F55" t="b" cm="1">
        <f t="array" ref="F55">IFERROR(OR(_xlfn._xlws.FILTER(Table6[companyid FILTER],Table6[companyid]=Table1[[#This Row],[companyid]])),FALSE)</f>
        <v>1</v>
      </c>
      <c r="G55">
        <v>57844</v>
      </c>
    </row>
    <row r="56" spans="1:7" x14ac:dyDescent="0.25">
      <c r="A56" t="s">
        <v>510</v>
      </c>
      <c r="C56" t="s">
        <v>1233</v>
      </c>
      <c r="E56">
        <v>0</v>
      </c>
      <c r="F56" t="b" cm="1">
        <f t="array" ref="F56">IFERROR(OR(_xlfn._xlws.FILTER(Table6[companyid FILTER],Table6[companyid]=Table1[[#This Row],[companyid]])),FALSE)</f>
        <v>1</v>
      </c>
      <c r="G56">
        <v>57844</v>
      </c>
    </row>
    <row r="57" spans="1:7" x14ac:dyDescent="0.25">
      <c r="A57" t="s">
        <v>508</v>
      </c>
      <c r="B57" t="s">
        <v>796</v>
      </c>
      <c r="C57" t="s">
        <v>1257</v>
      </c>
      <c r="D57" t="s">
        <v>793</v>
      </c>
      <c r="E57">
        <v>686</v>
      </c>
      <c r="F57" t="b" cm="1">
        <f t="array" ref="F57">IFERROR(OR(_xlfn._xlws.FILTER(Table6[companyid FILTER],Table6[companyid]=Table1[[#This Row],[companyid]])),FALSE)</f>
        <v>1</v>
      </c>
      <c r="G57">
        <v>57819</v>
      </c>
    </row>
    <row r="58" spans="1:7" x14ac:dyDescent="0.25">
      <c r="A58" t="s">
        <v>508</v>
      </c>
      <c r="B58" t="s">
        <v>795</v>
      </c>
      <c r="C58" t="s">
        <v>1228</v>
      </c>
      <c r="D58" t="s">
        <v>793</v>
      </c>
      <c r="E58">
        <v>414</v>
      </c>
      <c r="F58" t="b" cm="1">
        <f t="array" ref="F58">IFERROR(OR(_xlfn._xlws.FILTER(Table6[companyid FILTER],Table6[companyid]=Table1[[#This Row],[companyid]])),FALSE)</f>
        <v>1</v>
      </c>
      <c r="G58">
        <v>57819</v>
      </c>
    </row>
    <row r="59" spans="1:7" x14ac:dyDescent="0.25">
      <c r="A59" t="s">
        <v>509</v>
      </c>
      <c r="B59" t="s">
        <v>794</v>
      </c>
      <c r="C59" t="s">
        <v>1257</v>
      </c>
      <c r="D59" t="s">
        <v>793</v>
      </c>
      <c r="E59">
        <v>160</v>
      </c>
      <c r="F59" t="b" cm="1">
        <f t="array" ref="F59">IFERROR(OR(_xlfn._xlws.FILTER(Table6[companyid FILTER],Table6[companyid]=Table1[[#This Row],[companyid]])),FALSE)</f>
        <v>1</v>
      </c>
      <c r="G59">
        <v>57820</v>
      </c>
    </row>
    <row r="60" spans="1:7" x14ac:dyDescent="0.25">
      <c r="A60" t="s">
        <v>434</v>
      </c>
      <c r="B60" t="s">
        <v>435</v>
      </c>
      <c r="C60" t="s">
        <v>1254</v>
      </c>
      <c r="D60" t="s">
        <v>1042</v>
      </c>
      <c r="E60">
        <v>1</v>
      </c>
      <c r="F60" t="b" cm="1">
        <f t="array" ref="F60">IFERROR(OR(_xlfn._xlws.FILTER(Table6[companyid FILTER],Table6[companyid]=Table1[[#This Row],[companyid]])),FALSE)</f>
        <v>0</v>
      </c>
      <c r="G60">
        <v>115311</v>
      </c>
    </row>
    <row r="61" spans="1:7" x14ac:dyDescent="0.25">
      <c r="A61" t="s">
        <v>507</v>
      </c>
      <c r="B61" t="s">
        <v>786</v>
      </c>
      <c r="C61" t="s">
        <v>1258</v>
      </c>
      <c r="D61" t="s">
        <v>784</v>
      </c>
      <c r="E61">
        <v>27</v>
      </c>
      <c r="F61" t="b" cm="1">
        <f t="array" ref="F61">IFERROR(OR(_xlfn._xlws.FILTER(Table6[companyid FILTER],Table6[companyid]=Table1[[#This Row],[companyid]])),FALSE)</f>
        <v>1</v>
      </c>
      <c r="G61">
        <v>57777</v>
      </c>
    </row>
    <row r="62" spans="1:7" x14ac:dyDescent="0.25">
      <c r="A62" t="s">
        <v>507</v>
      </c>
      <c r="B62" t="s">
        <v>785</v>
      </c>
      <c r="C62" t="s">
        <v>1258</v>
      </c>
      <c r="D62" t="s">
        <v>784</v>
      </c>
      <c r="E62">
        <v>9</v>
      </c>
      <c r="F62" t="b" cm="1">
        <f t="array" ref="F62">IFERROR(OR(_xlfn._xlws.FILTER(Table6[companyid FILTER],Table6[companyid]=Table1[[#This Row],[companyid]])),FALSE)</f>
        <v>1</v>
      </c>
      <c r="G62">
        <v>57777</v>
      </c>
    </row>
    <row r="63" spans="1:7" x14ac:dyDescent="0.25">
      <c r="A63" t="s">
        <v>557</v>
      </c>
      <c r="B63" t="s">
        <v>772</v>
      </c>
      <c r="C63" t="s">
        <v>1224</v>
      </c>
      <c r="E63">
        <v>13</v>
      </c>
      <c r="F63" t="b" cm="1">
        <f t="array" ref="F63">IFERROR(OR(_xlfn._xlws.FILTER(Table6[companyid FILTER],Table6[companyid]=Table1[[#This Row],[companyid]])),FALSE)</f>
        <v>1</v>
      </c>
      <c r="G63">
        <v>66118</v>
      </c>
    </row>
    <row r="64" spans="1:7" x14ac:dyDescent="0.25">
      <c r="A64" t="s">
        <v>526</v>
      </c>
      <c r="C64" t="s">
        <v>1233</v>
      </c>
      <c r="E64">
        <v>0</v>
      </c>
      <c r="F64" t="b" cm="1">
        <f t="array" ref="F64">IFERROR(OR(_xlfn._xlws.FILTER(Table6[companyid FILTER],Table6[companyid]=Table1[[#This Row],[companyid]])),FALSE)</f>
        <v>0</v>
      </c>
      <c r="G64">
        <v>57962</v>
      </c>
    </row>
    <row r="65" spans="1:7" x14ac:dyDescent="0.25">
      <c r="A65" t="s">
        <v>517</v>
      </c>
      <c r="B65" t="s">
        <v>707</v>
      </c>
      <c r="C65" t="s">
        <v>1259</v>
      </c>
      <c r="D65" t="s">
        <v>519</v>
      </c>
      <c r="E65">
        <v>313</v>
      </c>
      <c r="F65" t="b" cm="1">
        <f t="array" ref="F65">IFERROR(OR(_xlfn._xlws.FILTER(Table6[companyid FILTER],Table6[companyid]=Table1[[#This Row],[companyid]])),FALSE)</f>
        <v>1</v>
      </c>
      <c r="G65">
        <v>57961</v>
      </c>
    </row>
    <row r="66" spans="1:7" x14ac:dyDescent="0.25">
      <c r="A66" t="s">
        <v>517</v>
      </c>
      <c r="B66" t="s">
        <v>518</v>
      </c>
      <c r="C66" t="s">
        <v>1247</v>
      </c>
      <c r="D66" t="s">
        <v>519</v>
      </c>
      <c r="E66">
        <v>168</v>
      </c>
      <c r="F66" t="b" cm="1">
        <f t="array" ref="F66">IFERROR(OR(_xlfn._xlws.FILTER(Table6[companyid FILTER],Table6[companyid]=Table1[[#This Row],[companyid]])),FALSE)</f>
        <v>1</v>
      </c>
      <c r="G66">
        <v>57961</v>
      </c>
    </row>
    <row r="67" spans="1:7" x14ac:dyDescent="0.25">
      <c r="A67" t="s">
        <v>517</v>
      </c>
      <c r="B67" t="s">
        <v>771</v>
      </c>
      <c r="C67" t="s">
        <v>1252</v>
      </c>
      <c r="D67" t="s">
        <v>519</v>
      </c>
      <c r="E67">
        <v>56</v>
      </c>
      <c r="F67" t="b" cm="1">
        <f t="array" ref="F67">IFERROR(OR(_xlfn._xlws.FILTER(Table6[companyid FILTER],Table6[companyid]=Table1[[#This Row],[companyid]])),FALSE)</f>
        <v>1</v>
      </c>
      <c r="G67">
        <v>57961</v>
      </c>
    </row>
    <row r="68" spans="1:7" x14ac:dyDescent="0.25">
      <c r="A68" t="s">
        <v>523</v>
      </c>
      <c r="B68" t="s">
        <v>524</v>
      </c>
      <c r="C68" t="s">
        <v>1228</v>
      </c>
      <c r="D68" t="s">
        <v>525</v>
      </c>
      <c r="E68">
        <v>87</v>
      </c>
      <c r="F68" t="b" cm="1">
        <f t="array" ref="F68">IFERROR(OR(_xlfn._xlws.FILTER(Table6[companyid FILTER],Table6[companyid]=Table1[[#This Row],[companyid]])),FALSE)</f>
        <v>1</v>
      </c>
      <c r="G68">
        <v>57958</v>
      </c>
    </row>
    <row r="69" spans="1:7" x14ac:dyDescent="0.25">
      <c r="A69" t="s">
        <v>520</v>
      </c>
      <c r="B69" t="s">
        <v>521</v>
      </c>
      <c r="C69" t="s">
        <v>1260</v>
      </c>
      <c r="D69" t="s">
        <v>522</v>
      </c>
      <c r="E69">
        <v>44</v>
      </c>
      <c r="F69" t="b" cm="1">
        <f t="array" ref="F69">IFERROR(OR(_xlfn._xlws.FILTER(Table6[companyid FILTER],Table6[companyid]=Table1[[#This Row],[companyid]])),FALSE)</f>
        <v>1</v>
      </c>
      <c r="G69">
        <v>57952</v>
      </c>
    </row>
    <row r="70" spans="1:7" x14ac:dyDescent="0.25">
      <c r="A70" t="s">
        <v>520</v>
      </c>
      <c r="B70" t="s">
        <v>521</v>
      </c>
      <c r="C70" t="s">
        <v>1260</v>
      </c>
      <c r="E70">
        <v>19</v>
      </c>
      <c r="F70" t="b" cm="1">
        <f t="array" ref="F70">IFERROR(OR(_xlfn._xlws.FILTER(Table6[companyid FILTER],Table6[companyid]=Table1[[#This Row],[companyid]])),FALSE)</f>
        <v>1</v>
      </c>
      <c r="G70">
        <v>57952</v>
      </c>
    </row>
    <row r="71" spans="1:7" x14ac:dyDescent="0.25">
      <c r="A71" t="s">
        <v>511</v>
      </c>
      <c r="B71" t="s">
        <v>766</v>
      </c>
      <c r="C71" t="s">
        <v>1257</v>
      </c>
      <c r="D71" t="s">
        <v>765</v>
      </c>
      <c r="E71">
        <v>50</v>
      </c>
      <c r="F71" t="b" cm="1">
        <f t="array" ref="F71">IFERROR(OR(_xlfn._xlws.FILTER(Table6[companyid FILTER],Table6[companyid]=Table1[[#This Row],[companyid]])),FALSE)</f>
        <v>1</v>
      </c>
      <c r="G71">
        <v>57881</v>
      </c>
    </row>
    <row r="72" spans="1:7" x14ac:dyDescent="0.25">
      <c r="A72" t="s">
        <v>512</v>
      </c>
      <c r="B72" t="s">
        <v>513</v>
      </c>
      <c r="C72" t="s">
        <v>1232</v>
      </c>
      <c r="D72" t="s">
        <v>514</v>
      </c>
      <c r="E72">
        <v>35</v>
      </c>
      <c r="F72" t="b" cm="1">
        <f t="array" ref="F72">IFERROR(OR(_xlfn._xlws.FILTER(Table6[companyid FILTER],Table6[companyid]=Table1[[#This Row],[companyid]])),FALSE)</f>
        <v>1</v>
      </c>
      <c r="G72">
        <v>57912</v>
      </c>
    </row>
    <row r="73" spans="1:7" x14ac:dyDescent="0.25">
      <c r="A73" t="s">
        <v>516</v>
      </c>
      <c r="B73" t="s">
        <v>764</v>
      </c>
      <c r="C73" t="s">
        <v>1261</v>
      </c>
      <c r="D73" t="s">
        <v>763</v>
      </c>
      <c r="E73">
        <v>10</v>
      </c>
      <c r="F73" t="b" cm="1">
        <f t="array" ref="F73">IFERROR(OR(_xlfn._xlws.FILTER(Table6[companyid FILTER],Table6[companyid]=Table1[[#This Row],[companyid]])),FALSE)</f>
        <v>1</v>
      </c>
      <c r="G73">
        <v>57911</v>
      </c>
    </row>
    <row r="74" spans="1:7" x14ac:dyDescent="0.25">
      <c r="A74" t="s">
        <v>515</v>
      </c>
      <c r="B74" t="s">
        <v>759</v>
      </c>
      <c r="C74" t="s">
        <v>1231</v>
      </c>
      <c r="D74" t="s">
        <v>758</v>
      </c>
      <c r="E74">
        <v>349</v>
      </c>
      <c r="F74" t="b" cm="1">
        <f t="array" ref="F74">IFERROR(OR(_xlfn._xlws.FILTER(Table6[companyid FILTER],Table6[companyid]=Table1[[#This Row],[companyid]])),FALSE)</f>
        <v>1</v>
      </c>
      <c r="G74">
        <v>57901</v>
      </c>
    </row>
    <row r="75" spans="1:7" x14ac:dyDescent="0.25">
      <c r="A75" t="s">
        <v>479</v>
      </c>
      <c r="B75" t="s">
        <v>480</v>
      </c>
      <c r="C75" t="s">
        <v>1252</v>
      </c>
      <c r="D75" t="s">
        <v>481</v>
      </c>
      <c r="E75">
        <v>208</v>
      </c>
      <c r="F75" t="b" cm="1">
        <f t="array" ref="F75">IFERROR(OR(_xlfn._xlws.FILTER(Table6[companyid FILTER],Table6[companyid]=Table1[[#This Row],[companyid]])),FALSE)</f>
        <v>1</v>
      </c>
      <c r="G75">
        <v>57525</v>
      </c>
    </row>
    <row r="76" spans="1:7" x14ac:dyDescent="0.25">
      <c r="A76" t="s">
        <v>479</v>
      </c>
      <c r="B76" t="s">
        <v>679</v>
      </c>
      <c r="C76" t="s">
        <v>1252</v>
      </c>
      <c r="D76" t="s">
        <v>481</v>
      </c>
      <c r="E76">
        <v>208</v>
      </c>
      <c r="F76" t="b" cm="1">
        <f t="array" ref="F76">IFERROR(OR(_xlfn._xlws.FILTER(Table6[companyid FILTER],Table6[companyid]=Table1[[#This Row],[companyid]])),FALSE)</f>
        <v>1</v>
      </c>
      <c r="G76">
        <v>57525</v>
      </c>
    </row>
    <row r="77" spans="1:7" x14ac:dyDescent="0.25">
      <c r="A77" t="s">
        <v>479</v>
      </c>
      <c r="B77" t="s">
        <v>757</v>
      </c>
      <c r="C77" t="s">
        <v>1231</v>
      </c>
      <c r="D77" t="s">
        <v>756</v>
      </c>
      <c r="E77">
        <v>172</v>
      </c>
      <c r="F77" t="b" cm="1">
        <f t="array" ref="F77">IFERROR(OR(_xlfn._xlws.FILTER(Table6[companyid FILTER],Table6[companyid]=Table1[[#This Row],[companyid]])),FALSE)</f>
        <v>1</v>
      </c>
      <c r="G77">
        <v>57525</v>
      </c>
    </row>
    <row r="78" spans="1:7" x14ac:dyDescent="0.25">
      <c r="A78" t="s">
        <v>528</v>
      </c>
      <c r="B78" t="s">
        <v>529</v>
      </c>
      <c r="C78" t="s">
        <v>1262</v>
      </c>
      <c r="D78" t="s">
        <v>530</v>
      </c>
      <c r="E78">
        <v>1</v>
      </c>
      <c r="F78" t="b" cm="1">
        <f t="array" ref="F78">IFERROR(OR(_xlfn._xlws.FILTER(Table6[companyid FILTER],Table6[companyid]=Table1[[#This Row],[companyid]])),FALSE)</f>
        <v>0</v>
      </c>
      <c r="G78">
        <v>58041</v>
      </c>
    </row>
    <row r="79" spans="1:7" x14ac:dyDescent="0.25">
      <c r="A79" t="s">
        <v>527</v>
      </c>
      <c r="B79" t="s">
        <v>738</v>
      </c>
      <c r="C79" t="s">
        <v>1228</v>
      </c>
      <c r="D79" t="s">
        <v>737</v>
      </c>
      <c r="E79">
        <v>36</v>
      </c>
      <c r="F79" t="b" cm="1">
        <f t="array" ref="F79">IFERROR(OR(_xlfn._xlws.FILTER(Table6[companyid FILTER],Table6[companyid]=Table1[[#This Row],[companyid]])),FALSE)</f>
        <v>1</v>
      </c>
      <c r="G79">
        <v>57983</v>
      </c>
    </row>
    <row r="80" spans="1:7" x14ac:dyDescent="0.25">
      <c r="A80" t="s">
        <v>539</v>
      </c>
      <c r="C80" t="s">
        <v>1233</v>
      </c>
      <c r="E80">
        <v>0</v>
      </c>
      <c r="F80" t="b" cm="1">
        <f t="array" ref="F80">IFERROR(OR(_xlfn._xlws.FILTER(Table6[companyid FILTER],Table6[companyid]=Table1[[#This Row],[companyid]])),FALSE)</f>
        <v>0</v>
      </c>
      <c r="G80">
        <v>58162</v>
      </c>
    </row>
    <row r="81" spans="1:7" x14ac:dyDescent="0.25">
      <c r="A81" t="s">
        <v>535</v>
      </c>
      <c r="B81" t="s">
        <v>536</v>
      </c>
      <c r="C81" t="s">
        <v>1263</v>
      </c>
      <c r="D81" t="s">
        <v>537</v>
      </c>
      <c r="E81">
        <v>120</v>
      </c>
      <c r="F81" t="b" cm="1">
        <f t="array" ref="F81">IFERROR(OR(_xlfn._xlws.FILTER(Table6[companyid FILTER],Table6[companyid]=Table1[[#This Row],[companyid]])),FALSE)</f>
        <v>1</v>
      </c>
      <c r="G81">
        <v>58121</v>
      </c>
    </row>
    <row r="82" spans="1:7" x14ac:dyDescent="0.25">
      <c r="A82" t="s">
        <v>531</v>
      </c>
      <c r="B82" t="s">
        <v>704</v>
      </c>
      <c r="C82" t="s">
        <v>1264</v>
      </c>
      <c r="D82" t="s">
        <v>702</v>
      </c>
      <c r="E82">
        <v>116</v>
      </c>
      <c r="F82" t="b" cm="1">
        <f t="array" ref="F82">IFERROR(OR(_xlfn._xlws.FILTER(Table6[companyid FILTER],Table6[companyid]=Table1[[#This Row],[companyid]])),FALSE)</f>
        <v>1</v>
      </c>
      <c r="G82">
        <v>58078</v>
      </c>
    </row>
    <row r="83" spans="1:7" x14ac:dyDescent="0.25">
      <c r="A83" t="s">
        <v>531</v>
      </c>
      <c r="B83" t="s">
        <v>703</v>
      </c>
      <c r="C83" t="s">
        <v>1239</v>
      </c>
      <c r="D83" t="s">
        <v>702</v>
      </c>
      <c r="E83">
        <v>29</v>
      </c>
      <c r="F83" t="b" cm="1">
        <f t="array" ref="F83">IFERROR(OR(_xlfn._xlws.FILTER(Table6[companyid FILTER],Table6[companyid]=Table1[[#This Row],[companyid]])),FALSE)</f>
        <v>1</v>
      </c>
      <c r="G83">
        <v>58078</v>
      </c>
    </row>
    <row r="84" spans="1:7" x14ac:dyDescent="0.25">
      <c r="A84" t="s">
        <v>538</v>
      </c>
      <c r="B84" t="s">
        <v>701</v>
      </c>
      <c r="C84" t="s">
        <v>1265</v>
      </c>
      <c r="D84" t="s">
        <v>700</v>
      </c>
      <c r="E84">
        <v>1309</v>
      </c>
      <c r="F84" t="b" cm="1">
        <f t="array" ref="F84">IFERROR(OR(_xlfn._xlws.FILTER(Table6[companyid FILTER],Table6[companyid]=Table1[[#This Row],[companyid]])),FALSE)</f>
        <v>1</v>
      </c>
      <c r="G84">
        <v>58115</v>
      </c>
    </row>
    <row r="85" spans="1:7" x14ac:dyDescent="0.25">
      <c r="A85" t="s">
        <v>538</v>
      </c>
      <c r="B85" t="s">
        <v>699</v>
      </c>
      <c r="C85" t="s">
        <v>1266</v>
      </c>
      <c r="E85">
        <v>224</v>
      </c>
      <c r="F85" t="b" cm="1">
        <f t="array" ref="F85">IFERROR(OR(_xlfn._xlws.FILTER(Table6[companyid FILTER],Table6[companyid]=Table1[[#This Row],[companyid]])),FALSE)</f>
        <v>1</v>
      </c>
      <c r="G85">
        <v>58115</v>
      </c>
    </row>
    <row r="86" spans="1:7" x14ac:dyDescent="0.25">
      <c r="A86" t="s">
        <v>538</v>
      </c>
      <c r="B86" t="s">
        <v>698</v>
      </c>
      <c r="C86" t="s">
        <v>1267</v>
      </c>
      <c r="E86">
        <v>99</v>
      </c>
      <c r="F86" t="b" cm="1">
        <f t="array" ref="F86">IFERROR(OR(_xlfn._xlws.FILTER(Table6[companyid FILTER],Table6[companyid]=Table1[[#This Row],[companyid]])),FALSE)</f>
        <v>1</v>
      </c>
      <c r="G86">
        <v>58115</v>
      </c>
    </row>
    <row r="87" spans="1:7" x14ac:dyDescent="0.25">
      <c r="A87" t="s">
        <v>538</v>
      </c>
      <c r="B87" t="s">
        <v>697</v>
      </c>
      <c r="C87" t="s">
        <v>1265</v>
      </c>
      <c r="E87">
        <v>66</v>
      </c>
      <c r="F87" t="b" cm="1">
        <f t="array" ref="F87">IFERROR(OR(_xlfn._xlws.FILTER(Table6[companyid FILTER],Table6[companyid]=Table1[[#This Row],[companyid]])),FALSE)</f>
        <v>1</v>
      </c>
      <c r="G87">
        <v>58115</v>
      </c>
    </row>
    <row r="88" spans="1:7" x14ac:dyDescent="0.25">
      <c r="A88" t="s">
        <v>538</v>
      </c>
      <c r="B88" t="s">
        <v>696</v>
      </c>
      <c r="C88" t="s">
        <v>1268</v>
      </c>
      <c r="E88">
        <v>10</v>
      </c>
      <c r="F88" t="b" cm="1">
        <f t="array" ref="F88">IFERROR(OR(_xlfn._xlws.FILTER(Table6[companyid FILTER],Table6[companyid]=Table1[[#This Row],[companyid]])),FALSE)</f>
        <v>1</v>
      </c>
      <c r="G88">
        <v>58115</v>
      </c>
    </row>
    <row r="89" spans="1:7" x14ac:dyDescent="0.25">
      <c r="A89" t="s">
        <v>538</v>
      </c>
      <c r="B89" t="s">
        <v>695</v>
      </c>
      <c r="C89" t="s">
        <v>1231</v>
      </c>
      <c r="E89">
        <v>4</v>
      </c>
      <c r="F89" t="b" cm="1">
        <f t="array" ref="F89">IFERROR(OR(_xlfn._xlws.FILTER(Table6[companyid FILTER],Table6[companyid]=Table1[[#This Row],[companyid]])),FALSE)</f>
        <v>1</v>
      </c>
      <c r="G89">
        <v>58115</v>
      </c>
    </row>
    <row r="90" spans="1:7" x14ac:dyDescent="0.25">
      <c r="A90" t="s">
        <v>532</v>
      </c>
      <c r="B90" t="s">
        <v>533</v>
      </c>
      <c r="C90" t="s">
        <v>1269</v>
      </c>
      <c r="D90" t="s">
        <v>694</v>
      </c>
      <c r="E90">
        <v>64</v>
      </c>
      <c r="F90" t="b" cm="1">
        <f t="array" ref="F90">IFERROR(OR(_xlfn._xlws.FILTER(Table6[companyid FILTER],Table6[companyid]=Table1[[#This Row],[companyid]])),FALSE)</f>
        <v>1</v>
      </c>
      <c r="G90">
        <v>58107</v>
      </c>
    </row>
    <row r="91" spans="1:7" x14ac:dyDescent="0.25">
      <c r="A91" t="s">
        <v>532</v>
      </c>
      <c r="B91" t="s">
        <v>533</v>
      </c>
      <c r="C91" t="s">
        <v>1269</v>
      </c>
      <c r="D91" t="s">
        <v>534</v>
      </c>
      <c r="E91">
        <v>40</v>
      </c>
      <c r="F91" t="b" cm="1">
        <f t="array" ref="F91">IFERROR(OR(_xlfn._xlws.FILTER(Table6[companyid FILTER],Table6[companyid]=Table1[[#This Row],[companyid]])),FALSE)</f>
        <v>1</v>
      </c>
      <c r="G91">
        <v>58107</v>
      </c>
    </row>
    <row r="92" spans="1:7" x14ac:dyDescent="0.25">
      <c r="A92" t="s">
        <v>551</v>
      </c>
      <c r="B92" t="s">
        <v>693</v>
      </c>
      <c r="C92" t="s">
        <v>1270</v>
      </c>
      <c r="D92" t="s">
        <v>691</v>
      </c>
      <c r="E92">
        <v>24</v>
      </c>
      <c r="F92" t="b" cm="1">
        <f t="array" ref="F92">IFERROR(OR(_xlfn._xlws.FILTER(Table6[companyid FILTER],Table6[companyid]=Table1[[#This Row],[companyid]])),FALSE)</f>
        <v>1</v>
      </c>
      <c r="G92">
        <v>58242</v>
      </c>
    </row>
    <row r="93" spans="1:7" x14ac:dyDescent="0.25">
      <c r="A93" t="s">
        <v>551</v>
      </c>
      <c r="B93" t="s">
        <v>692</v>
      </c>
      <c r="C93" t="s">
        <v>1271</v>
      </c>
      <c r="D93" t="s">
        <v>691</v>
      </c>
      <c r="E93">
        <v>12</v>
      </c>
      <c r="F93" t="b" cm="1">
        <f t="array" ref="F93">IFERROR(OR(_xlfn._xlws.FILTER(Table6[companyid FILTER],Table6[companyid]=Table1[[#This Row],[companyid]])),FALSE)</f>
        <v>1</v>
      </c>
      <c r="G93">
        <v>58242</v>
      </c>
    </row>
    <row r="94" spans="1:7" x14ac:dyDescent="0.25">
      <c r="A94" t="s">
        <v>454</v>
      </c>
      <c r="B94" t="s">
        <v>455</v>
      </c>
      <c r="C94" t="s">
        <v>1272</v>
      </c>
      <c r="D94" t="s">
        <v>456</v>
      </c>
      <c r="E94">
        <v>75</v>
      </c>
      <c r="F94" t="b" cm="1">
        <f t="array" ref="F94">IFERROR(OR(_xlfn._xlws.FILTER(Table6[companyid FILTER],Table6[companyid]=Table1[[#This Row],[companyid]])),FALSE)</f>
        <v>1</v>
      </c>
      <c r="G94">
        <v>57305</v>
      </c>
    </row>
    <row r="95" spans="1:7" x14ac:dyDescent="0.25">
      <c r="A95" t="s">
        <v>552</v>
      </c>
      <c r="B95" t="s">
        <v>553</v>
      </c>
      <c r="C95" t="s">
        <v>1257</v>
      </c>
      <c r="D95" t="s">
        <v>554</v>
      </c>
      <c r="E95">
        <v>33</v>
      </c>
      <c r="F95" t="b" cm="1">
        <f t="array" ref="F95">IFERROR(OR(_xlfn._xlws.FILTER(Table6[companyid FILTER],Table6[companyid]=Table1[[#This Row],[companyid]])),FALSE)</f>
        <v>1</v>
      </c>
      <c r="G95">
        <v>58261</v>
      </c>
    </row>
    <row r="96" spans="1:7" x14ac:dyDescent="0.25">
      <c r="A96" t="s">
        <v>548</v>
      </c>
      <c r="B96" t="s">
        <v>549</v>
      </c>
      <c r="C96" t="s">
        <v>1273</v>
      </c>
      <c r="D96" t="s">
        <v>550</v>
      </c>
      <c r="E96">
        <v>117</v>
      </c>
      <c r="F96" t="b" cm="1">
        <f t="array" ref="F96">IFERROR(OR(_xlfn._xlws.FILTER(Table6[companyid FILTER],Table6[companyid]=Table1[[#This Row],[companyid]])),FALSE)</f>
        <v>1</v>
      </c>
      <c r="G96">
        <v>58221</v>
      </c>
    </row>
    <row r="97" spans="1:7" x14ac:dyDescent="0.25">
      <c r="A97" t="s">
        <v>540</v>
      </c>
      <c r="B97" t="s">
        <v>541</v>
      </c>
      <c r="C97" t="s">
        <v>1262</v>
      </c>
      <c r="D97" t="s">
        <v>542</v>
      </c>
      <c r="E97">
        <v>1</v>
      </c>
      <c r="F97" t="b" cm="1">
        <f t="array" ref="F97">IFERROR(OR(_xlfn._xlws.FILTER(Table6[companyid FILTER],Table6[companyid]=Table1[[#This Row],[companyid]])),FALSE)</f>
        <v>0</v>
      </c>
      <c r="G97">
        <v>58179</v>
      </c>
    </row>
    <row r="98" spans="1:7" x14ac:dyDescent="0.25">
      <c r="A98" t="s">
        <v>543</v>
      </c>
      <c r="B98" t="s">
        <v>544</v>
      </c>
      <c r="C98" t="s">
        <v>1232</v>
      </c>
      <c r="D98" t="s">
        <v>545</v>
      </c>
      <c r="E98">
        <v>64</v>
      </c>
      <c r="F98" t="b" cm="1">
        <f t="array" ref="F98">IFERROR(OR(_xlfn._xlws.FILTER(Table6[companyid FILTER],Table6[companyid]=Table1[[#This Row],[companyid]])),FALSE)</f>
        <v>1</v>
      </c>
      <c r="G98">
        <v>58215</v>
      </c>
    </row>
    <row r="99" spans="1:7" x14ac:dyDescent="0.25">
      <c r="A99" t="s">
        <v>547</v>
      </c>
      <c r="B99" t="s">
        <v>680</v>
      </c>
      <c r="C99" t="s">
        <v>1231</v>
      </c>
      <c r="D99" t="s">
        <v>678</v>
      </c>
      <c r="E99">
        <v>115</v>
      </c>
      <c r="F99" t="b" cm="1">
        <f t="array" ref="F99">IFERROR(OR(_xlfn._xlws.FILTER(Table6[companyid FILTER],Table6[companyid]=Table1[[#This Row],[companyid]])),FALSE)</f>
        <v>1</v>
      </c>
      <c r="G99">
        <v>58209</v>
      </c>
    </row>
    <row r="100" spans="1:7" x14ac:dyDescent="0.25">
      <c r="A100" t="s">
        <v>547</v>
      </c>
      <c r="B100" t="s">
        <v>679</v>
      </c>
      <c r="C100" t="s">
        <v>1274</v>
      </c>
      <c r="D100" t="s">
        <v>678</v>
      </c>
      <c r="E100">
        <v>55</v>
      </c>
      <c r="F100" t="b" cm="1">
        <f t="array" ref="F100">IFERROR(OR(_xlfn._xlws.FILTER(Table6[companyid FILTER],Table6[companyid]=Table1[[#This Row],[companyid]])),FALSE)</f>
        <v>1</v>
      </c>
      <c r="G100">
        <v>58209</v>
      </c>
    </row>
    <row r="101" spans="1:7" x14ac:dyDescent="0.25">
      <c r="A101" t="s">
        <v>546</v>
      </c>
      <c r="B101" t="s">
        <v>677</v>
      </c>
      <c r="C101" t="s">
        <v>1232</v>
      </c>
      <c r="D101" t="s">
        <v>676</v>
      </c>
      <c r="E101">
        <v>26</v>
      </c>
      <c r="F101" t="b" cm="1">
        <f t="array" ref="F101">IFERROR(OR(_xlfn._xlws.FILTER(Table6[companyid FILTER],Table6[companyid]=Table1[[#This Row],[companyid]])),FALSE)</f>
        <v>1</v>
      </c>
      <c r="G101">
        <v>58206</v>
      </c>
    </row>
    <row r="102" spans="1:7" x14ac:dyDescent="0.25">
      <c r="A102" t="s">
        <v>555</v>
      </c>
      <c r="C102" t="s">
        <v>1233</v>
      </c>
      <c r="E102">
        <v>0</v>
      </c>
      <c r="F102" t="b" cm="1">
        <f t="array" ref="F102">IFERROR(OR(_xlfn._xlws.FILTER(Table6[companyid FILTER],Table6[companyid]=Table1[[#This Row],[companyid]])),FALSE)</f>
        <v>0</v>
      </c>
      <c r="G102">
        <v>58285</v>
      </c>
    </row>
    <row r="103" spans="1:7" x14ac:dyDescent="0.25">
      <c r="A103" t="s">
        <v>1035</v>
      </c>
      <c r="B103" t="s">
        <v>1034</v>
      </c>
      <c r="C103" t="s">
        <v>1228</v>
      </c>
      <c r="D103" t="s">
        <v>1033</v>
      </c>
      <c r="E103">
        <v>39</v>
      </c>
      <c r="F103" t="b" cm="1">
        <f t="array" ref="F103">IFERROR(OR(_xlfn._xlws.FILTER(Table6[companyid FILTER],Table6[companyid]=Table1[[#This Row],[companyid]])),FALSE)</f>
        <v>1</v>
      </c>
      <c r="G103">
        <v>57072</v>
      </c>
    </row>
    <row r="104" spans="1:7" x14ac:dyDescent="0.25">
      <c r="A104" t="s">
        <v>1030</v>
      </c>
      <c r="B104" t="s">
        <v>1032</v>
      </c>
      <c r="C104" t="s">
        <v>1239</v>
      </c>
      <c r="D104" t="s">
        <v>1031</v>
      </c>
      <c r="E104">
        <v>37</v>
      </c>
      <c r="F104" t="b" cm="1">
        <f t="array" ref="F104">IFERROR(OR(_xlfn._xlws.FILTER(Table6[companyid FILTER],Table6[companyid]=Table1[[#This Row],[companyid]])),FALSE)</f>
        <v>1</v>
      </c>
      <c r="G104">
        <v>58225</v>
      </c>
    </row>
    <row r="105" spans="1:7" x14ac:dyDescent="0.25">
      <c r="A105" t="s">
        <v>1030</v>
      </c>
      <c r="B105" t="s">
        <v>1029</v>
      </c>
      <c r="C105" t="s">
        <v>1275</v>
      </c>
      <c r="E105">
        <v>15</v>
      </c>
      <c r="F105" t="b" cm="1">
        <f t="array" ref="F105">IFERROR(OR(_xlfn._xlws.FILTER(Table6[companyid FILTER],Table6[companyid]=Table1[[#This Row],[companyid]])),FALSE)</f>
        <v>1</v>
      </c>
      <c r="G105">
        <v>58225</v>
      </c>
    </row>
    <row r="106" spans="1:7" x14ac:dyDescent="0.25">
      <c r="A106" t="s">
        <v>1027</v>
      </c>
      <c r="B106" t="s">
        <v>1028</v>
      </c>
      <c r="C106" t="s">
        <v>1228</v>
      </c>
      <c r="E106">
        <v>35</v>
      </c>
      <c r="F106" t="b" cm="1">
        <f t="array" ref="F106">IFERROR(OR(_xlfn._xlws.FILTER(Table6[companyid FILTER],Table6[companyid]=Table1[[#This Row],[companyid]])),FALSE)</f>
        <v>1</v>
      </c>
      <c r="G106">
        <v>57137</v>
      </c>
    </row>
    <row r="107" spans="1:7" x14ac:dyDescent="0.25">
      <c r="A107" t="s">
        <v>1027</v>
      </c>
      <c r="B107" t="s">
        <v>1026</v>
      </c>
      <c r="C107" t="s">
        <v>1228</v>
      </c>
      <c r="D107" t="s">
        <v>1025</v>
      </c>
      <c r="E107">
        <v>6</v>
      </c>
      <c r="F107" t="b" cm="1">
        <f t="array" ref="F107">IFERROR(OR(_xlfn._xlws.FILTER(Table6[companyid FILTER],Table6[companyid]=Table1[[#This Row],[companyid]])),FALSE)</f>
        <v>1</v>
      </c>
      <c r="G107">
        <v>57137</v>
      </c>
    </row>
    <row r="108" spans="1:7" x14ac:dyDescent="0.25">
      <c r="A108" t="s">
        <v>1022</v>
      </c>
      <c r="B108" t="s">
        <v>1021</v>
      </c>
      <c r="C108" t="s">
        <v>1276</v>
      </c>
      <c r="D108" t="s">
        <v>1020</v>
      </c>
      <c r="E108">
        <v>3</v>
      </c>
      <c r="F108" t="b" cm="1">
        <f t="array" ref="F108">IFERROR(OR(_xlfn._xlws.FILTER(Table6[companyid FILTER],Table6[companyid]=Table1[[#This Row],[companyid]])),FALSE)</f>
        <v>1</v>
      </c>
      <c r="G108">
        <v>57124</v>
      </c>
    </row>
    <row r="109" spans="1:7" x14ac:dyDescent="0.25">
      <c r="A109" t="s">
        <v>1019</v>
      </c>
      <c r="B109" t="s">
        <v>1018</v>
      </c>
      <c r="C109" t="s">
        <v>1228</v>
      </c>
      <c r="E109">
        <v>75</v>
      </c>
      <c r="F109" t="b" cm="1">
        <f t="array" ref="F109">IFERROR(OR(_xlfn._xlws.FILTER(Table6[companyid FILTER],Table6[companyid]=Table1[[#This Row],[companyid]])),FALSE)</f>
        <v>1</v>
      </c>
      <c r="G109">
        <v>57146</v>
      </c>
    </row>
    <row r="110" spans="1:7" x14ac:dyDescent="0.25">
      <c r="A110" t="s">
        <v>1017</v>
      </c>
      <c r="B110" t="s">
        <v>1016</v>
      </c>
      <c r="C110" t="s">
        <v>1253</v>
      </c>
      <c r="D110" t="s">
        <v>1015</v>
      </c>
      <c r="E110">
        <v>18</v>
      </c>
      <c r="F110" t="b" cm="1">
        <f t="array" ref="F110">IFERROR(OR(_xlfn._xlws.FILTER(Table6[companyid FILTER],Table6[companyid]=Table1[[#This Row],[companyid]])),FALSE)</f>
        <v>1</v>
      </c>
      <c r="G110">
        <v>57162</v>
      </c>
    </row>
    <row r="111" spans="1:7" x14ac:dyDescent="0.25">
      <c r="A111" t="s">
        <v>1011</v>
      </c>
      <c r="B111" t="s">
        <v>1010</v>
      </c>
      <c r="C111" t="s">
        <v>1228</v>
      </c>
      <c r="D111" t="s">
        <v>1009</v>
      </c>
      <c r="E111">
        <v>3</v>
      </c>
      <c r="F111" t="b" cm="1">
        <f t="array" ref="F111">IFERROR(OR(_xlfn._xlws.FILTER(Table6[companyid FILTER],Table6[companyid]=Table1[[#This Row],[companyid]])),FALSE)</f>
        <v>1</v>
      </c>
      <c r="G111">
        <v>57093</v>
      </c>
    </row>
    <row r="112" spans="1:7" x14ac:dyDescent="0.25">
      <c r="A112" t="s">
        <v>1006</v>
      </c>
      <c r="B112" t="s">
        <v>1008</v>
      </c>
      <c r="C112" t="s">
        <v>1253</v>
      </c>
      <c r="D112" t="s">
        <v>1007</v>
      </c>
      <c r="E112">
        <v>88</v>
      </c>
      <c r="F112" t="b" cm="1">
        <f t="array" ref="F112">IFERROR(OR(_xlfn._xlws.FILTER(Table6[companyid FILTER],Table6[companyid]=Table1[[#This Row],[companyid]])),FALSE)</f>
        <v>1</v>
      </c>
      <c r="G112">
        <v>57076</v>
      </c>
    </row>
    <row r="113" spans="1:7" x14ac:dyDescent="0.25">
      <c r="A113" t="s">
        <v>1006</v>
      </c>
      <c r="B113" t="s">
        <v>1005</v>
      </c>
      <c r="C113" t="s">
        <v>1277</v>
      </c>
      <c r="E113">
        <v>44</v>
      </c>
      <c r="F113" t="b" cm="1">
        <f t="array" ref="F113">IFERROR(OR(_xlfn._xlws.FILTER(Table6[companyid FILTER],Table6[companyid]=Table1[[#This Row],[companyid]])),FALSE)</f>
        <v>1</v>
      </c>
      <c r="G113">
        <v>57076</v>
      </c>
    </row>
    <row r="114" spans="1:7" x14ac:dyDescent="0.25">
      <c r="A114" t="s">
        <v>1004</v>
      </c>
      <c r="B114" t="s">
        <v>1003</v>
      </c>
      <c r="C114" t="s">
        <v>1278</v>
      </c>
      <c r="D114" t="s">
        <v>1002</v>
      </c>
      <c r="E114">
        <v>12</v>
      </c>
      <c r="F114" t="b" cm="1">
        <f t="array" ref="F114">IFERROR(OR(_xlfn._xlws.FILTER(Table6[companyid FILTER],Table6[companyid]=Table1[[#This Row],[companyid]])),FALSE)</f>
        <v>1</v>
      </c>
      <c r="G114">
        <v>57075</v>
      </c>
    </row>
    <row r="115" spans="1:7" x14ac:dyDescent="0.25">
      <c r="A115" t="s">
        <v>1001</v>
      </c>
      <c r="B115" t="s">
        <v>1000</v>
      </c>
      <c r="C115" t="s">
        <v>1279</v>
      </c>
      <c r="D115" t="s">
        <v>999</v>
      </c>
      <c r="E115">
        <v>32</v>
      </c>
      <c r="F115" t="b" cm="1">
        <f t="array" ref="F115">IFERROR(OR(_xlfn._xlws.FILTER(Table6[companyid FILTER],Table6[companyid]=Table1[[#This Row],[companyid]])),FALSE)</f>
        <v>1</v>
      </c>
      <c r="G115">
        <v>57096</v>
      </c>
    </row>
    <row r="116" spans="1:7" x14ac:dyDescent="0.25">
      <c r="A116" t="s">
        <v>998</v>
      </c>
      <c r="B116" t="s">
        <v>997</v>
      </c>
      <c r="C116" t="s">
        <v>1280</v>
      </c>
      <c r="D116" t="s">
        <v>996</v>
      </c>
      <c r="E116">
        <v>27</v>
      </c>
      <c r="F116" t="b" cm="1">
        <f t="array" ref="F116">IFERROR(OR(_xlfn._xlws.FILTER(Table6[companyid FILTER],Table6[companyid]=Table1[[#This Row],[companyid]])),FALSE)</f>
        <v>1</v>
      </c>
      <c r="G116">
        <v>57119</v>
      </c>
    </row>
    <row r="117" spans="1:7" x14ac:dyDescent="0.25">
      <c r="A117" t="s">
        <v>998</v>
      </c>
      <c r="B117" t="s">
        <v>997</v>
      </c>
      <c r="C117" t="s">
        <v>1281</v>
      </c>
      <c r="D117" t="s">
        <v>996</v>
      </c>
      <c r="E117">
        <v>9</v>
      </c>
      <c r="F117" t="b" cm="1">
        <f t="array" ref="F117">IFERROR(OR(_xlfn._xlws.FILTER(Table6[companyid FILTER],Table6[companyid]=Table1[[#This Row],[companyid]])),FALSE)</f>
        <v>1</v>
      </c>
      <c r="G117">
        <v>57119</v>
      </c>
    </row>
    <row r="118" spans="1:7" x14ac:dyDescent="0.25">
      <c r="A118" t="s">
        <v>995</v>
      </c>
      <c r="B118" t="s">
        <v>994</v>
      </c>
      <c r="C118" t="s">
        <v>1231</v>
      </c>
      <c r="D118" t="s">
        <v>993</v>
      </c>
      <c r="E118">
        <v>27</v>
      </c>
      <c r="F118" t="b" cm="1">
        <f t="array" ref="F118">IFERROR(OR(_xlfn._xlws.FILTER(Table6[companyid FILTER],Table6[companyid]=Table1[[#This Row],[companyid]])),FALSE)</f>
        <v>1</v>
      </c>
      <c r="G118">
        <v>57097</v>
      </c>
    </row>
    <row r="119" spans="1:7" x14ac:dyDescent="0.25">
      <c r="A119" t="s">
        <v>992</v>
      </c>
      <c r="B119" t="s">
        <v>437</v>
      </c>
      <c r="C119" t="s">
        <v>1226</v>
      </c>
      <c r="D119" t="s">
        <v>438</v>
      </c>
      <c r="E119">
        <v>33</v>
      </c>
      <c r="F119" t="b" cm="1">
        <f t="array" ref="F119">IFERROR(OR(_xlfn._xlws.FILTER(Table6[companyid FILTER],Table6[companyid]=Table1[[#This Row],[companyid]])),FALSE)</f>
        <v>1</v>
      </c>
      <c r="G119">
        <v>57114</v>
      </c>
    </row>
    <row r="120" spans="1:7" x14ac:dyDescent="0.25">
      <c r="A120" t="s">
        <v>992</v>
      </c>
      <c r="B120" t="s">
        <v>991</v>
      </c>
      <c r="C120" t="s">
        <v>1282</v>
      </c>
      <c r="D120" t="s">
        <v>990</v>
      </c>
      <c r="E120">
        <v>22</v>
      </c>
      <c r="F120" t="b" cm="1">
        <f t="array" ref="F120">IFERROR(OR(_xlfn._xlws.FILTER(Table6[companyid FILTER],Table6[companyid]=Table1[[#This Row],[companyid]])),FALSE)</f>
        <v>1</v>
      </c>
      <c r="G120">
        <v>57114</v>
      </c>
    </row>
    <row r="121" spans="1:7" x14ac:dyDescent="0.25">
      <c r="A121" t="s">
        <v>987</v>
      </c>
      <c r="B121" t="s">
        <v>986</v>
      </c>
      <c r="C121" t="s">
        <v>1231</v>
      </c>
      <c r="D121" t="s">
        <v>985</v>
      </c>
      <c r="E121">
        <v>3</v>
      </c>
      <c r="F121" t="b" cm="1">
        <f t="array" ref="F121">IFERROR(OR(_xlfn._xlws.FILTER(Table6[companyid FILTER],Table6[companyid]=Table1[[#This Row],[companyid]])),FALSE)</f>
        <v>0</v>
      </c>
      <c r="G121">
        <v>57239</v>
      </c>
    </row>
    <row r="122" spans="1:7" x14ac:dyDescent="0.25">
      <c r="A122" t="s">
        <v>982</v>
      </c>
      <c r="B122" t="s">
        <v>981</v>
      </c>
      <c r="C122" t="s">
        <v>1283</v>
      </c>
      <c r="D122" t="s">
        <v>975</v>
      </c>
      <c r="E122">
        <v>4</v>
      </c>
      <c r="F122" t="b" cm="1">
        <f t="array" ref="F122">IFERROR(OR(_xlfn._xlws.FILTER(Table6[companyid FILTER],Table6[companyid]=Table1[[#This Row],[companyid]])),FALSE)</f>
        <v>1</v>
      </c>
      <c r="G122">
        <v>57222</v>
      </c>
    </row>
    <row r="123" spans="1:7" x14ac:dyDescent="0.25">
      <c r="A123" t="s">
        <v>982</v>
      </c>
      <c r="B123" t="s">
        <v>981</v>
      </c>
      <c r="C123" t="s">
        <v>1283</v>
      </c>
      <c r="D123" t="s">
        <v>980</v>
      </c>
      <c r="E123">
        <v>1</v>
      </c>
      <c r="F123" t="b" cm="1">
        <f t="array" ref="F123">IFERROR(OR(_xlfn._xlws.FILTER(Table6[companyid FILTER],Table6[companyid]=Table1[[#This Row],[companyid]])),FALSE)</f>
        <v>1</v>
      </c>
      <c r="G123">
        <v>57222</v>
      </c>
    </row>
    <row r="124" spans="1:7" x14ac:dyDescent="0.25">
      <c r="A124" t="s">
        <v>977</v>
      </c>
      <c r="B124" t="s">
        <v>976</v>
      </c>
      <c r="C124" t="s">
        <v>1284</v>
      </c>
      <c r="D124" t="s">
        <v>978</v>
      </c>
      <c r="E124">
        <v>52</v>
      </c>
      <c r="F124" t="b" cm="1">
        <f t="array" ref="F124">IFERROR(OR(_xlfn._xlws.FILTER(Table6[companyid FILTER],Table6[companyid]=Table1[[#This Row],[companyid]])),FALSE)</f>
        <v>1</v>
      </c>
      <c r="G124">
        <v>57250</v>
      </c>
    </row>
    <row r="125" spans="1:7" x14ac:dyDescent="0.25">
      <c r="A125" t="s">
        <v>977</v>
      </c>
      <c r="B125" t="s">
        <v>976</v>
      </c>
      <c r="C125" t="s">
        <v>1284</v>
      </c>
      <c r="D125" t="s">
        <v>975</v>
      </c>
      <c r="E125">
        <v>31</v>
      </c>
      <c r="F125" t="b" cm="1">
        <f t="array" ref="F125">IFERROR(OR(_xlfn._xlws.FILTER(Table6[companyid FILTER],Table6[companyid]=Table1[[#This Row],[companyid]])),FALSE)</f>
        <v>1</v>
      </c>
      <c r="G125">
        <v>57250</v>
      </c>
    </row>
    <row r="126" spans="1:7" x14ac:dyDescent="0.25">
      <c r="A126" t="s">
        <v>974</v>
      </c>
      <c r="B126" t="s">
        <v>973</v>
      </c>
      <c r="C126" t="s">
        <v>1224</v>
      </c>
      <c r="D126" t="s">
        <v>972</v>
      </c>
      <c r="E126">
        <v>3</v>
      </c>
      <c r="F126" t="b" cm="1">
        <f t="array" ref="F126">IFERROR(OR(_xlfn._xlws.FILTER(Table6[companyid FILTER],Table6[companyid]=Table1[[#This Row],[companyid]])),FALSE)</f>
        <v>0</v>
      </c>
      <c r="G126">
        <v>57185</v>
      </c>
    </row>
    <row r="127" spans="1:7" x14ac:dyDescent="0.25">
      <c r="A127" t="s">
        <v>971</v>
      </c>
      <c r="B127" t="s">
        <v>970</v>
      </c>
      <c r="C127" t="s">
        <v>1257</v>
      </c>
      <c r="D127" t="s">
        <v>969</v>
      </c>
      <c r="E127">
        <v>6</v>
      </c>
      <c r="F127" t="b" cm="1">
        <f t="array" ref="F127">IFERROR(OR(_xlfn._xlws.FILTER(Table6[companyid FILTER],Table6[companyid]=Table1[[#This Row],[companyid]])),FALSE)</f>
        <v>1</v>
      </c>
      <c r="G127">
        <v>57182</v>
      </c>
    </row>
    <row r="128" spans="1:7" x14ac:dyDescent="0.25">
      <c r="A128" t="s">
        <v>966</v>
      </c>
      <c r="B128" t="s">
        <v>965</v>
      </c>
      <c r="C128" t="s">
        <v>1285</v>
      </c>
      <c r="D128" t="s">
        <v>964</v>
      </c>
      <c r="E128">
        <v>35</v>
      </c>
      <c r="F128" t="b" cm="1">
        <f t="array" ref="F128">IFERROR(OR(_xlfn._xlws.FILTER(Table6[companyid FILTER],Table6[companyid]=Table1[[#This Row],[companyid]])),FALSE)</f>
        <v>1</v>
      </c>
      <c r="G128">
        <v>57177</v>
      </c>
    </row>
    <row r="129" spans="1:7" x14ac:dyDescent="0.25">
      <c r="A129" t="s">
        <v>963</v>
      </c>
      <c r="B129" t="s">
        <v>962</v>
      </c>
      <c r="C129" t="s">
        <v>1228</v>
      </c>
      <c r="D129" t="s">
        <v>961</v>
      </c>
      <c r="E129">
        <v>85</v>
      </c>
      <c r="F129" t="b" cm="1">
        <f t="array" ref="F129">IFERROR(OR(_xlfn._xlws.FILTER(Table6[companyid FILTER],Table6[companyid]=Table1[[#This Row],[companyid]])),FALSE)</f>
        <v>1</v>
      </c>
      <c r="G129">
        <v>57206</v>
      </c>
    </row>
    <row r="130" spans="1:7" x14ac:dyDescent="0.25">
      <c r="A130" t="s">
        <v>960</v>
      </c>
      <c r="B130" t="s">
        <v>959</v>
      </c>
      <c r="C130" t="s">
        <v>1252</v>
      </c>
      <c r="D130" t="s">
        <v>958</v>
      </c>
      <c r="E130">
        <v>23</v>
      </c>
      <c r="F130" t="b" cm="1">
        <f t="array" ref="F130">IFERROR(OR(_xlfn._xlws.FILTER(Table6[companyid FILTER],Table6[companyid]=Table1[[#This Row],[companyid]])),FALSE)</f>
        <v>1</v>
      </c>
      <c r="G130">
        <v>57198</v>
      </c>
    </row>
    <row r="131" spans="1:7" x14ac:dyDescent="0.25">
      <c r="A131" t="s">
        <v>957</v>
      </c>
      <c r="B131" t="s">
        <v>956</v>
      </c>
      <c r="C131" t="s">
        <v>1253</v>
      </c>
      <c r="D131" t="s">
        <v>955</v>
      </c>
      <c r="E131">
        <v>19</v>
      </c>
      <c r="F131" t="b" cm="1">
        <f t="array" ref="F131">IFERROR(OR(_xlfn._xlws.FILTER(Table6[companyid FILTER],Table6[companyid]=Table1[[#This Row],[companyid]])),FALSE)</f>
        <v>1</v>
      </c>
      <c r="G131">
        <v>57341</v>
      </c>
    </row>
    <row r="132" spans="1:7" x14ac:dyDescent="0.25">
      <c r="A132" t="s">
        <v>951</v>
      </c>
      <c r="B132" t="s">
        <v>952</v>
      </c>
      <c r="C132" t="s">
        <v>1267</v>
      </c>
      <c r="D132" t="s">
        <v>949</v>
      </c>
      <c r="E132">
        <v>35</v>
      </c>
      <c r="F132" t="b" cm="1">
        <f t="array" ref="F132">IFERROR(OR(_xlfn._xlws.FILTER(Table6[companyid FILTER],Table6[companyid]=Table1[[#This Row],[companyid]])),FALSE)</f>
        <v>1</v>
      </c>
      <c r="G132">
        <v>57330</v>
      </c>
    </row>
    <row r="133" spans="1:7" x14ac:dyDescent="0.25">
      <c r="A133" t="s">
        <v>951</v>
      </c>
      <c r="B133" t="s">
        <v>950</v>
      </c>
      <c r="C133" t="s">
        <v>1231</v>
      </c>
      <c r="D133" t="s">
        <v>949</v>
      </c>
      <c r="E133">
        <v>20</v>
      </c>
      <c r="F133" t="b" cm="1">
        <f t="array" ref="F133">IFERROR(OR(_xlfn._xlws.FILTER(Table6[companyid FILTER],Table6[companyid]=Table1[[#This Row],[companyid]])),FALSE)</f>
        <v>1</v>
      </c>
      <c r="G133">
        <v>57330</v>
      </c>
    </row>
    <row r="134" spans="1:7" x14ac:dyDescent="0.25">
      <c r="A134" t="s">
        <v>947</v>
      </c>
      <c r="B134" t="s">
        <v>948</v>
      </c>
      <c r="C134" t="s">
        <v>1286</v>
      </c>
      <c r="D134" t="s">
        <v>945</v>
      </c>
      <c r="E134">
        <v>19</v>
      </c>
      <c r="F134" t="b" cm="1">
        <f t="array" ref="F134">IFERROR(OR(_xlfn._xlws.FILTER(Table6[companyid FILTER],Table6[companyid]=Table1[[#This Row],[companyid]])),FALSE)</f>
        <v>1</v>
      </c>
      <c r="G134">
        <v>57327</v>
      </c>
    </row>
    <row r="135" spans="1:7" x14ac:dyDescent="0.25">
      <c r="A135" t="s">
        <v>947</v>
      </c>
      <c r="B135" t="s">
        <v>946</v>
      </c>
      <c r="C135" t="s">
        <v>1286</v>
      </c>
      <c r="D135" t="s">
        <v>945</v>
      </c>
      <c r="E135">
        <v>10</v>
      </c>
      <c r="F135" t="b" cm="1">
        <f t="array" ref="F135">IFERROR(OR(_xlfn._xlws.FILTER(Table6[companyid FILTER],Table6[companyid]=Table1[[#This Row],[companyid]])),FALSE)</f>
        <v>1</v>
      </c>
      <c r="G135">
        <v>57327</v>
      </c>
    </row>
    <row r="136" spans="1:7" x14ac:dyDescent="0.25">
      <c r="A136" t="s">
        <v>943</v>
      </c>
      <c r="B136" t="s">
        <v>944</v>
      </c>
      <c r="C136" t="s">
        <v>1287</v>
      </c>
      <c r="D136" t="s">
        <v>941</v>
      </c>
      <c r="E136">
        <v>8</v>
      </c>
      <c r="F136" t="b" cm="1">
        <f t="array" ref="F136">IFERROR(OR(_xlfn._xlws.FILTER(Table6[companyid FILTER],Table6[companyid]=Table1[[#This Row],[companyid]])),FALSE)</f>
        <v>1</v>
      </c>
      <c r="G136">
        <v>57344</v>
      </c>
    </row>
    <row r="137" spans="1:7" x14ac:dyDescent="0.25">
      <c r="A137" t="s">
        <v>943</v>
      </c>
      <c r="B137" t="s">
        <v>942</v>
      </c>
      <c r="C137" t="s">
        <v>1287</v>
      </c>
      <c r="D137" t="s">
        <v>941</v>
      </c>
      <c r="E137">
        <v>2</v>
      </c>
      <c r="F137" t="b" cm="1">
        <f t="array" ref="F137">IFERROR(OR(_xlfn._xlws.FILTER(Table6[companyid FILTER],Table6[companyid]=Table1[[#This Row],[companyid]])),FALSE)</f>
        <v>1</v>
      </c>
      <c r="G137">
        <v>57344</v>
      </c>
    </row>
    <row r="138" spans="1:7" x14ac:dyDescent="0.25">
      <c r="A138" t="s">
        <v>939</v>
      </c>
      <c r="B138" t="s">
        <v>940</v>
      </c>
      <c r="C138" t="s">
        <v>1288</v>
      </c>
      <c r="D138" t="s">
        <v>937</v>
      </c>
      <c r="E138">
        <v>241</v>
      </c>
      <c r="F138" t="b" cm="1">
        <f t="array" ref="F138">IFERROR(OR(_xlfn._xlws.FILTER(Table6[companyid FILTER],Table6[companyid]=Table1[[#This Row],[companyid]])),FALSE)</f>
        <v>1</v>
      </c>
      <c r="G138">
        <v>57290</v>
      </c>
    </row>
    <row r="139" spans="1:7" x14ac:dyDescent="0.25">
      <c r="A139" t="s">
        <v>939</v>
      </c>
      <c r="B139" t="s">
        <v>938</v>
      </c>
      <c r="C139" t="s">
        <v>1288</v>
      </c>
      <c r="D139" t="s">
        <v>937</v>
      </c>
      <c r="E139">
        <v>155</v>
      </c>
      <c r="F139" t="b" cm="1">
        <f t="array" ref="F139">IFERROR(OR(_xlfn._xlws.FILTER(Table6[companyid FILTER],Table6[companyid]=Table1[[#This Row],[companyid]])),FALSE)</f>
        <v>1</v>
      </c>
      <c r="G139">
        <v>57290</v>
      </c>
    </row>
    <row r="140" spans="1:7" x14ac:dyDescent="0.25">
      <c r="A140" t="s">
        <v>936</v>
      </c>
      <c r="B140" t="s">
        <v>935</v>
      </c>
      <c r="C140" t="s">
        <v>1232</v>
      </c>
      <c r="D140" t="s">
        <v>934</v>
      </c>
      <c r="E140">
        <v>19</v>
      </c>
      <c r="F140" t="b" cm="1">
        <f t="array" ref="F140">IFERROR(OR(_xlfn._xlws.FILTER(Table6[companyid FILTER],Table6[companyid]=Table1[[#This Row],[companyid]])),FALSE)</f>
        <v>1</v>
      </c>
      <c r="G140">
        <v>57286</v>
      </c>
    </row>
    <row r="141" spans="1:7" x14ac:dyDescent="0.25">
      <c r="A141" t="s">
        <v>933</v>
      </c>
      <c r="B141" t="s">
        <v>932</v>
      </c>
      <c r="C141" t="s">
        <v>1289</v>
      </c>
      <c r="D141" t="s">
        <v>1220</v>
      </c>
      <c r="E141">
        <v>114</v>
      </c>
      <c r="F141" t="b" cm="1">
        <f t="array" ref="F141">IFERROR(OR(_xlfn._xlws.FILTER(Table6[companyid FILTER],Table6[companyid]=Table1[[#This Row],[companyid]])),FALSE)</f>
        <v>1</v>
      </c>
      <c r="G141">
        <v>63705</v>
      </c>
    </row>
    <row r="142" spans="1:7" x14ac:dyDescent="0.25">
      <c r="A142" t="s">
        <v>929</v>
      </c>
      <c r="B142" t="s">
        <v>931</v>
      </c>
      <c r="C142" t="s">
        <v>1265</v>
      </c>
      <c r="D142" t="s">
        <v>930</v>
      </c>
      <c r="E142">
        <v>48</v>
      </c>
      <c r="F142" t="b" cm="1">
        <f t="array" ref="F142">IFERROR(OR(_xlfn._xlws.FILTER(Table6[companyid FILTER],Table6[companyid]=Table1[[#This Row],[companyid]])),FALSE)</f>
        <v>1</v>
      </c>
      <c r="G142">
        <v>57273</v>
      </c>
    </row>
    <row r="143" spans="1:7" x14ac:dyDescent="0.25">
      <c r="A143" t="s">
        <v>929</v>
      </c>
      <c r="B143" t="s">
        <v>928</v>
      </c>
      <c r="C143" t="s">
        <v>1290</v>
      </c>
      <c r="D143" t="s">
        <v>930</v>
      </c>
      <c r="E143">
        <v>42</v>
      </c>
      <c r="F143" t="b" cm="1">
        <f t="array" ref="F143">IFERROR(OR(_xlfn._xlws.FILTER(Table6[companyid FILTER],Table6[companyid]=Table1[[#This Row],[companyid]])),FALSE)</f>
        <v>1</v>
      </c>
      <c r="G143">
        <v>57273</v>
      </c>
    </row>
    <row r="144" spans="1:7" x14ac:dyDescent="0.25">
      <c r="A144" t="s">
        <v>929</v>
      </c>
      <c r="B144" t="s">
        <v>928</v>
      </c>
      <c r="C144" t="s">
        <v>1290</v>
      </c>
      <c r="D144" t="s">
        <v>927</v>
      </c>
      <c r="E144">
        <v>36</v>
      </c>
      <c r="F144" t="b" cm="1">
        <f t="array" ref="F144">IFERROR(OR(_xlfn._xlws.FILTER(Table6[companyid FILTER],Table6[companyid]=Table1[[#This Row],[companyid]])),FALSE)</f>
        <v>1</v>
      </c>
      <c r="G144">
        <v>57273</v>
      </c>
    </row>
    <row r="145" spans="1:7" x14ac:dyDescent="0.25">
      <c r="A145" t="s">
        <v>926</v>
      </c>
      <c r="B145" t="s">
        <v>925</v>
      </c>
      <c r="C145" t="s">
        <v>1291</v>
      </c>
      <c r="D145" t="s">
        <v>924</v>
      </c>
      <c r="E145">
        <v>132</v>
      </c>
      <c r="F145" t="b" cm="1">
        <f t="array" ref="F145">IFERROR(OR(_xlfn._xlws.FILTER(Table6[companyid FILTER],Table6[companyid]=Table1[[#This Row],[companyid]])),FALSE)</f>
        <v>1</v>
      </c>
      <c r="G145">
        <v>57319</v>
      </c>
    </row>
    <row r="146" spans="1:7" x14ac:dyDescent="0.25">
      <c r="A146" t="s">
        <v>923</v>
      </c>
      <c r="B146" t="s">
        <v>922</v>
      </c>
      <c r="C146" t="s">
        <v>1228</v>
      </c>
      <c r="D146" t="s">
        <v>921</v>
      </c>
      <c r="E146">
        <v>23</v>
      </c>
      <c r="F146" t="b" cm="1">
        <f t="array" ref="F146">IFERROR(OR(_xlfn._xlws.FILTER(Table6[companyid FILTER],Table6[companyid]=Table1[[#This Row],[companyid]])),FALSE)</f>
        <v>1</v>
      </c>
      <c r="G146">
        <v>57310</v>
      </c>
    </row>
    <row r="147" spans="1:7" x14ac:dyDescent="0.25">
      <c r="A147" t="s">
        <v>920</v>
      </c>
      <c r="B147" t="s">
        <v>919</v>
      </c>
      <c r="C147" t="s">
        <v>1235</v>
      </c>
      <c r="D147" t="s">
        <v>450</v>
      </c>
      <c r="E147">
        <v>55</v>
      </c>
      <c r="F147" t="b" cm="1">
        <f t="array" ref="F147">IFERROR(OR(_xlfn._xlws.FILTER(Table6[companyid FILTER],Table6[companyid]=Table1[[#This Row],[companyid]])),FALSE)</f>
        <v>1</v>
      </c>
      <c r="G147">
        <v>57358</v>
      </c>
    </row>
    <row r="148" spans="1:7" x14ac:dyDescent="0.25">
      <c r="A148" t="s">
        <v>920</v>
      </c>
      <c r="B148" t="s">
        <v>919</v>
      </c>
      <c r="C148" t="s">
        <v>1235</v>
      </c>
      <c r="D148" t="s">
        <v>918</v>
      </c>
      <c r="E148">
        <v>23</v>
      </c>
      <c r="F148" t="b" cm="1">
        <f t="array" ref="F148">IFERROR(OR(_xlfn._xlws.FILTER(Table6[companyid FILTER],Table6[companyid]=Table1[[#This Row],[companyid]])),FALSE)</f>
        <v>1</v>
      </c>
      <c r="G148">
        <v>57358</v>
      </c>
    </row>
    <row r="149" spans="1:7" x14ac:dyDescent="0.25">
      <c r="A149" t="s">
        <v>914</v>
      </c>
      <c r="B149" t="s">
        <v>913</v>
      </c>
      <c r="C149" t="s">
        <v>1231</v>
      </c>
      <c r="D149" t="s">
        <v>912</v>
      </c>
      <c r="E149">
        <v>28</v>
      </c>
      <c r="F149" t="b" cm="1">
        <f t="array" ref="F149">IFERROR(OR(_xlfn._xlws.FILTER(Table6[companyid FILTER],Table6[companyid]=Table1[[#This Row],[companyid]])),FALSE)</f>
        <v>1</v>
      </c>
      <c r="G149">
        <v>57433</v>
      </c>
    </row>
    <row r="150" spans="1:7" x14ac:dyDescent="0.25">
      <c r="A150" t="s">
        <v>911</v>
      </c>
      <c r="B150" t="s">
        <v>910</v>
      </c>
      <c r="C150" t="s">
        <v>1228</v>
      </c>
      <c r="D150" t="s">
        <v>909</v>
      </c>
      <c r="E150">
        <v>31</v>
      </c>
      <c r="F150" t="b" cm="1">
        <f t="array" ref="F150">IFERROR(OR(_xlfn._xlws.FILTER(Table6[companyid FILTER],Table6[companyid]=Table1[[#This Row],[companyid]])),FALSE)</f>
        <v>1</v>
      </c>
      <c r="G150">
        <v>57431</v>
      </c>
    </row>
    <row r="151" spans="1:7" x14ac:dyDescent="0.25">
      <c r="A151" t="s">
        <v>907</v>
      </c>
      <c r="B151" t="s">
        <v>905</v>
      </c>
      <c r="C151" t="s">
        <v>1240</v>
      </c>
      <c r="D151" t="s">
        <v>472</v>
      </c>
      <c r="E151">
        <v>4</v>
      </c>
      <c r="F151" t="b" cm="1">
        <f t="array" ref="F151">IFERROR(OR(_xlfn._xlws.FILTER(Table6[companyid FILTER],Table6[companyid]=Table1[[#This Row],[companyid]])),FALSE)</f>
        <v>1</v>
      </c>
      <c r="G151">
        <v>57462</v>
      </c>
    </row>
    <row r="152" spans="1:7" x14ac:dyDescent="0.25">
      <c r="A152" t="s">
        <v>907</v>
      </c>
      <c r="B152" t="s">
        <v>906</v>
      </c>
      <c r="C152" t="s">
        <v>1292</v>
      </c>
      <c r="E152">
        <v>1</v>
      </c>
      <c r="F152" t="b" cm="1">
        <f t="array" ref="F152">IFERROR(OR(_xlfn._xlws.FILTER(Table6[companyid FILTER],Table6[companyid]=Table1[[#This Row],[companyid]])),FALSE)</f>
        <v>1</v>
      </c>
      <c r="G152">
        <v>57462</v>
      </c>
    </row>
    <row r="153" spans="1:7" x14ac:dyDescent="0.25">
      <c r="A153" t="s">
        <v>904</v>
      </c>
      <c r="B153" t="s">
        <v>903</v>
      </c>
      <c r="C153" t="s">
        <v>1231</v>
      </c>
      <c r="D153" t="s">
        <v>902</v>
      </c>
      <c r="E153">
        <v>23</v>
      </c>
      <c r="F153" t="b" cm="1">
        <f t="array" ref="F153">IFERROR(OR(_xlfn._xlws.FILTER(Table6[companyid FILTER],Table6[companyid]=Table1[[#This Row],[companyid]])),FALSE)</f>
        <v>1</v>
      </c>
      <c r="G153">
        <v>57470</v>
      </c>
    </row>
    <row r="154" spans="1:7" x14ac:dyDescent="0.25">
      <c r="A154" t="s">
        <v>901</v>
      </c>
      <c r="B154" t="s">
        <v>900</v>
      </c>
      <c r="C154" t="s">
        <v>1293</v>
      </c>
      <c r="D154" t="s">
        <v>899</v>
      </c>
      <c r="E154">
        <v>17</v>
      </c>
      <c r="F154" t="b" cm="1">
        <f t="array" ref="F154">IFERROR(OR(_xlfn._xlws.FILTER(Table6[companyid FILTER],Table6[companyid]=Table1[[#This Row],[companyid]])),FALSE)</f>
        <v>1</v>
      </c>
      <c r="G154">
        <v>57382</v>
      </c>
    </row>
    <row r="155" spans="1:7" x14ac:dyDescent="0.25">
      <c r="A155" t="s">
        <v>896</v>
      </c>
      <c r="B155" t="s">
        <v>895</v>
      </c>
      <c r="C155" t="s">
        <v>1294</v>
      </c>
      <c r="D155" t="s">
        <v>897</v>
      </c>
      <c r="E155">
        <v>30</v>
      </c>
      <c r="F155" t="b" cm="1">
        <f t="array" ref="F155">IFERROR(OR(_xlfn._xlws.FILTER(Table6[companyid FILTER],Table6[companyid]=Table1[[#This Row],[companyid]])),FALSE)</f>
        <v>1</v>
      </c>
      <c r="G155">
        <v>57799</v>
      </c>
    </row>
    <row r="156" spans="1:7" x14ac:dyDescent="0.25">
      <c r="A156" t="s">
        <v>896</v>
      </c>
      <c r="B156" t="s">
        <v>898</v>
      </c>
      <c r="C156" t="s">
        <v>1235</v>
      </c>
      <c r="D156" t="s">
        <v>897</v>
      </c>
      <c r="E156">
        <v>28</v>
      </c>
      <c r="F156" t="b" cm="1">
        <f t="array" ref="F156">IFERROR(OR(_xlfn._xlws.FILTER(Table6[companyid FILTER],Table6[companyid]=Table1[[#This Row],[companyid]])),FALSE)</f>
        <v>1</v>
      </c>
      <c r="G156">
        <v>57799</v>
      </c>
    </row>
    <row r="157" spans="1:7" x14ac:dyDescent="0.25">
      <c r="A157" t="s">
        <v>896</v>
      </c>
      <c r="B157" t="s">
        <v>895</v>
      </c>
      <c r="C157" t="s">
        <v>1294</v>
      </c>
      <c r="D157" t="s">
        <v>894</v>
      </c>
      <c r="E157">
        <v>20</v>
      </c>
      <c r="F157" t="b" cm="1">
        <f t="array" ref="F157">IFERROR(OR(_xlfn._xlws.FILTER(Table6[companyid FILTER],Table6[companyid]=Table1[[#This Row],[companyid]])),FALSE)</f>
        <v>1</v>
      </c>
      <c r="G157">
        <v>57799</v>
      </c>
    </row>
    <row r="158" spans="1:7" x14ac:dyDescent="0.25">
      <c r="A158" t="s">
        <v>893</v>
      </c>
      <c r="B158" t="s">
        <v>892</v>
      </c>
      <c r="C158" t="s">
        <v>1295</v>
      </c>
      <c r="D158" t="s">
        <v>891</v>
      </c>
      <c r="E158">
        <v>45</v>
      </c>
      <c r="F158" t="b" cm="1">
        <f t="array" ref="F158">IFERROR(OR(_xlfn._xlws.FILTER(Table6[companyid FILTER],Table6[companyid]=Table1[[#This Row],[companyid]])),FALSE)</f>
        <v>1</v>
      </c>
      <c r="G158">
        <v>57416</v>
      </c>
    </row>
    <row r="159" spans="1:7" x14ac:dyDescent="0.25">
      <c r="A159" t="s">
        <v>889</v>
      </c>
      <c r="B159" t="s">
        <v>888</v>
      </c>
      <c r="C159" t="s">
        <v>1296</v>
      </c>
      <c r="D159" t="s">
        <v>890</v>
      </c>
      <c r="E159">
        <v>30</v>
      </c>
      <c r="F159" t="b" cm="1">
        <f t="array" ref="F159">IFERROR(OR(_xlfn._xlws.FILTER(Table6[companyid FILTER],Table6[companyid]=Table1[[#This Row],[companyid]])),FALSE)</f>
        <v>1</v>
      </c>
      <c r="G159">
        <v>57410</v>
      </c>
    </row>
    <row r="160" spans="1:7" x14ac:dyDescent="0.25">
      <c r="A160" t="s">
        <v>889</v>
      </c>
      <c r="B160" t="s">
        <v>888</v>
      </c>
      <c r="C160" t="s">
        <v>1296</v>
      </c>
      <c r="E160">
        <v>15</v>
      </c>
      <c r="F160" t="b" cm="1">
        <f t="array" ref="F160">IFERROR(OR(_xlfn._xlws.FILTER(Table6[companyid FILTER],Table6[companyid]=Table1[[#This Row],[companyid]])),FALSE)</f>
        <v>1</v>
      </c>
      <c r="G160">
        <v>57410</v>
      </c>
    </row>
    <row r="161" spans="1:7" x14ac:dyDescent="0.25">
      <c r="A161" t="s">
        <v>887</v>
      </c>
      <c r="B161" t="s">
        <v>886</v>
      </c>
      <c r="C161" t="s">
        <v>1297</v>
      </c>
      <c r="D161" t="s">
        <v>885</v>
      </c>
      <c r="E161">
        <v>37</v>
      </c>
      <c r="F161" t="b" cm="1">
        <f t="array" ref="F161">IFERROR(OR(_xlfn._xlws.FILTER(Table6[companyid FILTER],Table6[companyid]=Table1[[#This Row],[companyid]])),FALSE)</f>
        <v>1</v>
      </c>
      <c r="G161">
        <v>57408</v>
      </c>
    </row>
    <row r="162" spans="1:7" x14ac:dyDescent="0.25">
      <c r="A162" t="s">
        <v>884</v>
      </c>
      <c r="B162" t="s">
        <v>883</v>
      </c>
      <c r="C162" t="s">
        <v>1298</v>
      </c>
      <c r="D162" t="s">
        <v>882</v>
      </c>
      <c r="E162">
        <v>57</v>
      </c>
      <c r="F162" t="b" cm="1">
        <f t="array" ref="F162">IFERROR(OR(_xlfn._xlws.FILTER(Table6[companyid FILTER],Table6[companyid]=Table1[[#This Row],[companyid]])),FALSE)</f>
        <v>1</v>
      </c>
      <c r="G162">
        <v>57543</v>
      </c>
    </row>
    <row r="163" spans="1:7" x14ac:dyDescent="0.25">
      <c r="A163" t="s">
        <v>881</v>
      </c>
      <c r="B163" t="s">
        <v>880</v>
      </c>
      <c r="C163" t="s">
        <v>1231</v>
      </c>
      <c r="D163" t="s">
        <v>879</v>
      </c>
      <c r="E163">
        <v>34</v>
      </c>
      <c r="F163" t="b" cm="1">
        <f t="array" ref="F163">IFERROR(OR(_xlfn._xlws.FILTER(Table6[companyid FILTER],Table6[companyid]=Table1[[#This Row],[companyid]])),FALSE)</f>
        <v>1</v>
      </c>
      <c r="G163">
        <v>57524</v>
      </c>
    </row>
    <row r="164" spans="1:7" x14ac:dyDescent="0.25">
      <c r="A164" t="s">
        <v>873</v>
      </c>
      <c r="B164" t="s">
        <v>872</v>
      </c>
      <c r="C164" t="s">
        <v>1257</v>
      </c>
      <c r="D164" t="s">
        <v>871</v>
      </c>
      <c r="E164">
        <v>15</v>
      </c>
      <c r="F164" t="b" cm="1">
        <f t="array" ref="F164">IFERROR(OR(_xlfn._xlws.FILTER(Table6[companyid FILTER],Table6[companyid]=Table1[[#This Row],[companyid]])),FALSE)</f>
        <v>1</v>
      </c>
      <c r="G164">
        <v>57480</v>
      </c>
    </row>
    <row r="165" spans="1:7" x14ac:dyDescent="0.25">
      <c r="A165" t="s">
        <v>870</v>
      </c>
      <c r="B165" t="s">
        <v>869</v>
      </c>
      <c r="C165" t="s">
        <v>1299</v>
      </c>
      <c r="D165" t="s">
        <v>868</v>
      </c>
      <c r="E165">
        <v>23</v>
      </c>
      <c r="F165" t="b" cm="1">
        <f t="array" ref="F165">IFERROR(OR(_xlfn._xlws.FILTER(Table6[companyid FILTER],Table6[companyid]=Table1[[#This Row],[companyid]])),FALSE)</f>
        <v>1</v>
      </c>
      <c r="G165">
        <v>57514</v>
      </c>
    </row>
    <row r="166" spans="1:7" x14ac:dyDescent="0.25">
      <c r="A166" t="s">
        <v>867</v>
      </c>
      <c r="B166" t="s">
        <v>866</v>
      </c>
      <c r="C166" t="s">
        <v>1300</v>
      </c>
      <c r="D166" t="s">
        <v>865</v>
      </c>
      <c r="E166">
        <v>33</v>
      </c>
      <c r="F166" t="b" cm="1">
        <f t="array" ref="F166">IFERROR(OR(_xlfn._xlws.FILTER(Table6[companyid FILTER],Table6[companyid]=Table1[[#This Row],[companyid]])),FALSE)</f>
        <v>1</v>
      </c>
      <c r="G166">
        <v>57512</v>
      </c>
    </row>
    <row r="167" spans="1:7" x14ac:dyDescent="0.25">
      <c r="A167" t="s">
        <v>860</v>
      </c>
      <c r="B167" t="s">
        <v>861</v>
      </c>
      <c r="C167" t="s">
        <v>1301</v>
      </c>
      <c r="E167">
        <v>25</v>
      </c>
      <c r="F167" t="b" cm="1">
        <f t="array" ref="F167">IFERROR(OR(_xlfn._xlws.FILTER(Table6[companyid FILTER],Table6[companyid]=Table1[[#This Row],[companyid]])),FALSE)</f>
        <v>1</v>
      </c>
      <c r="G167">
        <v>57667</v>
      </c>
    </row>
    <row r="168" spans="1:7" x14ac:dyDescent="0.25">
      <c r="A168" t="s">
        <v>860</v>
      </c>
      <c r="B168" t="s">
        <v>859</v>
      </c>
      <c r="C168" t="s">
        <v>1301</v>
      </c>
      <c r="E168">
        <v>10</v>
      </c>
      <c r="F168" t="b" cm="1">
        <f t="array" ref="F168">IFERROR(OR(_xlfn._xlws.FILTER(Table6[companyid FILTER],Table6[companyid]=Table1[[#This Row],[companyid]])),FALSE)</f>
        <v>1</v>
      </c>
      <c r="G168">
        <v>57667</v>
      </c>
    </row>
    <row r="169" spans="1:7" x14ac:dyDescent="0.25">
      <c r="A169" t="s">
        <v>858</v>
      </c>
      <c r="B169" t="s">
        <v>857</v>
      </c>
      <c r="C169" t="s">
        <v>1232</v>
      </c>
      <c r="D169" t="s">
        <v>856</v>
      </c>
      <c r="E169">
        <v>23</v>
      </c>
      <c r="F169" t="b" cm="1">
        <f t="array" ref="F169">IFERROR(OR(_xlfn._xlws.FILTER(Table6[companyid FILTER],Table6[companyid]=Table1[[#This Row],[companyid]])),FALSE)</f>
        <v>1</v>
      </c>
      <c r="G169">
        <v>57649</v>
      </c>
    </row>
    <row r="170" spans="1:7" x14ac:dyDescent="0.25">
      <c r="A170" t="s">
        <v>853</v>
      </c>
      <c r="B170" t="s">
        <v>855</v>
      </c>
      <c r="C170" t="s">
        <v>1252</v>
      </c>
      <c r="D170" t="s">
        <v>854</v>
      </c>
      <c r="E170">
        <v>10</v>
      </c>
      <c r="F170" t="b" cm="1">
        <f t="array" ref="F170">IFERROR(OR(_xlfn._xlws.FILTER(Table6[companyid FILTER],Table6[companyid]=Table1[[#This Row],[companyid]])),FALSE)</f>
        <v>1</v>
      </c>
      <c r="G170">
        <v>57615</v>
      </c>
    </row>
    <row r="171" spans="1:7" x14ac:dyDescent="0.25">
      <c r="A171" t="s">
        <v>853</v>
      </c>
      <c r="B171" t="s">
        <v>852</v>
      </c>
      <c r="C171" t="s">
        <v>1302</v>
      </c>
      <c r="D171" t="s">
        <v>854</v>
      </c>
      <c r="E171">
        <v>10</v>
      </c>
      <c r="F171" t="b" cm="1">
        <f t="array" ref="F171">IFERROR(OR(_xlfn._xlws.FILTER(Table6[companyid FILTER],Table6[companyid]=Table1[[#This Row],[companyid]])),FALSE)</f>
        <v>1</v>
      </c>
      <c r="G171">
        <v>57615</v>
      </c>
    </row>
    <row r="172" spans="1:7" x14ac:dyDescent="0.25">
      <c r="A172" t="s">
        <v>853</v>
      </c>
      <c r="B172" t="s">
        <v>852</v>
      </c>
      <c r="C172" t="s">
        <v>1302</v>
      </c>
      <c r="E172">
        <v>10</v>
      </c>
      <c r="F172" t="b" cm="1">
        <f t="array" ref="F172">IFERROR(OR(_xlfn._xlws.FILTER(Table6[companyid FILTER],Table6[companyid]=Table1[[#This Row],[companyid]])),FALSE)</f>
        <v>1</v>
      </c>
      <c r="G172">
        <v>57615</v>
      </c>
    </row>
    <row r="173" spans="1:7" x14ac:dyDescent="0.25">
      <c r="A173" t="s">
        <v>847</v>
      </c>
      <c r="B173" t="s">
        <v>846</v>
      </c>
      <c r="C173" t="s">
        <v>1231</v>
      </c>
      <c r="D173" t="s">
        <v>845</v>
      </c>
      <c r="E173">
        <v>23</v>
      </c>
      <c r="F173" t="b" cm="1">
        <f t="array" ref="F173">IFERROR(OR(_xlfn._xlws.FILTER(Table6[companyid FILTER],Table6[companyid]=Table1[[#This Row],[companyid]])),FALSE)</f>
        <v>1</v>
      </c>
      <c r="G173">
        <v>57760</v>
      </c>
    </row>
    <row r="174" spans="1:7" x14ac:dyDescent="0.25">
      <c r="A174" t="s">
        <v>844</v>
      </c>
      <c r="B174" t="s">
        <v>843</v>
      </c>
      <c r="C174" t="s">
        <v>1257</v>
      </c>
      <c r="D174" t="s">
        <v>842</v>
      </c>
      <c r="E174">
        <v>3</v>
      </c>
      <c r="F174" t="b" cm="1">
        <f t="array" ref="F174">IFERROR(OR(_xlfn._xlws.FILTER(Table6[companyid FILTER],Table6[companyid]=Table1[[#This Row],[companyid]])),FALSE)</f>
        <v>1</v>
      </c>
      <c r="G174">
        <v>57749</v>
      </c>
    </row>
    <row r="175" spans="1:7" x14ac:dyDescent="0.25">
      <c r="A175" t="s">
        <v>839</v>
      </c>
      <c r="B175" t="s">
        <v>501</v>
      </c>
      <c r="C175" t="s">
        <v>1253</v>
      </c>
      <c r="D175" t="s">
        <v>502</v>
      </c>
      <c r="E175">
        <v>24</v>
      </c>
      <c r="F175" t="b" cm="1">
        <f t="array" ref="F175">IFERROR(OR(_xlfn._xlws.FILTER(Table6[companyid FILTER],Table6[companyid]=Table1[[#This Row],[companyid]])),FALSE)</f>
        <v>1</v>
      </c>
      <c r="G175">
        <v>57693</v>
      </c>
    </row>
    <row r="176" spans="1:7" x14ac:dyDescent="0.25">
      <c r="A176" t="s">
        <v>839</v>
      </c>
      <c r="B176" t="s">
        <v>838</v>
      </c>
      <c r="C176" t="s">
        <v>1228</v>
      </c>
      <c r="D176" t="s">
        <v>502</v>
      </c>
      <c r="E176">
        <v>6</v>
      </c>
      <c r="F176" t="b" cm="1">
        <f t="array" ref="F176">IFERROR(OR(_xlfn._xlws.FILTER(Table6[companyid FILTER],Table6[companyid]=Table1[[#This Row],[companyid]])),FALSE)</f>
        <v>1</v>
      </c>
      <c r="G176">
        <v>57693</v>
      </c>
    </row>
    <row r="177" spans="1:7" x14ac:dyDescent="0.25">
      <c r="A177" t="s">
        <v>835</v>
      </c>
      <c r="B177" t="s">
        <v>836</v>
      </c>
      <c r="C177" t="s">
        <v>1303</v>
      </c>
      <c r="D177" t="s">
        <v>833</v>
      </c>
      <c r="E177">
        <v>59</v>
      </c>
      <c r="F177" t="b" cm="1">
        <f t="array" ref="F177">IFERROR(OR(_xlfn._xlws.FILTER(Table6[companyid FILTER],Table6[companyid]=Table1[[#This Row],[companyid]])),FALSE)</f>
        <v>1</v>
      </c>
      <c r="G177">
        <v>57836</v>
      </c>
    </row>
    <row r="178" spans="1:7" x14ac:dyDescent="0.25">
      <c r="A178" t="s">
        <v>835</v>
      </c>
      <c r="B178" t="s">
        <v>834</v>
      </c>
      <c r="C178" t="s">
        <v>1303</v>
      </c>
      <c r="D178" t="s">
        <v>833</v>
      </c>
      <c r="E178">
        <v>38</v>
      </c>
      <c r="F178" t="b" cm="1">
        <f t="array" ref="F178">IFERROR(OR(_xlfn._xlws.FILTER(Table6[companyid FILTER],Table6[companyid]=Table1[[#This Row],[companyid]])),FALSE)</f>
        <v>1</v>
      </c>
      <c r="G178">
        <v>57836</v>
      </c>
    </row>
    <row r="179" spans="1:7" x14ac:dyDescent="0.25">
      <c r="A179" t="s">
        <v>832</v>
      </c>
      <c r="B179" t="s">
        <v>831</v>
      </c>
      <c r="C179" t="s">
        <v>1304</v>
      </c>
      <c r="D179" t="s">
        <v>830</v>
      </c>
      <c r="E179">
        <v>14</v>
      </c>
      <c r="F179" t="b" cm="1">
        <f t="array" ref="F179">IFERROR(OR(_xlfn._xlws.FILTER(Table6[companyid FILTER],Table6[companyid]=Table1[[#This Row],[companyid]])),FALSE)</f>
        <v>1</v>
      </c>
      <c r="G179">
        <v>57835</v>
      </c>
    </row>
    <row r="180" spans="1:7" x14ac:dyDescent="0.25">
      <c r="A180" t="s">
        <v>829</v>
      </c>
      <c r="B180" t="s">
        <v>828</v>
      </c>
      <c r="C180" t="s">
        <v>1305</v>
      </c>
      <c r="D180" t="s">
        <v>1222</v>
      </c>
      <c r="E180">
        <v>26</v>
      </c>
      <c r="F180" t="b" cm="1">
        <f t="array" ref="F180">IFERROR(OR(_xlfn._xlws.FILTER(Table6[companyid FILTER],Table6[companyid]=Table1[[#This Row],[companyid]])),FALSE)</f>
        <v>1</v>
      </c>
      <c r="G180">
        <v>79875</v>
      </c>
    </row>
    <row r="181" spans="1:7" x14ac:dyDescent="0.25">
      <c r="A181" t="s">
        <v>827</v>
      </c>
      <c r="B181" t="s">
        <v>826</v>
      </c>
      <c r="C181" t="s">
        <v>1231</v>
      </c>
      <c r="D181" t="s">
        <v>825</v>
      </c>
      <c r="E181">
        <v>87</v>
      </c>
      <c r="F181" t="b" cm="1">
        <f t="array" ref="F181">IFERROR(OR(_xlfn._xlws.FILTER(Table6[companyid FILTER],Table6[companyid]=Table1[[#This Row],[companyid]])),FALSE)</f>
        <v>1</v>
      </c>
      <c r="G181">
        <v>57825</v>
      </c>
    </row>
    <row r="182" spans="1:7" x14ac:dyDescent="0.25">
      <c r="A182" t="s">
        <v>823</v>
      </c>
      <c r="B182" t="s">
        <v>824</v>
      </c>
      <c r="C182" t="s">
        <v>1306</v>
      </c>
      <c r="D182" t="s">
        <v>821</v>
      </c>
      <c r="E182">
        <v>56</v>
      </c>
      <c r="F182" t="b" cm="1">
        <f t="array" ref="F182">IFERROR(OR(_xlfn._xlws.FILTER(Table6[companyid FILTER],Table6[companyid]=Table1[[#This Row],[companyid]])),FALSE)</f>
        <v>1</v>
      </c>
      <c r="G182">
        <v>57843</v>
      </c>
    </row>
    <row r="183" spans="1:7" x14ac:dyDescent="0.25">
      <c r="A183" t="s">
        <v>823</v>
      </c>
      <c r="B183" t="s">
        <v>822</v>
      </c>
      <c r="C183" t="s">
        <v>1306</v>
      </c>
      <c r="D183" t="s">
        <v>821</v>
      </c>
      <c r="E183">
        <v>34</v>
      </c>
      <c r="F183" t="b" cm="1">
        <f t="array" ref="F183">IFERROR(OR(_xlfn._xlws.FILTER(Table6[companyid FILTER],Table6[companyid]=Table1[[#This Row],[companyid]])),FALSE)</f>
        <v>1</v>
      </c>
      <c r="G183">
        <v>57843</v>
      </c>
    </row>
    <row r="184" spans="1:7" x14ac:dyDescent="0.25">
      <c r="A184" t="s">
        <v>816</v>
      </c>
      <c r="B184" t="s">
        <v>815</v>
      </c>
      <c r="C184" t="s">
        <v>1307</v>
      </c>
      <c r="D184" t="s">
        <v>817</v>
      </c>
      <c r="E184">
        <v>52</v>
      </c>
      <c r="F184" t="b" cm="1">
        <f t="array" ref="F184">IFERROR(OR(_xlfn._xlws.FILTER(Table6[companyid FILTER],Table6[companyid]=Table1[[#This Row],[companyid]])),FALSE)</f>
        <v>1</v>
      </c>
      <c r="G184">
        <v>57867</v>
      </c>
    </row>
    <row r="185" spans="1:7" x14ac:dyDescent="0.25">
      <c r="A185" t="s">
        <v>816</v>
      </c>
      <c r="B185" t="s">
        <v>815</v>
      </c>
      <c r="C185" t="s">
        <v>1307</v>
      </c>
      <c r="E185">
        <v>23</v>
      </c>
      <c r="F185" t="b" cm="1">
        <f t="array" ref="F185">IFERROR(OR(_xlfn._xlws.FILTER(Table6[companyid FILTER],Table6[companyid]=Table1[[#This Row],[companyid]])),FALSE)</f>
        <v>1</v>
      </c>
      <c r="G185">
        <v>57867</v>
      </c>
    </row>
    <row r="186" spans="1:7" x14ac:dyDescent="0.25">
      <c r="A186" t="s">
        <v>813</v>
      </c>
      <c r="B186" t="s">
        <v>814</v>
      </c>
      <c r="C186" t="s">
        <v>1308</v>
      </c>
      <c r="E186">
        <v>84</v>
      </c>
      <c r="F186" t="b" cm="1">
        <f t="array" ref="F186">IFERROR(OR(_xlfn._xlws.FILTER(Table6[companyid FILTER],Table6[companyid]=Table1[[#This Row],[companyid]])),FALSE)</f>
        <v>1</v>
      </c>
      <c r="G186">
        <v>57859</v>
      </c>
    </row>
    <row r="187" spans="1:7" x14ac:dyDescent="0.25">
      <c r="A187" t="s">
        <v>813</v>
      </c>
      <c r="B187" t="s">
        <v>812</v>
      </c>
      <c r="C187" t="s">
        <v>1309</v>
      </c>
      <c r="D187" t="s">
        <v>811</v>
      </c>
      <c r="E187">
        <v>52</v>
      </c>
      <c r="F187" t="b" cm="1">
        <f t="array" ref="F187">IFERROR(OR(_xlfn._xlws.FILTER(Table6[companyid FILTER],Table6[companyid]=Table1[[#This Row],[companyid]])),FALSE)</f>
        <v>1</v>
      </c>
      <c r="G187">
        <v>57859</v>
      </c>
    </row>
    <row r="188" spans="1:7" x14ac:dyDescent="0.25">
      <c r="A188" t="s">
        <v>810</v>
      </c>
      <c r="B188" t="s">
        <v>809</v>
      </c>
      <c r="C188" t="s">
        <v>1252</v>
      </c>
      <c r="D188" t="s">
        <v>808</v>
      </c>
      <c r="E188">
        <v>16</v>
      </c>
      <c r="F188" t="b" cm="1">
        <f t="array" ref="F188">IFERROR(OR(_xlfn._xlws.FILTER(Table6[companyid FILTER],Table6[companyid]=Table1[[#This Row],[companyid]])),FALSE)</f>
        <v>1</v>
      </c>
      <c r="G188">
        <v>57858</v>
      </c>
    </row>
    <row r="189" spans="1:7" x14ac:dyDescent="0.25">
      <c r="A189" t="s">
        <v>805</v>
      </c>
      <c r="B189" t="s">
        <v>806</v>
      </c>
      <c r="C189" t="s">
        <v>1228</v>
      </c>
      <c r="D189" t="s">
        <v>807</v>
      </c>
      <c r="E189">
        <v>88</v>
      </c>
      <c r="F189" t="b" cm="1">
        <f t="array" ref="F189">IFERROR(OR(_xlfn._xlws.FILTER(Table6[companyid FILTER],Table6[companyid]=Table1[[#This Row],[companyid]])),FALSE)</f>
        <v>1</v>
      </c>
      <c r="G189">
        <v>57856</v>
      </c>
    </row>
    <row r="190" spans="1:7" x14ac:dyDescent="0.25">
      <c r="A190" t="s">
        <v>805</v>
      </c>
      <c r="B190" t="s">
        <v>806</v>
      </c>
      <c r="C190" t="s">
        <v>1310</v>
      </c>
      <c r="E190">
        <v>40</v>
      </c>
      <c r="F190" t="b" cm="1">
        <f t="array" ref="F190">IFERROR(OR(_xlfn._xlws.FILTER(Table6[companyid FILTER],Table6[companyid]=Table1[[#This Row],[companyid]])),FALSE)</f>
        <v>1</v>
      </c>
      <c r="G190">
        <v>57856</v>
      </c>
    </row>
    <row r="191" spans="1:7" x14ac:dyDescent="0.25">
      <c r="A191" t="s">
        <v>805</v>
      </c>
      <c r="B191" t="s">
        <v>796</v>
      </c>
      <c r="C191" t="s">
        <v>1310</v>
      </c>
      <c r="E191">
        <v>25</v>
      </c>
      <c r="F191" t="b" cm="1">
        <f t="array" ref="F191">IFERROR(OR(_xlfn._xlws.FILTER(Table6[companyid FILTER],Table6[companyid]=Table1[[#This Row],[companyid]])),FALSE)</f>
        <v>1</v>
      </c>
      <c r="G191">
        <v>57856</v>
      </c>
    </row>
    <row r="192" spans="1:7" x14ac:dyDescent="0.25">
      <c r="A192" t="s">
        <v>804</v>
      </c>
      <c r="B192" t="s">
        <v>796</v>
      </c>
      <c r="C192" t="s">
        <v>1257</v>
      </c>
      <c r="D192" t="s">
        <v>793</v>
      </c>
      <c r="E192">
        <v>33</v>
      </c>
      <c r="F192" t="b" cm="1">
        <f t="array" ref="F192">IFERROR(OR(_xlfn._xlws.FILTER(Table6[companyid FILTER],Table6[companyid]=Table1[[#This Row],[companyid]])),FALSE)</f>
        <v>1</v>
      </c>
      <c r="G192">
        <v>57855</v>
      </c>
    </row>
    <row r="193" spans="1:7" x14ac:dyDescent="0.25">
      <c r="A193" t="s">
        <v>802</v>
      </c>
      <c r="B193" t="s">
        <v>803</v>
      </c>
      <c r="C193" t="s">
        <v>1311</v>
      </c>
      <c r="E193">
        <v>8</v>
      </c>
      <c r="F193" t="b" cm="1">
        <f t="array" ref="F193">IFERROR(OR(_xlfn._xlws.FILTER(Table6[companyid FILTER],Table6[companyid]=Table1[[#This Row],[companyid]])),FALSE)</f>
        <v>1</v>
      </c>
      <c r="G193">
        <v>57852</v>
      </c>
    </row>
    <row r="194" spans="1:7" x14ac:dyDescent="0.25">
      <c r="A194" t="s">
        <v>802</v>
      </c>
      <c r="B194" t="s">
        <v>801</v>
      </c>
      <c r="C194" t="s">
        <v>1311</v>
      </c>
      <c r="D194" t="s">
        <v>800</v>
      </c>
      <c r="E194">
        <v>2</v>
      </c>
      <c r="F194" t="b" cm="1">
        <f t="array" ref="F194">IFERROR(OR(_xlfn._xlws.FILTER(Table6[companyid FILTER],Table6[companyid]=Table1[[#This Row],[companyid]])),FALSE)</f>
        <v>1</v>
      </c>
      <c r="G194">
        <v>57852</v>
      </c>
    </row>
    <row r="195" spans="1:7" x14ac:dyDescent="0.25">
      <c r="A195" t="s">
        <v>799</v>
      </c>
      <c r="B195" t="s">
        <v>798</v>
      </c>
      <c r="C195" t="s">
        <v>1231</v>
      </c>
      <c r="D195" t="s">
        <v>797</v>
      </c>
      <c r="E195">
        <v>33</v>
      </c>
      <c r="F195" t="b" cm="1">
        <f t="array" ref="F195">IFERROR(OR(_xlfn._xlws.FILTER(Table6[companyid FILTER],Table6[companyid]=Table1[[#This Row],[companyid]])),FALSE)</f>
        <v>1</v>
      </c>
      <c r="G195">
        <v>57848</v>
      </c>
    </row>
    <row r="196" spans="1:7" x14ac:dyDescent="0.25">
      <c r="A196" t="s">
        <v>792</v>
      </c>
      <c r="B196" t="s">
        <v>791</v>
      </c>
      <c r="C196" t="s">
        <v>1312</v>
      </c>
      <c r="D196" t="s">
        <v>790</v>
      </c>
      <c r="E196">
        <v>12</v>
      </c>
      <c r="F196" t="b" cm="1">
        <f t="array" ref="F196">IFERROR(OR(_xlfn._xlws.FILTER(Table6[companyid FILTER],Table6[companyid]=Table1[[#This Row],[companyid]])),FALSE)</f>
        <v>1</v>
      </c>
      <c r="G196">
        <v>57790</v>
      </c>
    </row>
    <row r="197" spans="1:7" x14ac:dyDescent="0.25">
      <c r="A197" t="s">
        <v>789</v>
      </c>
      <c r="B197" t="s">
        <v>788</v>
      </c>
      <c r="C197" t="s">
        <v>1313</v>
      </c>
      <c r="D197" t="s">
        <v>787</v>
      </c>
      <c r="E197">
        <v>40</v>
      </c>
      <c r="F197" t="b" cm="1">
        <f t="array" ref="F197">IFERROR(OR(_xlfn._xlws.FILTER(Table6[companyid FILTER],Table6[companyid]=Table1[[#This Row],[companyid]])),FALSE)</f>
        <v>1</v>
      </c>
      <c r="G197">
        <v>57778</v>
      </c>
    </row>
    <row r="198" spans="1:7" x14ac:dyDescent="0.25">
      <c r="A198" t="s">
        <v>783</v>
      </c>
      <c r="B198" t="s">
        <v>782</v>
      </c>
      <c r="C198" t="s">
        <v>1228</v>
      </c>
      <c r="D198" t="s">
        <v>781</v>
      </c>
      <c r="E198">
        <v>27</v>
      </c>
      <c r="F198" t="b" cm="1">
        <f t="array" ref="F198">IFERROR(OR(_xlfn._xlws.FILTER(Table6[companyid FILTER],Table6[companyid]=Table1[[#This Row],[companyid]])),FALSE)</f>
        <v>1</v>
      </c>
      <c r="G198">
        <v>57812</v>
      </c>
    </row>
    <row r="199" spans="1:7" x14ac:dyDescent="0.25">
      <c r="A199" t="s">
        <v>780</v>
      </c>
      <c r="B199" t="s">
        <v>779</v>
      </c>
      <c r="C199" t="s">
        <v>1314</v>
      </c>
      <c r="D199" t="s">
        <v>778</v>
      </c>
      <c r="E199">
        <v>12</v>
      </c>
      <c r="F199" t="b" cm="1">
        <f t="array" ref="F199">IFERROR(OR(_xlfn._xlws.FILTER(Table6[companyid FILTER],Table6[companyid]=Table1[[#This Row],[companyid]])),FALSE)</f>
        <v>1</v>
      </c>
      <c r="G199">
        <v>114895</v>
      </c>
    </row>
    <row r="200" spans="1:7" x14ac:dyDescent="0.25">
      <c r="A200" t="s">
        <v>774</v>
      </c>
      <c r="B200" t="s">
        <v>777</v>
      </c>
      <c r="C200" t="s">
        <v>1315</v>
      </c>
      <c r="D200" t="s">
        <v>776</v>
      </c>
      <c r="E200">
        <v>59</v>
      </c>
      <c r="F200" t="b" cm="1">
        <f t="array" ref="F200">IFERROR(OR(_xlfn._xlws.FILTER(Table6[companyid FILTER],Table6[companyid]=Table1[[#This Row],[companyid]])),FALSE)</f>
        <v>1</v>
      </c>
      <c r="G200">
        <v>57932</v>
      </c>
    </row>
    <row r="201" spans="1:7" x14ac:dyDescent="0.25">
      <c r="A201" t="s">
        <v>774</v>
      </c>
      <c r="B201" t="s">
        <v>775</v>
      </c>
      <c r="C201" t="s">
        <v>1274</v>
      </c>
      <c r="E201">
        <v>36</v>
      </c>
      <c r="F201" t="b" cm="1">
        <f t="array" ref="F201">IFERROR(OR(_xlfn._xlws.FILTER(Table6[companyid FILTER],Table6[companyid]=Table1[[#This Row],[companyid]])),FALSE)</f>
        <v>1</v>
      </c>
      <c r="G201">
        <v>57932</v>
      </c>
    </row>
    <row r="202" spans="1:7" x14ac:dyDescent="0.25">
      <c r="A202" t="s">
        <v>774</v>
      </c>
      <c r="B202" t="s">
        <v>773</v>
      </c>
      <c r="C202" t="s">
        <v>1274</v>
      </c>
      <c r="E202">
        <v>10</v>
      </c>
      <c r="F202" t="b" cm="1">
        <f t="array" ref="F202">IFERROR(OR(_xlfn._xlws.FILTER(Table6[companyid FILTER],Table6[companyid]=Table1[[#This Row],[companyid]])),FALSE)</f>
        <v>1</v>
      </c>
      <c r="G202">
        <v>57932</v>
      </c>
    </row>
    <row r="203" spans="1:7" x14ac:dyDescent="0.25">
      <c r="A203" t="s">
        <v>769</v>
      </c>
      <c r="B203" t="s">
        <v>770</v>
      </c>
      <c r="C203" t="s">
        <v>1239</v>
      </c>
      <c r="D203" t="s">
        <v>767</v>
      </c>
      <c r="E203">
        <v>132</v>
      </c>
      <c r="F203" t="b" cm="1">
        <f t="array" ref="F203">IFERROR(OR(_xlfn._xlws.FILTER(Table6[companyid FILTER],Table6[companyid]=Table1[[#This Row],[companyid]])),FALSE)</f>
        <v>1</v>
      </c>
      <c r="G203">
        <v>57948</v>
      </c>
    </row>
    <row r="204" spans="1:7" x14ac:dyDescent="0.25">
      <c r="A204" t="s">
        <v>769</v>
      </c>
      <c r="B204" t="s">
        <v>768</v>
      </c>
      <c r="C204" t="s">
        <v>1239</v>
      </c>
      <c r="D204" t="s">
        <v>767</v>
      </c>
      <c r="E204">
        <v>82</v>
      </c>
      <c r="F204" t="b" cm="1">
        <f t="array" ref="F204">IFERROR(OR(_xlfn._xlws.FILTER(Table6[companyid FILTER],Table6[companyid]=Table1[[#This Row],[companyid]])),FALSE)</f>
        <v>1</v>
      </c>
      <c r="G204">
        <v>57948</v>
      </c>
    </row>
    <row r="205" spans="1:7" x14ac:dyDescent="0.25">
      <c r="A205" t="s">
        <v>762</v>
      </c>
      <c r="B205" t="s">
        <v>761</v>
      </c>
      <c r="C205" t="s">
        <v>1316</v>
      </c>
      <c r="D205" t="s">
        <v>760</v>
      </c>
      <c r="E205">
        <v>45</v>
      </c>
      <c r="F205" t="b" cm="1">
        <f t="array" ref="F205">IFERROR(OR(_xlfn._xlws.FILTER(Table6[companyid FILTER],Table6[companyid]=Table1[[#This Row],[companyid]])),FALSE)</f>
        <v>1</v>
      </c>
      <c r="G205">
        <v>57908</v>
      </c>
    </row>
    <row r="206" spans="1:7" x14ac:dyDescent="0.25">
      <c r="A206" t="s">
        <v>754</v>
      </c>
      <c r="B206" t="s">
        <v>755</v>
      </c>
      <c r="C206" t="s">
        <v>1317</v>
      </c>
      <c r="D206" t="s">
        <v>752</v>
      </c>
      <c r="E206">
        <v>12</v>
      </c>
      <c r="F206" t="b" cm="1">
        <f t="array" ref="F206">IFERROR(OR(_xlfn._xlws.FILTER(Table6[companyid FILTER],Table6[companyid]=Table1[[#This Row],[companyid]])),FALSE)</f>
        <v>1</v>
      </c>
      <c r="G206">
        <v>57897</v>
      </c>
    </row>
    <row r="207" spans="1:7" x14ac:dyDescent="0.25">
      <c r="A207" t="s">
        <v>754</v>
      </c>
      <c r="B207" t="s">
        <v>753</v>
      </c>
      <c r="C207" t="s">
        <v>1317</v>
      </c>
      <c r="D207" t="s">
        <v>752</v>
      </c>
      <c r="E207">
        <v>3</v>
      </c>
      <c r="F207" t="b" cm="1">
        <f t="array" ref="F207">IFERROR(OR(_xlfn._xlws.FILTER(Table6[companyid FILTER],Table6[companyid]=Table1[[#This Row],[companyid]])),FALSE)</f>
        <v>1</v>
      </c>
      <c r="G207">
        <v>57897</v>
      </c>
    </row>
    <row r="208" spans="1:7" x14ac:dyDescent="0.25">
      <c r="A208" t="s">
        <v>751</v>
      </c>
      <c r="B208" t="s">
        <v>750</v>
      </c>
      <c r="C208" t="s">
        <v>1228</v>
      </c>
      <c r="D208" t="s">
        <v>749</v>
      </c>
      <c r="E208">
        <v>32</v>
      </c>
      <c r="F208" t="b" cm="1">
        <f t="array" ref="F208">IFERROR(OR(_xlfn._xlws.FILTER(Table6[companyid FILTER],Table6[companyid]=Table1[[#This Row],[companyid]])),FALSE)</f>
        <v>1</v>
      </c>
      <c r="G208">
        <v>58030</v>
      </c>
    </row>
    <row r="209" spans="1:7" x14ac:dyDescent="0.25">
      <c r="A209" t="s">
        <v>747</v>
      </c>
      <c r="B209" t="s">
        <v>748</v>
      </c>
      <c r="C209" t="s">
        <v>1318</v>
      </c>
      <c r="D209" t="s">
        <v>745</v>
      </c>
      <c r="E209">
        <v>30</v>
      </c>
      <c r="F209" t="b" cm="1">
        <f t="array" ref="F209">IFERROR(OR(_xlfn._xlws.FILTER(Table6[companyid FILTER],Table6[companyid]=Table1[[#This Row],[companyid]])),FALSE)</f>
        <v>1</v>
      </c>
      <c r="G209">
        <v>58028</v>
      </c>
    </row>
    <row r="210" spans="1:7" x14ac:dyDescent="0.25">
      <c r="A210" t="s">
        <v>747</v>
      </c>
      <c r="B210" t="s">
        <v>746</v>
      </c>
      <c r="C210" t="s">
        <v>1232</v>
      </c>
      <c r="D210" t="s">
        <v>745</v>
      </c>
      <c r="E210">
        <v>10</v>
      </c>
      <c r="F210" t="b" cm="1">
        <f t="array" ref="F210">IFERROR(OR(_xlfn._xlws.FILTER(Table6[companyid FILTER],Table6[companyid]=Table1[[#This Row],[companyid]])),FALSE)</f>
        <v>1</v>
      </c>
      <c r="G210">
        <v>58028</v>
      </c>
    </row>
    <row r="211" spans="1:7" x14ac:dyDescent="0.25">
      <c r="A211" t="s">
        <v>747</v>
      </c>
      <c r="B211" t="s">
        <v>746</v>
      </c>
      <c r="C211" t="s">
        <v>1318</v>
      </c>
      <c r="D211" t="s">
        <v>745</v>
      </c>
      <c r="E211">
        <v>6</v>
      </c>
      <c r="F211" t="b" cm="1">
        <f t="array" ref="F211">IFERROR(OR(_xlfn._xlws.FILTER(Table6[companyid FILTER],Table6[companyid]=Table1[[#This Row],[companyid]])),FALSE)</f>
        <v>1</v>
      </c>
      <c r="G211">
        <v>58028</v>
      </c>
    </row>
    <row r="212" spans="1:7" x14ac:dyDescent="0.25">
      <c r="A212" t="s">
        <v>744</v>
      </c>
      <c r="B212" t="s">
        <v>743</v>
      </c>
      <c r="C212" t="s">
        <v>1231</v>
      </c>
      <c r="D212" t="s">
        <v>742</v>
      </c>
      <c r="E212">
        <v>59</v>
      </c>
      <c r="F212" t="b" cm="1">
        <f t="array" ref="F212">IFERROR(OR(_xlfn._xlws.FILTER(Table6[companyid FILTER],Table6[companyid]=Table1[[#This Row],[companyid]])),FALSE)</f>
        <v>1</v>
      </c>
      <c r="G212">
        <v>58060</v>
      </c>
    </row>
    <row r="213" spans="1:7" x14ac:dyDescent="0.25">
      <c r="A213" t="s">
        <v>741</v>
      </c>
      <c r="B213" t="s">
        <v>740</v>
      </c>
      <c r="C213" t="s">
        <v>1257</v>
      </c>
      <c r="D213" t="s">
        <v>739</v>
      </c>
      <c r="E213">
        <v>29</v>
      </c>
      <c r="F213" t="b" cm="1">
        <f t="array" ref="F213">IFERROR(OR(_xlfn._xlws.FILTER(Table6[companyid FILTER],Table6[companyid]=Table1[[#This Row],[companyid]])),FALSE)</f>
        <v>1</v>
      </c>
      <c r="G213">
        <v>58053</v>
      </c>
    </row>
    <row r="214" spans="1:7" x14ac:dyDescent="0.25">
      <c r="A214" t="s">
        <v>735</v>
      </c>
      <c r="B214" t="s">
        <v>736</v>
      </c>
      <c r="C214" t="s">
        <v>1288</v>
      </c>
      <c r="D214" t="s">
        <v>733</v>
      </c>
      <c r="E214">
        <v>70</v>
      </c>
      <c r="F214" t="b" cm="1">
        <f t="array" ref="F214">IFERROR(OR(_xlfn._xlws.FILTER(Table6[companyid FILTER],Table6[companyid]=Table1[[#This Row],[companyid]])),FALSE)</f>
        <v>1</v>
      </c>
      <c r="G214">
        <v>58011</v>
      </c>
    </row>
    <row r="215" spans="1:7" x14ac:dyDescent="0.25">
      <c r="A215" t="s">
        <v>735</v>
      </c>
      <c r="B215" t="s">
        <v>734</v>
      </c>
      <c r="C215" t="s">
        <v>1288</v>
      </c>
      <c r="D215" t="s">
        <v>733</v>
      </c>
      <c r="E215">
        <v>44</v>
      </c>
      <c r="F215" t="b" cm="1">
        <f t="array" ref="F215">IFERROR(OR(_xlfn._xlws.FILTER(Table6[companyid FILTER],Table6[companyid]=Table1[[#This Row],[companyid]])),FALSE)</f>
        <v>1</v>
      </c>
      <c r="G215">
        <v>58011</v>
      </c>
    </row>
    <row r="216" spans="1:7" x14ac:dyDescent="0.25">
      <c r="A216" t="s">
        <v>732</v>
      </c>
      <c r="B216" t="s">
        <v>731</v>
      </c>
      <c r="C216" t="s">
        <v>1319</v>
      </c>
      <c r="D216" t="s">
        <v>730</v>
      </c>
      <c r="E216">
        <v>9</v>
      </c>
      <c r="F216" t="b" cm="1">
        <f t="array" ref="F216">IFERROR(OR(_xlfn._xlws.FILTER(Table6[companyid FILTER],Table6[companyid]=Table1[[#This Row],[companyid]])),FALSE)</f>
        <v>1</v>
      </c>
      <c r="G216">
        <v>58005</v>
      </c>
    </row>
    <row r="217" spans="1:7" x14ac:dyDescent="0.25">
      <c r="A217" t="s">
        <v>729</v>
      </c>
      <c r="B217" t="s">
        <v>728</v>
      </c>
      <c r="C217" t="s">
        <v>1225</v>
      </c>
      <c r="D217" t="s">
        <v>727</v>
      </c>
      <c r="E217">
        <v>33</v>
      </c>
      <c r="F217" t="b" cm="1">
        <f t="array" ref="F217">IFERROR(OR(_xlfn._xlws.FILTER(Table6[companyid FILTER],Table6[companyid]=Table1[[#This Row],[companyid]])),FALSE)</f>
        <v>1</v>
      </c>
      <c r="G217">
        <v>58003</v>
      </c>
    </row>
    <row r="218" spans="1:7" x14ac:dyDescent="0.25">
      <c r="A218" t="s">
        <v>725</v>
      </c>
      <c r="B218" t="s">
        <v>724</v>
      </c>
      <c r="C218" t="s">
        <v>1265</v>
      </c>
      <c r="D218" t="s">
        <v>726</v>
      </c>
      <c r="E218">
        <v>34</v>
      </c>
      <c r="F218" t="b" cm="1">
        <f t="array" ref="F218">IFERROR(OR(_xlfn._xlws.FILTER(Table6[companyid FILTER],Table6[companyid]=Table1[[#This Row],[companyid]])),FALSE)</f>
        <v>1</v>
      </c>
      <c r="G218">
        <v>58071</v>
      </c>
    </row>
    <row r="219" spans="1:7" x14ac:dyDescent="0.25">
      <c r="A219" t="s">
        <v>725</v>
      </c>
      <c r="B219" t="s">
        <v>724</v>
      </c>
      <c r="C219" t="s">
        <v>1265</v>
      </c>
      <c r="D219" t="s">
        <v>723</v>
      </c>
      <c r="E219">
        <v>13</v>
      </c>
      <c r="F219" t="b" cm="1">
        <f t="array" ref="F219">IFERROR(OR(_xlfn._xlws.FILTER(Table6[companyid FILTER],Table6[companyid]=Table1[[#This Row],[companyid]])),FALSE)</f>
        <v>1</v>
      </c>
      <c r="G219">
        <v>58071</v>
      </c>
    </row>
    <row r="220" spans="1:7" x14ac:dyDescent="0.25">
      <c r="A220" t="s">
        <v>722</v>
      </c>
      <c r="B220" t="s">
        <v>721</v>
      </c>
      <c r="C220" t="s">
        <v>1320</v>
      </c>
      <c r="D220" t="s">
        <v>720</v>
      </c>
      <c r="E220">
        <v>14</v>
      </c>
      <c r="F220" t="b" cm="1">
        <f t="array" ref="F220">IFERROR(OR(_xlfn._xlws.FILTER(Table6[companyid FILTER],Table6[companyid]=Table1[[#This Row],[companyid]])),FALSE)</f>
        <v>1</v>
      </c>
      <c r="G220">
        <v>58142</v>
      </c>
    </row>
    <row r="221" spans="1:7" x14ac:dyDescent="0.25">
      <c r="A221" t="s">
        <v>719</v>
      </c>
      <c r="B221" t="s">
        <v>718</v>
      </c>
      <c r="C221" t="s">
        <v>1263</v>
      </c>
      <c r="D221" t="s">
        <v>717</v>
      </c>
      <c r="E221">
        <v>12</v>
      </c>
      <c r="F221" t="b" cm="1">
        <f t="array" ref="F221">IFERROR(OR(_xlfn._xlws.FILTER(Table6[companyid FILTER],Table6[companyid]=Table1[[#This Row],[companyid]])),FALSE)</f>
        <v>1</v>
      </c>
      <c r="G221">
        <v>117081</v>
      </c>
    </row>
    <row r="222" spans="1:7" x14ac:dyDescent="0.25">
      <c r="A222" t="s">
        <v>715</v>
      </c>
      <c r="B222" t="s">
        <v>716</v>
      </c>
      <c r="C222" t="s">
        <v>1265</v>
      </c>
      <c r="D222" t="s">
        <v>713</v>
      </c>
      <c r="E222">
        <v>26</v>
      </c>
      <c r="F222" t="b" cm="1">
        <f t="array" ref="F222">IFERROR(OR(_xlfn._xlws.FILTER(Table6[companyid FILTER],Table6[companyid]=Table1[[#This Row],[companyid]])),FALSE)</f>
        <v>1</v>
      </c>
      <c r="G222">
        <v>58160</v>
      </c>
    </row>
    <row r="223" spans="1:7" x14ac:dyDescent="0.25">
      <c r="A223" t="s">
        <v>715</v>
      </c>
      <c r="B223" t="s">
        <v>714</v>
      </c>
      <c r="C223" t="s">
        <v>1265</v>
      </c>
      <c r="D223" t="s">
        <v>713</v>
      </c>
      <c r="E223">
        <v>11</v>
      </c>
      <c r="F223" t="b" cm="1">
        <f t="array" ref="F223">IFERROR(OR(_xlfn._xlws.FILTER(Table6[companyid FILTER],Table6[companyid]=Table1[[#This Row],[companyid]])),FALSE)</f>
        <v>1</v>
      </c>
      <c r="G223">
        <v>58160</v>
      </c>
    </row>
    <row r="224" spans="1:7" x14ac:dyDescent="0.25">
      <c r="A224" t="s">
        <v>710</v>
      </c>
      <c r="B224" t="s">
        <v>712</v>
      </c>
      <c r="C224" t="s">
        <v>1321</v>
      </c>
      <c r="D224" t="s">
        <v>711</v>
      </c>
      <c r="E224">
        <v>35</v>
      </c>
      <c r="F224" t="b" cm="1">
        <f t="array" ref="F224">IFERROR(OR(_xlfn._xlws.FILTER(Table6[companyid FILTER],Table6[companyid]=Table1[[#This Row],[companyid]])),FALSE)</f>
        <v>1</v>
      </c>
      <c r="G224">
        <v>58155</v>
      </c>
    </row>
    <row r="225" spans="1:7" x14ac:dyDescent="0.25">
      <c r="A225" t="s">
        <v>710</v>
      </c>
      <c r="B225" t="s">
        <v>709</v>
      </c>
      <c r="C225" t="s">
        <v>1322</v>
      </c>
      <c r="D225" t="s">
        <v>708</v>
      </c>
      <c r="E225">
        <v>22</v>
      </c>
      <c r="F225" t="b" cm="1">
        <f t="array" ref="F225">IFERROR(OR(_xlfn._xlws.FILTER(Table6[companyid FILTER],Table6[companyid]=Table1[[#This Row],[companyid]])),FALSE)</f>
        <v>1</v>
      </c>
      <c r="G225">
        <v>58155</v>
      </c>
    </row>
    <row r="226" spans="1:7" x14ac:dyDescent="0.25">
      <c r="A226" t="s">
        <v>706</v>
      </c>
      <c r="B226" t="s">
        <v>707</v>
      </c>
      <c r="C226" t="s">
        <v>1259</v>
      </c>
      <c r="D226" t="s">
        <v>702</v>
      </c>
      <c r="E226">
        <v>12</v>
      </c>
      <c r="F226" t="b" cm="1">
        <f t="array" ref="F226">IFERROR(OR(_xlfn._xlws.FILTER(Table6[companyid FILTER],Table6[companyid]=Table1[[#This Row],[companyid]])),FALSE)</f>
        <v>1</v>
      </c>
      <c r="G226">
        <v>58079</v>
      </c>
    </row>
    <row r="227" spans="1:7" x14ac:dyDescent="0.25">
      <c r="A227" t="s">
        <v>706</v>
      </c>
      <c r="B227" t="s">
        <v>705</v>
      </c>
      <c r="C227" t="s">
        <v>1274</v>
      </c>
      <c r="D227" t="s">
        <v>702</v>
      </c>
      <c r="E227">
        <v>3</v>
      </c>
      <c r="F227" t="b" cm="1">
        <f t="array" ref="F227">IFERROR(OR(_xlfn._xlws.FILTER(Table6[companyid FILTER],Table6[companyid]=Table1[[#This Row],[companyid]])),FALSE)</f>
        <v>1</v>
      </c>
      <c r="G227">
        <v>58079</v>
      </c>
    </row>
    <row r="228" spans="1:7" x14ac:dyDescent="0.25">
      <c r="A228" t="s">
        <v>690</v>
      </c>
      <c r="B228" t="s">
        <v>689</v>
      </c>
      <c r="C228" t="s">
        <v>1323</v>
      </c>
      <c r="D228" t="s">
        <v>688</v>
      </c>
      <c r="E228">
        <v>46</v>
      </c>
      <c r="F228" t="b" cm="1">
        <f t="array" ref="F228">IFERROR(OR(_xlfn._xlws.FILTER(Table6[companyid FILTER],Table6[companyid]=Table1[[#This Row],[companyid]])),FALSE)</f>
        <v>1</v>
      </c>
      <c r="G228">
        <v>58234</v>
      </c>
    </row>
    <row r="229" spans="1:7" x14ac:dyDescent="0.25">
      <c r="A229" t="s">
        <v>687</v>
      </c>
      <c r="B229" t="s">
        <v>686</v>
      </c>
      <c r="C229" t="s">
        <v>1228</v>
      </c>
      <c r="D229" t="s">
        <v>685</v>
      </c>
      <c r="E229">
        <v>93</v>
      </c>
      <c r="F229" t="b" cm="1">
        <f t="array" ref="F229">IFERROR(OR(_xlfn._xlws.FILTER(Table6[companyid FILTER],Table6[companyid]=Table1[[#This Row],[companyid]])),FALSE)</f>
        <v>1</v>
      </c>
      <c r="G229">
        <v>58227</v>
      </c>
    </row>
    <row r="230" spans="1:7" x14ac:dyDescent="0.25">
      <c r="A230" t="s">
        <v>683</v>
      </c>
      <c r="B230" t="s">
        <v>682</v>
      </c>
      <c r="C230" t="s">
        <v>1252</v>
      </c>
      <c r="D230" t="s">
        <v>684</v>
      </c>
      <c r="E230">
        <v>14</v>
      </c>
      <c r="F230" t="b" cm="1">
        <f t="array" ref="F230">IFERROR(OR(_xlfn._xlws.FILTER(Table6[companyid FILTER],Table6[companyid]=Table1[[#This Row],[companyid]])),FALSE)</f>
        <v>1</v>
      </c>
      <c r="G230">
        <v>58246</v>
      </c>
    </row>
    <row r="231" spans="1:7" x14ac:dyDescent="0.25">
      <c r="A231" t="s">
        <v>683</v>
      </c>
      <c r="B231" t="s">
        <v>682</v>
      </c>
      <c r="C231" t="s">
        <v>1252</v>
      </c>
      <c r="D231" t="s">
        <v>681</v>
      </c>
      <c r="E231">
        <v>8</v>
      </c>
      <c r="F231" t="b" cm="1">
        <f t="array" ref="F231">IFERROR(OR(_xlfn._xlws.FILTER(Table6[companyid FILTER],Table6[companyid]=Table1[[#This Row],[companyid]])),FALSE)</f>
        <v>1</v>
      </c>
      <c r="G231">
        <v>58246</v>
      </c>
    </row>
    <row r="232" spans="1:7" x14ac:dyDescent="0.25">
      <c r="A232" t="s">
        <v>675</v>
      </c>
      <c r="B232" t="s">
        <v>674</v>
      </c>
      <c r="C232" t="s">
        <v>1324</v>
      </c>
      <c r="D232" t="s">
        <v>673</v>
      </c>
      <c r="E232">
        <v>52</v>
      </c>
      <c r="F232" t="b" cm="1">
        <f t="array" ref="F232">IFERROR(OR(_xlfn._xlws.FILTER(Table6[companyid FILTER],Table6[companyid]=Table1[[#This Row],[companyid]])),FALSE)</f>
        <v>1</v>
      </c>
      <c r="G232">
        <v>58202</v>
      </c>
    </row>
  </sheetData>
  <protectedRanges>
    <protectedRange sqref="D203:D261" name="Addresses"/>
  </protectedRanges>
  <phoneticPr fontId="31" type="noConversion"/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E9534-044C-4480-98C9-998C28F59448}">
  <sheetPr codeName="Sheet9"/>
  <dimension ref="A1:AU315"/>
  <sheetViews>
    <sheetView workbookViewId="0">
      <selection activeCell="G1" sqref="G1"/>
    </sheetView>
  </sheetViews>
  <sheetFormatPr defaultRowHeight="15" x14ac:dyDescent="0.25"/>
  <cols>
    <col min="1" max="1" width="13" bestFit="1" customWidth="1"/>
    <col min="2" max="2" width="24" bestFit="1" customWidth="1"/>
    <col min="3" max="3" width="15.7109375" bestFit="1" customWidth="1"/>
    <col min="4" max="4" width="32.140625" style="46" bestFit="1" customWidth="1"/>
    <col min="5" max="5" width="28.28515625" style="122" bestFit="1" customWidth="1"/>
    <col min="46" max="46" width="13.85546875" bestFit="1" customWidth="1"/>
    <col min="48" max="48" width="14.85546875" bestFit="1" customWidth="1"/>
  </cols>
  <sheetData>
    <row r="1" spans="1:47" s="1" customFormat="1" ht="15.75" thickBot="1" x14ac:dyDescent="0.3">
      <c r="A1" s="1" t="s">
        <v>433</v>
      </c>
      <c r="B1" s="124" t="s">
        <v>561</v>
      </c>
      <c r="C1" s="110" t="s">
        <v>562</v>
      </c>
      <c r="D1" s="120" t="s">
        <v>563</v>
      </c>
      <c r="E1" s="120" t="s">
        <v>657</v>
      </c>
      <c r="F1" s="1" t="s">
        <v>660</v>
      </c>
      <c r="G1" s="124" t="s">
        <v>659</v>
      </c>
      <c r="H1" s="110" t="s">
        <v>564</v>
      </c>
      <c r="I1" s="110" t="s">
        <v>668</v>
      </c>
      <c r="J1" s="110" t="s">
        <v>669</v>
      </c>
      <c r="K1" s="1" t="s">
        <v>667</v>
      </c>
      <c r="L1" s="1" t="s">
        <v>666</v>
      </c>
      <c r="M1" s="1" t="s">
        <v>665</v>
      </c>
      <c r="N1" s="1" t="s">
        <v>663</v>
      </c>
      <c r="O1" s="1" t="s">
        <v>664</v>
      </c>
    </row>
    <row r="2" spans="1:47" ht="15.75" thickTop="1" x14ac:dyDescent="0.25">
      <c r="A2">
        <v>57819</v>
      </c>
      <c r="B2" t="s">
        <v>565</v>
      </c>
      <c r="C2" t="s">
        <v>583</v>
      </c>
      <c r="D2" s="46" t="s">
        <v>631</v>
      </c>
      <c r="E2" s="122">
        <v>76309</v>
      </c>
      <c r="F2" t="b">
        <f>IFERROR(Table6[[#This Row],[companyid]]=Sheet3!$N$20,TRUE)</f>
        <v>1</v>
      </c>
      <c r="G2" t="b">
        <f>OR(Worksheet!$D$5="",Worksheet!$D$5=Table6[[#This Row],[categoryname]])</f>
        <v>1</v>
      </c>
      <c r="H2" t="b">
        <f>OR(Worksheet!$D$7="",Worksheet!$D$7=Table6[[#This Row],[Manufacturer]])</f>
        <v>1</v>
      </c>
      <c r="I2" t="b">
        <f>OR(Worksheet!$G$7="",Worksheet!$G$7=Table6[[#This Row],[Model No.]])</f>
        <v>1</v>
      </c>
      <c r="J2" t="b">
        <f>OR(Worksheet!$D$8="",Worksheet!$D$8=Table6[[#This Row],[Serial No.]])</f>
        <v>1</v>
      </c>
      <c r="K2" t="b">
        <f>AND(Table6[[#This Row],[categoryname2]:[SN2]])</f>
        <v>1</v>
      </c>
      <c r="L2" t="b">
        <f>AND(Table6[[#This Row],[companyid2]],Table6[[#This Row],[Manufacturer2]:[SN2]])</f>
        <v>1</v>
      </c>
      <c r="M2" t="b">
        <f>AND(Table6[[#This Row],[companyid2]:[categoryname2]],Table6[[#This Row],[Model2]:[SN2]])</f>
        <v>1</v>
      </c>
      <c r="N2" t="b">
        <f>AND(Table6[[#This Row],[companyid2]:[Manufacturer2]],Table6[[#This Row],[SN2]])</f>
        <v>1</v>
      </c>
      <c r="O2" t="b">
        <f>AND(Table6[[#This Row],[companyid2]:[Model2]])</f>
        <v>1</v>
      </c>
      <c r="AS2" s="33"/>
    </row>
    <row r="3" spans="1:47" x14ac:dyDescent="0.25">
      <c r="A3">
        <v>58221</v>
      </c>
      <c r="B3" t="s">
        <v>565</v>
      </c>
      <c r="C3" t="s">
        <v>1086</v>
      </c>
      <c r="D3" s="46">
        <v>2</v>
      </c>
      <c r="E3" s="121">
        <v>10549</v>
      </c>
      <c r="F3" t="b">
        <f>IFERROR(Table6[[#This Row],[companyid]]=Sheet3!$N$20,TRUE)</f>
        <v>1</v>
      </c>
      <c r="G3" t="b">
        <f>OR(Worksheet!$D$5="",Worksheet!$D$5=Table6[[#This Row],[categoryname]])</f>
        <v>1</v>
      </c>
      <c r="H3" t="b">
        <f>OR(Worksheet!$D$7="",Worksheet!$D$7=Table6[[#This Row],[Manufacturer]])</f>
        <v>1</v>
      </c>
      <c r="I3" t="b">
        <f>OR(Worksheet!$G$7="",Worksheet!$G$7=Table6[[#This Row],[Model No.]])</f>
        <v>1</v>
      </c>
      <c r="J3" t="b">
        <f>OR(Worksheet!$D$8="",Worksheet!$D$8=Table6[[#This Row],[Serial No.]])</f>
        <v>1</v>
      </c>
      <c r="K3" t="b">
        <f>AND(Table6[[#This Row],[categoryname2]:[SN2]])</f>
        <v>1</v>
      </c>
      <c r="L3" t="b">
        <f>AND(Table6[[#This Row],[companyid2]],Table6[[#This Row],[Manufacturer2]:[SN2]])</f>
        <v>1</v>
      </c>
      <c r="M3" t="b">
        <f>AND(Table6[[#This Row],[companyid2]:[categoryname2]],Table6[[#This Row],[Model2]:[SN2]])</f>
        <v>1</v>
      </c>
      <c r="N3" t="b">
        <f>AND(Table6[[#This Row],[companyid2]:[Manufacturer2]],Table6[[#This Row],[SN2]])</f>
        <v>1</v>
      </c>
      <c r="O3" t="b">
        <f>AND(Table6[[#This Row],[companyid2]:[Model2]])</f>
        <v>1</v>
      </c>
      <c r="AH3" s="105"/>
    </row>
    <row r="4" spans="1:47" x14ac:dyDescent="0.25">
      <c r="A4">
        <v>57481</v>
      </c>
      <c r="B4" t="s">
        <v>565</v>
      </c>
      <c r="C4" t="s">
        <v>1086</v>
      </c>
      <c r="D4" s="46" t="s">
        <v>1175</v>
      </c>
      <c r="E4" s="121">
        <v>60413007</v>
      </c>
      <c r="F4" t="b">
        <f>IFERROR(Table6[[#This Row],[companyid]]=Sheet3!$N$20,TRUE)</f>
        <v>1</v>
      </c>
      <c r="G4" t="b">
        <f>OR(Worksheet!$D$5="",Worksheet!$D$5=Table6[[#This Row],[categoryname]])</f>
        <v>1</v>
      </c>
      <c r="H4" t="b">
        <f>OR(Worksheet!$D$7="",Worksheet!$D$7=Table6[[#This Row],[Manufacturer]])</f>
        <v>1</v>
      </c>
      <c r="I4" t="b">
        <f>OR(Worksheet!$G$7="",Worksheet!$G$7=Table6[[#This Row],[Model No.]])</f>
        <v>1</v>
      </c>
      <c r="J4" t="b">
        <f>OR(Worksheet!$D$8="",Worksheet!$D$8=Table6[[#This Row],[Serial No.]])</f>
        <v>1</v>
      </c>
      <c r="K4" t="b">
        <f>AND(Table6[[#This Row],[categoryname2]:[SN2]])</f>
        <v>1</v>
      </c>
      <c r="L4" t="b">
        <f>AND(Table6[[#This Row],[companyid2]],Table6[[#This Row],[Manufacturer2]:[SN2]])</f>
        <v>1</v>
      </c>
      <c r="M4" t="b">
        <f>AND(Table6[[#This Row],[companyid2]:[categoryname2]],Table6[[#This Row],[Model2]:[SN2]])</f>
        <v>1</v>
      </c>
      <c r="N4" t="b">
        <f>AND(Table6[[#This Row],[companyid2]:[Manufacturer2]],Table6[[#This Row],[SN2]])</f>
        <v>1</v>
      </c>
      <c r="O4" t="b">
        <f>AND(Table6[[#This Row],[companyid2]:[Model2]])</f>
        <v>1</v>
      </c>
      <c r="AS4" s="33"/>
    </row>
    <row r="5" spans="1:47" x14ac:dyDescent="0.25">
      <c r="A5">
        <v>57961</v>
      </c>
      <c r="B5" t="s">
        <v>565</v>
      </c>
      <c r="C5" t="s">
        <v>577</v>
      </c>
      <c r="D5" s="46" t="s">
        <v>1047</v>
      </c>
      <c r="E5" s="121">
        <v>34497</v>
      </c>
      <c r="F5" t="b">
        <f>IFERROR(Table6[[#This Row],[companyid]]=Sheet3!$N$20,TRUE)</f>
        <v>1</v>
      </c>
      <c r="G5" t="b">
        <f>OR(Worksheet!$D$5="",Worksheet!$D$5=Table6[[#This Row],[categoryname]])</f>
        <v>1</v>
      </c>
      <c r="H5" t="b">
        <f>OR(Worksheet!$D$7="",Worksheet!$D$7=Table6[[#This Row],[Manufacturer]])</f>
        <v>1</v>
      </c>
      <c r="I5" t="b">
        <f>OR(Worksheet!$G$7="",Worksheet!$G$7=Table6[[#This Row],[Model No.]])</f>
        <v>1</v>
      </c>
      <c r="J5" t="b">
        <f>OR(Worksheet!$D$8="",Worksheet!$D$8=Table6[[#This Row],[Serial No.]])</f>
        <v>1</v>
      </c>
      <c r="K5" t="b">
        <f>AND(Table6[[#This Row],[categoryname2]:[SN2]])</f>
        <v>1</v>
      </c>
      <c r="L5" t="b">
        <f>AND(Table6[[#This Row],[companyid2]],Table6[[#This Row],[Manufacturer2]:[SN2]])</f>
        <v>1</v>
      </c>
      <c r="M5" t="b">
        <f>AND(Table6[[#This Row],[companyid2]:[categoryname2]],Table6[[#This Row],[Model2]:[SN2]])</f>
        <v>1</v>
      </c>
      <c r="N5" t="b">
        <f>AND(Table6[[#This Row],[companyid2]:[Manufacturer2]],Table6[[#This Row],[SN2]])</f>
        <v>1</v>
      </c>
      <c r="O5" t="b">
        <f>AND(Table6[[#This Row],[companyid2]:[Model2]])</f>
        <v>1</v>
      </c>
      <c r="AS5" s="33"/>
      <c r="AU5" s="33"/>
    </row>
    <row r="6" spans="1:47" x14ac:dyDescent="0.25">
      <c r="A6">
        <v>57096</v>
      </c>
      <c r="B6" t="s">
        <v>565</v>
      </c>
      <c r="C6" t="s">
        <v>577</v>
      </c>
      <c r="D6" s="46" t="s">
        <v>1047</v>
      </c>
      <c r="E6" s="121">
        <v>38099</v>
      </c>
      <c r="F6" t="b">
        <f>IFERROR(Table6[[#This Row],[companyid]]=Sheet3!$N$20,TRUE)</f>
        <v>1</v>
      </c>
      <c r="G6" t="b">
        <f>OR(Worksheet!$D$5="",Worksheet!$D$5=Table6[[#This Row],[categoryname]])</f>
        <v>1</v>
      </c>
      <c r="H6" t="b">
        <f>OR(Worksheet!$D$7="",Worksheet!$D$7=Table6[[#This Row],[Manufacturer]])</f>
        <v>1</v>
      </c>
      <c r="I6" t="b">
        <f>OR(Worksheet!$G$7="",Worksheet!$G$7=Table6[[#This Row],[Model No.]])</f>
        <v>1</v>
      </c>
      <c r="J6" t="b">
        <f>OR(Worksheet!$D$8="",Worksheet!$D$8=Table6[[#This Row],[Serial No.]])</f>
        <v>1</v>
      </c>
      <c r="K6" t="b">
        <f>AND(Table6[[#This Row],[categoryname2]:[SN2]])</f>
        <v>1</v>
      </c>
      <c r="L6" t="b">
        <f>AND(Table6[[#This Row],[companyid2]],Table6[[#This Row],[Manufacturer2]:[SN2]])</f>
        <v>1</v>
      </c>
      <c r="M6" t="b">
        <f>AND(Table6[[#This Row],[companyid2]:[categoryname2]],Table6[[#This Row],[Model2]:[SN2]])</f>
        <v>1</v>
      </c>
      <c r="N6" t="b">
        <f>AND(Table6[[#This Row],[companyid2]:[Manufacturer2]],Table6[[#This Row],[SN2]])</f>
        <v>1</v>
      </c>
      <c r="O6" t="b">
        <f>AND(Table6[[#This Row],[companyid2]:[Model2]])</f>
        <v>1</v>
      </c>
      <c r="AS6" s="33"/>
    </row>
    <row r="7" spans="1:47" x14ac:dyDescent="0.25">
      <c r="A7">
        <v>57096</v>
      </c>
      <c r="B7" t="s">
        <v>565</v>
      </c>
      <c r="C7" t="s">
        <v>577</v>
      </c>
      <c r="D7" s="46" t="s">
        <v>1047</v>
      </c>
      <c r="E7" s="121">
        <v>38699</v>
      </c>
      <c r="F7" t="b">
        <f>IFERROR(Table6[[#This Row],[companyid]]=Sheet3!$N$20,TRUE)</f>
        <v>1</v>
      </c>
      <c r="G7" t="b">
        <f>OR(Worksheet!$D$5="",Worksheet!$D$5=Table6[[#This Row],[categoryname]])</f>
        <v>1</v>
      </c>
      <c r="H7" t="b">
        <f>OR(Worksheet!$D$7="",Worksheet!$D$7=Table6[[#This Row],[Manufacturer]])</f>
        <v>1</v>
      </c>
      <c r="I7" t="b">
        <f>OR(Worksheet!$G$7="",Worksheet!$G$7=Table6[[#This Row],[Model No.]])</f>
        <v>1</v>
      </c>
      <c r="J7" t="b">
        <f>OR(Worksheet!$D$8="",Worksheet!$D$8=Table6[[#This Row],[Serial No.]])</f>
        <v>1</v>
      </c>
      <c r="K7" t="b">
        <f>AND(Table6[[#This Row],[categoryname2]:[SN2]])</f>
        <v>1</v>
      </c>
      <c r="L7" t="b">
        <f>AND(Table6[[#This Row],[companyid2]],Table6[[#This Row],[Manufacturer2]:[SN2]])</f>
        <v>1</v>
      </c>
      <c r="M7" t="b">
        <f>AND(Table6[[#This Row],[companyid2]:[categoryname2]],Table6[[#This Row],[Model2]:[SN2]])</f>
        <v>1</v>
      </c>
      <c r="N7" t="b">
        <f>AND(Table6[[#This Row],[companyid2]:[Manufacturer2]],Table6[[#This Row],[SN2]])</f>
        <v>1</v>
      </c>
      <c r="O7" t="b">
        <f>AND(Table6[[#This Row],[companyid2]:[Model2]])</f>
        <v>1</v>
      </c>
      <c r="AS7" s="33"/>
    </row>
    <row r="8" spans="1:47" x14ac:dyDescent="0.25">
      <c r="A8">
        <v>57097</v>
      </c>
      <c r="B8" t="s">
        <v>565</v>
      </c>
      <c r="C8" t="s">
        <v>577</v>
      </c>
      <c r="D8" s="46" t="s">
        <v>1047</v>
      </c>
      <c r="E8" s="121">
        <v>39000</v>
      </c>
      <c r="F8" t="b">
        <f>IFERROR(Table6[[#This Row],[companyid]]=Sheet3!$N$20,TRUE)</f>
        <v>1</v>
      </c>
      <c r="G8" t="b">
        <f>OR(Worksheet!$D$5="",Worksheet!$D$5=Table6[[#This Row],[categoryname]])</f>
        <v>1</v>
      </c>
      <c r="H8" t="b">
        <f>OR(Worksheet!$D$7="",Worksheet!$D$7=Table6[[#This Row],[Manufacturer]])</f>
        <v>1</v>
      </c>
      <c r="I8" t="b">
        <f>OR(Worksheet!$G$7="",Worksheet!$G$7=Table6[[#This Row],[Model No.]])</f>
        <v>1</v>
      </c>
      <c r="J8" t="b">
        <f>OR(Worksheet!$D$8="",Worksheet!$D$8=Table6[[#This Row],[Serial No.]])</f>
        <v>1</v>
      </c>
      <c r="K8" t="b">
        <f>AND(Table6[[#This Row],[categoryname2]:[SN2]])</f>
        <v>1</v>
      </c>
      <c r="L8" t="b">
        <f>AND(Table6[[#This Row],[companyid2]],Table6[[#This Row],[Manufacturer2]:[SN2]])</f>
        <v>1</v>
      </c>
      <c r="M8" t="b">
        <f>AND(Table6[[#This Row],[companyid2]:[categoryname2]],Table6[[#This Row],[Model2]:[SN2]])</f>
        <v>1</v>
      </c>
      <c r="N8" t="b">
        <f>AND(Table6[[#This Row],[companyid2]:[Manufacturer2]],Table6[[#This Row],[SN2]])</f>
        <v>1</v>
      </c>
      <c r="O8" t="b">
        <f>AND(Table6[[#This Row],[companyid2]:[Model2]])</f>
        <v>1</v>
      </c>
      <c r="AS8" s="33"/>
    </row>
    <row r="9" spans="1:47" x14ac:dyDescent="0.25">
      <c r="A9">
        <v>57119</v>
      </c>
      <c r="B9" t="s">
        <v>565</v>
      </c>
      <c r="C9" t="s">
        <v>577</v>
      </c>
      <c r="D9" s="46" t="s">
        <v>1047</v>
      </c>
      <c r="E9" s="121">
        <v>39200</v>
      </c>
      <c r="F9" t="b">
        <f>IFERROR(Table6[[#This Row],[companyid]]=Sheet3!$N$20,TRUE)</f>
        <v>1</v>
      </c>
      <c r="G9" t="b">
        <f>OR(Worksheet!$D$5="",Worksheet!$D$5=Table6[[#This Row],[categoryname]])</f>
        <v>1</v>
      </c>
      <c r="H9" t="b">
        <f>OR(Worksheet!$D$7="",Worksheet!$D$7=Table6[[#This Row],[Manufacturer]])</f>
        <v>1</v>
      </c>
      <c r="I9" t="b">
        <f>OR(Worksheet!$G$7="",Worksheet!$G$7=Table6[[#This Row],[Model No.]])</f>
        <v>1</v>
      </c>
      <c r="J9" t="b">
        <f>OR(Worksheet!$D$8="",Worksheet!$D$8=Table6[[#This Row],[Serial No.]])</f>
        <v>1</v>
      </c>
      <c r="K9" t="b">
        <f>AND(Table6[[#This Row],[categoryname2]:[SN2]])</f>
        <v>1</v>
      </c>
      <c r="L9" t="b">
        <f>AND(Table6[[#This Row],[companyid2]],Table6[[#This Row],[Manufacturer2]:[SN2]])</f>
        <v>1</v>
      </c>
      <c r="M9" t="b">
        <f>AND(Table6[[#This Row],[companyid2]:[categoryname2]],Table6[[#This Row],[Model2]:[SN2]])</f>
        <v>1</v>
      </c>
      <c r="N9" t="b">
        <f>AND(Table6[[#This Row],[companyid2]:[Manufacturer2]],Table6[[#This Row],[SN2]])</f>
        <v>1</v>
      </c>
      <c r="O9" t="b">
        <f>AND(Table6[[#This Row],[companyid2]:[Model2]])</f>
        <v>1</v>
      </c>
      <c r="AH9" s="105"/>
      <c r="AS9" s="33"/>
    </row>
    <row r="10" spans="1:47" x14ac:dyDescent="0.25">
      <c r="A10">
        <v>57462</v>
      </c>
      <c r="B10" t="s">
        <v>565</v>
      </c>
      <c r="C10" t="s">
        <v>577</v>
      </c>
      <c r="D10" s="46" t="s">
        <v>1047</v>
      </c>
      <c r="E10" s="121">
        <v>45505</v>
      </c>
      <c r="F10" t="b">
        <f>IFERROR(Table6[[#This Row],[companyid]]=Sheet3!$N$20,TRUE)</f>
        <v>1</v>
      </c>
      <c r="G10" t="b">
        <f>OR(Worksheet!$D$5="",Worksheet!$D$5=Table6[[#This Row],[categoryname]])</f>
        <v>1</v>
      </c>
      <c r="H10" t="b">
        <f>OR(Worksheet!$D$7="",Worksheet!$D$7=Table6[[#This Row],[Manufacturer]])</f>
        <v>1</v>
      </c>
      <c r="I10" t="b">
        <f>OR(Worksheet!$G$7="",Worksheet!$G$7=Table6[[#This Row],[Model No.]])</f>
        <v>1</v>
      </c>
      <c r="J10" t="b">
        <f>OR(Worksheet!$D$8="",Worksheet!$D$8=Table6[[#This Row],[Serial No.]])</f>
        <v>1</v>
      </c>
      <c r="K10" t="b">
        <f>AND(Table6[[#This Row],[categoryname2]:[SN2]])</f>
        <v>1</v>
      </c>
      <c r="L10" t="b">
        <f>AND(Table6[[#This Row],[companyid2]],Table6[[#This Row],[Manufacturer2]:[SN2]])</f>
        <v>1</v>
      </c>
      <c r="M10" t="b">
        <f>AND(Table6[[#This Row],[companyid2]:[categoryname2]],Table6[[#This Row],[Model2]:[SN2]])</f>
        <v>1</v>
      </c>
      <c r="N10" t="b">
        <f>AND(Table6[[#This Row],[companyid2]:[Manufacturer2]],Table6[[#This Row],[SN2]])</f>
        <v>1</v>
      </c>
      <c r="O10" t="b">
        <f>AND(Table6[[#This Row],[companyid2]:[Model2]])</f>
        <v>1</v>
      </c>
      <c r="AS10" s="33"/>
    </row>
    <row r="11" spans="1:47" x14ac:dyDescent="0.25">
      <c r="A11">
        <v>57248</v>
      </c>
      <c r="B11" t="s">
        <v>565</v>
      </c>
      <c r="C11" t="s">
        <v>577</v>
      </c>
      <c r="D11" s="46" t="s">
        <v>578</v>
      </c>
      <c r="E11" s="121">
        <v>7196</v>
      </c>
      <c r="F11" t="b">
        <f>IFERROR(Table6[[#This Row],[companyid]]=Sheet3!$N$20,TRUE)</f>
        <v>1</v>
      </c>
      <c r="G11" t="b">
        <f>OR(Worksheet!$D$5="",Worksheet!$D$5=Table6[[#This Row],[categoryname]])</f>
        <v>1</v>
      </c>
      <c r="H11" t="b">
        <f>OR(Worksheet!$D$7="",Worksheet!$D$7=Table6[[#This Row],[Manufacturer]])</f>
        <v>1</v>
      </c>
      <c r="I11" t="b">
        <f>OR(Worksheet!$G$7="",Worksheet!$G$7=Table6[[#This Row],[Model No.]])</f>
        <v>1</v>
      </c>
      <c r="J11" t="b">
        <f>OR(Worksheet!$D$8="",Worksheet!$D$8=Table6[[#This Row],[Serial No.]])</f>
        <v>1</v>
      </c>
      <c r="K11" t="b">
        <f>AND(Table6[[#This Row],[categoryname2]:[SN2]])</f>
        <v>1</v>
      </c>
      <c r="L11" t="b">
        <f>AND(Table6[[#This Row],[companyid2]],Table6[[#This Row],[Manufacturer2]:[SN2]])</f>
        <v>1</v>
      </c>
      <c r="M11" t="b">
        <f>AND(Table6[[#This Row],[companyid2]:[categoryname2]],Table6[[#This Row],[Model2]:[SN2]])</f>
        <v>1</v>
      </c>
      <c r="N11" t="b">
        <f>AND(Table6[[#This Row],[companyid2]:[Manufacturer2]],Table6[[#This Row],[SN2]])</f>
        <v>1</v>
      </c>
      <c r="O11" t="b">
        <f>AND(Table6[[#This Row],[companyid2]:[Model2]])</f>
        <v>1</v>
      </c>
      <c r="AS11" s="33"/>
    </row>
    <row r="12" spans="1:47" x14ac:dyDescent="0.25">
      <c r="A12">
        <v>57492</v>
      </c>
      <c r="B12" t="s">
        <v>565</v>
      </c>
      <c r="C12" t="s">
        <v>577</v>
      </c>
      <c r="D12" s="46" t="s">
        <v>578</v>
      </c>
      <c r="E12" s="121">
        <v>7597</v>
      </c>
      <c r="F12" t="b">
        <f>IFERROR(Table6[[#This Row],[companyid]]=Sheet3!$N$20,TRUE)</f>
        <v>1</v>
      </c>
      <c r="G12" t="b">
        <f>OR(Worksheet!$D$5="",Worksheet!$D$5=Table6[[#This Row],[categoryname]])</f>
        <v>1</v>
      </c>
      <c r="H12" t="b">
        <f>OR(Worksheet!$D$7="",Worksheet!$D$7=Table6[[#This Row],[Manufacturer]])</f>
        <v>1</v>
      </c>
      <c r="I12" t="b">
        <f>OR(Worksheet!$G$7="",Worksheet!$G$7=Table6[[#This Row],[Model No.]])</f>
        <v>1</v>
      </c>
      <c r="J12" t="b">
        <f>OR(Worksheet!$D$8="",Worksheet!$D$8=Table6[[#This Row],[Serial No.]])</f>
        <v>1</v>
      </c>
      <c r="K12" t="b">
        <f>AND(Table6[[#This Row],[categoryname2]:[SN2]])</f>
        <v>1</v>
      </c>
      <c r="L12" t="b">
        <f>AND(Table6[[#This Row],[companyid2]],Table6[[#This Row],[Manufacturer2]:[SN2]])</f>
        <v>1</v>
      </c>
      <c r="M12" t="b">
        <f>AND(Table6[[#This Row],[companyid2]:[categoryname2]],Table6[[#This Row],[Model2]:[SN2]])</f>
        <v>1</v>
      </c>
      <c r="N12" t="b">
        <f>AND(Table6[[#This Row],[companyid2]:[Manufacturer2]],Table6[[#This Row],[SN2]])</f>
        <v>1</v>
      </c>
      <c r="O12" t="b">
        <f>AND(Table6[[#This Row],[companyid2]:[Model2]])</f>
        <v>1</v>
      </c>
      <c r="AS12" s="33"/>
    </row>
    <row r="13" spans="1:47" x14ac:dyDescent="0.25">
      <c r="A13">
        <v>57481</v>
      </c>
      <c r="B13" t="s">
        <v>565</v>
      </c>
      <c r="C13" t="s">
        <v>577</v>
      </c>
      <c r="D13" s="46" t="s">
        <v>578</v>
      </c>
      <c r="E13" s="121">
        <v>7799</v>
      </c>
      <c r="F13" t="b">
        <f>IFERROR(Table6[[#This Row],[companyid]]=Sheet3!$N$20,TRUE)</f>
        <v>1</v>
      </c>
      <c r="G13" t="b">
        <f>OR(Worksheet!$D$5="",Worksheet!$D$5=Table6[[#This Row],[categoryname]])</f>
        <v>1</v>
      </c>
      <c r="H13" t="b">
        <f>OR(Worksheet!$D$7="",Worksheet!$D$7=Table6[[#This Row],[Manufacturer]])</f>
        <v>1</v>
      </c>
      <c r="I13" t="b">
        <f>OR(Worksheet!$G$7="",Worksheet!$G$7=Table6[[#This Row],[Model No.]])</f>
        <v>1</v>
      </c>
      <c r="J13" t="b">
        <f>OR(Worksheet!$D$8="",Worksheet!$D$8=Table6[[#This Row],[Serial No.]])</f>
        <v>1</v>
      </c>
      <c r="K13" t="b">
        <f>AND(Table6[[#This Row],[categoryname2]:[SN2]])</f>
        <v>1</v>
      </c>
      <c r="L13" t="b">
        <f>AND(Table6[[#This Row],[companyid2]],Table6[[#This Row],[Manufacturer2]:[SN2]])</f>
        <v>1</v>
      </c>
      <c r="M13" t="b">
        <f>AND(Table6[[#This Row],[companyid2]:[categoryname2]],Table6[[#This Row],[Model2]:[SN2]])</f>
        <v>1</v>
      </c>
      <c r="N13" t="b">
        <f>AND(Table6[[#This Row],[companyid2]:[Manufacturer2]],Table6[[#This Row],[SN2]])</f>
        <v>1</v>
      </c>
      <c r="O13" t="b">
        <f>AND(Table6[[#This Row],[companyid2]:[Model2]])</f>
        <v>1</v>
      </c>
      <c r="AS13" s="33"/>
    </row>
    <row r="14" spans="1:47" x14ac:dyDescent="0.25">
      <c r="A14">
        <v>57221</v>
      </c>
      <c r="B14" t="s">
        <v>565</v>
      </c>
      <c r="C14" t="s">
        <v>566</v>
      </c>
      <c r="D14" s="46" t="s">
        <v>567</v>
      </c>
      <c r="E14" s="122">
        <v>10936</v>
      </c>
      <c r="F14" t="b">
        <f>IFERROR(Table6[[#This Row],[companyid]]=Sheet3!$N$20,TRUE)</f>
        <v>1</v>
      </c>
      <c r="G14" t="b">
        <f>OR(Worksheet!$D$5="",Worksheet!$D$5=Table6[[#This Row],[categoryname]])</f>
        <v>1</v>
      </c>
      <c r="H14" t="b">
        <f>OR(Worksheet!$D$7="",Worksheet!$D$7=Table6[[#This Row],[Manufacturer]])</f>
        <v>1</v>
      </c>
      <c r="I14" t="b">
        <f>OR(Worksheet!$G$7="",Worksheet!$G$7=Table6[[#This Row],[Model No.]])</f>
        <v>1</v>
      </c>
      <c r="J14" t="b">
        <f>OR(Worksheet!$D$8="",Worksheet!$D$8=Table6[[#This Row],[Serial No.]])</f>
        <v>1</v>
      </c>
      <c r="K14" t="b">
        <f>AND(Table6[[#This Row],[categoryname2]:[SN2]])</f>
        <v>1</v>
      </c>
      <c r="L14" t="b">
        <f>AND(Table6[[#This Row],[companyid2]],Table6[[#This Row],[Manufacturer2]:[SN2]])</f>
        <v>1</v>
      </c>
      <c r="M14" t="b">
        <f>AND(Table6[[#This Row],[companyid2]:[categoryname2]],Table6[[#This Row],[Model2]:[SN2]])</f>
        <v>1</v>
      </c>
      <c r="N14" t="b">
        <f>AND(Table6[[#This Row],[companyid2]:[Manufacturer2]],Table6[[#This Row],[SN2]])</f>
        <v>1</v>
      </c>
      <c r="O14" t="b">
        <f>AND(Table6[[#This Row],[companyid2]:[Model2]])</f>
        <v>1</v>
      </c>
      <c r="AS14" s="33"/>
    </row>
    <row r="15" spans="1:47" x14ac:dyDescent="0.25">
      <c r="A15">
        <v>57820</v>
      </c>
      <c r="B15" t="s">
        <v>565</v>
      </c>
      <c r="C15" t="s">
        <v>566</v>
      </c>
      <c r="D15" s="46" t="s">
        <v>567</v>
      </c>
      <c r="E15" s="122">
        <v>13187</v>
      </c>
      <c r="F15" t="b">
        <f>IFERROR(Table6[[#This Row],[companyid]]=Sheet3!$N$20,TRUE)</f>
        <v>1</v>
      </c>
      <c r="G15" t="b">
        <f>OR(Worksheet!$D$5="",Worksheet!$D$5=Table6[[#This Row],[categoryname]])</f>
        <v>1</v>
      </c>
      <c r="H15" t="b">
        <f>OR(Worksheet!$D$7="",Worksheet!$D$7=Table6[[#This Row],[Manufacturer]])</f>
        <v>1</v>
      </c>
      <c r="I15" t="b">
        <f>OR(Worksheet!$G$7="",Worksheet!$G$7=Table6[[#This Row],[Model No.]])</f>
        <v>1</v>
      </c>
      <c r="J15" t="b">
        <f>OR(Worksheet!$D$8="",Worksheet!$D$8=Table6[[#This Row],[Serial No.]])</f>
        <v>1</v>
      </c>
      <c r="K15" t="b">
        <f>AND(Table6[[#This Row],[categoryname2]:[SN2]])</f>
        <v>1</v>
      </c>
      <c r="L15" t="b">
        <f>AND(Table6[[#This Row],[companyid2]],Table6[[#This Row],[Manufacturer2]:[SN2]])</f>
        <v>1</v>
      </c>
      <c r="M15" t="b">
        <f>AND(Table6[[#This Row],[companyid2]:[categoryname2]],Table6[[#This Row],[Model2]:[SN2]])</f>
        <v>1</v>
      </c>
      <c r="N15" t="b">
        <f>AND(Table6[[#This Row],[companyid2]:[Manufacturer2]],Table6[[#This Row],[SN2]])</f>
        <v>1</v>
      </c>
      <c r="O15" t="b">
        <f>AND(Table6[[#This Row],[companyid2]:[Model2]])</f>
        <v>1</v>
      </c>
      <c r="AS15" s="33"/>
    </row>
    <row r="16" spans="1:47" x14ac:dyDescent="0.25">
      <c r="A16">
        <v>57461</v>
      </c>
      <c r="B16" t="s">
        <v>565</v>
      </c>
      <c r="C16" t="s">
        <v>566</v>
      </c>
      <c r="D16" s="46" t="s">
        <v>567</v>
      </c>
      <c r="E16" s="122">
        <v>13205</v>
      </c>
      <c r="F16" t="b">
        <f>IFERROR(Table6[[#This Row],[companyid]]=Sheet3!$N$20,TRUE)</f>
        <v>1</v>
      </c>
      <c r="G16" t="b">
        <f>OR(Worksheet!$D$5="",Worksheet!$D$5=Table6[[#This Row],[categoryname]])</f>
        <v>1</v>
      </c>
      <c r="H16" t="b">
        <f>OR(Worksheet!$D$7="",Worksheet!$D$7=Table6[[#This Row],[Manufacturer]])</f>
        <v>1</v>
      </c>
      <c r="I16" t="b">
        <f>OR(Worksheet!$G$7="",Worksheet!$G$7=Table6[[#This Row],[Model No.]])</f>
        <v>1</v>
      </c>
      <c r="J16" t="b">
        <f>OR(Worksheet!$D$8="",Worksheet!$D$8=Table6[[#This Row],[Serial No.]])</f>
        <v>1</v>
      </c>
      <c r="K16" t="b">
        <f>AND(Table6[[#This Row],[categoryname2]:[SN2]])</f>
        <v>1</v>
      </c>
      <c r="L16" t="b">
        <f>AND(Table6[[#This Row],[companyid2]],Table6[[#This Row],[Manufacturer2]:[SN2]])</f>
        <v>1</v>
      </c>
      <c r="M16" t="b">
        <f>AND(Table6[[#This Row],[companyid2]:[categoryname2]],Table6[[#This Row],[Model2]:[SN2]])</f>
        <v>1</v>
      </c>
      <c r="N16" t="b">
        <f>AND(Table6[[#This Row],[companyid2]:[Manufacturer2]],Table6[[#This Row],[SN2]])</f>
        <v>1</v>
      </c>
      <c r="O16" t="b">
        <f>AND(Table6[[#This Row],[companyid2]:[Model2]])</f>
        <v>1</v>
      </c>
      <c r="AS16" s="33"/>
    </row>
    <row r="17" spans="1:47" x14ac:dyDescent="0.25">
      <c r="A17">
        <v>57461</v>
      </c>
      <c r="B17" t="s">
        <v>565</v>
      </c>
      <c r="C17" t="s">
        <v>566</v>
      </c>
      <c r="D17" s="46" t="s">
        <v>567</v>
      </c>
      <c r="E17" s="122">
        <v>14301</v>
      </c>
      <c r="F17" t="b">
        <f>IFERROR(Table6[[#This Row],[companyid]]=Sheet3!$N$20,TRUE)</f>
        <v>1</v>
      </c>
      <c r="G17" t="b">
        <f>OR(Worksheet!$D$5="",Worksheet!$D$5=Table6[[#This Row],[categoryname]])</f>
        <v>1</v>
      </c>
      <c r="H17" t="b">
        <f>OR(Worksheet!$D$7="",Worksheet!$D$7=Table6[[#This Row],[Manufacturer]])</f>
        <v>1</v>
      </c>
      <c r="I17" t="b">
        <f>OR(Worksheet!$G$7="",Worksheet!$G$7=Table6[[#This Row],[Model No.]])</f>
        <v>1</v>
      </c>
      <c r="J17" t="b">
        <f>OR(Worksheet!$D$8="",Worksheet!$D$8=Table6[[#This Row],[Serial No.]])</f>
        <v>1</v>
      </c>
      <c r="K17" t="b">
        <f>AND(Table6[[#This Row],[categoryname2]:[SN2]])</f>
        <v>1</v>
      </c>
      <c r="L17" t="b">
        <f>AND(Table6[[#This Row],[companyid2]],Table6[[#This Row],[Manufacturer2]:[SN2]])</f>
        <v>1</v>
      </c>
      <c r="M17" t="b">
        <f>AND(Table6[[#This Row],[companyid2]:[categoryname2]],Table6[[#This Row],[Model2]:[SN2]])</f>
        <v>1</v>
      </c>
      <c r="N17" t="b">
        <f>AND(Table6[[#This Row],[companyid2]:[Manufacturer2]],Table6[[#This Row],[SN2]])</f>
        <v>1</v>
      </c>
      <c r="O17" t="b">
        <f>AND(Table6[[#This Row],[companyid2]:[Model2]])</f>
        <v>1</v>
      </c>
      <c r="AS17" s="33"/>
    </row>
    <row r="18" spans="1:47" x14ac:dyDescent="0.25">
      <c r="A18">
        <v>57421</v>
      </c>
      <c r="B18" t="s">
        <v>565</v>
      </c>
      <c r="C18" t="s">
        <v>566</v>
      </c>
      <c r="D18" s="46" t="s">
        <v>567</v>
      </c>
      <c r="E18" s="122">
        <v>14326</v>
      </c>
      <c r="F18" t="b">
        <f>IFERROR(Table6[[#This Row],[companyid]]=Sheet3!$N$20,TRUE)</f>
        <v>1</v>
      </c>
      <c r="G18" t="b">
        <f>OR(Worksheet!$D$5="",Worksheet!$D$5=Table6[[#This Row],[categoryname]])</f>
        <v>1</v>
      </c>
      <c r="H18" t="b">
        <f>OR(Worksheet!$D$7="",Worksheet!$D$7=Table6[[#This Row],[Manufacturer]])</f>
        <v>1</v>
      </c>
      <c r="I18" t="b">
        <f>OR(Worksheet!$G$7="",Worksheet!$G$7=Table6[[#This Row],[Model No.]])</f>
        <v>1</v>
      </c>
      <c r="J18" t="b">
        <f>OR(Worksheet!$D$8="",Worksheet!$D$8=Table6[[#This Row],[Serial No.]])</f>
        <v>1</v>
      </c>
      <c r="K18" t="b">
        <f>AND(Table6[[#This Row],[categoryname2]:[SN2]])</f>
        <v>1</v>
      </c>
      <c r="L18" t="b">
        <f>AND(Table6[[#This Row],[companyid2]],Table6[[#This Row],[Manufacturer2]:[SN2]])</f>
        <v>1</v>
      </c>
      <c r="M18" t="b">
        <f>AND(Table6[[#This Row],[companyid2]:[categoryname2]],Table6[[#This Row],[Model2]:[SN2]])</f>
        <v>1</v>
      </c>
      <c r="N18" t="b">
        <f>AND(Table6[[#This Row],[companyid2]:[Manufacturer2]],Table6[[#This Row],[SN2]])</f>
        <v>1</v>
      </c>
      <c r="O18" t="b">
        <f>AND(Table6[[#This Row],[companyid2]:[Model2]])</f>
        <v>1</v>
      </c>
      <c r="AH18" s="105"/>
    </row>
    <row r="19" spans="1:47" x14ac:dyDescent="0.25">
      <c r="A19">
        <v>58078</v>
      </c>
      <c r="B19" t="s">
        <v>565</v>
      </c>
      <c r="C19" t="s">
        <v>566</v>
      </c>
      <c r="D19" s="46" t="s">
        <v>567</v>
      </c>
      <c r="E19" s="122">
        <v>14358</v>
      </c>
      <c r="F19" t="b">
        <f>IFERROR(Table6[[#This Row],[companyid]]=Sheet3!$N$20,TRUE)</f>
        <v>1</v>
      </c>
      <c r="G19" t="b">
        <f>OR(Worksheet!$D$5="",Worksheet!$D$5=Table6[[#This Row],[categoryname]])</f>
        <v>1</v>
      </c>
      <c r="H19" t="b">
        <f>OR(Worksheet!$D$7="",Worksheet!$D$7=Table6[[#This Row],[Manufacturer]])</f>
        <v>1</v>
      </c>
      <c r="I19" t="b">
        <f>OR(Worksheet!$G$7="",Worksheet!$G$7=Table6[[#This Row],[Model No.]])</f>
        <v>1</v>
      </c>
      <c r="J19" t="b">
        <f>OR(Worksheet!$D$8="",Worksheet!$D$8=Table6[[#This Row],[Serial No.]])</f>
        <v>1</v>
      </c>
      <c r="K19" t="b">
        <f>AND(Table6[[#This Row],[categoryname2]:[SN2]])</f>
        <v>1</v>
      </c>
      <c r="L19" t="b">
        <f>AND(Table6[[#This Row],[companyid2]],Table6[[#This Row],[Manufacturer2]:[SN2]])</f>
        <v>1</v>
      </c>
      <c r="M19" t="b">
        <f>AND(Table6[[#This Row],[companyid2]:[categoryname2]],Table6[[#This Row],[Model2]:[SN2]])</f>
        <v>1</v>
      </c>
      <c r="N19" t="b">
        <f>AND(Table6[[#This Row],[companyid2]:[Manufacturer2]],Table6[[#This Row],[SN2]])</f>
        <v>1</v>
      </c>
      <c r="O19" t="b">
        <f>AND(Table6[[#This Row],[companyid2]:[Model2]])</f>
        <v>1</v>
      </c>
      <c r="AS19" s="33"/>
    </row>
    <row r="20" spans="1:47" x14ac:dyDescent="0.25">
      <c r="A20">
        <v>58209</v>
      </c>
      <c r="B20" t="s">
        <v>565</v>
      </c>
      <c r="C20" t="s">
        <v>566</v>
      </c>
      <c r="D20" s="46" t="s">
        <v>567</v>
      </c>
      <c r="E20" s="122">
        <v>14366</v>
      </c>
      <c r="F20" t="b">
        <f>IFERROR(Table6[[#This Row],[companyid]]=Sheet3!$N$20,TRUE)</f>
        <v>1</v>
      </c>
      <c r="G20" t="b">
        <f>OR(Worksheet!$D$5="",Worksheet!$D$5=Table6[[#This Row],[categoryname]])</f>
        <v>1</v>
      </c>
      <c r="H20" t="b">
        <f>OR(Worksheet!$D$7="",Worksheet!$D$7=Table6[[#This Row],[Manufacturer]])</f>
        <v>1</v>
      </c>
      <c r="I20" t="b">
        <f>OR(Worksheet!$G$7="",Worksheet!$G$7=Table6[[#This Row],[Model No.]])</f>
        <v>1</v>
      </c>
      <c r="J20" t="b">
        <f>OR(Worksheet!$D$8="",Worksheet!$D$8=Table6[[#This Row],[Serial No.]])</f>
        <v>1</v>
      </c>
      <c r="K20" t="b">
        <f>AND(Table6[[#This Row],[categoryname2]:[SN2]])</f>
        <v>1</v>
      </c>
      <c r="L20" t="b">
        <f>AND(Table6[[#This Row],[companyid2]],Table6[[#This Row],[Manufacturer2]:[SN2]])</f>
        <v>1</v>
      </c>
      <c r="M20" t="b">
        <f>AND(Table6[[#This Row],[companyid2]:[categoryname2]],Table6[[#This Row],[Model2]:[SN2]])</f>
        <v>1</v>
      </c>
      <c r="N20" t="b">
        <f>AND(Table6[[#This Row],[companyid2]:[Manufacturer2]],Table6[[#This Row],[SN2]])</f>
        <v>1</v>
      </c>
      <c r="O20" t="b">
        <f>AND(Table6[[#This Row],[companyid2]:[Model2]])</f>
        <v>1</v>
      </c>
      <c r="AS20" s="33"/>
      <c r="AU20" s="33"/>
    </row>
    <row r="21" spans="1:47" x14ac:dyDescent="0.25">
      <c r="A21">
        <v>57170</v>
      </c>
      <c r="B21" t="s">
        <v>565</v>
      </c>
      <c r="C21" t="s">
        <v>566</v>
      </c>
      <c r="D21" s="46" t="s">
        <v>567</v>
      </c>
      <c r="E21" s="122">
        <v>15382</v>
      </c>
      <c r="F21" t="b">
        <f>IFERROR(Table6[[#This Row],[companyid]]=Sheet3!$N$20,TRUE)</f>
        <v>1</v>
      </c>
      <c r="G21" t="b">
        <f>OR(Worksheet!$D$5="",Worksheet!$D$5=Table6[[#This Row],[categoryname]])</f>
        <v>1</v>
      </c>
      <c r="H21" t="b">
        <f>OR(Worksheet!$D$7="",Worksheet!$D$7=Table6[[#This Row],[Manufacturer]])</f>
        <v>1</v>
      </c>
      <c r="I21" t="b">
        <f>OR(Worksheet!$G$7="",Worksheet!$G$7=Table6[[#This Row],[Model No.]])</f>
        <v>1</v>
      </c>
      <c r="J21" t="b">
        <f>OR(Worksheet!$D$8="",Worksheet!$D$8=Table6[[#This Row],[Serial No.]])</f>
        <v>1</v>
      </c>
      <c r="K21" t="b">
        <f>AND(Table6[[#This Row],[categoryname2]:[SN2]])</f>
        <v>1</v>
      </c>
      <c r="L21" t="b">
        <f>AND(Table6[[#This Row],[companyid2]],Table6[[#This Row],[Manufacturer2]:[SN2]])</f>
        <v>1</v>
      </c>
      <c r="M21" t="b">
        <f>AND(Table6[[#This Row],[companyid2]:[categoryname2]],Table6[[#This Row],[Model2]:[SN2]])</f>
        <v>1</v>
      </c>
      <c r="N21" t="b">
        <f>AND(Table6[[#This Row],[companyid2]:[Manufacturer2]],Table6[[#This Row],[SN2]])</f>
        <v>1</v>
      </c>
      <c r="O21" t="b">
        <f>AND(Table6[[#This Row],[companyid2]:[Model2]])</f>
        <v>1</v>
      </c>
      <c r="AS21" s="33"/>
    </row>
    <row r="22" spans="1:47" x14ac:dyDescent="0.25">
      <c r="A22">
        <v>57461</v>
      </c>
      <c r="B22" t="s">
        <v>565</v>
      </c>
      <c r="C22" t="s">
        <v>566</v>
      </c>
      <c r="D22" s="46" t="s">
        <v>567</v>
      </c>
      <c r="E22" s="122">
        <v>15424</v>
      </c>
      <c r="F22" t="b">
        <f>IFERROR(Table6[[#This Row],[companyid]]=Sheet3!$N$20,TRUE)</f>
        <v>1</v>
      </c>
      <c r="G22" t="b">
        <f>OR(Worksheet!$D$5="",Worksheet!$D$5=Table6[[#This Row],[categoryname]])</f>
        <v>1</v>
      </c>
      <c r="H22" t="b">
        <f>OR(Worksheet!$D$7="",Worksheet!$D$7=Table6[[#This Row],[Manufacturer]])</f>
        <v>1</v>
      </c>
      <c r="I22" t="b">
        <f>OR(Worksheet!$G$7="",Worksheet!$G$7=Table6[[#This Row],[Model No.]])</f>
        <v>1</v>
      </c>
      <c r="J22" t="b">
        <f>OR(Worksheet!$D$8="",Worksheet!$D$8=Table6[[#This Row],[Serial No.]])</f>
        <v>1</v>
      </c>
      <c r="K22" t="b">
        <f>AND(Table6[[#This Row],[categoryname2]:[SN2]])</f>
        <v>1</v>
      </c>
      <c r="L22" t="b">
        <f>AND(Table6[[#This Row],[companyid2]],Table6[[#This Row],[Manufacturer2]:[SN2]])</f>
        <v>1</v>
      </c>
      <c r="M22" t="b">
        <f>AND(Table6[[#This Row],[companyid2]:[categoryname2]],Table6[[#This Row],[Model2]:[SN2]])</f>
        <v>1</v>
      </c>
      <c r="N22" t="b">
        <f>AND(Table6[[#This Row],[companyid2]:[Manufacturer2]],Table6[[#This Row],[SN2]])</f>
        <v>1</v>
      </c>
      <c r="O22" t="b">
        <f>AND(Table6[[#This Row],[companyid2]:[Model2]])</f>
        <v>1</v>
      </c>
      <c r="AS22" s="33"/>
    </row>
    <row r="23" spans="1:47" x14ac:dyDescent="0.25">
      <c r="A23">
        <v>57901</v>
      </c>
      <c r="B23" t="s">
        <v>565</v>
      </c>
      <c r="C23" t="s">
        <v>566</v>
      </c>
      <c r="D23" s="46" t="s">
        <v>567</v>
      </c>
      <c r="E23" s="122">
        <v>16452</v>
      </c>
      <c r="F23" t="b">
        <f>IFERROR(Table6[[#This Row],[companyid]]=Sheet3!$N$20,TRUE)</f>
        <v>1</v>
      </c>
      <c r="G23" t="b">
        <f>OR(Worksheet!$D$5="",Worksheet!$D$5=Table6[[#This Row],[categoryname]])</f>
        <v>1</v>
      </c>
      <c r="H23" t="b">
        <f>OR(Worksheet!$D$7="",Worksheet!$D$7=Table6[[#This Row],[Manufacturer]])</f>
        <v>1</v>
      </c>
      <c r="I23" t="b">
        <f>OR(Worksheet!$G$7="",Worksheet!$G$7=Table6[[#This Row],[Model No.]])</f>
        <v>1</v>
      </c>
      <c r="J23" t="b">
        <f>OR(Worksheet!$D$8="",Worksheet!$D$8=Table6[[#This Row],[Serial No.]])</f>
        <v>1</v>
      </c>
      <c r="K23" t="b">
        <f>AND(Table6[[#This Row],[categoryname2]:[SN2]])</f>
        <v>1</v>
      </c>
      <c r="L23" t="b">
        <f>AND(Table6[[#This Row],[companyid2]],Table6[[#This Row],[Manufacturer2]:[SN2]])</f>
        <v>1</v>
      </c>
      <c r="M23" t="b">
        <f>AND(Table6[[#This Row],[companyid2]:[categoryname2]],Table6[[#This Row],[Model2]:[SN2]])</f>
        <v>1</v>
      </c>
      <c r="N23" t="b">
        <f>AND(Table6[[#This Row],[companyid2]:[Manufacturer2]],Table6[[#This Row],[SN2]])</f>
        <v>1</v>
      </c>
      <c r="O23" t="b">
        <f>AND(Table6[[#This Row],[companyid2]:[Model2]])</f>
        <v>1</v>
      </c>
      <c r="AS23" s="33"/>
    </row>
    <row r="24" spans="1:47" x14ac:dyDescent="0.25">
      <c r="A24">
        <v>57525</v>
      </c>
      <c r="B24" t="s">
        <v>565</v>
      </c>
      <c r="C24" t="s">
        <v>566</v>
      </c>
      <c r="D24" s="46" t="s">
        <v>567</v>
      </c>
      <c r="E24" s="122">
        <v>16502</v>
      </c>
      <c r="F24" t="b">
        <f>IFERROR(Table6[[#This Row],[companyid]]=Sheet3!$N$20,TRUE)</f>
        <v>1</v>
      </c>
      <c r="G24" t="b">
        <f>OR(Worksheet!$D$5="",Worksheet!$D$5=Table6[[#This Row],[categoryname]])</f>
        <v>1</v>
      </c>
      <c r="H24" t="b">
        <f>OR(Worksheet!$D$7="",Worksheet!$D$7=Table6[[#This Row],[Manufacturer]])</f>
        <v>1</v>
      </c>
      <c r="I24" t="b">
        <f>OR(Worksheet!$G$7="",Worksheet!$G$7=Table6[[#This Row],[Model No.]])</f>
        <v>1</v>
      </c>
      <c r="J24" t="b">
        <f>OR(Worksheet!$D$8="",Worksheet!$D$8=Table6[[#This Row],[Serial No.]])</f>
        <v>1</v>
      </c>
      <c r="K24" t="b">
        <f>AND(Table6[[#This Row],[categoryname2]:[SN2]])</f>
        <v>1</v>
      </c>
      <c r="L24" t="b">
        <f>AND(Table6[[#This Row],[companyid2]],Table6[[#This Row],[Manufacturer2]:[SN2]])</f>
        <v>1</v>
      </c>
      <c r="M24" t="b">
        <f>AND(Table6[[#This Row],[companyid2]:[categoryname2]],Table6[[#This Row],[Model2]:[SN2]])</f>
        <v>1</v>
      </c>
      <c r="N24" t="b">
        <f>AND(Table6[[#This Row],[companyid2]:[Manufacturer2]],Table6[[#This Row],[SN2]])</f>
        <v>1</v>
      </c>
      <c r="O24" t="b">
        <f>AND(Table6[[#This Row],[companyid2]:[Model2]])</f>
        <v>1</v>
      </c>
      <c r="AS24" s="33"/>
    </row>
    <row r="25" spans="1:47" x14ac:dyDescent="0.25">
      <c r="A25">
        <v>57421</v>
      </c>
      <c r="B25" t="s">
        <v>565</v>
      </c>
      <c r="C25" t="s">
        <v>566</v>
      </c>
      <c r="D25" s="46" t="s">
        <v>567</v>
      </c>
      <c r="E25" s="122">
        <v>17527</v>
      </c>
      <c r="F25" t="b">
        <f>IFERROR(Table6[[#This Row],[companyid]]=Sheet3!$N$20,TRUE)</f>
        <v>1</v>
      </c>
      <c r="G25" t="b">
        <f>OR(Worksheet!$D$5="",Worksheet!$D$5=Table6[[#This Row],[categoryname]])</f>
        <v>1</v>
      </c>
      <c r="H25" t="b">
        <f>OR(Worksheet!$D$7="",Worksheet!$D$7=Table6[[#This Row],[Manufacturer]])</f>
        <v>1</v>
      </c>
      <c r="I25" t="b">
        <f>OR(Worksheet!$G$7="",Worksheet!$G$7=Table6[[#This Row],[Model No.]])</f>
        <v>1</v>
      </c>
      <c r="J25" t="b">
        <f>OR(Worksheet!$D$8="",Worksheet!$D$8=Table6[[#This Row],[Serial No.]])</f>
        <v>1</v>
      </c>
      <c r="K25" t="b">
        <f>AND(Table6[[#This Row],[categoryname2]:[SN2]])</f>
        <v>1</v>
      </c>
      <c r="L25" t="b">
        <f>AND(Table6[[#This Row],[companyid2]],Table6[[#This Row],[Manufacturer2]:[SN2]])</f>
        <v>1</v>
      </c>
      <c r="M25" t="b">
        <f>AND(Table6[[#This Row],[companyid2]:[categoryname2]],Table6[[#This Row],[Model2]:[SN2]])</f>
        <v>1</v>
      </c>
      <c r="N25" t="b">
        <f>AND(Table6[[#This Row],[companyid2]:[Manufacturer2]],Table6[[#This Row],[SN2]])</f>
        <v>1</v>
      </c>
      <c r="O25" t="b">
        <f>AND(Table6[[#This Row],[companyid2]:[Model2]])</f>
        <v>1</v>
      </c>
      <c r="AH25" s="105"/>
    </row>
    <row r="26" spans="1:47" x14ac:dyDescent="0.25">
      <c r="A26">
        <v>57305</v>
      </c>
      <c r="B26" t="s">
        <v>565</v>
      </c>
      <c r="C26" t="s">
        <v>566</v>
      </c>
      <c r="D26" s="46" t="s">
        <v>567</v>
      </c>
      <c r="E26" s="122">
        <v>86086</v>
      </c>
      <c r="F26" t="b">
        <f>IFERROR(Table6[[#This Row],[companyid]]=Sheet3!$N$20,TRUE)</f>
        <v>1</v>
      </c>
      <c r="G26" t="b">
        <f>OR(Worksheet!$D$5="",Worksheet!$D$5=Table6[[#This Row],[categoryname]])</f>
        <v>1</v>
      </c>
      <c r="H26" t="b">
        <f>OR(Worksheet!$D$7="",Worksheet!$D$7=Table6[[#This Row],[Manufacturer]])</f>
        <v>1</v>
      </c>
      <c r="I26" t="b">
        <f>OR(Worksheet!$G$7="",Worksheet!$G$7=Table6[[#This Row],[Model No.]])</f>
        <v>1</v>
      </c>
      <c r="J26" t="b">
        <f>OR(Worksheet!$D$8="",Worksheet!$D$8=Table6[[#This Row],[Serial No.]])</f>
        <v>1</v>
      </c>
      <c r="K26" t="b">
        <f>AND(Table6[[#This Row],[categoryname2]:[SN2]])</f>
        <v>1</v>
      </c>
      <c r="L26" t="b">
        <f>AND(Table6[[#This Row],[companyid2]],Table6[[#This Row],[Manufacturer2]:[SN2]])</f>
        <v>1</v>
      </c>
      <c r="M26" t="b">
        <f>AND(Table6[[#This Row],[companyid2]:[categoryname2]],Table6[[#This Row],[Model2]:[SN2]])</f>
        <v>1</v>
      </c>
      <c r="N26" t="b">
        <f>AND(Table6[[#This Row],[companyid2]:[Manufacturer2]],Table6[[#This Row],[SN2]])</f>
        <v>1</v>
      </c>
      <c r="O26" t="b">
        <f>AND(Table6[[#This Row],[companyid2]:[Model2]])</f>
        <v>1</v>
      </c>
      <c r="AS26" s="33"/>
    </row>
    <row r="27" spans="1:47" x14ac:dyDescent="0.25">
      <c r="A27">
        <v>58221</v>
      </c>
      <c r="B27" t="s">
        <v>565</v>
      </c>
      <c r="C27" t="s">
        <v>566</v>
      </c>
      <c r="D27" s="46" t="s">
        <v>567</v>
      </c>
      <c r="E27" s="122">
        <v>99242</v>
      </c>
      <c r="F27" t="b">
        <f>IFERROR(Table6[[#This Row],[companyid]]=Sheet3!$N$20,TRUE)</f>
        <v>1</v>
      </c>
      <c r="G27" t="b">
        <f>OR(Worksheet!$D$5="",Worksheet!$D$5=Table6[[#This Row],[categoryname]])</f>
        <v>1</v>
      </c>
      <c r="H27" t="b">
        <f>OR(Worksheet!$D$7="",Worksheet!$D$7=Table6[[#This Row],[Manufacturer]])</f>
        <v>1</v>
      </c>
      <c r="I27" t="b">
        <f>OR(Worksheet!$G$7="",Worksheet!$G$7=Table6[[#This Row],[Model No.]])</f>
        <v>1</v>
      </c>
      <c r="J27" t="b">
        <f>OR(Worksheet!$D$8="",Worksheet!$D$8=Table6[[#This Row],[Serial No.]])</f>
        <v>1</v>
      </c>
      <c r="K27" t="b">
        <f>AND(Table6[[#This Row],[categoryname2]:[SN2]])</f>
        <v>1</v>
      </c>
      <c r="L27" t="b">
        <f>AND(Table6[[#This Row],[companyid2]],Table6[[#This Row],[Manufacturer2]:[SN2]])</f>
        <v>1</v>
      </c>
      <c r="M27" t="b">
        <f>AND(Table6[[#This Row],[companyid2]:[categoryname2]],Table6[[#This Row],[Model2]:[SN2]])</f>
        <v>1</v>
      </c>
      <c r="N27" t="b">
        <f>AND(Table6[[#This Row],[companyid2]:[Manufacturer2]],Table6[[#This Row],[SN2]])</f>
        <v>1</v>
      </c>
      <c r="O27" t="b">
        <f>AND(Table6[[#This Row],[companyid2]:[Model2]])</f>
        <v>1</v>
      </c>
      <c r="AS27" s="33"/>
    </row>
    <row r="28" spans="1:47" x14ac:dyDescent="0.25">
      <c r="A28">
        <v>57881</v>
      </c>
      <c r="B28" t="s">
        <v>565</v>
      </c>
      <c r="C28" t="s">
        <v>566</v>
      </c>
      <c r="D28" s="46" t="s">
        <v>567</v>
      </c>
      <c r="E28" s="122">
        <v>181576</v>
      </c>
      <c r="F28" t="b">
        <f>IFERROR(Table6[[#This Row],[companyid]]=Sheet3!$N$20,TRUE)</f>
        <v>1</v>
      </c>
      <c r="G28" t="b">
        <f>OR(Worksheet!$D$5="",Worksheet!$D$5=Table6[[#This Row],[categoryname]])</f>
        <v>1</v>
      </c>
      <c r="H28" t="b">
        <f>OR(Worksheet!$D$7="",Worksheet!$D$7=Table6[[#This Row],[Manufacturer]])</f>
        <v>1</v>
      </c>
      <c r="I28" t="b">
        <f>OR(Worksheet!$G$7="",Worksheet!$G$7=Table6[[#This Row],[Model No.]])</f>
        <v>1</v>
      </c>
      <c r="J28" t="b">
        <f>OR(Worksheet!$D$8="",Worksheet!$D$8=Table6[[#This Row],[Serial No.]])</f>
        <v>1</v>
      </c>
      <c r="K28" t="b">
        <f>AND(Table6[[#This Row],[categoryname2]:[SN2]])</f>
        <v>1</v>
      </c>
      <c r="L28" t="b">
        <f>AND(Table6[[#This Row],[companyid2]],Table6[[#This Row],[Manufacturer2]:[SN2]])</f>
        <v>1</v>
      </c>
      <c r="M28" t="b">
        <f>AND(Table6[[#This Row],[companyid2]:[categoryname2]],Table6[[#This Row],[Model2]:[SN2]])</f>
        <v>1</v>
      </c>
      <c r="N28" t="b">
        <f>AND(Table6[[#This Row],[companyid2]:[Manufacturer2]],Table6[[#This Row],[SN2]])</f>
        <v>1</v>
      </c>
      <c r="O28" t="b">
        <f>AND(Table6[[#This Row],[companyid2]:[Model2]])</f>
        <v>1</v>
      </c>
      <c r="AS28" s="33"/>
    </row>
    <row r="29" spans="1:47" x14ac:dyDescent="0.25">
      <c r="A29">
        <v>57534</v>
      </c>
      <c r="B29" t="s">
        <v>565</v>
      </c>
      <c r="C29" t="s">
        <v>566</v>
      </c>
      <c r="D29" s="46" t="s">
        <v>567</v>
      </c>
      <c r="E29" s="122">
        <v>181595</v>
      </c>
      <c r="F29" t="b">
        <f>IFERROR(Table6[[#This Row],[companyid]]=Sheet3!$N$20,TRUE)</f>
        <v>1</v>
      </c>
      <c r="G29" t="b">
        <f>OR(Worksheet!$D$5="",Worksheet!$D$5=Table6[[#This Row],[categoryname]])</f>
        <v>1</v>
      </c>
      <c r="H29" t="b">
        <f>OR(Worksheet!$D$7="",Worksheet!$D$7=Table6[[#This Row],[Manufacturer]])</f>
        <v>1</v>
      </c>
      <c r="I29" t="b">
        <f>OR(Worksheet!$G$7="",Worksheet!$G$7=Table6[[#This Row],[Model No.]])</f>
        <v>1</v>
      </c>
      <c r="J29" t="b">
        <f>OR(Worksheet!$D$8="",Worksheet!$D$8=Table6[[#This Row],[Serial No.]])</f>
        <v>1</v>
      </c>
      <c r="K29" t="b">
        <f>AND(Table6[[#This Row],[categoryname2]:[SN2]])</f>
        <v>1</v>
      </c>
      <c r="L29" t="b">
        <f>AND(Table6[[#This Row],[companyid2]],Table6[[#This Row],[Manufacturer2]:[SN2]])</f>
        <v>1</v>
      </c>
      <c r="M29" t="b">
        <f>AND(Table6[[#This Row],[companyid2]:[categoryname2]],Table6[[#This Row],[Model2]:[SN2]])</f>
        <v>1</v>
      </c>
      <c r="N29" t="b">
        <f>AND(Table6[[#This Row],[companyid2]:[Manufacturer2]],Table6[[#This Row],[SN2]])</f>
        <v>1</v>
      </c>
      <c r="O29" t="b">
        <f>AND(Table6[[#This Row],[companyid2]:[Model2]])</f>
        <v>1</v>
      </c>
      <c r="AS29" s="33"/>
    </row>
    <row r="30" spans="1:47" x14ac:dyDescent="0.25">
      <c r="A30">
        <v>58078</v>
      </c>
      <c r="B30" t="s">
        <v>565</v>
      </c>
      <c r="C30" t="s">
        <v>566</v>
      </c>
      <c r="D30" s="46" t="s">
        <v>567</v>
      </c>
      <c r="E30" s="122">
        <v>181596</v>
      </c>
      <c r="F30" t="b">
        <f>IFERROR(Table6[[#This Row],[companyid]]=Sheet3!$N$20,TRUE)</f>
        <v>1</v>
      </c>
      <c r="G30" t="b">
        <f>OR(Worksheet!$D$5="",Worksheet!$D$5=Table6[[#This Row],[categoryname]])</f>
        <v>1</v>
      </c>
      <c r="H30" t="b">
        <f>OR(Worksheet!$D$7="",Worksheet!$D$7=Table6[[#This Row],[Manufacturer]])</f>
        <v>1</v>
      </c>
      <c r="I30" t="b">
        <f>OR(Worksheet!$G$7="",Worksheet!$G$7=Table6[[#This Row],[Model No.]])</f>
        <v>1</v>
      </c>
      <c r="J30" t="b">
        <f>OR(Worksheet!$D$8="",Worksheet!$D$8=Table6[[#This Row],[Serial No.]])</f>
        <v>1</v>
      </c>
      <c r="K30" t="b">
        <f>AND(Table6[[#This Row],[categoryname2]:[SN2]])</f>
        <v>1</v>
      </c>
      <c r="L30" t="b">
        <f>AND(Table6[[#This Row],[companyid2]],Table6[[#This Row],[Manufacturer2]:[SN2]])</f>
        <v>1</v>
      </c>
      <c r="M30" t="b">
        <f>AND(Table6[[#This Row],[companyid2]:[categoryname2]],Table6[[#This Row],[Model2]:[SN2]])</f>
        <v>1</v>
      </c>
      <c r="N30" t="b">
        <f>AND(Table6[[#This Row],[companyid2]:[Manufacturer2]],Table6[[#This Row],[SN2]])</f>
        <v>1</v>
      </c>
      <c r="O30" t="b">
        <f>AND(Table6[[#This Row],[companyid2]:[Model2]])</f>
        <v>1</v>
      </c>
      <c r="AS30" s="33"/>
    </row>
    <row r="31" spans="1:47" x14ac:dyDescent="0.25">
      <c r="A31">
        <v>58206</v>
      </c>
      <c r="B31" t="s">
        <v>565</v>
      </c>
      <c r="C31" t="s">
        <v>566</v>
      </c>
      <c r="D31" s="46" t="s">
        <v>567</v>
      </c>
      <c r="E31" s="122">
        <v>181597</v>
      </c>
      <c r="F31" t="b">
        <f>IFERROR(Table6[[#This Row],[companyid]]=Sheet3!$N$20,TRUE)</f>
        <v>1</v>
      </c>
      <c r="G31" t="b">
        <f>OR(Worksheet!$D$5="",Worksheet!$D$5=Table6[[#This Row],[categoryname]])</f>
        <v>1</v>
      </c>
      <c r="H31" t="b">
        <f>OR(Worksheet!$D$7="",Worksheet!$D$7=Table6[[#This Row],[Manufacturer]])</f>
        <v>1</v>
      </c>
      <c r="I31" t="b">
        <f>OR(Worksheet!$G$7="",Worksheet!$G$7=Table6[[#This Row],[Model No.]])</f>
        <v>1</v>
      </c>
      <c r="J31" t="b">
        <f>OR(Worksheet!$D$8="",Worksheet!$D$8=Table6[[#This Row],[Serial No.]])</f>
        <v>1</v>
      </c>
      <c r="K31" t="b">
        <f>AND(Table6[[#This Row],[categoryname2]:[SN2]])</f>
        <v>1</v>
      </c>
      <c r="L31" t="b">
        <f>AND(Table6[[#This Row],[companyid2]],Table6[[#This Row],[Manufacturer2]:[SN2]])</f>
        <v>1</v>
      </c>
      <c r="M31" t="b">
        <f>AND(Table6[[#This Row],[companyid2]:[categoryname2]],Table6[[#This Row],[Model2]:[SN2]])</f>
        <v>1</v>
      </c>
      <c r="N31" t="b">
        <f>AND(Table6[[#This Row],[companyid2]:[Manufacturer2]],Table6[[#This Row],[SN2]])</f>
        <v>1</v>
      </c>
      <c r="O31" t="b">
        <f>AND(Table6[[#This Row],[companyid2]:[Model2]])</f>
        <v>1</v>
      </c>
      <c r="AS31" s="33"/>
    </row>
    <row r="32" spans="1:47" x14ac:dyDescent="0.25">
      <c r="A32">
        <v>57958</v>
      </c>
      <c r="B32" t="s">
        <v>565</v>
      </c>
      <c r="C32" t="s">
        <v>566</v>
      </c>
      <c r="D32" s="46" t="s">
        <v>567</v>
      </c>
      <c r="E32" s="122">
        <v>181613</v>
      </c>
      <c r="F32" t="b">
        <f>IFERROR(Table6[[#This Row],[companyid]]=Sheet3!$N$20,TRUE)</f>
        <v>1</v>
      </c>
      <c r="G32" t="b">
        <f>OR(Worksheet!$D$5="",Worksheet!$D$5=Table6[[#This Row],[categoryname]])</f>
        <v>1</v>
      </c>
      <c r="H32" t="b">
        <f>OR(Worksheet!$D$7="",Worksheet!$D$7=Table6[[#This Row],[Manufacturer]])</f>
        <v>1</v>
      </c>
      <c r="I32" t="b">
        <f>OR(Worksheet!$G$7="",Worksheet!$G$7=Table6[[#This Row],[Model No.]])</f>
        <v>1</v>
      </c>
      <c r="J32" t="b">
        <f>OR(Worksheet!$D$8="",Worksheet!$D$8=Table6[[#This Row],[Serial No.]])</f>
        <v>1</v>
      </c>
      <c r="K32" t="b">
        <f>AND(Table6[[#This Row],[categoryname2]:[SN2]])</f>
        <v>1</v>
      </c>
      <c r="L32" t="b">
        <f>AND(Table6[[#This Row],[companyid2]],Table6[[#This Row],[Manufacturer2]:[SN2]])</f>
        <v>1</v>
      </c>
      <c r="M32" t="b">
        <f>AND(Table6[[#This Row],[companyid2]:[categoryname2]],Table6[[#This Row],[Model2]:[SN2]])</f>
        <v>1</v>
      </c>
      <c r="N32" t="b">
        <f>AND(Table6[[#This Row],[companyid2]:[Manufacturer2]],Table6[[#This Row],[SN2]])</f>
        <v>1</v>
      </c>
      <c r="O32" t="b">
        <f>AND(Table6[[#This Row],[companyid2]:[Model2]])</f>
        <v>1</v>
      </c>
      <c r="AH32" s="105"/>
    </row>
    <row r="33" spans="1:45" x14ac:dyDescent="0.25">
      <c r="A33">
        <v>57240</v>
      </c>
      <c r="B33" t="s">
        <v>565</v>
      </c>
      <c r="C33" t="s">
        <v>566</v>
      </c>
      <c r="D33" s="46" t="s">
        <v>567</v>
      </c>
      <c r="E33" s="122">
        <v>191641</v>
      </c>
      <c r="F33" t="b">
        <f>IFERROR(Table6[[#This Row],[companyid]]=Sheet3!$N$20,TRUE)</f>
        <v>1</v>
      </c>
      <c r="G33" t="b">
        <f>OR(Worksheet!$D$5="",Worksheet!$D$5=Table6[[#This Row],[categoryname]])</f>
        <v>1</v>
      </c>
      <c r="H33" t="b">
        <f>OR(Worksheet!$D$7="",Worksheet!$D$7=Table6[[#This Row],[Manufacturer]])</f>
        <v>1</v>
      </c>
      <c r="I33" t="b">
        <f>OR(Worksheet!$G$7="",Worksheet!$G$7=Table6[[#This Row],[Model No.]])</f>
        <v>1</v>
      </c>
      <c r="J33" t="b">
        <f>OR(Worksheet!$D$8="",Worksheet!$D$8=Table6[[#This Row],[Serial No.]])</f>
        <v>1</v>
      </c>
      <c r="K33" t="b">
        <f>AND(Table6[[#This Row],[categoryname2]:[SN2]])</f>
        <v>1</v>
      </c>
      <c r="L33" t="b">
        <f>AND(Table6[[#This Row],[companyid2]],Table6[[#This Row],[Manufacturer2]:[SN2]])</f>
        <v>1</v>
      </c>
      <c r="M33" t="b">
        <f>AND(Table6[[#This Row],[companyid2]:[categoryname2]],Table6[[#This Row],[Model2]:[SN2]])</f>
        <v>1</v>
      </c>
      <c r="N33" t="b">
        <f>AND(Table6[[#This Row],[companyid2]:[Manufacturer2]],Table6[[#This Row],[SN2]])</f>
        <v>1</v>
      </c>
      <c r="O33" t="b">
        <f>AND(Table6[[#This Row],[companyid2]:[Model2]])</f>
        <v>1</v>
      </c>
      <c r="AH33" s="105"/>
    </row>
    <row r="34" spans="1:45" x14ac:dyDescent="0.25">
      <c r="A34">
        <v>57221</v>
      </c>
      <c r="B34" t="s">
        <v>565</v>
      </c>
      <c r="C34" t="s">
        <v>566</v>
      </c>
      <c r="D34" s="46" t="s">
        <v>567</v>
      </c>
      <c r="E34" s="122">
        <v>231889</v>
      </c>
      <c r="F34" t="b">
        <f>IFERROR(Table6[[#This Row],[companyid]]=Sheet3!$N$20,TRUE)</f>
        <v>1</v>
      </c>
      <c r="G34" t="b">
        <f>OR(Worksheet!$D$5="",Worksheet!$D$5=Table6[[#This Row],[categoryname]])</f>
        <v>1</v>
      </c>
      <c r="H34" t="b">
        <f>OR(Worksheet!$D$7="",Worksheet!$D$7=Table6[[#This Row],[Manufacturer]])</f>
        <v>1</v>
      </c>
      <c r="I34" t="b">
        <f>OR(Worksheet!$G$7="",Worksheet!$G$7=Table6[[#This Row],[Model No.]])</f>
        <v>1</v>
      </c>
      <c r="J34" t="b">
        <f>OR(Worksheet!$D$8="",Worksheet!$D$8=Table6[[#This Row],[Serial No.]])</f>
        <v>1</v>
      </c>
      <c r="K34" t="b">
        <f>AND(Table6[[#This Row],[categoryname2]:[SN2]])</f>
        <v>1</v>
      </c>
      <c r="L34" t="b">
        <f>AND(Table6[[#This Row],[companyid2]],Table6[[#This Row],[Manufacturer2]:[SN2]])</f>
        <v>1</v>
      </c>
      <c r="M34" t="b">
        <f>AND(Table6[[#This Row],[companyid2]:[categoryname2]],Table6[[#This Row],[Model2]:[SN2]])</f>
        <v>1</v>
      </c>
      <c r="N34" t="b">
        <f>AND(Table6[[#This Row],[companyid2]:[Manufacturer2]],Table6[[#This Row],[SN2]])</f>
        <v>1</v>
      </c>
      <c r="O34" t="b">
        <f>AND(Table6[[#This Row],[companyid2]:[Model2]])</f>
        <v>1</v>
      </c>
      <c r="AS34" s="33"/>
    </row>
    <row r="35" spans="1:45" x14ac:dyDescent="0.25">
      <c r="A35">
        <v>57132</v>
      </c>
      <c r="B35" t="s">
        <v>565</v>
      </c>
      <c r="C35" t="s">
        <v>566</v>
      </c>
      <c r="D35" s="46" t="s">
        <v>567</v>
      </c>
      <c r="E35" s="122" t="s">
        <v>646</v>
      </c>
      <c r="F35" t="b">
        <f>IFERROR(Table6[[#This Row],[companyid]]=Sheet3!$N$20,TRUE)</f>
        <v>1</v>
      </c>
      <c r="G35" t="b">
        <f>OR(Worksheet!$D$5="",Worksheet!$D$5=Table6[[#This Row],[categoryname]])</f>
        <v>1</v>
      </c>
      <c r="H35" t="b">
        <f>OR(Worksheet!$D$7="",Worksheet!$D$7=Table6[[#This Row],[Manufacturer]])</f>
        <v>1</v>
      </c>
      <c r="I35" t="b">
        <f>OR(Worksheet!$G$7="",Worksheet!$G$7=Table6[[#This Row],[Model No.]])</f>
        <v>1</v>
      </c>
      <c r="J35" t="b">
        <f>OR(Worksheet!$D$8="",Worksheet!$D$8=Table6[[#This Row],[Serial No.]])</f>
        <v>1</v>
      </c>
      <c r="K35" t="b">
        <f>AND(Table6[[#This Row],[categoryname2]:[SN2]])</f>
        <v>1</v>
      </c>
      <c r="L35" t="b">
        <f>AND(Table6[[#This Row],[companyid2]],Table6[[#This Row],[Manufacturer2]:[SN2]])</f>
        <v>1</v>
      </c>
      <c r="M35" t="b">
        <f>AND(Table6[[#This Row],[companyid2]:[categoryname2]],Table6[[#This Row],[Model2]:[SN2]])</f>
        <v>1</v>
      </c>
      <c r="N35" t="b">
        <f>AND(Table6[[#This Row],[companyid2]:[Manufacturer2]],Table6[[#This Row],[SN2]])</f>
        <v>1</v>
      </c>
      <c r="O35" t="b">
        <f>AND(Table6[[#This Row],[companyid2]:[Model2]])</f>
        <v>1</v>
      </c>
      <c r="AS35" s="33"/>
    </row>
    <row r="36" spans="1:45" x14ac:dyDescent="0.25">
      <c r="A36">
        <v>57464</v>
      </c>
      <c r="B36" t="s">
        <v>565</v>
      </c>
      <c r="C36" t="s">
        <v>566</v>
      </c>
      <c r="D36" s="46" t="s">
        <v>567</v>
      </c>
      <c r="E36" s="122" t="s">
        <v>653</v>
      </c>
      <c r="F36" t="b">
        <f>IFERROR(Table6[[#This Row],[companyid]]=Sheet3!$N$20,TRUE)</f>
        <v>1</v>
      </c>
      <c r="G36" t="b">
        <f>OR(Worksheet!$D$5="",Worksheet!$D$5=Table6[[#This Row],[categoryname]])</f>
        <v>1</v>
      </c>
      <c r="H36" t="b">
        <f>OR(Worksheet!$D$7="",Worksheet!$D$7=Table6[[#This Row],[Manufacturer]])</f>
        <v>1</v>
      </c>
      <c r="I36" t="b">
        <f>OR(Worksheet!$G$7="",Worksheet!$G$7=Table6[[#This Row],[Model No.]])</f>
        <v>1</v>
      </c>
      <c r="J36" t="b">
        <f>OR(Worksheet!$D$8="",Worksheet!$D$8=Table6[[#This Row],[Serial No.]])</f>
        <v>1</v>
      </c>
      <c r="K36" t="b">
        <f>AND(Table6[[#This Row],[categoryname2]:[SN2]])</f>
        <v>1</v>
      </c>
      <c r="L36" t="b">
        <f>AND(Table6[[#This Row],[companyid2]],Table6[[#This Row],[Manufacturer2]:[SN2]])</f>
        <v>1</v>
      </c>
      <c r="M36" t="b">
        <f>AND(Table6[[#This Row],[companyid2]:[categoryname2]],Table6[[#This Row],[Model2]:[SN2]])</f>
        <v>1</v>
      </c>
      <c r="N36" t="b">
        <f>AND(Table6[[#This Row],[companyid2]:[Manufacturer2]],Table6[[#This Row],[SN2]])</f>
        <v>1</v>
      </c>
      <c r="O36" t="b">
        <f>AND(Table6[[#This Row],[companyid2]:[Model2]])</f>
        <v>1</v>
      </c>
      <c r="AS36" s="33"/>
    </row>
    <row r="37" spans="1:45" x14ac:dyDescent="0.25">
      <c r="A37">
        <v>66118</v>
      </c>
      <c r="B37" t="s">
        <v>565</v>
      </c>
      <c r="C37" t="s">
        <v>566</v>
      </c>
      <c r="D37" s="46" t="s">
        <v>567</v>
      </c>
      <c r="E37" s="122" t="s">
        <v>622</v>
      </c>
      <c r="F37" t="b">
        <f>IFERROR(Table6[[#This Row],[companyid]]=Sheet3!$N$20,TRUE)</f>
        <v>1</v>
      </c>
      <c r="G37" t="b">
        <f>OR(Worksheet!$D$5="",Worksheet!$D$5=Table6[[#This Row],[categoryname]])</f>
        <v>1</v>
      </c>
      <c r="H37" t="b">
        <f>OR(Worksheet!$D$7="",Worksheet!$D$7=Table6[[#This Row],[Manufacturer]])</f>
        <v>1</v>
      </c>
      <c r="I37" t="b">
        <f>OR(Worksheet!$G$7="",Worksheet!$G$7=Table6[[#This Row],[Model No.]])</f>
        <v>1</v>
      </c>
      <c r="J37" t="b">
        <f>OR(Worksheet!$D$8="",Worksheet!$D$8=Table6[[#This Row],[Serial No.]])</f>
        <v>1</v>
      </c>
      <c r="K37" t="b">
        <f>AND(Table6[[#This Row],[categoryname2]:[SN2]])</f>
        <v>1</v>
      </c>
      <c r="L37" t="b">
        <f>AND(Table6[[#This Row],[companyid2]],Table6[[#This Row],[Manufacturer2]:[SN2]])</f>
        <v>1</v>
      </c>
      <c r="M37" t="b">
        <f>AND(Table6[[#This Row],[companyid2]:[categoryname2]],Table6[[#This Row],[Model2]:[SN2]])</f>
        <v>1</v>
      </c>
      <c r="N37" t="b">
        <f>AND(Table6[[#This Row],[companyid2]:[Manufacturer2]],Table6[[#This Row],[SN2]])</f>
        <v>1</v>
      </c>
      <c r="O37" t="b">
        <f>AND(Table6[[#This Row],[companyid2]:[Model2]])</f>
        <v>1</v>
      </c>
      <c r="AS37" s="33"/>
    </row>
    <row r="38" spans="1:45" x14ac:dyDescent="0.25">
      <c r="A38">
        <v>57492</v>
      </c>
      <c r="B38" t="s">
        <v>565</v>
      </c>
      <c r="C38" t="s">
        <v>566</v>
      </c>
      <c r="D38" s="46" t="s">
        <v>567</v>
      </c>
      <c r="E38" s="122" t="s">
        <v>579</v>
      </c>
      <c r="F38" t="b">
        <f>IFERROR(Table6[[#This Row],[companyid]]=Sheet3!$N$20,TRUE)</f>
        <v>1</v>
      </c>
      <c r="G38" t="b">
        <f>OR(Worksheet!$D$5="",Worksheet!$D$5=Table6[[#This Row],[categoryname]])</f>
        <v>1</v>
      </c>
      <c r="H38" t="b">
        <f>OR(Worksheet!$D$7="",Worksheet!$D$7=Table6[[#This Row],[Manufacturer]])</f>
        <v>1</v>
      </c>
      <c r="I38" t="b">
        <f>OR(Worksheet!$G$7="",Worksheet!$G$7=Table6[[#This Row],[Model No.]])</f>
        <v>1</v>
      </c>
      <c r="J38" t="b">
        <f>OR(Worksheet!$D$8="",Worksheet!$D$8=Table6[[#This Row],[Serial No.]])</f>
        <v>1</v>
      </c>
      <c r="K38" t="b">
        <f>AND(Table6[[#This Row],[categoryname2]:[SN2]])</f>
        <v>1</v>
      </c>
      <c r="L38" t="b">
        <f>AND(Table6[[#This Row],[companyid2]],Table6[[#This Row],[Manufacturer2]:[SN2]])</f>
        <v>1</v>
      </c>
      <c r="M38" t="b">
        <f>AND(Table6[[#This Row],[companyid2]:[categoryname2]],Table6[[#This Row],[Model2]:[SN2]])</f>
        <v>1</v>
      </c>
      <c r="N38" t="b">
        <f>AND(Table6[[#This Row],[companyid2]:[Manufacturer2]],Table6[[#This Row],[SN2]])</f>
        <v>1</v>
      </c>
      <c r="O38" t="b">
        <f>AND(Table6[[#This Row],[companyid2]:[Model2]])</f>
        <v>1</v>
      </c>
      <c r="AS38" s="33"/>
    </row>
    <row r="39" spans="1:45" x14ac:dyDescent="0.25">
      <c r="A39">
        <v>57983</v>
      </c>
      <c r="B39" t="s">
        <v>565</v>
      </c>
      <c r="C39" t="s">
        <v>566</v>
      </c>
      <c r="D39" s="46" t="s">
        <v>567</v>
      </c>
      <c r="E39" s="122" t="s">
        <v>598</v>
      </c>
      <c r="F39" t="b">
        <f>IFERROR(Table6[[#This Row],[companyid]]=Sheet3!$N$20,TRUE)</f>
        <v>1</v>
      </c>
      <c r="G39" t="b">
        <f>OR(Worksheet!$D$5="",Worksheet!$D$5=Table6[[#This Row],[categoryname]])</f>
        <v>1</v>
      </c>
      <c r="H39" t="b">
        <f>OR(Worksheet!$D$7="",Worksheet!$D$7=Table6[[#This Row],[Manufacturer]])</f>
        <v>1</v>
      </c>
      <c r="I39" t="b">
        <f>OR(Worksheet!$G$7="",Worksheet!$G$7=Table6[[#This Row],[Model No.]])</f>
        <v>1</v>
      </c>
      <c r="J39" t="b">
        <f>OR(Worksheet!$D$8="",Worksheet!$D$8=Table6[[#This Row],[Serial No.]])</f>
        <v>1</v>
      </c>
      <c r="K39" t="b">
        <f>AND(Table6[[#This Row],[categoryname2]:[SN2]])</f>
        <v>1</v>
      </c>
      <c r="L39" t="b">
        <f>AND(Table6[[#This Row],[companyid2]],Table6[[#This Row],[Manufacturer2]:[SN2]])</f>
        <v>1</v>
      </c>
      <c r="M39" t="b">
        <f>AND(Table6[[#This Row],[companyid2]:[categoryname2]],Table6[[#This Row],[Model2]:[SN2]])</f>
        <v>1</v>
      </c>
      <c r="N39" t="b">
        <f>AND(Table6[[#This Row],[companyid2]:[Manufacturer2]],Table6[[#This Row],[SN2]])</f>
        <v>1</v>
      </c>
      <c r="O39" t="b">
        <f>AND(Table6[[#This Row],[companyid2]:[Model2]])</f>
        <v>1</v>
      </c>
      <c r="AS39" s="33"/>
    </row>
    <row r="40" spans="1:45" x14ac:dyDescent="0.25">
      <c r="A40">
        <v>57508</v>
      </c>
      <c r="B40" t="s">
        <v>565</v>
      </c>
      <c r="C40" t="s">
        <v>566</v>
      </c>
      <c r="D40" s="46" t="s">
        <v>567</v>
      </c>
      <c r="E40" s="122" t="s">
        <v>590</v>
      </c>
      <c r="F40" t="b">
        <f>IFERROR(Table6[[#This Row],[companyid]]=Sheet3!$N$20,TRUE)</f>
        <v>1</v>
      </c>
      <c r="G40" t="b">
        <f>OR(Worksheet!$D$5="",Worksheet!$D$5=Table6[[#This Row],[categoryname]])</f>
        <v>1</v>
      </c>
      <c r="H40" t="b">
        <f>OR(Worksheet!$D$7="",Worksheet!$D$7=Table6[[#This Row],[Manufacturer]])</f>
        <v>1</v>
      </c>
      <c r="I40" t="b">
        <f>OR(Worksheet!$G$7="",Worksheet!$G$7=Table6[[#This Row],[Model No.]])</f>
        <v>1</v>
      </c>
      <c r="J40" t="b">
        <f>OR(Worksheet!$D$8="",Worksheet!$D$8=Table6[[#This Row],[Serial No.]])</f>
        <v>1</v>
      </c>
      <c r="K40" t="b">
        <f>AND(Table6[[#This Row],[categoryname2]:[SN2]])</f>
        <v>1</v>
      </c>
      <c r="L40" t="b">
        <f>AND(Table6[[#This Row],[companyid2]],Table6[[#This Row],[Manufacturer2]:[SN2]])</f>
        <v>1</v>
      </c>
      <c r="M40" t="b">
        <f>AND(Table6[[#This Row],[companyid2]:[categoryname2]],Table6[[#This Row],[Model2]:[SN2]])</f>
        <v>1</v>
      </c>
      <c r="N40" t="b">
        <f>AND(Table6[[#This Row],[companyid2]:[Manufacturer2]],Table6[[#This Row],[SN2]])</f>
        <v>1</v>
      </c>
      <c r="O40" t="b">
        <f>AND(Table6[[#This Row],[companyid2]:[Model2]])</f>
        <v>1</v>
      </c>
      <c r="AS40" s="33"/>
    </row>
    <row r="41" spans="1:45" x14ac:dyDescent="0.25">
      <c r="A41">
        <v>57221</v>
      </c>
      <c r="B41" t="s">
        <v>565</v>
      </c>
      <c r="C41" t="s">
        <v>566</v>
      </c>
      <c r="D41" s="46" t="s">
        <v>567</v>
      </c>
      <c r="E41" s="122" t="s">
        <v>602</v>
      </c>
      <c r="F41" t="b">
        <f>IFERROR(Table6[[#This Row],[companyid]]=Sheet3!$N$20,TRUE)</f>
        <v>1</v>
      </c>
      <c r="G41" t="b">
        <f>OR(Worksheet!$D$5="",Worksheet!$D$5=Table6[[#This Row],[categoryname]])</f>
        <v>1</v>
      </c>
      <c r="H41" t="b">
        <f>OR(Worksheet!$D$7="",Worksheet!$D$7=Table6[[#This Row],[Manufacturer]])</f>
        <v>1</v>
      </c>
      <c r="I41" t="b">
        <f>OR(Worksheet!$G$7="",Worksheet!$G$7=Table6[[#This Row],[Model No.]])</f>
        <v>1</v>
      </c>
      <c r="J41" t="b">
        <f>OR(Worksheet!$D$8="",Worksheet!$D$8=Table6[[#This Row],[Serial No.]])</f>
        <v>1</v>
      </c>
      <c r="K41" t="b">
        <f>AND(Table6[[#This Row],[categoryname2]:[SN2]])</f>
        <v>1</v>
      </c>
      <c r="L41" t="b">
        <f>AND(Table6[[#This Row],[companyid2]],Table6[[#This Row],[Manufacturer2]:[SN2]])</f>
        <v>1</v>
      </c>
      <c r="M41" t="b">
        <f>AND(Table6[[#This Row],[companyid2]:[categoryname2]],Table6[[#This Row],[Model2]:[SN2]])</f>
        <v>1</v>
      </c>
      <c r="N41" t="b">
        <f>AND(Table6[[#This Row],[companyid2]:[Manufacturer2]],Table6[[#This Row],[SN2]])</f>
        <v>1</v>
      </c>
      <c r="O41" t="b">
        <f>AND(Table6[[#This Row],[companyid2]:[Model2]])</f>
        <v>1</v>
      </c>
      <c r="AH41" s="105"/>
    </row>
    <row r="42" spans="1:45" x14ac:dyDescent="0.25">
      <c r="A42">
        <v>57248</v>
      </c>
      <c r="B42" t="s">
        <v>565</v>
      </c>
      <c r="C42" t="s">
        <v>566</v>
      </c>
      <c r="D42" s="46" t="s">
        <v>567</v>
      </c>
      <c r="E42" s="122" t="s">
        <v>602</v>
      </c>
      <c r="F42" t="b">
        <f>IFERROR(Table6[[#This Row],[companyid]]=Sheet3!$N$20,TRUE)</f>
        <v>1</v>
      </c>
      <c r="G42" t="b">
        <f>OR(Worksheet!$D$5="",Worksheet!$D$5=Table6[[#This Row],[categoryname]])</f>
        <v>1</v>
      </c>
      <c r="H42" t="b">
        <f>OR(Worksheet!$D$7="",Worksheet!$D$7=Table6[[#This Row],[Manufacturer]])</f>
        <v>1</v>
      </c>
      <c r="I42" t="b">
        <f>OR(Worksheet!$G$7="",Worksheet!$G$7=Table6[[#This Row],[Model No.]])</f>
        <v>1</v>
      </c>
      <c r="J42" t="b">
        <f>OR(Worksheet!$D$8="",Worksheet!$D$8=Table6[[#This Row],[Serial No.]])</f>
        <v>1</v>
      </c>
      <c r="K42" t="b">
        <f>AND(Table6[[#This Row],[categoryname2]:[SN2]])</f>
        <v>1</v>
      </c>
      <c r="L42" t="b">
        <f>AND(Table6[[#This Row],[companyid2]],Table6[[#This Row],[Manufacturer2]:[SN2]])</f>
        <v>1</v>
      </c>
      <c r="M42" t="b">
        <f>AND(Table6[[#This Row],[companyid2]:[categoryname2]],Table6[[#This Row],[Model2]:[SN2]])</f>
        <v>1</v>
      </c>
      <c r="N42" t="b">
        <f>AND(Table6[[#This Row],[companyid2]:[Manufacturer2]],Table6[[#This Row],[SN2]])</f>
        <v>1</v>
      </c>
      <c r="O42" t="b">
        <f>AND(Table6[[#This Row],[companyid2]:[Model2]])</f>
        <v>1</v>
      </c>
      <c r="AS42" s="33"/>
    </row>
    <row r="43" spans="1:45" x14ac:dyDescent="0.25">
      <c r="A43">
        <v>57901</v>
      </c>
      <c r="B43" t="s">
        <v>565</v>
      </c>
      <c r="C43" t="s">
        <v>566</v>
      </c>
      <c r="D43" s="46" t="s">
        <v>567</v>
      </c>
      <c r="E43" s="122" t="s">
        <v>615</v>
      </c>
      <c r="F43" t="b">
        <f>IFERROR(Table6[[#This Row],[companyid]]=Sheet3!$N$20,TRUE)</f>
        <v>1</v>
      </c>
      <c r="G43" t="b">
        <f>OR(Worksheet!$D$5="",Worksheet!$D$5=Table6[[#This Row],[categoryname]])</f>
        <v>1</v>
      </c>
      <c r="H43" t="b">
        <f>OR(Worksheet!$D$7="",Worksheet!$D$7=Table6[[#This Row],[Manufacturer]])</f>
        <v>1</v>
      </c>
      <c r="I43" t="b">
        <f>OR(Worksheet!$G$7="",Worksheet!$G$7=Table6[[#This Row],[Model No.]])</f>
        <v>1</v>
      </c>
      <c r="J43" t="b">
        <f>OR(Worksheet!$D$8="",Worksheet!$D$8=Table6[[#This Row],[Serial No.]])</f>
        <v>1</v>
      </c>
      <c r="K43" t="b">
        <f>AND(Table6[[#This Row],[categoryname2]:[SN2]])</f>
        <v>1</v>
      </c>
      <c r="L43" t="b">
        <f>AND(Table6[[#This Row],[companyid2]],Table6[[#This Row],[Manufacturer2]:[SN2]])</f>
        <v>1</v>
      </c>
      <c r="M43" t="b">
        <f>AND(Table6[[#This Row],[companyid2]:[categoryname2]],Table6[[#This Row],[Model2]:[SN2]])</f>
        <v>1</v>
      </c>
      <c r="N43" t="b">
        <f>AND(Table6[[#This Row],[companyid2]:[Manufacturer2]],Table6[[#This Row],[SN2]])</f>
        <v>1</v>
      </c>
      <c r="O43" t="b">
        <f>AND(Table6[[#This Row],[companyid2]:[Model2]])</f>
        <v>1</v>
      </c>
      <c r="AS43" s="33"/>
    </row>
    <row r="44" spans="1:45" x14ac:dyDescent="0.25">
      <c r="A44">
        <v>57901</v>
      </c>
      <c r="B44" t="s">
        <v>565</v>
      </c>
      <c r="C44" t="s">
        <v>566</v>
      </c>
      <c r="D44" s="46" t="s">
        <v>567</v>
      </c>
      <c r="E44" s="122" t="s">
        <v>616</v>
      </c>
      <c r="F44" t="b">
        <f>IFERROR(Table6[[#This Row],[companyid]]=Sheet3!$N$20,TRUE)</f>
        <v>1</v>
      </c>
      <c r="G44" t="b">
        <f>OR(Worksheet!$D$5="",Worksheet!$D$5=Table6[[#This Row],[categoryname]])</f>
        <v>1</v>
      </c>
      <c r="H44" t="b">
        <f>OR(Worksheet!$D$7="",Worksheet!$D$7=Table6[[#This Row],[Manufacturer]])</f>
        <v>1</v>
      </c>
      <c r="I44" t="b">
        <f>OR(Worksheet!$G$7="",Worksheet!$G$7=Table6[[#This Row],[Model No.]])</f>
        <v>1</v>
      </c>
      <c r="J44" t="b">
        <f>OR(Worksheet!$D$8="",Worksheet!$D$8=Table6[[#This Row],[Serial No.]])</f>
        <v>1</v>
      </c>
      <c r="K44" t="b">
        <f>AND(Table6[[#This Row],[categoryname2]:[SN2]])</f>
        <v>1</v>
      </c>
      <c r="L44" t="b">
        <f>AND(Table6[[#This Row],[companyid2]],Table6[[#This Row],[Manufacturer2]:[SN2]])</f>
        <v>1</v>
      </c>
      <c r="M44" t="b">
        <f>AND(Table6[[#This Row],[companyid2]:[categoryname2]],Table6[[#This Row],[Model2]:[SN2]])</f>
        <v>1</v>
      </c>
      <c r="N44" t="b">
        <f>AND(Table6[[#This Row],[companyid2]:[Manufacturer2]],Table6[[#This Row],[SN2]])</f>
        <v>1</v>
      </c>
      <c r="O44" t="b">
        <f>AND(Table6[[#This Row],[companyid2]:[Model2]])</f>
        <v>1</v>
      </c>
      <c r="AS44" s="33"/>
    </row>
    <row r="45" spans="1:45" x14ac:dyDescent="0.25">
      <c r="A45">
        <v>57958</v>
      </c>
      <c r="B45" t="s">
        <v>565</v>
      </c>
      <c r="C45" t="s">
        <v>566</v>
      </c>
      <c r="D45" s="46" t="s">
        <v>567</v>
      </c>
      <c r="E45" s="122" t="s">
        <v>621</v>
      </c>
      <c r="F45" t="b">
        <f>IFERROR(Table6[[#This Row],[companyid]]=Sheet3!$N$20,TRUE)</f>
        <v>1</v>
      </c>
      <c r="G45" t="b">
        <f>OR(Worksheet!$D$5="",Worksheet!$D$5=Table6[[#This Row],[categoryname]])</f>
        <v>1</v>
      </c>
      <c r="H45" t="b">
        <f>OR(Worksheet!$D$7="",Worksheet!$D$7=Table6[[#This Row],[Manufacturer]])</f>
        <v>1</v>
      </c>
      <c r="I45" t="b">
        <f>OR(Worksheet!$G$7="",Worksheet!$G$7=Table6[[#This Row],[Model No.]])</f>
        <v>1</v>
      </c>
      <c r="J45" t="b">
        <f>OR(Worksheet!$D$8="",Worksheet!$D$8=Table6[[#This Row],[Serial No.]])</f>
        <v>1</v>
      </c>
      <c r="K45" t="b">
        <f>AND(Table6[[#This Row],[categoryname2]:[SN2]])</f>
        <v>1</v>
      </c>
      <c r="L45" t="b">
        <f>AND(Table6[[#This Row],[companyid2]],Table6[[#This Row],[Manufacturer2]:[SN2]])</f>
        <v>1</v>
      </c>
      <c r="M45" t="b">
        <f>AND(Table6[[#This Row],[companyid2]:[categoryname2]],Table6[[#This Row],[Model2]:[SN2]])</f>
        <v>1</v>
      </c>
      <c r="N45" t="b">
        <f>AND(Table6[[#This Row],[companyid2]:[Manufacturer2]],Table6[[#This Row],[SN2]])</f>
        <v>1</v>
      </c>
      <c r="O45" t="b">
        <f>AND(Table6[[#This Row],[companyid2]:[Model2]])</f>
        <v>1</v>
      </c>
      <c r="AS45" s="33"/>
    </row>
    <row r="46" spans="1:45" x14ac:dyDescent="0.25">
      <c r="A46">
        <v>57508</v>
      </c>
      <c r="B46" t="s">
        <v>565</v>
      </c>
      <c r="C46" t="s">
        <v>566</v>
      </c>
      <c r="D46" s="46" t="s">
        <v>567</v>
      </c>
      <c r="E46" s="122" t="s">
        <v>589</v>
      </c>
      <c r="F46" t="b">
        <f>IFERROR(Table6[[#This Row],[companyid]]=Sheet3!$N$20,TRUE)</f>
        <v>1</v>
      </c>
      <c r="G46" t="b">
        <f>OR(Worksheet!$D$5="",Worksheet!$D$5=Table6[[#This Row],[categoryname]])</f>
        <v>1</v>
      </c>
      <c r="H46" t="b">
        <f>OR(Worksheet!$D$7="",Worksheet!$D$7=Table6[[#This Row],[Manufacturer]])</f>
        <v>1</v>
      </c>
      <c r="I46" t="b">
        <f>OR(Worksheet!$G$7="",Worksheet!$G$7=Table6[[#This Row],[Model No.]])</f>
        <v>1</v>
      </c>
      <c r="J46" t="b">
        <f>OR(Worksheet!$D$8="",Worksheet!$D$8=Table6[[#This Row],[Serial No.]])</f>
        <v>1</v>
      </c>
      <c r="K46" t="b">
        <f>AND(Table6[[#This Row],[categoryname2]:[SN2]])</f>
        <v>1</v>
      </c>
      <c r="L46" t="b">
        <f>AND(Table6[[#This Row],[companyid2]],Table6[[#This Row],[Manufacturer2]:[SN2]])</f>
        <v>1</v>
      </c>
      <c r="M46" t="b">
        <f>AND(Table6[[#This Row],[companyid2]:[categoryname2]],Table6[[#This Row],[Model2]:[SN2]])</f>
        <v>1</v>
      </c>
      <c r="N46" t="b">
        <f>AND(Table6[[#This Row],[companyid2]:[Manufacturer2]],Table6[[#This Row],[SN2]])</f>
        <v>1</v>
      </c>
      <c r="O46" t="b">
        <f>AND(Table6[[#This Row],[companyid2]:[Model2]])</f>
        <v>1</v>
      </c>
      <c r="AS46" s="33"/>
    </row>
    <row r="47" spans="1:45" x14ac:dyDescent="0.25">
      <c r="A47">
        <v>57901</v>
      </c>
      <c r="B47" t="s">
        <v>565</v>
      </c>
      <c r="C47" t="s">
        <v>566</v>
      </c>
      <c r="D47" s="46" t="s">
        <v>567</v>
      </c>
      <c r="E47" s="122" t="s">
        <v>612</v>
      </c>
      <c r="F47" t="b">
        <f>IFERROR(Table6[[#This Row],[companyid]]=Sheet3!$N$20,TRUE)</f>
        <v>1</v>
      </c>
      <c r="G47" t="b">
        <f>OR(Worksheet!$D$5="",Worksheet!$D$5=Table6[[#This Row],[categoryname]])</f>
        <v>1</v>
      </c>
      <c r="H47" t="b">
        <f>OR(Worksheet!$D$7="",Worksheet!$D$7=Table6[[#This Row],[Manufacturer]])</f>
        <v>1</v>
      </c>
      <c r="I47" t="b">
        <f>OR(Worksheet!$G$7="",Worksheet!$G$7=Table6[[#This Row],[Model No.]])</f>
        <v>1</v>
      </c>
      <c r="J47" t="b">
        <f>OR(Worksheet!$D$8="",Worksheet!$D$8=Table6[[#This Row],[Serial No.]])</f>
        <v>1</v>
      </c>
      <c r="K47" t="b">
        <f>AND(Table6[[#This Row],[categoryname2]:[SN2]])</f>
        <v>1</v>
      </c>
      <c r="L47" t="b">
        <f>AND(Table6[[#This Row],[companyid2]],Table6[[#This Row],[Manufacturer2]:[SN2]])</f>
        <v>1</v>
      </c>
      <c r="M47" t="b">
        <f>AND(Table6[[#This Row],[companyid2]:[categoryname2]],Table6[[#This Row],[Model2]:[SN2]])</f>
        <v>1</v>
      </c>
      <c r="N47" t="b">
        <f>AND(Table6[[#This Row],[companyid2]:[Manufacturer2]],Table6[[#This Row],[SN2]])</f>
        <v>1</v>
      </c>
      <c r="O47" t="b">
        <f>AND(Table6[[#This Row],[companyid2]:[Model2]])</f>
        <v>1</v>
      </c>
      <c r="AS47" s="33"/>
    </row>
    <row r="48" spans="1:45" x14ac:dyDescent="0.25">
      <c r="A48">
        <v>57132</v>
      </c>
      <c r="B48" t="s">
        <v>565</v>
      </c>
      <c r="C48" t="s">
        <v>566</v>
      </c>
      <c r="D48" s="46" t="s">
        <v>567</v>
      </c>
      <c r="E48" s="122" t="s">
        <v>603</v>
      </c>
      <c r="F48" t="b">
        <f>IFERROR(Table6[[#This Row],[companyid]]=Sheet3!$N$20,TRUE)</f>
        <v>1</v>
      </c>
      <c r="G48" t="b">
        <f>OR(Worksheet!$D$5="",Worksheet!$D$5=Table6[[#This Row],[categoryname]])</f>
        <v>1</v>
      </c>
      <c r="H48" t="b">
        <f>OR(Worksheet!$D$7="",Worksheet!$D$7=Table6[[#This Row],[Manufacturer]])</f>
        <v>1</v>
      </c>
      <c r="I48" t="b">
        <f>OR(Worksheet!$G$7="",Worksheet!$G$7=Table6[[#This Row],[Model No.]])</f>
        <v>1</v>
      </c>
      <c r="J48" t="b">
        <f>OR(Worksheet!$D$8="",Worksheet!$D$8=Table6[[#This Row],[Serial No.]])</f>
        <v>1</v>
      </c>
      <c r="K48" t="b">
        <f>AND(Table6[[#This Row],[categoryname2]:[SN2]])</f>
        <v>1</v>
      </c>
      <c r="L48" t="b">
        <f>AND(Table6[[#This Row],[companyid2]],Table6[[#This Row],[Manufacturer2]:[SN2]])</f>
        <v>1</v>
      </c>
      <c r="M48" t="b">
        <f>AND(Table6[[#This Row],[companyid2]:[categoryname2]],Table6[[#This Row],[Model2]:[SN2]])</f>
        <v>1</v>
      </c>
      <c r="N48" t="b">
        <f>AND(Table6[[#This Row],[companyid2]:[Manufacturer2]],Table6[[#This Row],[SN2]])</f>
        <v>1</v>
      </c>
      <c r="O48" t="b">
        <f>AND(Table6[[#This Row],[companyid2]:[Model2]])</f>
        <v>1</v>
      </c>
      <c r="AH48" s="105"/>
    </row>
    <row r="49" spans="1:47" x14ac:dyDescent="0.25">
      <c r="A49">
        <v>57911</v>
      </c>
      <c r="B49" t="s">
        <v>565</v>
      </c>
      <c r="C49" t="s">
        <v>566</v>
      </c>
      <c r="D49" s="46" t="s">
        <v>567</v>
      </c>
      <c r="E49" s="122" t="s">
        <v>603</v>
      </c>
      <c r="F49" t="b">
        <f>IFERROR(Table6[[#This Row],[companyid]]=Sheet3!$N$20,TRUE)</f>
        <v>1</v>
      </c>
      <c r="G49" t="b">
        <f>OR(Worksheet!$D$5="",Worksheet!$D$5=Table6[[#This Row],[categoryname]])</f>
        <v>1</v>
      </c>
      <c r="H49" t="b">
        <f>OR(Worksheet!$D$7="",Worksheet!$D$7=Table6[[#This Row],[Manufacturer]])</f>
        <v>1</v>
      </c>
      <c r="I49" t="b">
        <f>OR(Worksheet!$G$7="",Worksheet!$G$7=Table6[[#This Row],[Model No.]])</f>
        <v>1</v>
      </c>
      <c r="J49" t="b">
        <f>OR(Worksheet!$D$8="",Worksheet!$D$8=Table6[[#This Row],[Serial No.]])</f>
        <v>1</v>
      </c>
      <c r="K49" t="b">
        <f>AND(Table6[[#This Row],[categoryname2]:[SN2]])</f>
        <v>1</v>
      </c>
      <c r="L49" t="b">
        <f>AND(Table6[[#This Row],[companyid2]],Table6[[#This Row],[Manufacturer2]:[SN2]])</f>
        <v>1</v>
      </c>
      <c r="M49" t="b">
        <f>AND(Table6[[#This Row],[companyid2]:[categoryname2]],Table6[[#This Row],[Model2]:[SN2]])</f>
        <v>1</v>
      </c>
      <c r="N49" t="b">
        <f>AND(Table6[[#This Row],[companyid2]:[Manufacturer2]],Table6[[#This Row],[SN2]])</f>
        <v>1</v>
      </c>
      <c r="O49" t="b">
        <f>AND(Table6[[#This Row],[companyid2]:[Model2]])</f>
        <v>1</v>
      </c>
      <c r="AH49" s="105"/>
    </row>
    <row r="50" spans="1:47" x14ac:dyDescent="0.25">
      <c r="A50">
        <v>57881</v>
      </c>
      <c r="B50" t="s">
        <v>565</v>
      </c>
      <c r="C50" t="s">
        <v>566</v>
      </c>
      <c r="D50" s="46" t="s">
        <v>567</v>
      </c>
      <c r="E50" s="122" t="s">
        <v>613</v>
      </c>
      <c r="F50" t="b">
        <f>IFERROR(Table6[[#This Row],[companyid]]=Sheet3!$N$20,TRUE)</f>
        <v>1</v>
      </c>
      <c r="G50" t="b">
        <f>OR(Worksheet!$D$5="",Worksheet!$D$5=Table6[[#This Row],[categoryname]])</f>
        <v>1</v>
      </c>
      <c r="H50" t="b">
        <f>OR(Worksheet!$D$7="",Worksheet!$D$7=Table6[[#This Row],[Manufacturer]])</f>
        <v>1</v>
      </c>
      <c r="I50" t="b">
        <f>OR(Worksheet!$G$7="",Worksheet!$G$7=Table6[[#This Row],[Model No.]])</f>
        <v>1</v>
      </c>
      <c r="J50" t="b">
        <f>OR(Worksheet!$D$8="",Worksheet!$D$8=Table6[[#This Row],[Serial No.]])</f>
        <v>1</v>
      </c>
      <c r="K50" t="b">
        <f>AND(Table6[[#This Row],[categoryname2]:[SN2]])</f>
        <v>1</v>
      </c>
      <c r="L50" t="b">
        <f>AND(Table6[[#This Row],[companyid2]],Table6[[#This Row],[Manufacturer2]:[SN2]])</f>
        <v>1</v>
      </c>
      <c r="M50" t="b">
        <f>AND(Table6[[#This Row],[companyid2]:[categoryname2]],Table6[[#This Row],[Model2]:[SN2]])</f>
        <v>1</v>
      </c>
      <c r="N50" t="b">
        <f>AND(Table6[[#This Row],[companyid2]:[Manufacturer2]],Table6[[#This Row],[SN2]])</f>
        <v>1</v>
      </c>
      <c r="O50" t="b">
        <f>AND(Table6[[#This Row],[companyid2]:[Model2]])</f>
        <v>1</v>
      </c>
      <c r="AS50" s="33"/>
    </row>
    <row r="51" spans="1:47" x14ac:dyDescent="0.25">
      <c r="A51">
        <v>57461</v>
      </c>
      <c r="B51" t="s">
        <v>565</v>
      </c>
      <c r="C51" t="s">
        <v>566</v>
      </c>
      <c r="D51" s="46" t="s">
        <v>1174</v>
      </c>
      <c r="E51" s="122">
        <v>14348</v>
      </c>
      <c r="F51" t="b">
        <f>IFERROR(Table6[[#This Row],[companyid]]=Sheet3!$N$20,TRUE)</f>
        <v>1</v>
      </c>
      <c r="G51" t="b">
        <f>OR(Worksheet!$D$5="",Worksheet!$D$5=Table6[[#This Row],[categoryname]])</f>
        <v>1</v>
      </c>
      <c r="H51" t="b">
        <f>OR(Worksheet!$D$7="",Worksheet!$D$7=Table6[[#This Row],[Manufacturer]])</f>
        <v>1</v>
      </c>
      <c r="I51" t="b">
        <f>OR(Worksheet!$G$7="",Worksheet!$G$7=Table6[[#This Row],[Model No.]])</f>
        <v>1</v>
      </c>
      <c r="J51" t="b">
        <f>OR(Worksheet!$D$8="",Worksheet!$D$8=Table6[[#This Row],[Serial No.]])</f>
        <v>1</v>
      </c>
      <c r="K51" t="b">
        <f>AND(Table6[[#This Row],[categoryname2]:[SN2]])</f>
        <v>1</v>
      </c>
      <c r="L51" t="b">
        <f>AND(Table6[[#This Row],[companyid2]],Table6[[#This Row],[Manufacturer2]:[SN2]])</f>
        <v>1</v>
      </c>
      <c r="M51" t="b">
        <f>AND(Table6[[#This Row],[companyid2]:[categoryname2]],Table6[[#This Row],[Model2]:[SN2]])</f>
        <v>1</v>
      </c>
      <c r="N51" t="b">
        <f>AND(Table6[[#This Row],[companyid2]:[Manufacturer2]],Table6[[#This Row],[SN2]])</f>
        <v>1</v>
      </c>
      <c r="O51" t="b">
        <f>AND(Table6[[#This Row],[companyid2]:[Model2]])</f>
        <v>1</v>
      </c>
      <c r="AS51" s="33"/>
    </row>
    <row r="52" spans="1:47" x14ac:dyDescent="0.25">
      <c r="A52">
        <v>58242</v>
      </c>
      <c r="B52" t="s">
        <v>565</v>
      </c>
      <c r="C52" t="s">
        <v>566</v>
      </c>
      <c r="D52" s="46" t="s">
        <v>1174</v>
      </c>
      <c r="E52" s="121">
        <v>17549</v>
      </c>
      <c r="F52" t="b">
        <f>IFERROR(Table6[[#This Row],[companyid]]=Sheet3!$N$20,TRUE)</f>
        <v>1</v>
      </c>
      <c r="G52" t="b">
        <f>OR(Worksheet!$D$5="",Worksheet!$D$5=Table6[[#This Row],[categoryname]])</f>
        <v>1</v>
      </c>
      <c r="H52" t="b">
        <f>OR(Worksheet!$D$7="",Worksheet!$D$7=Table6[[#This Row],[Manufacturer]])</f>
        <v>1</v>
      </c>
      <c r="I52" t="b">
        <f>OR(Worksheet!$G$7="",Worksheet!$G$7=Table6[[#This Row],[Model No.]])</f>
        <v>1</v>
      </c>
      <c r="J52" t="b">
        <f>OR(Worksheet!$D$8="",Worksheet!$D$8=Table6[[#This Row],[Serial No.]])</f>
        <v>1</v>
      </c>
      <c r="K52" t="b">
        <f>AND(Table6[[#This Row],[categoryname2]:[SN2]])</f>
        <v>1</v>
      </c>
      <c r="L52" t="b">
        <f>AND(Table6[[#This Row],[companyid2]],Table6[[#This Row],[Manufacturer2]:[SN2]])</f>
        <v>1</v>
      </c>
      <c r="M52" t="b">
        <f>AND(Table6[[#This Row],[companyid2]:[categoryname2]],Table6[[#This Row],[Model2]:[SN2]])</f>
        <v>1</v>
      </c>
      <c r="N52" t="b">
        <f>AND(Table6[[#This Row],[companyid2]:[Manufacturer2]],Table6[[#This Row],[SN2]])</f>
        <v>1</v>
      </c>
      <c r="O52" t="b">
        <f>AND(Table6[[#This Row],[companyid2]:[Model2]])</f>
        <v>1</v>
      </c>
      <c r="AS52" s="33"/>
      <c r="AU52" s="33"/>
    </row>
    <row r="53" spans="1:47" x14ac:dyDescent="0.25">
      <c r="A53">
        <v>57525</v>
      </c>
      <c r="B53" t="s">
        <v>565</v>
      </c>
      <c r="C53" t="s">
        <v>566</v>
      </c>
      <c r="D53" s="46" t="s">
        <v>1174</v>
      </c>
      <c r="E53" s="122">
        <v>191664</v>
      </c>
      <c r="F53" t="b">
        <f>IFERROR(Table6[[#This Row],[companyid]]=Sheet3!$N$20,TRUE)</f>
        <v>1</v>
      </c>
      <c r="G53" t="b">
        <f>OR(Worksheet!$D$5="",Worksheet!$D$5=Table6[[#This Row],[categoryname]])</f>
        <v>1</v>
      </c>
      <c r="H53" t="b">
        <f>OR(Worksheet!$D$7="",Worksheet!$D$7=Table6[[#This Row],[Manufacturer]])</f>
        <v>1</v>
      </c>
      <c r="I53" t="b">
        <f>OR(Worksheet!$G$7="",Worksheet!$G$7=Table6[[#This Row],[Model No.]])</f>
        <v>1</v>
      </c>
      <c r="J53" t="b">
        <f>OR(Worksheet!$D$8="",Worksheet!$D$8=Table6[[#This Row],[Serial No.]])</f>
        <v>1</v>
      </c>
      <c r="K53" t="b">
        <f>AND(Table6[[#This Row],[categoryname2]:[SN2]])</f>
        <v>1</v>
      </c>
      <c r="L53" t="b">
        <f>AND(Table6[[#This Row],[companyid2]],Table6[[#This Row],[Manufacturer2]:[SN2]])</f>
        <v>1</v>
      </c>
      <c r="M53" t="b">
        <f>AND(Table6[[#This Row],[companyid2]:[categoryname2]],Table6[[#This Row],[Model2]:[SN2]])</f>
        <v>1</v>
      </c>
      <c r="N53" t="b">
        <f>AND(Table6[[#This Row],[companyid2]:[Manufacturer2]],Table6[[#This Row],[SN2]])</f>
        <v>1</v>
      </c>
      <c r="O53" t="b">
        <f>AND(Table6[[#This Row],[companyid2]:[Model2]])</f>
        <v>1</v>
      </c>
      <c r="AS53" s="33"/>
    </row>
    <row r="54" spans="1:47" x14ac:dyDescent="0.25">
      <c r="A54">
        <v>58115</v>
      </c>
      <c r="B54" t="s">
        <v>565</v>
      </c>
      <c r="C54" t="s">
        <v>1128</v>
      </c>
      <c r="D54" s="46" t="s">
        <v>1204</v>
      </c>
      <c r="E54" s="122" t="s">
        <v>1129</v>
      </c>
      <c r="F54" t="b">
        <f>IFERROR(Table6[[#This Row],[companyid]]=Sheet3!$N$20,TRUE)</f>
        <v>1</v>
      </c>
      <c r="G54" t="b">
        <f>OR(Worksheet!$D$5="",Worksheet!$D$5=Table6[[#This Row],[categoryname]])</f>
        <v>1</v>
      </c>
      <c r="H54" t="b">
        <f>OR(Worksheet!$D$7="",Worksheet!$D$7=Table6[[#This Row],[Manufacturer]])</f>
        <v>1</v>
      </c>
      <c r="I54" t="b">
        <f>OR(Worksheet!$G$7="",Worksheet!$G$7=Table6[[#This Row],[Model No.]])</f>
        <v>1</v>
      </c>
      <c r="J54" t="b">
        <f>OR(Worksheet!$D$8="",Worksheet!$D$8=Table6[[#This Row],[Serial No.]])</f>
        <v>1</v>
      </c>
      <c r="K54" t="b">
        <f>AND(Table6[[#This Row],[categoryname2]:[SN2]])</f>
        <v>1</v>
      </c>
      <c r="L54" t="b">
        <f>AND(Table6[[#This Row],[companyid2]],Table6[[#This Row],[Manufacturer2]:[SN2]])</f>
        <v>1</v>
      </c>
      <c r="M54" t="b">
        <f>AND(Table6[[#This Row],[companyid2]:[categoryname2]],Table6[[#This Row],[Model2]:[SN2]])</f>
        <v>1</v>
      </c>
      <c r="N54" t="b">
        <f>AND(Table6[[#This Row],[companyid2]:[Manufacturer2]],Table6[[#This Row],[SN2]])</f>
        <v>1</v>
      </c>
      <c r="O54" t="b">
        <f>AND(Table6[[#This Row],[companyid2]:[Model2]])</f>
        <v>1</v>
      </c>
      <c r="AS54" s="33"/>
    </row>
    <row r="55" spans="1:47" x14ac:dyDescent="0.25">
      <c r="A55">
        <v>58115</v>
      </c>
      <c r="B55" t="s">
        <v>565</v>
      </c>
      <c r="C55" t="s">
        <v>1128</v>
      </c>
      <c r="D55" s="46" t="s">
        <v>1204</v>
      </c>
      <c r="E55" s="122" t="s">
        <v>1326</v>
      </c>
      <c r="F55" t="b">
        <f>IFERROR(Table6[[#This Row],[companyid]]=Sheet3!$N$20,TRUE)</f>
        <v>1</v>
      </c>
      <c r="G55" t="b">
        <f>OR(Worksheet!$D$5="",Worksheet!$D$5=Table6[[#This Row],[categoryname]])</f>
        <v>1</v>
      </c>
      <c r="H55" t="b">
        <f>OR(Worksheet!$D$7="",Worksheet!$D$7=Table6[[#This Row],[Manufacturer]])</f>
        <v>1</v>
      </c>
      <c r="I55" t="b">
        <f>OR(Worksheet!$G$7="",Worksheet!$G$7=Table6[[#This Row],[Model No.]])</f>
        <v>1</v>
      </c>
      <c r="J55" t="b">
        <f>OR(Worksheet!$D$8="",Worksheet!$D$8=Table6[[#This Row],[Serial No.]])</f>
        <v>1</v>
      </c>
      <c r="K55" t="b">
        <f>AND(Table6[[#This Row],[categoryname2]:[SN2]])</f>
        <v>1</v>
      </c>
      <c r="L55" t="b">
        <f>AND(Table6[[#This Row],[companyid2]],Table6[[#This Row],[Manufacturer2]:[SN2]])</f>
        <v>1</v>
      </c>
      <c r="M55" t="b">
        <f>AND(Table6[[#This Row],[companyid2]:[categoryname2]],Table6[[#This Row],[Model2]:[SN2]])</f>
        <v>1</v>
      </c>
      <c r="N55" t="b">
        <f>AND(Table6[[#This Row],[companyid2]:[Manufacturer2]],Table6[[#This Row],[SN2]])</f>
        <v>1</v>
      </c>
      <c r="O55" t="b">
        <f>AND(Table6[[#This Row],[companyid2]:[Model2]])</f>
        <v>1</v>
      </c>
      <c r="AS55" s="33"/>
    </row>
    <row r="56" spans="1:47" x14ac:dyDescent="0.25">
      <c r="A56">
        <v>58115</v>
      </c>
      <c r="B56" t="s">
        <v>565</v>
      </c>
      <c r="C56" t="s">
        <v>1128</v>
      </c>
      <c r="D56" s="46" t="s">
        <v>1204</v>
      </c>
      <c r="E56" s="122" t="s">
        <v>1130</v>
      </c>
      <c r="F56" t="b">
        <f>IFERROR(Table6[[#This Row],[companyid]]=Sheet3!$N$20,TRUE)</f>
        <v>1</v>
      </c>
      <c r="G56" t="b">
        <f>OR(Worksheet!$D$5="",Worksheet!$D$5=Table6[[#This Row],[categoryname]])</f>
        <v>1</v>
      </c>
      <c r="H56" t="b">
        <f>OR(Worksheet!$D$7="",Worksheet!$D$7=Table6[[#This Row],[Manufacturer]])</f>
        <v>1</v>
      </c>
      <c r="I56" t="b">
        <f>OR(Worksheet!$G$7="",Worksheet!$G$7=Table6[[#This Row],[Model No.]])</f>
        <v>1</v>
      </c>
      <c r="J56" t="b">
        <f>OR(Worksheet!$D$8="",Worksheet!$D$8=Table6[[#This Row],[Serial No.]])</f>
        <v>1</v>
      </c>
      <c r="K56" t="b">
        <f>AND(Table6[[#This Row],[categoryname2]:[SN2]])</f>
        <v>1</v>
      </c>
      <c r="L56" t="b">
        <f>AND(Table6[[#This Row],[companyid2]],Table6[[#This Row],[Manufacturer2]:[SN2]])</f>
        <v>1</v>
      </c>
      <c r="M56" t="b">
        <f>AND(Table6[[#This Row],[companyid2]:[categoryname2]],Table6[[#This Row],[Model2]:[SN2]])</f>
        <v>1</v>
      </c>
      <c r="N56" t="b">
        <f>AND(Table6[[#This Row],[companyid2]:[Manufacturer2]],Table6[[#This Row],[SN2]])</f>
        <v>1</v>
      </c>
      <c r="O56" t="b">
        <f>AND(Table6[[#This Row],[companyid2]:[Model2]])</f>
        <v>1</v>
      </c>
      <c r="AG56" s="91"/>
      <c r="AS56" s="33"/>
    </row>
    <row r="57" spans="1:47" x14ac:dyDescent="0.25">
      <c r="A57">
        <v>58115</v>
      </c>
      <c r="B57" t="s">
        <v>565</v>
      </c>
      <c r="C57" t="s">
        <v>1126</v>
      </c>
      <c r="D57" s="46" t="s">
        <v>1204</v>
      </c>
      <c r="E57" s="122" t="s">
        <v>1127</v>
      </c>
      <c r="F57" t="b">
        <f>IFERROR(Table6[[#This Row],[companyid]]=Sheet3!$N$20,TRUE)</f>
        <v>1</v>
      </c>
      <c r="G57" t="b">
        <f>OR(Worksheet!$D$5="",Worksheet!$D$5=Table6[[#This Row],[categoryname]])</f>
        <v>1</v>
      </c>
      <c r="H57" t="b">
        <f>OR(Worksheet!$D$7="",Worksheet!$D$7=Table6[[#This Row],[Manufacturer]])</f>
        <v>1</v>
      </c>
      <c r="I57" t="b">
        <f>OR(Worksheet!$G$7="",Worksheet!$G$7=Table6[[#This Row],[Model No.]])</f>
        <v>1</v>
      </c>
      <c r="J57" t="b">
        <f>OR(Worksheet!$D$8="",Worksheet!$D$8=Table6[[#This Row],[Serial No.]])</f>
        <v>1</v>
      </c>
      <c r="K57" t="b">
        <f>AND(Table6[[#This Row],[categoryname2]:[SN2]])</f>
        <v>1</v>
      </c>
      <c r="L57" t="b">
        <f>AND(Table6[[#This Row],[companyid2]],Table6[[#This Row],[Manufacturer2]:[SN2]])</f>
        <v>1</v>
      </c>
      <c r="M57" t="b">
        <f>AND(Table6[[#This Row],[companyid2]:[categoryname2]],Table6[[#This Row],[Model2]:[SN2]])</f>
        <v>1</v>
      </c>
      <c r="N57" t="b">
        <f>AND(Table6[[#This Row],[companyid2]:[Manufacturer2]],Table6[[#This Row],[SN2]])</f>
        <v>1</v>
      </c>
      <c r="O57" t="b">
        <f>AND(Table6[[#This Row],[companyid2]:[Model2]])</f>
        <v>1</v>
      </c>
      <c r="AS57" s="33"/>
    </row>
    <row r="58" spans="1:47" x14ac:dyDescent="0.25">
      <c r="A58">
        <v>57460</v>
      </c>
      <c r="B58" t="s">
        <v>565</v>
      </c>
      <c r="C58" t="s">
        <v>573</v>
      </c>
      <c r="D58" s="46" t="s">
        <v>574</v>
      </c>
      <c r="E58" s="122">
        <v>9873</v>
      </c>
      <c r="F58" t="b">
        <f>IFERROR(Table6[[#This Row],[companyid]]=Sheet3!$N$20,TRUE)</f>
        <v>1</v>
      </c>
      <c r="G58" t="b">
        <f>OR(Worksheet!$D$5="",Worksheet!$D$5=Table6[[#This Row],[categoryname]])</f>
        <v>1</v>
      </c>
      <c r="H58" t="b">
        <f>OR(Worksheet!$D$7="",Worksheet!$D$7=Table6[[#This Row],[Manufacturer]])</f>
        <v>1</v>
      </c>
      <c r="I58" t="b">
        <f>OR(Worksheet!$G$7="",Worksheet!$G$7=Table6[[#This Row],[Model No.]])</f>
        <v>1</v>
      </c>
      <c r="J58" t="b">
        <f>OR(Worksheet!$D$8="",Worksheet!$D$8=Table6[[#This Row],[Serial No.]])</f>
        <v>1</v>
      </c>
      <c r="K58" t="b">
        <f>AND(Table6[[#This Row],[categoryname2]:[SN2]])</f>
        <v>1</v>
      </c>
      <c r="L58" t="b">
        <f>AND(Table6[[#This Row],[companyid2]],Table6[[#This Row],[Manufacturer2]:[SN2]])</f>
        <v>1</v>
      </c>
      <c r="M58" t="b">
        <f>AND(Table6[[#This Row],[companyid2]:[categoryname2]],Table6[[#This Row],[Model2]:[SN2]])</f>
        <v>1</v>
      </c>
      <c r="N58" t="b">
        <f>AND(Table6[[#This Row],[companyid2]:[Manufacturer2]],Table6[[#This Row],[SN2]])</f>
        <v>1</v>
      </c>
      <c r="O58" t="b">
        <f>AND(Table6[[#This Row],[companyid2]:[Model2]])</f>
        <v>1</v>
      </c>
      <c r="AS58" s="33"/>
    </row>
    <row r="59" spans="1:47" x14ac:dyDescent="0.25">
      <c r="A59">
        <v>57461</v>
      </c>
      <c r="B59" t="s">
        <v>565</v>
      </c>
      <c r="C59" t="s">
        <v>573</v>
      </c>
      <c r="D59" s="46" t="s">
        <v>574</v>
      </c>
      <c r="E59" s="122">
        <v>9873</v>
      </c>
      <c r="F59" t="b">
        <f>IFERROR(Table6[[#This Row],[companyid]]=Sheet3!$N$20,TRUE)</f>
        <v>1</v>
      </c>
      <c r="G59" t="b">
        <f>OR(Worksheet!$D$5="",Worksheet!$D$5=Table6[[#This Row],[categoryname]])</f>
        <v>1</v>
      </c>
      <c r="H59" t="b">
        <f>OR(Worksheet!$D$7="",Worksheet!$D$7=Table6[[#This Row],[Manufacturer]])</f>
        <v>1</v>
      </c>
      <c r="I59" t="b">
        <f>OR(Worksheet!$G$7="",Worksheet!$G$7=Table6[[#This Row],[Model No.]])</f>
        <v>1</v>
      </c>
      <c r="J59" t="b">
        <f>OR(Worksheet!$D$8="",Worksheet!$D$8=Table6[[#This Row],[Serial No.]])</f>
        <v>1</v>
      </c>
      <c r="K59" t="b">
        <f>AND(Table6[[#This Row],[categoryname2]:[SN2]])</f>
        <v>1</v>
      </c>
      <c r="L59" t="b">
        <f>AND(Table6[[#This Row],[companyid2]],Table6[[#This Row],[Manufacturer2]:[SN2]])</f>
        <v>1</v>
      </c>
      <c r="M59" t="b">
        <f>AND(Table6[[#This Row],[companyid2]:[categoryname2]],Table6[[#This Row],[Model2]:[SN2]])</f>
        <v>1</v>
      </c>
      <c r="N59" t="b">
        <f>AND(Table6[[#This Row],[companyid2]:[Manufacturer2]],Table6[[#This Row],[SN2]])</f>
        <v>1</v>
      </c>
      <c r="O59" t="b">
        <f>AND(Table6[[#This Row],[companyid2]:[Model2]])</f>
        <v>1</v>
      </c>
      <c r="AS59" s="33"/>
    </row>
    <row r="60" spans="1:47" x14ac:dyDescent="0.25">
      <c r="A60">
        <v>57911</v>
      </c>
      <c r="B60" t="s">
        <v>565</v>
      </c>
      <c r="C60" t="s">
        <v>571</v>
      </c>
      <c r="D60" s="46" t="s">
        <v>1044</v>
      </c>
      <c r="E60" s="122" t="s">
        <v>1114</v>
      </c>
      <c r="F60" t="b">
        <f>IFERROR(Table6[[#This Row],[companyid]]=Sheet3!$N$20,TRUE)</f>
        <v>1</v>
      </c>
      <c r="G60" t="b">
        <f>OR(Worksheet!$D$5="",Worksheet!$D$5=Table6[[#This Row],[categoryname]])</f>
        <v>1</v>
      </c>
      <c r="H60" t="b">
        <f>OR(Worksheet!$D$7="",Worksheet!$D$7=Table6[[#This Row],[Manufacturer]])</f>
        <v>1</v>
      </c>
      <c r="I60" t="b">
        <f>OR(Worksheet!$G$7="",Worksheet!$G$7=Table6[[#This Row],[Model No.]])</f>
        <v>1</v>
      </c>
      <c r="J60" t="b">
        <f>OR(Worksheet!$D$8="",Worksheet!$D$8=Table6[[#This Row],[Serial No.]])</f>
        <v>1</v>
      </c>
      <c r="K60" t="b">
        <f>AND(Table6[[#This Row],[categoryname2]:[SN2]])</f>
        <v>1</v>
      </c>
      <c r="L60" t="b">
        <f>AND(Table6[[#This Row],[companyid2]],Table6[[#This Row],[Manufacturer2]:[SN2]])</f>
        <v>1</v>
      </c>
      <c r="M60" t="b">
        <f>AND(Table6[[#This Row],[companyid2]:[categoryname2]],Table6[[#This Row],[Model2]:[SN2]])</f>
        <v>1</v>
      </c>
      <c r="N60" t="b">
        <f>AND(Table6[[#This Row],[companyid2]:[Manufacturer2]],Table6[[#This Row],[SN2]])</f>
        <v>1</v>
      </c>
      <c r="O60" t="b">
        <f>AND(Table6[[#This Row],[companyid2]:[Model2]])</f>
        <v>1</v>
      </c>
      <c r="AS60" s="33"/>
    </row>
    <row r="61" spans="1:47" x14ac:dyDescent="0.25">
      <c r="A61">
        <v>58115</v>
      </c>
      <c r="B61" t="s">
        <v>565</v>
      </c>
      <c r="C61" t="s">
        <v>571</v>
      </c>
      <c r="D61" s="46" t="s">
        <v>1203</v>
      </c>
      <c r="E61" s="122" t="s">
        <v>1137</v>
      </c>
      <c r="F61" t="b">
        <f>IFERROR(Table6[[#This Row],[companyid]]=Sheet3!$N$20,TRUE)</f>
        <v>1</v>
      </c>
      <c r="G61" t="b">
        <f>OR(Worksheet!$D$5="",Worksheet!$D$5=Table6[[#This Row],[categoryname]])</f>
        <v>1</v>
      </c>
      <c r="H61" t="b">
        <f>OR(Worksheet!$D$7="",Worksheet!$D$7=Table6[[#This Row],[Manufacturer]])</f>
        <v>1</v>
      </c>
      <c r="I61" t="b">
        <f>OR(Worksheet!$G$7="",Worksheet!$G$7=Table6[[#This Row],[Model No.]])</f>
        <v>1</v>
      </c>
      <c r="J61" t="b">
        <f>OR(Worksheet!$D$8="",Worksheet!$D$8=Table6[[#This Row],[Serial No.]])</f>
        <v>1</v>
      </c>
      <c r="K61" t="b">
        <f>AND(Table6[[#This Row],[categoryname2]:[SN2]])</f>
        <v>1</v>
      </c>
      <c r="L61" t="b">
        <f>AND(Table6[[#This Row],[companyid2]],Table6[[#This Row],[Manufacturer2]:[SN2]])</f>
        <v>1</v>
      </c>
      <c r="M61" t="b">
        <f>AND(Table6[[#This Row],[companyid2]:[categoryname2]],Table6[[#This Row],[Model2]:[SN2]])</f>
        <v>1</v>
      </c>
      <c r="N61" t="b">
        <f>AND(Table6[[#This Row],[companyid2]:[Manufacturer2]],Table6[[#This Row],[SN2]])</f>
        <v>1</v>
      </c>
      <c r="O61" t="b">
        <f>AND(Table6[[#This Row],[companyid2]:[Model2]])</f>
        <v>1</v>
      </c>
      <c r="AS61" s="33"/>
    </row>
    <row r="62" spans="1:47" x14ac:dyDescent="0.25">
      <c r="A62">
        <v>57248</v>
      </c>
      <c r="B62" t="s">
        <v>565</v>
      </c>
      <c r="C62" t="s">
        <v>571</v>
      </c>
      <c r="D62" s="46" t="s">
        <v>1162</v>
      </c>
      <c r="E62" s="122">
        <v>21</v>
      </c>
      <c r="F62" t="b">
        <f>IFERROR(Table6[[#This Row],[companyid]]=Sheet3!$N$20,TRUE)</f>
        <v>1</v>
      </c>
      <c r="G62" t="b">
        <f>OR(Worksheet!$D$5="",Worksheet!$D$5=Table6[[#This Row],[categoryname]])</f>
        <v>1</v>
      </c>
      <c r="H62" t="b">
        <f>OR(Worksheet!$D$7="",Worksheet!$D$7=Table6[[#This Row],[Manufacturer]])</f>
        <v>1</v>
      </c>
      <c r="I62" t="b">
        <f>OR(Worksheet!$G$7="",Worksheet!$G$7=Table6[[#This Row],[Model No.]])</f>
        <v>1</v>
      </c>
      <c r="J62" t="b">
        <f>OR(Worksheet!$D$8="",Worksheet!$D$8=Table6[[#This Row],[Serial No.]])</f>
        <v>1</v>
      </c>
      <c r="K62" t="b">
        <f>AND(Table6[[#This Row],[categoryname2]:[SN2]])</f>
        <v>1</v>
      </c>
      <c r="L62" t="b">
        <f>AND(Table6[[#This Row],[companyid2]],Table6[[#This Row],[Manufacturer2]:[SN2]])</f>
        <v>1</v>
      </c>
      <c r="M62" t="b">
        <f>AND(Table6[[#This Row],[companyid2]:[categoryname2]],Table6[[#This Row],[Model2]:[SN2]])</f>
        <v>1</v>
      </c>
      <c r="N62" t="b">
        <f>AND(Table6[[#This Row],[companyid2]:[Manufacturer2]],Table6[[#This Row],[SN2]])</f>
        <v>1</v>
      </c>
      <c r="O62" t="b">
        <f>AND(Table6[[#This Row],[companyid2]:[Model2]])</f>
        <v>1</v>
      </c>
      <c r="AS62" s="33"/>
    </row>
    <row r="63" spans="1:47" x14ac:dyDescent="0.25">
      <c r="A63">
        <v>57480</v>
      </c>
      <c r="B63" t="s">
        <v>568</v>
      </c>
      <c r="C63" t="s">
        <v>1066</v>
      </c>
      <c r="D63" s="123">
        <v>6534051</v>
      </c>
      <c r="E63" s="121">
        <v>1412</v>
      </c>
      <c r="F63" t="b">
        <f>IFERROR(Table6[[#This Row],[companyid]]=Sheet3!$N$20,TRUE)</f>
        <v>1</v>
      </c>
      <c r="G63" t="b">
        <f>OR(Worksheet!$D$5="",Worksheet!$D$5=Table6[[#This Row],[categoryname]])</f>
        <v>1</v>
      </c>
      <c r="H63" t="b">
        <f>OR(Worksheet!$D$7="",Worksheet!$D$7=Table6[[#This Row],[Manufacturer]])</f>
        <v>1</v>
      </c>
      <c r="I63" t="b">
        <f>OR(Worksheet!$G$7="",Worksheet!$G$7=Table6[[#This Row],[Model No.]])</f>
        <v>1</v>
      </c>
      <c r="J63" t="b">
        <f>OR(Worksheet!$D$8="",Worksheet!$D$8=Table6[[#This Row],[Serial No.]])</f>
        <v>1</v>
      </c>
      <c r="K63" t="b">
        <f>AND(Table6[[#This Row],[categoryname2]:[SN2]])</f>
        <v>1</v>
      </c>
      <c r="L63" t="b">
        <f>AND(Table6[[#This Row],[companyid2]],Table6[[#This Row],[Manufacturer2]:[SN2]])</f>
        <v>1</v>
      </c>
      <c r="M63" t="b">
        <f>AND(Table6[[#This Row],[companyid2]:[categoryname2]],Table6[[#This Row],[Model2]:[SN2]])</f>
        <v>1</v>
      </c>
      <c r="N63" t="b">
        <f>AND(Table6[[#This Row],[companyid2]:[Manufacturer2]],Table6[[#This Row],[SN2]])</f>
        <v>1</v>
      </c>
      <c r="O63" t="b">
        <f>AND(Table6[[#This Row],[companyid2]:[Model2]])</f>
        <v>1</v>
      </c>
      <c r="AH63" s="105"/>
    </row>
    <row r="64" spans="1:47" x14ac:dyDescent="0.25">
      <c r="A64">
        <v>58221</v>
      </c>
      <c r="B64" t="s">
        <v>568</v>
      </c>
      <c r="C64" t="s">
        <v>1066</v>
      </c>
      <c r="D64" s="46" t="s">
        <v>608</v>
      </c>
      <c r="E64" s="122" t="s">
        <v>609</v>
      </c>
      <c r="F64" t="b">
        <f>IFERROR(Table6[[#This Row],[companyid]]=Sheet3!$N$20,TRUE)</f>
        <v>1</v>
      </c>
      <c r="G64" t="b">
        <f>OR(Worksheet!$D$5="",Worksheet!$D$5=Table6[[#This Row],[categoryname]])</f>
        <v>1</v>
      </c>
      <c r="H64" t="b">
        <f>OR(Worksheet!$D$7="",Worksheet!$D$7=Table6[[#This Row],[Manufacturer]])</f>
        <v>1</v>
      </c>
      <c r="I64" t="b">
        <f>OR(Worksheet!$G$7="",Worksheet!$G$7=Table6[[#This Row],[Model No.]])</f>
        <v>1</v>
      </c>
      <c r="J64" t="b">
        <f>OR(Worksheet!$D$8="",Worksheet!$D$8=Table6[[#This Row],[Serial No.]])</f>
        <v>1</v>
      </c>
      <c r="K64" t="b">
        <f>AND(Table6[[#This Row],[categoryname2]:[SN2]])</f>
        <v>1</v>
      </c>
      <c r="L64" t="b">
        <f>AND(Table6[[#This Row],[companyid2]],Table6[[#This Row],[Manufacturer2]:[SN2]])</f>
        <v>1</v>
      </c>
      <c r="M64" t="b">
        <f>AND(Table6[[#This Row],[companyid2]:[categoryname2]],Table6[[#This Row],[Model2]:[SN2]])</f>
        <v>1</v>
      </c>
      <c r="N64" t="b">
        <f>AND(Table6[[#This Row],[companyid2]:[Manufacturer2]],Table6[[#This Row],[SN2]])</f>
        <v>1</v>
      </c>
      <c r="O64" t="b">
        <f>AND(Table6[[#This Row],[companyid2]:[Model2]])</f>
        <v>1</v>
      </c>
      <c r="AH64" s="105"/>
    </row>
    <row r="65" spans="1:45" x14ac:dyDescent="0.25">
      <c r="A65">
        <v>57310</v>
      </c>
      <c r="B65" t="s">
        <v>568</v>
      </c>
      <c r="C65" t="s">
        <v>1066</v>
      </c>
      <c r="D65" s="46" t="s">
        <v>1044</v>
      </c>
      <c r="E65" s="122">
        <v>1567</v>
      </c>
      <c r="F65" t="b">
        <f>IFERROR(Table6[[#This Row],[companyid]]=Sheet3!$N$20,TRUE)</f>
        <v>1</v>
      </c>
      <c r="G65" t="b">
        <f>OR(Worksheet!$D$5="",Worksheet!$D$5=Table6[[#This Row],[categoryname]])</f>
        <v>1</v>
      </c>
      <c r="H65" t="b">
        <f>OR(Worksheet!$D$7="",Worksheet!$D$7=Table6[[#This Row],[Manufacturer]])</f>
        <v>1</v>
      </c>
      <c r="I65" t="b">
        <f>OR(Worksheet!$G$7="",Worksheet!$G$7=Table6[[#This Row],[Model No.]])</f>
        <v>1</v>
      </c>
      <c r="J65" t="b">
        <f>OR(Worksheet!$D$8="",Worksheet!$D$8=Table6[[#This Row],[Serial No.]])</f>
        <v>1</v>
      </c>
      <c r="K65" t="b">
        <f>AND(Table6[[#This Row],[categoryname2]:[SN2]])</f>
        <v>1</v>
      </c>
      <c r="L65" t="b">
        <f>AND(Table6[[#This Row],[companyid2]],Table6[[#This Row],[Manufacturer2]:[SN2]])</f>
        <v>1</v>
      </c>
      <c r="M65" t="b">
        <f>AND(Table6[[#This Row],[companyid2]:[categoryname2]],Table6[[#This Row],[Model2]:[SN2]])</f>
        <v>1</v>
      </c>
      <c r="N65" t="b">
        <f>AND(Table6[[#This Row],[companyid2]:[Manufacturer2]],Table6[[#This Row],[SN2]])</f>
        <v>1</v>
      </c>
      <c r="O65" t="b">
        <f>AND(Table6[[#This Row],[companyid2]:[Model2]])</f>
        <v>1</v>
      </c>
      <c r="AS65" s="33"/>
    </row>
    <row r="66" spans="1:45" x14ac:dyDescent="0.25">
      <c r="A66">
        <v>58003</v>
      </c>
      <c r="B66" t="s">
        <v>568</v>
      </c>
      <c r="C66" t="s">
        <v>607</v>
      </c>
      <c r="D66" s="46" t="s">
        <v>1198</v>
      </c>
      <c r="E66" s="122" t="s">
        <v>1117</v>
      </c>
      <c r="F66" t="b">
        <f>IFERROR(Table6[[#This Row],[companyid]]=Sheet3!$N$20,TRUE)</f>
        <v>1</v>
      </c>
      <c r="G66" t="b">
        <f>OR(Worksheet!$D$5="",Worksheet!$D$5=Table6[[#This Row],[categoryname]])</f>
        <v>1</v>
      </c>
      <c r="H66" t="b">
        <f>OR(Worksheet!$D$7="",Worksheet!$D$7=Table6[[#This Row],[Manufacturer]])</f>
        <v>1</v>
      </c>
      <c r="I66" t="b">
        <f>OR(Worksheet!$G$7="",Worksheet!$G$7=Table6[[#This Row],[Model No.]])</f>
        <v>1</v>
      </c>
      <c r="J66" t="b">
        <f>OR(Worksheet!$D$8="",Worksheet!$D$8=Table6[[#This Row],[Serial No.]])</f>
        <v>1</v>
      </c>
      <c r="K66" t="b">
        <f>AND(Table6[[#This Row],[categoryname2]:[SN2]])</f>
        <v>1</v>
      </c>
      <c r="L66" t="b">
        <f>AND(Table6[[#This Row],[companyid2]],Table6[[#This Row],[Manufacturer2]:[SN2]])</f>
        <v>1</v>
      </c>
      <c r="M66" t="b">
        <f>AND(Table6[[#This Row],[companyid2]:[categoryname2]],Table6[[#This Row],[Model2]:[SN2]])</f>
        <v>1</v>
      </c>
      <c r="N66" t="b">
        <f>AND(Table6[[#This Row],[companyid2]:[Manufacturer2]],Table6[[#This Row],[SN2]])</f>
        <v>1</v>
      </c>
      <c r="O66" t="b">
        <f>AND(Table6[[#This Row],[companyid2]:[Model2]])</f>
        <v>1</v>
      </c>
      <c r="AS66" s="33"/>
    </row>
    <row r="67" spans="1:45" x14ac:dyDescent="0.25">
      <c r="A67">
        <v>57298</v>
      </c>
      <c r="B67" t="s">
        <v>568</v>
      </c>
      <c r="C67" t="s">
        <v>583</v>
      </c>
      <c r="D67" s="46" t="s">
        <v>1167</v>
      </c>
      <c r="E67" s="122">
        <v>74111</v>
      </c>
      <c r="F67" t="b">
        <f>IFERROR(Table6[[#This Row],[companyid]]=Sheet3!$N$20,TRUE)</f>
        <v>1</v>
      </c>
      <c r="G67" t="b">
        <f>OR(Worksheet!$D$5="",Worksheet!$D$5=Table6[[#This Row],[categoryname]])</f>
        <v>1</v>
      </c>
      <c r="H67" t="b">
        <f>OR(Worksheet!$D$7="",Worksheet!$D$7=Table6[[#This Row],[Manufacturer]])</f>
        <v>1</v>
      </c>
      <c r="I67" t="b">
        <f>OR(Worksheet!$G$7="",Worksheet!$G$7=Table6[[#This Row],[Model No.]])</f>
        <v>1</v>
      </c>
      <c r="J67" t="b">
        <f>OR(Worksheet!$D$8="",Worksheet!$D$8=Table6[[#This Row],[Serial No.]])</f>
        <v>1</v>
      </c>
      <c r="K67" t="b">
        <f>AND(Table6[[#This Row],[categoryname2]:[SN2]])</f>
        <v>1</v>
      </c>
      <c r="L67" t="b">
        <f>AND(Table6[[#This Row],[companyid2]],Table6[[#This Row],[Manufacturer2]:[SN2]])</f>
        <v>1</v>
      </c>
      <c r="M67" t="b">
        <f>AND(Table6[[#This Row],[companyid2]:[categoryname2]],Table6[[#This Row],[Model2]:[SN2]])</f>
        <v>1</v>
      </c>
      <c r="N67" t="b">
        <f>AND(Table6[[#This Row],[companyid2]:[Manufacturer2]],Table6[[#This Row],[SN2]])</f>
        <v>1</v>
      </c>
      <c r="O67" t="b">
        <f>AND(Table6[[#This Row],[companyid2]:[Model2]])</f>
        <v>1</v>
      </c>
      <c r="AS67" s="33"/>
    </row>
    <row r="68" spans="1:45" x14ac:dyDescent="0.25">
      <c r="A68">
        <v>57248</v>
      </c>
      <c r="B68" t="s">
        <v>568</v>
      </c>
      <c r="C68" t="s">
        <v>583</v>
      </c>
      <c r="D68" s="46" t="s">
        <v>584</v>
      </c>
      <c r="E68" s="121">
        <v>74901</v>
      </c>
      <c r="F68" t="b">
        <f>IFERROR(Table6[[#This Row],[companyid]]=Sheet3!$N$20,TRUE)</f>
        <v>1</v>
      </c>
      <c r="G68" t="b">
        <f>OR(Worksheet!$D$5="",Worksheet!$D$5=Table6[[#This Row],[categoryname]])</f>
        <v>1</v>
      </c>
      <c r="H68" t="b">
        <f>OR(Worksheet!$D$7="",Worksheet!$D$7=Table6[[#This Row],[Manufacturer]])</f>
        <v>1</v>
      </c>
      <c r="I68" t="b">
        <f>OR(Worksheet!$G$7="",Worksheet!$G$7=Table6[[#This Row],[Model No.]])</f>
        <v>1</v>
      </c>
      <c r="J68" t="b">
        <f>OR(Worksheet!$D$8="",Worksheet!$D$8=Table6[[#This Row],[Serial No.]])</f>
        <v>1</v>
      </c>
      <c r="K68" t="b">
        <f>AND(Table6[[#This Row],[categoryname2]:[SN2]])</f>
        <v>1</v>
      </c>
      <c r="L68" t="b">
        <f>AND(Table6[[#This Row],[companyid2]],Table6[[#This Row],[Manufacturer2]:[SN2]])</f>
        <v>1</v>
      </c>
      <c r="M68" t="b">
        <f>AND(Table6[[#This Row],[companyid2]:[categoryname2]],Table6[[#This Row],[Model2]:[SN2]])</f>
        <v>1</v>
      </c>
      <c r="N68" t="b">
        <f>AND(Table6[[#This Row],[companyid2]:[Manufacturer2]],Table6[[#This Row],[SN2]])</f>
        <v>1</v>
      </c>
      <c r="O68" t="b">
        <f>AND(Table6[[#This Row],[companyid2]:[Model2]])</f>
        <v>1</v>
      </c>
      <c r="AS68" s="33"/>
    </row>
    <row r="69" spans="1:45" x14ac:dyDescent="0.25">
      <c r="A69">
        <v>57819</v>
      </c>
      <c r="B69" t="s">
        <v>568</v>
      </c>
      <c r="C69" t="s">
        <v>583</v>
      </c>
      <c r="D69" s="46" t="s">
        <v>584</v>
      </c>
      <c r="E69" s="121">
        <v>75712</v>
      </c>
      <c r="F69" t="b">
        <f>IFERROR(Table6[[#This Row],[companyid]]=Sheet3!$N$20,TRUE)</f>
        <v>1</v>
      </c>
      <c r="G69" t="b">
        <f>OR(Worksheet!$D$5="",Worksheet!$D$5=Table6[[#This Row],[categoryname]])</f>
        <v>1</v>
      </c>
      <c r="H69" t="b">
        <f>OR(Worksheet!$D$7="",Worksheet!$D$7=Table6[[#This Row],[Manufacturer]])</f>
        <v>1</v>
      </c>
      <c r="I69" t="b">
        <f>OR(Worksheet!$G$7="",Worksheet!$G$7=Table6[[#This Row],[Model No.]])</f>
        <v>1</v>
      </c>
      <c r="J69" t="b">
        <f>OR(Worksheet!$D$8="",Worksheet!$D$8=Table6[[#This Row],[Serial No.]])</f>
        <v>1</v>
      </c>
      <c r="K69" t="b">
        <f>AND(Table6[[#This Row],[categoryname2]:[SN2]])</f>
        <v>1</v>
      </c>
      <c r="L69" t="b">
        <f>AND(Table6[[#This Row],[companyid2]],Table6[[#This Row],[Manufacturer2]:[SN2]])</f>
        <v>1</v>
      </c>
      <c r="M69" t="b">
        <f>AND(Table6[[#This Row],[companyid2]:[categoryname2]],Table6[[#This Row],[Model2]:[SN2]])</f>
        <v>1</v>
      </c>
      <c r="N69" t="b">
        <f>AND(Table6[[#This Row],[companyid2]:[Manufacturer2]],Table6[[#This Row],[SN2]])</f>
        <v>1</v>
      </c>
      <c r="O69" t="b">
        <f>AND(Table6[[#This Row],[companyid2]:[Model2]])</f>
        <v>1</v>
      </c>
    </row>
    <row r="70" spans="1:45" x14ac:dyDescent="0.25">
      <c r="A70">
        <v>57508</v>
      </c>
      <c r="B70" t="s">
        <v>568</v>
      </c>
      <c r="C70" t="s">
        <v>1086</v>
      </c>
      <c r="D70" s="46" t="s">
        <v>1177</v>
      </c>
      <c r="E70" s="121">
        <v>11326</v>
      </c>
      <c r="F70" t="b">
        <f>IFERROR(Table6[[#This Row],[companyid]]=Sheet3!$N$20,TRUE)</f>
        <v>1</v>
      </c>
      <c r="G70" t="b">
        <f>OR(Worksheet!$D$5="",Worksheet!$D$5=Table6[[#This Row],[categoryname]])</f>
        <v>1</v>
      </c>
      <c r="H70" t="b">
        <f>OR(Worksheet!$D$7="",Worksheet!$D$7=Table6[[#This Row],[Manufacturer]])</f>
        <v>1</v>
      </c>
      <c r="I70" t="b">
        <f>OR(Worksheet!$G$7="",Worksheet!$G$7=Table6[[#This Row],[Model No.]])</f>
        <v>1</v>
      </c>
      <c r="J70" t="b">
        <f>OR(Worksheet!$D$8="",Worksheet!$D$8=Table6[[#This Row],[Serial No.]])</f>
        <v>1</v>
      </c>
      <c r="K70" t="b">
        <f>AND(Table6[[#This Row],[categoryname2]:[SN2]])</f>
        <v>1</v>
      </c>
      <c r="L70" t="b">
        <f>AND(Table6[[#This Row],[companyid2]],Table6[[#This Row],[Manufacturer2]:[SN2]])</f>
        <v>1</v>
      </c>
      <c r="M70" t="b">
        <f>AND(Table6[[#This Row],[companyid2]:[categoryname2]],Table6[[#This Row],[Model2]:[SN2]])</f>
        <v>1</v>
      </c>
      <c r="N70" t="b">
        <f>AND(Table6[[#This Row],[companyid2]:[Manufacturer2]],Table6[[#This Row],[SN2]])</f>
        <v>1</v>
      </c>
      <c r="O70" t="b">
        <f>AND(Table6[[#This Row],[companyid2]:[Model2]])</f>
        <v>1</v>
      </c>
      <c r="AH70" s="105"/>
    </row>
    <row r="71" spans="1:45" x14ac:dyDescent="0.25">
      <c r="A71">
        <v>58011</v>
      </c>
      <c r="B71" t="s">
        <v>568</v>
      </c>
      <c r="C71" t="s">
        <v>577</v>
      </c>
      <c r="D71" s="46" t="s">
        <v>1199</v>
      </c>
      <c r="E71" s="122">
        <v>9949</v>
      </c>
      <c r="F71" t="b">
        <f>IFERROR(Table6[[#This Row],[companyid]]=Sheet3!$N$20,TRUE)</f>
        <v>1</v>
      </c>
      <c r="G71" t="b">
        <f>OR(Worksheet!$D$5="",Worksheet!$D$5=Table6[[#This Row],[categoryname]])</f>
        <v>1</v>
      </c>
      <c r="H71" t="b">
        <f>OR(Worksheet!$D$7="",Worksheet!$D$7=Table6[[#This Row],[Manufacturer]])</f>
        <v>1</v>
      </c>
      <c r="I71" t="b">
        <f>OR(Worksheet!$G$7="",Worksheet!$G$7=Table6[[#This Row],[Model No.]])</f>
        <v>1</v>
      </c>
      <c r="J71" t="b">
        <f>OR(Worksheet!$D$8="",Worksheet!$D$8=Table6[[#This Row],[Serial No.]])</f>
        <v>1</v>
      </c>
      <c r="K71" t="b">
        <f>AND(Table6[[#This Row],[categoryname2]:[SN2]])</f>
        <v>1</v>
      </c>
      <c r="L71" t="b">
        <f>AND(Table6[[#This Row],[companyid2]],Table6[[#This Row],[Manufacturer2]:[SN2]])</f>
        <v>1</v>
      </c>
      <c r="M71" t="b">
        <f>AND(Table6[[#This Row],[companyid2]:[categoryname2]],Table6[[#This Row],[Model2]:[SN2]])</f>
        <v>1</v>
      </c>
      <c r="N71" t="b">
        <f>AND(Table6[[#This Row],[companyid2]:[Manufacturer2]],Table6[[#This Row],[SN2]])</f>
        <v>1</v>
      </c>
      <c r="O71" t="b">
        <f>AND(Table6[[#This Row],[companyid2]:[Model2]])</f>
        <v>1</v>
      </c>
      <c r="AS71" s="33"/>
    </row>
    <row r="72" spans="1:45" x14ac:dyDescent="0.25">
      <c r="A72">
        <v>57119</v>
      </c>
      <c r="B72" t="s">
        <v>568</v>
      </c>
      <c r="C72" t="s">
        <v>1049</v>
      </c>
      <c r="D72" s="46" t="s">
        <v>1047</v>
      </c>
      <c r="E72" s="122">
        <v>39100</v>
      </c>
      <c r="F72" t="b">
        <f>IFERROR(Table6[[#This Row],[companyid]]=Sheet3!$N$20,TRUE)</f>
        <v>1</v>
      </c>
      <c r="G72" t="b">
        <f>OR(Worksheet!$D$5="",Worksheet!$D$5=Table6[[#This Row],[categoryname]])</f>
        <v>1</v>
      </c>
      <c r="H72" t="b">
        <f>OR(Worksheet!$D$7="",Worksheet!$D$7=Table6[[#This Row],[Manufacturer]])</f>
        <v>1</v>
      </c>
      <c r="I72" t="b">
        <f>OR(Worksheet!$G$7="",Worksheet!$G$7=Table6[[#This Row],[Model No.]])</f>
        <v>1</v>
      </c>
      <c r="J72" t="b">
        <f>OR(Worksheet!$D$8="",Worksheet!$D$8=Table6[[#This Row],[Serial No.]])</f>
        <v>1</v>
      </c>
      <c r="K72" t="b">
        <f>AND(Table6[[#This Row],[categoryname2]:[SN2]])</f>
        <v>1</v>
      </c>
      <c r="L72" t="b">
        <f>AND(Table6[[#This Row],[companyid2]],Table6[[#This Row],[Manufacturer2]:[SN2]])</f>
        <v>1</v>
      </c>
      <c r="M72" t="b">
        <f>AND(Table6[[#This Row],[companyid2]:[categoryname2]],Table6[[#This Row],[Model2]:[SN2]])</f>
        <v>1</v>
      </c>
      <c r="N72" t="b">
        <f>AND(Table6[[#This Row],[companyid2]:[Manufacturer2]],Table6[[#This Row],[SN2]])</f>
        <v>1</v>
      </c>
      <c r="O72" t="b">
        <f>AND(Table6[[#This Row],[companyid2]:[Model2]])</f>
        <v>1</v>
      </c>
      <c r="AH72" s="105"/>
    </row>
    <row r="73" spans="1:45" x14ac:dyDescent="0.25">
      <c r="A73">
        <v>58155</v>
      </c>
      <c r="B73" t="s">
        <v>568</v>
      </c>
      <c r="C73" t="s">
        <v>604</v>
      </c>
      <c r="D73" s="46">
        <v>574</v>
      </c>
      <c r="E73" s="122" t="s">
        <v>1145</v>
      </c>
      <c r="F73" t="b">
        <f>IFERROR(Table6[[#This Row],[companyid]]=Sheet3!$N$20,TRUE)</f>
        <v>1</v>
      </c>
      <c r="G73" t="b">
        <f>OR(Worksheet!$D$5="",Worksheet!$D$5=Table6[[#This Row],[categoryname]])</f>
        <v>1</v>
      </c>
      <c r="H73" t="b">
        <f>OR(Worksheet!$D$7="",Worksheet!$D$7=Table6[[#This Row],[Manufacturer]])</f>
        <v>1</v>
      </c>
      <c r="I73" t="b">
        <f>OR(Worksheet!$G$7="",Worksheet!$G$7=Table6[[#This Row],[Model No.]])</f>
        <v>1</v>
      </c>
      <c r="J73" t="b">
        <f>OR(Worksheet!$D$8="",Worksheet!$D$8=Table6[[#This Row],[Serial No.]])</f>
        <v>1</v>
      </c>
      <c r="K73" t="b">
        <f>AND(Table6[[#This Row],[categoryname2]:[SN2]])</f>
        <v>1</v>
      </c>
      <c r="L73" t="b">
        <f>AND(Table6[[#This Row],[companyid2]],Table6[[#This Row],[Manufacturer2]:[SN2]])</f>
        <v>1</v>
      </c>
      <c r="M73" t="b">
        <f>AND(Table6[[#This Row],[companyid2]:[categoryname2]],Table6[[#This Row],[Model2]:[SN2]])</f>
        <v>1</v>
      </c>
      <c r="N73" t="b">
        <f>AND(Table6[[#This Row],[companyid2]:[Manufacturer2]],Table6[[#This Row],[SN2]])</f>
        <v>1</v>
      </c>
      <c r="O73" t="b">
        <f>AND(Table6[[#This Row],[companyid2]:[Model2]])</f>
        <v>1</v>
      </c>
      <c r="AS73" s="33"/>
    </row>
    <row r="74" spans="1:45" x14ac:dyDescent="0.25">
      <c r="A74">
        <v>57421</v>
      </c>
      <c r="B74" t="s">
        <v>568</v>
      </c>
      <c r="C74" t="s">
        <v>1082</v>
      </c>
      <c r="D74" s="46" t="s">
        <v>1044</v>
      </c>
      <c r="E74" s="122" t="s">
        <v>1083</v>
      </c>
      <c r="F74" t="b">
        <f>IFERROR(Table6[[#This Row],[companyid]]=Sheet3!$N$20,TRUE)</f>
        <v>1</v>
      </c>
      <c r="G74" t="b">
        <f>OR(Worksheet!$D$5="",Worksheet!$D$5=Table6[[#This Row],[categoryname]])</f>
        <v>1</v>
      </c>
      <c r="H74" t="b">
        <f>OR(Worksheet!$D$7="",Worksheet!$D$7=Table6[[#This Row],[Manufacturer]])</f>
        <v>1</v>
      </c>
      <c r="I74" t="b">
        <f>OR(Worksheet!$G$7="",Worksheet!$G$7=Table6[[#This Row],[Model No.]])</f>
        <v>1</v>
      </c>
      <c r="J74" t="b">
        <f>OR(Worksheet!$D$8="",Worksheet!$D$8=Table6[[#This Row],[Serial No.]])</f>
        <v>1</v>
      </c>
      <c r="K74" t="b">
        <f>AND(Table6[[#This Row],[categoryname2]:[SN2]])</f>
        <v>1</v>
      </c>
      <c r="L74" t="b">
        <f>AND(Table6[[#This Row],[companyid2]],Table6[[#This Row],[Manufacturer2]:[SN2]])</f>
        <v>1</v>
      </c>
      <c r="M74" t="b">
        <f>AND(Table6[[#This Row],[companyid2]:[categoryname2]],Table6[[#This Row],[Model2]:[SN2]])</f>
        <v>1</v>
      </c>
      <c r="N74" t="b">
        <f>AND(Table6[[#This Row],[companyid2]:[Manufacturer2]],Table6[[#This Row],[SN2]])</f>
        <v>1</v>
      </c>
      <c r="O74" t="b">
        <f>AND(Table6[[#This Row],[companyid2]:[Model2]])</f>
        <v>1</v>
      </c>
      <c r="AS74" s="33"/>
    </row>
    <row r="75" spans="1:45" x14ac:dyDescent="0.25">
      <c r="A75">
        <v>57693</v>
      </c>
      <c r="B75" t="s">
        <v>568</v>
      </c>
      <c r="C75" t="s">
        <v>566</v>
      </c>
      <c r="D75" s="46" t="s">
        <v>1188</v>
      </c>
      <c r="E75" s="122">
        <v>9927</v>
      </c>
      <c r="F75" t="b">
        <f>IFERROR(Table6[[#This Row],[companyid]]=Sheet3!$N$20,TRUE)</f>
        <v>1</v>
      </c>
      <c r="G75" t="b">
        <f>OR(Worksheet!$D$5="",Worksheet!$D$5=Table6[[#This Row],[categoryname]])</f>
        <v>1</v>
      </c>
      <c r="H75" t="b">
        <f>OR(Worksheet!$D$7="",Worksheet!$D$7=Table6[[#This Row],[Manufacturer]])</f>
        <v>1</v>
      </c>
      <c r="I75" t="b">
        <f>OR(Worksheet!$G$7="",Worksheet!$G$7=Table6[[#This Row],[Model No.]])</f>
        <v>1</v>
      </c>
      <c r="J75" t="b">
        <f>OR(Worksheet!$D$8="",Worksheet!$D$8=Table6[[#This Row],[Serial No.]])</f>
        <v>1</v>
      </c>
      <c r="K75" t="b">
        <f>AND(Table6[[#This Row],[categoryname2]:[SN2]])</f>
        <v>1</v>
      </c>
      <c r="L75" t="b">
        <f>AND(Table6[[#This Row],[companyid2]],Table6[[#This Row],[Manufacturer2]:[SN2]])</f>
        <v>1</v>
      </c>
      <c r="M75" t="b">
        <f>AND(Table6[[#This Row],[companyid2]:[categoryname2]],Table6[[#This Row],[Model2]:[SN2]])</f>
        <v>1</v>
      </c>
      <c r="N75" t="b">
        <f>AND(Table6[[#This Row],[companyid2]:[Manufacturer2]],Table6[[#This Row],[SN2]])</f>
        <v>1</v>
      </c>
      <c r="O75" t="b">
        <f>AND(Table6[[#This Row],[companyid2]:[Model2]])</f>
        <v>1</v>
      </c>
      <c r="AS75" s="33"/>
    </row>
    <row r="76" spans="1:45" x14ac:dyDescent="0.25">
      <c r="A76">
        <v>57718</v>
      </c>
      <c r="B76" t="s">
        <v>568</v>
      </c>
      <c r="C76" t="s">
        <v>566</v>
      </c>
      <c r="D76" s="46" t="s">
        <v>1188</v>
      </c>
      <c r="E76" s="122">
        <v>9927</v>
      </c>
      <c r="F76" t="b">
        <f>IFERROR(Table6[[#This Row],[companyid]]=Sheet3!$N$20,TRUE)</f>
        <v>1</v>
      </c>
      <c r="G76" t="b">
        <f>OR(Worksheet!$D$5="",Worksheet!$D$5=Table6[[#This Row],[categoryname]])</f>
        <v>1</v>
      </c>
      <c r="H76" t="b">
        <f>OR(Worksheet!$D$7="",Worksheet!$D$7=Table6[[#This Row],[Manufacturer]])</f>
        <v>1</v>
      </c>
      <c r="I76" t="b">
        <f>OR(Worksheet!$G$7="",Worksheet!$G$7=Table6[[#This Row],[Model No.]])</f>
        <v>1</v>
      </c>
      <c r="J76" t="b">
        <f>OR(Worksheet!$D$8="",Worksheet!$D$8=Table6[[#This Row],[Serial No.]])</f>
        <v>1</v>
      </c>
      <c r="K76" t="b">
        <f>AND(Table6[[#This Row],[categoryname2]:[SN2]])</f>
        <v>1</v>
      </c>
      <c r="L76" t="b">
        <f>AND(Table6[[#This Row],[companyid2]],Table6[[#This Row],[Manufacturer2]:[SN2]])</f>
        <v>1</v>
      </c>
      <c r="M76" t="b">
        <f>AND(Table6[[#This Row],[companyid2]:[categoryname2]],Table6[[#This Row],[Model2]:[SN2]])</f>
        <v>1</v>
      </c>
      <c r="N76" t="b">
        <f>AND(Table6[[#This Row],[companyid2]:[Manufacturer2]],Table6[[#This Row],[SN2]])</f>
        <v>1</v>
      </c>
      <c r="O76" t="b">
        <f>AND(Table6[[#This Row],[companyid2]:[Model2]])</f>
        <v>1</v>
      </c>
      <c r="AS76" s="33"/>
    </row>
    <row r="77" spans="1:45" x14ac:dyDescent="0.25">
      <c r="A77">
        <v>57344</v>
      </c>
      <c r="B77" t="s">
        <v>568</v>
      </c>
      <c r="C77" t="s">
        <v>566</v>
      </c>
      <c r="D77" s="46" t="s">
        <v>572</v>
      </c>
      <c r="E77" s="122">
        <v>7313</v>
      </c>
      <c r="F77" t="b">
        <f>IFERROR(Table6[[#This Row],[companyid]]=Sheet3!$N$20,TRUE)</f>
        <v>1</v>
      </c>
      <c r="G77" t="b">
        <f>OR(Worksheet!$D$5="",Worksheet!$D$5=Table6[[#This Row],[categoryname]])</f>
        <v>1</v>
      </c>
      <c r="H77" t="b">
        <f>OR(Worksheet!$D$7="",Worksheet!$D$7=Table6[[#This Row],[Manufacturer]])</f>
        <v>1</v>
      </c>
      <c r="I77" t="b">
        <f>OR(Worksheet!$G$7="",Worksheet!$G$7=Table6[[#This Row],[Model No.]])</f>
        <v>1</v>
      </c>
      <c r="J77" t="b">
        <f>OR(Worksheet!$D$8="",Worksheet!$D$8=Table6[[#This Row],[Serial No.]])</f>
        <v>1</v>
      </c>
      <c r="K77" t="b">
        <f>AND(Table6[[#This Row],[categoryname2]:[SN2]])</f>
        <v>1</v>
      </c>
      <c r="L77" t="b">
        <f>AND(Table6[[#This Row],[companyid2]],Table6[[#This Row],[Manufacturer2]:[SN2]])</f>
        <v>1</v>
      </c>
      <c r="M77" t="b">
        <f>AND(Table6[[#This Row],[companyid2]:[categoryname2]],Table6[[#This Row],[Model2]:[SN2]])</f>
        <v>1</v>
      </c>
      <c r="N77" t="b">
        <f>AND(Table6[[#This Row],[companyid2]:[Manufacturer2]],Table6[[#This Row],[SN2]])</f>
        <v>1</v>
      </c>
      <c r="O77" t="b">
        <f>AND(Table6[[#This Row],[companyid2]:[Model2]])</f>
        <v>1</v>
      </c>
      <c r="AH77" s="105"/>
    </row>
    <row r="78" spans="1:45" x14ac:dyDescent="0.25">
      <c r="A78">
        <v>57524</v>
      </c>
      <c r="B78" t="s">
        <v>568</v>
      </c>
      <c r="C78" t="s">
        <v>566</v>
      </c>
      <c r="D78" s="46" t="s">
        <v>1180</v>
      </c>
      <c r="E78" s="122">
        <v>22098</v>
      </c>
      <c r="F78" t="b">
        <f>IFERROR(Table6[[#This Row],[companyid]]=Sheet3!$N$20,TRUE)</f>
        <v>1</v>
      </c>
      <c r="G78" t="b">
        <f>OR(Worksheet!$D$5="",Worksheet!$D$5=Table6[[#This Row],[categoryname]])</f>
        <v>1</v>
      </c>
      <c r="H78" t="b">
        <f>OR(Worksheet!$D$7="",Worksheet!$D$7=Table6[[#This Row],[Manufacturer]])</f>
        <v>1</v>
      </c>
      <c r="I78" t="b">
        <f>OR(Worksheet!$G$7="",Worksheet!$G$7=Table6[[#This Row],[Model No.]])</f>
        <v>1</v>
      </c>
      <c r="J78" t="b">
        <f>OR(Worksheet!$D$8="",Worksheet!$D$8=Table6[[#This Row],[Serial No.]])</f>
        <v>1</v>
      </c>
      <c r="K78" t="b">
        <f>AND(Table6[[#This Row],[categoryname2]:[SN2]])</f>
        <v>1</v>
      </c>
      <c r="L78" t="b">
        <f>AND(Table6[[#This Row],[companyid2]],Table6[[#This Row],[Manufacturer2]:[SN2]])</f>
        <v>1</v>
      </c>
      <c r="M78" t="b">
        <f>AND(Table6[[#This Row],[companyid2]:[categoryname2]],Table6[[#This Row],[Model2]:[SN2]])</f>
        <v>1</v>
      </c>
      <c r="N78" t="b">
        <f>AND(Table6[[#This Row],[companyid2]:[Manufacturer2]],Table6[[#This Row],[SN2]])</f>
        <v>1</v>
      </c>
      <c r="O78" t="b">
        <f>AND(Table6[[#This Row],[companyid2]:[Model2]])</f>
        <v>1</v>
      </c>
      <c r="AS78" s="33"/>
    </row>
    <row r="79" spans="1:45" x14ac:dyDescent="0.25">
      <c r="A79">
        <v>57848</v>
      </c>
      <c r="B79" t="s">
        <v>568</v>
      </c>
      <c r="C79" t="s">
        <v>566</v>
      </c>
      <c r="D79" s="46" t="s">
        <v>1180</v>
      </c>
      <c r="E79" s="122">
        <v>22603</v>
      </c>
      <c r="F79" t="b">
        <f>IFERROR(Table6[[#This Row],[companyid]]=Sheet3!$N$20,TRUE)</f>
        <v>1</v>
      </c>
      <c r="G79" t="b">
        <f>OR(Worksheet!$D$5="",Worksheet!$D$5=Table6[[#This Row],[categoryname]])</f>
        <v>1</v>
      </c>
      <c r="H79" t="b">
        <f>OR(Worksheet!$D$7="",Worksheet!$D$7=Table6[[#This Row],[Manufacturer]])</f>
        <v>1</v>
      </c>
      <c r="I79" t="b">
        <f>OR(Worksheet!$G$7="",Worksheet!$G$7=Table6[[#This Row],[Model No.]])</f>
        <v>1</v>
      </c>
      <c r="J79" t="b">
        <f>OR(Worksheet!$D$8="",Worksheet!$D$8=Table6[[#This Row],[Serial No.]])</f>
        <v>1</v>
      </c>
      <c r="K79" t="b">
        <f>AND(Table6[[#This Row],[categoryname2]:[SN2]])</f>
        <v>1</v>
      </c>
      <c r="L79" t="b">
        <f>AND(Table6[[#This Row],[companyid2]],Table6[[#This Row],[Manufacturer2]:[SN2]])</f>
        <v>1</v>
      </c>
      <c r="M79" t="b">
        <f>AND(Table6[[#This Row],[companyid2]:[categoryname2]],Table6[[#This Row],[Model2]:[SN2]])</f>
        <v>1</v>
      </c>
      <c r="N79" t="b">
        <f>AND(Table6[[#This Row],[companyid2]:[Manufacturer2]],Table6[[#This Row],[SN2]])</f>
        <v>1</v>
      </c>
      <c r="O79" t="b">
        <f>AND(Table6[[#This Row],[companyid2]:[Model2]])</f>
        <v>1</v>
      </c>
      <c r="AS79" s="33"/>
    </row>
    <row r="80" spans="1:45" x14ac:dyDescent="0.25">
      <c r="A80">
        <v>57749</v>
      </c>
      <c r="B80" t="s">
        <v>568</v>
      </c>
      <c r="C80" t="s">
        <v>566</v>
      </c>
      <c r="D80" s="46" t="s">
        <v>1189</v>
      </c>
      <c r="E80" s="122">
        <v>20638</v>
      </c>
      <c r="F80" t="b">
        <f>IFERROR(Table6[[#This Row],[companyid]]=Sheet3!$N$20,TRUE)</f>
        <v>1</v>
      </c>
      <c r="G80" t="b">
        <f>OR(Worksheet!$D$5="",Worksheet!$D$5=Table6[[#This Row],[categoryname]])</f>
        <v>1</v>
      </c>
      <c r="H80" t="b">
        <f>OR(Worksheet!$D$7="",Worksheet!$D$7=Table6[[#This Row],[Manufacturer]])</f>
        <v>1</v>
      </c>
      <c r="I80" t="b">
        <f>OR(Worksheet!$G$7="",Worksheet!$G$7=Table6[[#This Row],[Model No.]])</f>
        <v>1</v>
      </c>
      <c r="J80" t="b">
        <f>OR(Worksheet!$D$8="",Worksheet!$D$8=Table6[[#This Row],[Serial No.]])</f>
        <v>1</v>
      </c>
      <c r="K80" t="b">
        <f>AND(Table6[[#This Row],[categoryname2]:[SN2]])</f>
        <v>1</v>
      </c>
      <c r="L80" t="b">
        <f>AND(Table6[[#This Row],[companyid2]],Table6[[#This Row],[Manufacturer2]:[SN2]])</f>
        <v>1</v>
      </c>
      <c r="M80" t="b">
        <f>AND(Table6[[#This Row],[companyid2]:[categoryname2]],Table6[[#This Row],[Model2]:[SN2]])</f>
        <v>1</v>
      </c>
      <c r="N80" t="b">
        <f>AND(Table6[[#This Row],[companyid2]:[Manufacturer2]],Table6[[#This Row],[SN2]])</f>
        <v>1</v>
      </c>
      <c r="O80" t="b">
        <f>AND(Table6[[#This Row],[companyid2]:[Model2]])</f>
        <v>1</v>
      </c>
      <c r="AS80" s="33"/>
    </row>
    <row r="81" spans="1:45" x14ac:dyDescent="0.25">
      <c r="A81">
        <v>57859</v>
      </c>
      <c r="B81" t="s">
        <v>568</v>
      </c>
      <c r="C81" t="s">
        <v>566</v>
      </c>
      <c r="D81" s="46" t="s">
        <v>1087</v>
      </c>
      <c r="E81" s="122" t="s">
        <v>1109</v>
      </c>
      <c r="F81" t="b">
        <f>IFERROR(Table6[[#This Row],[companyid]]=Sheet3!$N$20,TRUE)</f>
        <v>1</v>
      </c>
      <c r="G81" t="b">
        <f>OR(Worksheet!$D$5="",Worksheet!$D$5=Table6[[#This Row],[categoryname]])</f>
        <v>1</v>
      </c>
      <c r="H81" t="b">
        <f>OR(Worksheet!$D$7="",Worksheet!$D$7=Table6[[#This Row],[Manufacturer]])</f>
        <v>1</v>
      </c>
      <c r="I81" t="b">
        <f>OR(Worksheet!$G$7="",Worksheet!$G$7=Table6[[#This Row],[Model No.]])</f>
        <v>1</v>
      </c>
      <c r="J81" t="b">
        <f>OR(Worksheet!$D$8="",Worksheet!$D$8=Table6[[#This Row],[Serial No.]])</f>
        <v>1</v>
      </c>
      <c r="K81" t="b">
        <f>AND(Table6[[#This Row],[categoryname2]:[SN2]])</f>
        <v>1</v>
      </c>
      <c r="L81" t="b">
        <f>AND(Table6[[#This Row],[companyid2]],Table6[[#This Row],[Manufacturer2]:[SN2]])</f>
        <v>1</v>
      </c>
      <c r="M81" t="b">
        <f>AND(Table6[[#This Row],[companyid2]:[categoryname2]],Table6[[#This Row],[Model2]:[SN2]])</f>
        <v>1</v>
      </c>
      <c r="N81" t="b">
        <f>AND(Table6[[#This Row],[companyid2]:[Manufacturer2]],Table6[[#This Row],[SN2]])</f>
        <v>1</v>
      </c>
      <c r="O81" t="b">
        <f>AND(Table6[[#This Row],[companyid2]:[Model2]])</f>
        <v>1</v>
      </c>
      <c r="AH81" s="105"/>
    </row>
    <row r="82" spans="1:45" x14ac:dyDescent="0.25">
      <c r="A82">
        <v>57859</v>
      </c>
      <c r="B82" t="s">
        <v>568</v>
      </c>
      <c r="C82" t="s">
        <v>566</v>
      </c>
      <c r="D82" s="46" t="s">
        <v>1087</v>
      </c>
      <c r="E82" s="122" t="s">
        <v>1110</v>
      </c>
      <c r="F82" t="b">
        <f>IFERROR(Table6[[#This Row],[companyid]]=Sheet3!$N$20,TRUE)</f>
        <v>1</v>
      </c>
      <c r="G82" t="b">
        <f>OR(Worksheet!$D$5="",Worksheet!$D$5=Table6[[#This Row],[categoryname]])</f>
        <v>1</v>
      </c>
      <c r="H82" t="b">
        <f>OR(Worksheet!$D$7="",Worksheet!$D$7=Table6[[#This Row],[Manufacturer]])</f>
        <v>1</v>
      </c>
      <c r="I82" t="b">
        <f>OR(Worksheet!$G$7="",Worksheet!$G$7=Table6[[#This Row],[Model No.]])</f>
        <v>1</v>
      </c>
      <c r="J82" t="b">
        <f>OR(Worksheet!$D$8="",Worksheet!$D$8=Table6[[#This Row],[Serial No.]])</f>
        <v>1</v>
      </c>
      <c r="K82" t="b">
        <f>AND(Table6[[#This Row],[categoryname2]:[SN2]])</f>
        <v>1</v>
      </c>
      <c r="L82" t="b">
        <f>AND(Table6[[#This Row],[companyid2]],Table6[[#This Row],[Manufacturer2]:[SN2]])</f>
        <v>1</v>
      </c>
      <c r="M82" t="b">
        <f>AND(Table6[[#This Row],[companyid2]:[categoryname2]],Table6[[#This Row],[Model2]:[SN2]])</f>
        <v>1</v>
      </c>
      <c r="N82" t="b">
        <f>AND(Table6[[#This Row],[companyid2]:[Manufacturer2]],Table6[[#This Row],[SN2]])</f>
        <v>1</v>
      </c>
      <c r="O82" t="b">
        <f>AND(Table6[[#This Row],[companyid2]:[Model2]])</f>
        <v>1</v>
      </c>
      <c r="AH82" s="105"/>
      <c r="AS82" s="33"/>
    </row>
    <row r="83" spans="1:45" x14ac:dyDescent="0.25">
      <c r="A83">
        <v>57492</v>
      </c>
      <c r="B83" t="s">
        <v>568</v>
      </c>
      <c r="C83" t="s">
        <v>566</v>
      </c>
      <c r="D83" s="46" t="s">
        <v>1087</v>
      </c>
      <c r="E83" s="122" t="s">
        <v>1088</v>
      </c>
      <c r="F83" t="b">
        <f>IFERROR(Table6[[#This Row],[companyid]]=Sheet3!$N$20,TRUE)</f>
        <v>1</v>
      </c>
      <c r="G83" t="b">
        <f>OR(Worksheet!$D$5="",Worksheet!$D$5=Table6[[#This Row],[categoryname]])</f>
        <v>1</v>
      </c>
      <c r="H83" t="b">
        <f>OR(Worksheet!$D$7="",Worksheet!$D$7=Table6[[#This Row],[Manufacturer]])</f>
        <v>1</v>
      </c>
      <c r="I83" t="b">
        <f>OR(Worksheet!$G$7="",Worksheet!$G$7=Table6[[#This Row],[Model No.]])</f>
        <v>1</v>
      </c>
      <c r="J83" t="b">
        <f>OR(Worksheet!$D$8="",Worksheet!$D$8=Table6[[#This Row],[Serial No.]])</f>
        <v>1</v>
      </c>
      <c r="K83" t="b">
        <f>AND(Table6[[#This Row],[categoryname2]:[SN2]])</f>
        <v>1</v>
      </c>
      <c r="L83" t="b">
        <f>AND(Table6[[#This Row],[companyid2]],Table6[[#This Row],[Manufacturer2]:[SN2]])</f>
        <v>1</v>
      </c>
      <c r="M83" t="b">
        <f>AND(Table6[[#This Row],[companyid2]:[categoryname2]],Table6[[#This Row],[Model2]:[SN2]])</f>
        <v>1</v>
      </c>
      <c r="N83" t="b">
        <f>AND(Table6[[#This Row],[companyid2]:[Manufacturer2]],Table6[[#This Row],[SN2]])</f>
        <v>1</v>
      </c>
      <c r="O83" t="b">
        <f>AND(Table6[[#This Row],[companyid2]:[Model2]])</f>
        <v>1</v>
      </c>
      <c r="AS83" s="33"/>
    </row>
    <row r="84" spans="1:45" x14ac:dyDescent="0.25">
      <c r="A84">
        <v>58079</v>
      </c>
      <c r="B84" t="s">
        <v>568</v>
      </c>
      <c r="C84" t="s">
        <v>566</v>
      </c>
      <c r="D84" s="46" t="s">
        <v>567</v>
      </c>
      <c r="E84" s="122">
        <v>99188</v>
      </c>
      <c r="F84" t="b">
        <f>IFERROR(Table6[[#This Row],[companyid]]=Sheet3!$N$20,TRUE)</f>
        <v>1</v>
      </c>
      <c r="G84" t="b">
        <f>OR(Worksheet!$D$5="",Worksheet!$D$5=Table6[[#This Row],[categoryname]])</f>
        <v>1</v>
      </c>
      <c r="H84" t="b">
        <f>OR(Worksheet!$D$7="",Worksheet!$D$7=Table6[[#This Row],[Manufacturer]])</f>
        <v>1</v>
      </c>
      <c r="I84" t="b">
        <f>OR(Worksheet!$G$7="",Worksheet!$G$7=Table6[[#This Row],[Model No.]])</f>
        <v>1</v>
      </c>
      <c r="J84" t="b">
        <f>OR(Worksheet!$D$8="",Worksheet!$D$8=Table6[[#This Row],[Serial No.]])</f>
        <v>1</v>
      </c>
      <c r="K84" t="b">
        <f>AND(Table6[[#This Row],[categoryname2]:[SN2]])</f>
        <v>1</v>
      </c>
      <c r="L84" t="b">
        <f>AND(Table6[[#This Row],[companyid2]],Table6[[#This Row],[Manufacturer2]:[SN2]])</f>
        <v>1</v>
      </c>
      <c r="M84" t="b">
        <f>AND(Table6[[#This Row],[companyid2]:[categoryname2]],Table6[[#This Row],[Model2]:[SN2]])</f>
        <v>1</v>
      </c>
      <c r="N84" t="b">
        <f>AND(Table6[[#This Row],[companyid2]:[Manufacturer2]],Table6[[#This Row],[SN2]])</f>
        <v>1</v>
      </c>
      <c r="O84" t="b">
        <f>AND(Table6[[#This Row],[companyid2]:[Model2]])</f>
        <v>1</v>
      </c>
      <c r="AS84" s="33"/>
    </row>
    <row r="85" spans="1:45" x14ac:dyDescent="0.25">
      <c r="A85">
        <v>57820</v>
      </c>
      <c r="B85" t="s">
        <v>568</v>
      </c>
      <c r="C85" t="s">
        <v>566</v>
      </c>
      <c r="D85" s="46" t="s">
        <v>567</v>
      </c>
      <c r="E85" s="122">
        <v>221854</v>
      </c>
      <c r="F85" t="b">
        <f>IFERROR(Table6[[#This Row],[companyid]]=Sheet3!$N$20,TRUE)</f>
        <v>1</v>
      </c>
      <c r="G85" t="b">
        <f>OR(Worksheet!$D$5="",Worksheet!$D$5=Table6[[#This Row],[categoryname]])</f>
        <v>1</v>
      </c>
      <c r="H85" t="b">
        <f>OR(Worksheet!$D$7="",Worksheet!$D$7=Table6[[#This Row],[Manufacturer]])</f>
        <v>1</v>
      </c>
      <c r="I85" t="b">
        <f>OR(Worksheet!$G$7="",Worksheet!$G$7=Table6[[#This Row],[Model No.]])</f>
        <v>1</v>
      </c>
      <c r="J85" t="b">
        <f>OR(Worksheet!$D$8="",Worksheet!$D$8=Table6[[#This Row],[Serial No.]])</f>
        <v>1</v>
      </c>
      <c r="K85" t="b">
        <f>AND(Table6[[#This Row],[categoryname2]:[SN2]])</f>
        <v>1</v>
      </c>
      <c r="L85" t="b">
        <f>AND(Table6[[#This Row],[companyid2]],Table6[[#This Row],[Manufacturer2]:[SN2]])</f>
        <v>1</v>
      </c>
      <c r="M85" t="b">
        <f>AND(Table6[[#This Row],[companyid2]:[categoryname2]],Table6[[#This Row],[Model2]:[SN2]])</f>
        <v>1</v>
      </c>
      <c r="N85" t="b">
        <f>AND(Table6[[#This Row],[companyid2]:[Manufacturer2]],Table6[[#This Row],[SN2]])</f>
        <v>1</v>
      </c>
      <c r="O85" t="b">
        <f>AND(Table6[[#This Row],[companyid2]:[Model2]])</f>
        <v>1</v>
      </c>
      <c r="AS85" s="33"/>
    </row>
    <row r="86" spans="1:45" x14ac:dyDescent="0.25">
      <c r="A86">
        <v>57534</v>
      </c>
      <c r="B86" t="s">
        <v>568</v>
      </c>
      <c r="C86" t="s">
        <v>566</v>
      </c>
      <c r="D86" s="46" t="s">
        <v>1174</v>
      </c>
      <c r="E86" s="121">
        <v>17557</v>
      </c>
      <c r="F86" t="b">
        <f>IFERROR(Table6[[#This Row],[companyid]]=Sheet3!$N$20,TRUE)</f>
        <v>1</v>
      </c>
      <c r="G86" t="b">
        <f>OR(Worksheet!$D$5="",Worksheet!$D$5=Table6[[#This Row],[categoryname]])</f>
        <v>1</v>
      </c>
      <c r="H86" t="b">
        <f>OR(Worksheet!$D$7="",Worksheet!$D$7=Table6[[#This Row],[Manufacturer]])</f>
        <v>1</v>
      </c>
      <c r="I86" t="b">
        <f>OR(Worksheet!$G$7="",Worksheet!$G$7=Table6[[#This Row],[Model No.]])</f>
        <v>1</v>
      </c>
      <c r="J86" t="b">
        <f>OR(Worksheet!$D$8="",Worksheet!$D$8=Table6[[#This Row],[Serial No.]])</f>
        <v>1</v>
      </c>
      <c r="K86" t="b">
        <f>AND(Table6[[#This Row],[categoryname2]:[SN2]])</f>
        <v>1</v>
      </c>
      <c r="L86" t="b">
        <f>AND(Table6[[#This Row],[companyid2]],Table6[[#This Row],[Manufacturer2]:[SN2]])</f>
        <v>1</v>
      </c>
      <c r="M86" t="b">
        <f>AND(Table6[[#This Row],[companyid2]:[categoryname2]],Table6[[#This Row],[Model2]:[SN2]])</f>
        <v>1</v>
      </c>
      <c r="N86" t="b">
        <f>AND(Table6[[#This Row],[companyid2]:[Manufacturer2]],Table6[[#This Row],[SN2]])</f>
        <v>1</v>
      </c>
      <c r="O86" t="b">
        <f>AND(Table6[[#This Row],[companyid2]:[Model2]])</f>
        <v>1</v>
      </c>
      <c r="AS86" s="33"/>
    </row>
    <row r="87" spans="1:45" x14ac:dyDescent="0.25">
      <c r="A87">
        <v>57461</v>
      </c>
      <c r="B87" t="s">
        <v>568</v>
      </c>
      <c r="C87" t="s">
        <v>566</v>
      </c>
      <c r="D87" s="46" t="s">
        <v>1174</v>
      </c>
      <c r="E87" s="122">
        <v>181584</v>
      </c>
      <c r="F87" t="b">
        <f>IFERROR(Table6[[#This Row],[companyid]]=Sheet3!$N$20,TRUE)</f>
        <v>1</v>
      </c>
      <c r="G87" t="b">
        <f>OR(Worksheet!$D$5="",Worksheet!$D$5=Table6[[#This Row],[categoryname]])</f>
        <v>1</v>
      </c>
      <c r="H87" t="b">
        <f>OR(Worksheet!$D$7="",Worksheet!$D$7=Table6[[#This Row],[Manufacturer]])</f>
        <v>1</v>
      </c>
      <c r="I87" t="b">
        <f>OR(Worksheet!$G$7="",Worksheet!$G$7=Table6[[#This Row],[Model No.]])</f>
        <v>1</v>
      </c>
      <c r="J87" t="b">
        <f>OR(Worksheet!$D$8="",Worksheet!$D$8=Table6[[#This Row],[Serial No.]])</f>
        <v>1</v>
      </c>
      <c r="K87" t="b">
        <f>AND(Table6[[#This Row],[categoryname2]:[SN2]])</f>
        <v>1</v>
      </c>
      <c r="L87" t="b">
        <f>AND(Table6[[#This Row],[companyid2]],Table6[[#This Row],[Manufacturer2]:[SN2]])</f>
        <v>1</v>
      </c>
      <c r="M87" t="b">
        <f>AND(Table6[[#This Row],[companyid2]:[categoryname2]],Table6[[#This Row],[Model2]:[SN2]])</f>
        <v>1</v>
      </c>
      <c r="N87" t="b">
        <f>AND(Table6[[#This Row],[companyid2]:[Manufacturer2]],Table6[[#This Row],[SN2]])</f>
        <v>1</v>
      </c>
      <c r="O87" t="b">
        <f>AND(Table6[[#This Row],[companyid2]:[Model2]])</f>
        <v>1</v>
      </c>
      <c r="AS87" s="33"/>
    </row>
    <row r="88" spans="1:45" x14ac:dyDescent="0.25">
      <c r="A88">
        <v>57901</v>
      </c>
      <c r="B88" t="s">
        <v>568</v>
      </c>
      <c r="C88" t="s">
        <v>566</v>
      </c>
      <c r="D88" s="46" t="s">
        <v>1194</v>
      </c>
      <c r="E88" s="122" t="s">
        <v>1111</v>
      </c>
      <c r="F88" t="b">
        <f>IFERROR(Table6[[#This Row],[companyid]]=Sheet3!$N$20,TRUE)</f>
        <v>1</v>
      </c>
      <c r="G88" t="b">
        <f>OR(Worksheet!$D$5="",Worksheet!$D$5=Table6[[#This Row],[categoryname]])</f>
        <v>1</v>
      </c>
      <c r="H88" t="b">
        <f>OR(Worksheet!$D$7="",Worksheet!$D$7=Table6[[#This Row],[Manufacturer]])</f>
        <v>1</v>
      </c>
      <c r="I88" t="b">
        <f>OR(Worksheet!$G$7="",Worksheet!$G$7=Table6[[#This Row],[Model No.]])</f>
        <v>1</v>
      </c>
      <c r="J88" t="b">
        <f>OR(Worksheet!$D$8="",Worksheet!$D$8=Table6[[#This Row],[Serial No.]])</f>
        <v>1</v>
      </c>
      <c r="K88" t="b">
        <f>AND(Table6[[#This Row],[categoryname2]:[SN2]])</f>
        <v>1</v>
      </c>
      <c r="L88" t="b">
        <f>AND(Table6[[#This Row],[companyid2]],Table6[[#This Row],[Manufacturer2]:[SN2]])</f>
        <v>1</v>
      </c>
      <c r="M88" t="b">
        <f>AND(Table6[[#This Row],[companyid2]:[categoryname2]],Table6[[#This Row],[Model2]:[SN2]])</f>
        <v>1</v>
      </c>
      <c r="N88" t="b">
        <f>AND(Table6[[#This Row],[companyid2]:[Manufacturer2]],Table6[[#This Row],[SN2]])</f>
        <v>1</v>
      </c>
      <c r="O88" t="b">
        <f>AND(Table6[[#This Row],[companyid2]:[Model2]])</f>
        <v>1</v>
      </c>
      <c r="AS88" s="33"/>
    </row>
    <row r="89" spans="1:45" x14ac:dyDescent="0.25">
      <c r="A89">
        <v>63705</v>
      </c>
      <c r="B89" t="s">
        <v>568</v>
      </c>
      <c r="C89" t="s">
        <v>566</v>
      </c>
      <c r="D89" s="46" t="s">
        <v>1194</v>
      </c>
      <c r="E89" s="122" t="s">
        <v>1149</v>
      </c>
      <c r="F89" t="b">
        <f>IFERROR(Table6[[#This Row],[companyid]]=Sheet3!$N$20,TRUE)</f>
        <v>1</v>
      </c>
      <c r="G89" t="b">
        <f>OR(Worksheet!$D$5="",Worksheet!$D$5=Table6[[#This Row],[categoryname]])</f>
        <v>1</v>
      </c>
      <c r="H89" t="b">
        <f>OR(Worksheet!$D$7="",Worksheet!$D$7=Table6[[#This Row],[Manufacturer]])</f>
        <v>1</v>
      </c>
      <c r="I89" t="b">
        <f>OR(Worksheet!$G$7="",Worksheet!$G$7=Table6[[#This Row],[Model No.]])</f>
        <v>1</v>
      </c>
      <c r="J89" t="b">
        <f>OR(Worksheet!$D$8="",Worksheet!$D$8=Table6[[#This Row],[Serial No.]])</f>
        <v>1</v>
      </c>
      <c r="K89" t="b">
        <f>AND(Table6[[#This Row],[categoryname2]:[SN2]])</f>
        <v>1</v>
      </c>
      <c r="L89" t="b">
        <f>AND(Table6[[#This Row],[companyid2]],Table6[[#This Row],[Manufacturer2]:[SN2]])</f>
        <v>1</v>
      </c>
      <c r="M89" t="b">
        <f>AND(Table6[[#This Row],[companyid2]:[categoryname2]],Table6[[#This Row],[Model2]:[SN2]])</f>
        <v>1</v>
      </c>
      <c r="N89" t="b">
        <f>AND(Table6[[#This Row],[companyid2]:[Manufacturer2]],Table6[[#This Row],[SN2]])</f>
        <v>1</v>
      </c>
      <c r="O89" t="b">
        <f>AND(Table6[[#This Row],[companyid2]:[Model2]])</f>
        <v>1</v>
      </c>
      <c r="AS89" s="33"/>
    </row>
    <row r="90" spans="1:45" x14ac:dyDescent="0.25">
      <c r="A90">
        <v>57525</v>
      </c>
      <c r="B90" t="s">
        <v>568</v>
      </c>
      <c r="C90" t="s">
        <v>566</v>
      </c>
      <c r="D90" s="46" t="s">
        <v>580</v>
      </c>
      <c r="E90" s="121" t="s">
        <v>644</v>
      </c>
      <c r="F90" t="b">
        <f>IFERROR(Table6[[#This Row],[companyid]]=Sheet3!$N$20,TRUE)</f>
        <v>1</v>
      </c>
      <c r="G90" t="b">
        <f>OR(Worksheet!$D$5="",Worksheet!$D$5=Table6[[#This Row],[categoryname]])</f>
        <v>1</v>
      </c>
      <c r="H90" t="b">
        <f>OR(Worksheet!$D$7="",Worksheet!$D$7=Table6[[#This Row],[Manufacturer]])</f>
        <v>1</v>
      </c>
      <c r="I90" t="b">
        <f>OR(Worksheet!$G$7="",Worksheet!$G$7=Table6[[#This Row],[Model No.]])</f>
        <v>1</v>
      </c>
      <c r="J90" t="b">
        <f>OR(Worksheet!$D$8="",Worksheet!$D$8=Table6[[#This Row],[Serial No.]])</f>
        <v>1</v>
      </c>
      <c r="K90" t="b">
        <f>AND(Table6[[#This Row],[categoryname2]:[SN2]])</f>
        <v>1</v>
      </c>
      <c r="L90" t="b">
        <f>AND(Table6[[#This Row],[companyid2]],Table6[[#This Row],[Manufacturer2]:[SN2]])</f>
        <v>1</v>
      </c>
      <c r="M90" t="b">
        <f>AND(Table6[[#This Row],[companyid2]:[categoryname2]],Table6[[#This Row],[Model2]:[SN2]])</f>
        <v>1</v>
      </c>
      <c r="N90" t="b">
        <f>AND(Table6[[#This Row],[companyid2]:[Manufacturer2]],Table6[[#This Row],[SN2]])</f>
        <v>1</v>
      </c>
      <c r="O90" t="b">
        <f>AND(Table6[[#This Row],[companyid2]:[Model2]])</f>
        <v>1</v>
      </c>
      <c r="AS90" s="33"/>
    </row>
    <row r="91" spans="1:45" x14ac:dyDescent="0.25">
      <c r="A91">
        <v>57901</v>
      </c>
      <c r="B91" t="s">
        <v>568</v>
      </c>
      <c r="C91" t="s">
        <v>566</v>
      </c>
      <c r="D91" s="46" t="s">
        <v>580</v>
      </c>
      <c r="E91" s="122" t="s">
        <v>614</v>
      </c>
      <c r="F91" t="b">
        <f>IFERROR(Table6[[#This Row],[companyid]]=Sheet3!$N$20,TRUE)</f>
        <v>1</v>
      </c>
      <c r="G91" t="b">
        <f>OR(Worksheet!$D$5="",Worksheet!$D$5=Table6[[#This Row],[categoryname]])</f>
        <v>1</v>
      </c>
      <c r="H91" t="b">
        <f>OR(Worksheet!$D$7="",Worksheet!$D$7=Table6[[#This Row],[Manufacturer]])</f>
        <v>1</v>
      </c>
      <c r="I91" t="b">
        <f>OR(Worksheet!$G$7="",Worksheet!$G$7=Table6[[#This Row],[Model No.]])</f>
        <v>1</v>
      </c>
      <c r="J91" t="b">
        <f>OR(Worksheet!$D$8="",Worksheet!$D$8=Table6[[#This Row],[Serial No.]])</f>
        <v>1</v>
      </c>
      <c r="K91" t="b">
        <f>AND(Table6[[#This Row],[categoryname2]:[SN2]])</f>
        <v>1</v>
      </c>
      <c r="L91" t="b">
        <f>AND(Table6[[#This Row],[companyid2]],Table6[[#This Row],[Manufacturer2]:[SN2]])</f>
        <v>1</v>
      </c>
      <c r="M91" t="b">
        <f>AND(Table6[[#This Row],[companyid2]:[categoryname2]],Table6[[#This Row],[Model2]:[SN2]])</f>
        <v>1</v>
      </c>
      <c r="N91" t="b">
        <f>AND(Table6[[#This Row],[companyid2]:[Manufacturer2]],Table6[[#This Row],[SN2]])</f>
        <v>1</v>
      </c>
      <c r="O91" t="b">
        <f>AND(Table6[[#This Row],[companyid2]:[Model2]])</f>
        <v>1</v>
      </c>
      <c r="AS91" s="33"/>
    </row>
    <row r="92" spans="1:45" x14ac:dyDescent="0.25">
      <c r="A92">
        <v>58209</v>
      </c>
      <c r="B92" t="s">
        <v>568</v>
      </c>
      <c r="C92" t="s">
        <v>566</v>
      </c>
      <c r="D92" s="46" t="s">
        <v>580</v>
      </c>
      <c r="E92" s="121" t="s">
        <v>606</v>
      </c>
      <c r="F92" t="b">
        <f>IFERROR(Table6[[#This Row],[companyid]]=Sheet3!$N$20,TRUE)</f>
        <v>1</v>
      </c>
      <c r="G92" t="b">
        <f>OR(Worksheet!$D$5="",Worksheet!$D$5=Table6[[#This Row],[categoryname]])</f>
        <v>1</v>
      </c>
      <c r="H92" t="b">
        <f>OR(Worksheet!$D$7="",Worksheet!$D$7=Table6[[#This Row],[Manufacturer]])</f>
        <v>1</v>
      </c>
      <c r="I92" t="b">
        <f>OR(Worksheet!$G$7="",Worksheet!$G$7=Table6[[#This Row],[Model No.]])</f>
        <v>1</v>
      </c>
      <c r="J92" t="b">
        <f>OR(Worksheet!$D$8="",Worksheet!$D$8=Table6[[#This Row],[Serial No.]])</f>
        <v>1</v>
      </c>
      <c r="K92" t="b">
        <f>AND(Table6[[#This Row],[categoryname2]:[SN2]])</f>
        <v>1</v>
      </c>
      <c r="L92" t="b">
        <f>AND(Table6[[#This Row],[companyid2]],Table6[[#This Row],[Manufacturer2]:[SN2]])</f>
        <v>1</v>
      </c>
      <c r="M92" t="b">
        <f>AND(Table6[[#This Row],[companyid2]:[categoryname2]],Table6[[#This Row],[Model2]:[SN2]])</f>
        <v>1</v>
      </c>
      <c r="N92" t="b">
        <f>AND(Table6[[#This Row],[companyid2]:[Manufacturer2]],Table6[[#This Row],[SN2]])</f>
        <v>1</v>
      </c>
      <c r="O92" t="b">
        <f>AND(Table6[[#This Row],[companyid2]:[Model2]])</f>
        <v>1</v>
      </c>
      <c r="AS92" s="33"/>
    </row>
    <row r="93" spans="1:45" x14ac:dyDescent="0.25">
      <c r="A93">
        <v>57113</v>
      </c>
      <c r="B93" t="s">
        <v>568</v>
      </c>
      <c r="C93" t="s">
        <v>566</v>
      </c>
      <c r="D93" s="46" t="s">
        <v>580</v>
      </c>
      <c r="E93" s="121" t="s">
        <v>618</v>
      </c>
      <c r="F93" t="b">
        <f>IFERROR(Table6[[#This Row],[companyid]]=Sheet3!$N$20,TRUE)</f>
        <v>1</v>
      </c>
      <c r="G93" t="b">
        <f>OR(Worksheet!$D$5="",Worksheet!$D$5=Table6[[#This Row],[categoryname]])</f>
        <v>1</v>
      </c>
      <c r="H93" t="b">
        <f>OR(Worksheet!$D$7="",Worksheet!$D$7=Table6[[#This Row],[Manufacturer]])</f>
        <v>1</v>
      </c>
      <c r="I93" t="b">
        <f>OR(Worksheet!$G$7="",Worksheet!$G$7=Table6[[#This Row],[Model No.]])</f>
        <v>1</v>
      </c>
      <c r="J93" t="b">
        <f>OR(Worksheet!$D$8="",Worksheet!$D$8=Table6[[#This Row],[Serial No.]])</f>
        <v>1</v>
      </c>
      <c r="K93" t="b">
        <f>AND(Table6[[#This Row],[categoryname2]:[SN2]])</f>
        <v>1</v>
      </c>
      <c r="L93" t="b">
        <f>AND(Table6[[#This Row],[companyid2]],Table6[[#This Row],[Manufacturer2]:[SN2]])</f>
        <v>1</v>
      </c>
      <c r="M93" t="b">
        <f>AND(Table6[[#This Row],[companyid2]:[categoryname2]],Table6[[#This Row],[Model2]:[SN2]])</f>
        <v>1</v>
      </c>
      <c r="N93" t="b">
        <f>AND(Table6[[#This Row],[companyid2]:[Manufacturer2]],Table6[[#This Row],[SN2]])</f>
        <v>1</v>
      </c>
      <c r="O93" t="b">
        <f>AND(Table6[[#This Row],[companyid2]:[Model2]])</f>
        <v>1</v>
      </c>
      <c r="AS93" s="33"/>
    </row>
    <row r="94" spans="1:45" x14ac:dyDescent="0.25">
      <c r="A94">
        <v>58121</v>
      </c>
      <c r="B94" t="s">
        <v>568</v>
      </c>
      <c r="C94" t="s">
        <v>566</v>
      </c>
      <c r="D94" s="46" t="s">
        <v>580</v>
      </c>
      <c r="E94" s="122" t="s">
        <v>581</v>
      </c>
      <c r="F94" t="b">
        <f>IFERROR(Table6[[#This Row],[companyid]]=Sheet3!$N$20,TRUE)</f>
        <v>1</v>
      </c>
      <c r="G94" t="b">
        <f>OR(Worksheet!$D$5="",Worksheet!$D$5=Table6[[#This Row],[categoryname]])</f>
        <v>1</v>
      </c>
      <c r="H94" t="b">
        <f>OR(Worksheet!$D$7="",Worksheet!$D$7=Table6[[#This Row],[Manufacturer]])</f>
        <v>1</v>
      </c>
      <c r="I94" t="b">
        <f>OR(Worksheet!$G$7="",Worksheet!$G$7=Table6[[#This Row],[Model No.]])</f>
        <v>1</v>
      </c>
      <c r="J94" t="b">
        <f>OR(Worksheet!$D$8="",Worksheet!$D$8=Table6[[#This Row],[Serial No.]])</f>
        <v>1</v>
      </c>
      <c r="K94" t="b">
        <f>AND(Table6[[#This Row],[categoryname2]:[SN2]])</f>
        <v>1</v>
      </c>
      <c r="L94" t="b">
        <f>AND(Table6[[#This Row],[companyid2]],Table6[[#This Row],[Manufacturer2]:[SN2]])</f>
        <v>1</v>
      </c>
      <c r="M94" t="b">
        <f>AND(Table6[[#This Row],[companyid2]:[categoryname2]],Table6[[#This Row],[Model2]:[SN2]])</f>
        <v>1</v>
      </c>
      <c r="N94" t="b">
        <f>AND(Table6[[#This Row],[companyid2]:[Manufacturer2]],Table6[[#This Row],[SN2]])</f>
        <v>1</v>
      </c>
      <c r="O94" t="b">
        <f>AND(Table6[[#This Row],[companyid2]:[Model2]])</f>
        <v>1</v>
      </c>
      <c r="AS94" s="33"/>
    </row>
    <row r="95" spans="1:45" x14ac:dyDescent="0.25">
      <c r="A95">
        <v>57382</v>
      </c>
      <c r="B95" t="s">
        <v>568</v>
      </c>
      <c r="C95" t="s">
        <v>566</v>
      </c>
      <c r="D95" s="46" t="s">
        <v>1171</v>
      </c>
      <c r="E95" s="122">
        <v>5218</v>
      </c>
      <c r="F95" t="b">
        <f>IFERROR(Table6[[#This Row],[companyid]]=Sheet3!$N$20,TRUE)</f>
        <v>1</v>
      </c>
      <c r="G95" t="b">
        <f>OR(Worksheet!$D$5="",Worksheet!$D$5=Table6[[#This Row],[categoryname]])</f>
        <v>1</v>
      </c>
      <c r="H95" t="b">
        <f>OR(Worksheet!$D$7="",Worksheet!$D$7=Table6[[#This Row],[Manufacturer]])</f>
        <v>1</v>
      </c>
      <c r="I95" t="b">
        <f>OR(Worksheet!$G$7="",Worksheet!$G$7=Table6[[#This Row],[Model No.]])</f>
        <v>1</v>
      </c>
      <c r="J95" t="b">
        <f>OR(Worksheet!$D$8="",Worksheet!$D$8=Table6[[#This Row],[Serial No.]])</f>
        <v>1</v>
      </c>
      <c r="K95" t="b">
        <f>AND(Table6[[#This Row],[categoryname2]:[SN2]])</f>
        <v>1</v>
      </c>
      <c r="L95" t="b">
        <f>AND(Table6[[#This Row],[companyid2]],Table6[[#This Row],[Manufacturer2]:[SN2]])</f>
        <v>1</v>
      </c>
      <c r="M95" t="b">
        <f>AND(Table6[[#This Row],[companyid2]:[categoryname2]],Table6[[#This Row],[Model2]:[SN2]])</f>
        <v>1</v>
      </c>
      <c r="N95" t="b">
        <f>AND(Table6[[#This Row],[companyid2]:[Manufacturer2]],Table6[[#This Row],[SN2]])</f>
        <v>1</v>
      </c>
      <c r="O95" t="b">
        <f>AND(Table6[[#This Row],[companyid2]:[Model2]])</f>
        <v>1</v>
      </c>
      <c r="AS95" s="33"/>
    </row>
    <row r="96" spans="1:45" x14ac:dyDescent="0.25">
      <c r="A96">
        <v>57858</v>
      </c>
      <c r="B96" t="s">
        <v>568</v>
      </c>
      <c r="C96" t="s">
        <v>566</v>
      </c>
      <c r="D96" s="46" t="s">
        <v>1171</v>
      </c>
      <c r="E96" s="122">
        <v>80728</v>
      </c>
      <c r="F96" t="b">
        <f>IFERROR(Table6[[#This Row],[companyid]]=Sheet3!$N$20,TRUE)</f>
        <v>1</v>
      </c>
      <c r="G96" t="b">
        <f>OR(Worksheet!$D$5="",Worksheet!$D$5=Table6[[#This Row],[categoryname]])</f>
        <v>1</v>
      </c>
      <c r="H96" t="b">
        <f>OR(Worksheet!$D$7="",Worksheet!$D$7=Table6[[#This Row],[Manufacturer]])</f>
        <v>1</v>
      </c>
      <c r="I96" t="b">
        <f>OR(Worksheet!$G$7="",Worksheet!$G$7=Table6[[#This Row],[Model No.]])</f>
        <v>1</v>
      </c>
      <c r="J96" t="b">
        <f>OR(Worksheet!$D$8="",Worksheet!$D$8=Table6[[#This Row],[Serial No.]])</f>
        <v>1</v>
      </c>
      <c r="K96" t="b">
        <f>AND(Table6[[#This Row],[categoryname2]:[SN2]])</f>
        <v>1</v>
      </c>
      <c r="L96" t="b">
        <f>AND(Table6[[#This Row],[companyid2]],Table6[[#This Row],[Manufacturer2]:[SN2]])</f>
        <v>1</v>
      </c>
      <c r="M96" t="b">
        <f>AND(Table6[[#This Row],[companyid2]:[categoryname2]],Table6[[#This Row],[Model2]:[SN2]])</f>
        <v>1</v>
      </c>
      <c r="N96" t="b">
        <f>AND(Table6[[#This Row],[companyid2]:[Manufacturer2]],Table6[[#This Row],[SN2]])</f>
        <v>1</v>
      </c>
      <c r="O96" t="b">
        <f>AND(Table6[[#This Row],[companyid2]:[Model2]])</f>
        <v>1</v>
      </c>
      <c r="AS96" s="33"/>
    </row>
    <row r="97" spans="1:47" x14ac:dyDescent="0.25">
      <c r="A97">
        <v>57508</v>
      </c>
      <c r="B97" t="s">
        <v>568</v>
      </c>
      <c r="C97" t="s">
        <v>566</v>
      </c>
      <c r="D97" s="46" t="s">
        <v>1171</v>
      </c>
      <c r="E97" s="122">
        <v>81278</v>
      </c>
      <c r="F97" t="b">
        <f>IFERROR(Table6[[#This Row],[companyid]]=Sheet3!$N$20,TRUE)</f>
        <v>1</v>
      </c>
      <c r="G97" t="b">
        <f>OR(Worksheet!$D$5="",Worksheet!$D$5=Table6[[#This Row],[categoryname]])</f>
        <v>1</v>
      </c>
      <c r="H97" t="b">
        <f>OR(Worksheet!$D$7="",Worksheet!$D$7=Table6[[#This Row],[Manufacturer]])</f>
        <v>1</v>
      </c>
      <c r="I97" t="b">
        <f>OR(Worksheet!$G$7="",Worksheet!$G$7=Table6[[#This Row],[Model No.]])</f>
        <v>1</v>
      </c>
      <c r="J97" t="b">
        <f>OR(Worksheet!$D$8="",Worksheet!$D$8=Table6[[#This Row],[Serial No.]])</f>
        <v>1</v>
      </c>
      <c r="K97" t="b">
        <f>AND(Table6[[#This Row],[categoryname2]:[SN2]])</f>
        <v>1</v>
      </c>
      <c r="L97" t="b">
        <f>AND(Table6[[#This Row],[companyid2]],Table6[[#This Row],[Manufacturer2]:[SN2]])</f>
        <v>1</v>
      </c>
      <c r="M97" t="b">
        <f>AND(Table6[[#This Row],[companyid2]:[categoryname2]],Table6[[#This Row],[Model2]:[SN2]])</f>
        <v>1</v>
      </c>
      <c r="N97" t="b">
        <f>AND(Table6[[#This Row],[companyid2]:[Manufacturer2]],Table6[[#This Row],[SN2]])</f>
        <v>1</v>
      </c>
      <c r="O97" t="b">
        <f>AND(Table6[[#This Row],[companyid2]:[Model2]])</f>
        <v>1</v>
      </c>
      <c r="AS97" s="33"/>
    </row>
    <row r="98" spans="1:47" x14ac:dyDescent="0.25">
      <c r="A98">
        <v>57124</v>
      </c>
      <c r="B98" t="s">
        <v>568</v>
      </c>
      <c r="C98" t="s">
        <v>566</v>
      </c>
      <c r="D98" s="46" t="s">
        <v>1171</v>
      </c>
      <c r="E98" s="122" t="s">
        <v>1050</v>
      </c>
      <c r="F98" t="b">
        <f>IFERROR(Table6[[#This Row],[companyid]]=Sheet3!$N$20,TRUE)</f>
        <v>1</v>
      </c>
      <c r="G98" t="b">
        <f>OR(Worksheet!$D$5="",Worksheet!$D$5=Table6[[#This Row],[categoryname]])</f>
        <v>1</v>
      </c>
      <c r="H98" t="b">
        <f>OR(Worksheet!$D$7="",Worksheet!$D$7=Table6[[#This Row],[Manufacturer]])</f>
        <v>1</v>
      </c>
      <c r="I98" t="b">
        <f>OR(Worksheet!$G$7="",Worksheet!$G$7=Table6[[#This Row],[Model No.]])</f>
        <v>1</v>
      </c>
      <c r="J98" t="b">
        <f>OR(Worksheet!$D$8="",Worksheet!$D$8=Table6[[#This Row],[Serial No.]])</f>
        <v>1</v>
      </c>
      <c r="K98" t="b">
        <f>AND(Table6[[#This Row],[categoryname2]:[SN2]])</f>
        <v>1</v>
      </c>
      <c r="L98" t="b">
        <f>AND(Table6[[#This Row],[companyid2]],Table6[[#This Row],[Manufacturer2]:[SN2]])</f>
        <v>1</v>
      </c>
      <c r="M98" t="b">
        <f>AND(Table6[[#This Row],[companyid2]:[categoryname2]],Table6[[#This Row],[Model2]:[SN2]])</f>
        <v>1</v>
      </c>
      <c r="N98" t="b">
        <f>AND(Table6[[#This Row],[companyid2]:[Manufacturer2]],Table6[[#This Row],[SN2]])</f>
        <v>1</v>
      </c>
      <c r="O98" t="b">
        <f>AND(Table6[[#This Row],[companyid2]:[Model2]])</f>
        <v>1</v>
      </c>
      <c r="AS98" s="33"/>
    </row>
    <row r="99" spans="1:47" x14ac:dyDescent="0.25">
      <c r="A99">
        <v>57819</v>
      </c>
      <c r="B99" t="s">
        <v>568</v>
      </c>
      <c r="C99" t="s">
        <v>566</v>
      </c>
      <c r="D99" s="46" t="s">
        <v>600</v>
      </c>
      <c r="E99" s="122" t="s">
        <v>630</v>
      </c>
      <c r="F99" t="b">
        <f>IFERROR(Table6[[#This Row],[companyid]]=Sheet3!$N$20,TRUE)</f>
        <v>1</v>
      </c>
      <c r="G99" t="b">
        <f>OR(Worksheet!$D$5="",Worksheet!$D$5=Table6[[#This Row],[categoryname]])</f>
        <v>1</v>
      </c>
      <c r="H99" t="b">
        <f>OR(Worksheet!$D$7="",Worksheet!$D$7=Table6[[#This Row],[Manufacturer]])</f>
        <v>1</v>
      </c>
      <c r="I99" t="b">
        <f>OR(Worksheet!$G$7="",Worksheet!$G$7=Table6[[#This Row],[Model No.]])</f>
        <v>1</v>
      </c>
      <c r="J99" t="b">
        <f>OR(Worksheet!$D$8="",Worksheet!$D$8=Table6[[#This Row],[Serial No.]])</f>
        <v>1</v>
      </c>
      <c r="K99" t="b">
        <f>AND(Table6[[#This Row],[categoryname2]:[SN2]])</f>
        <v>1</v>
      </c>
      <c r="L99" t="b">
        <f>AND(Table6[[#This Row],[companyid2]],Table6[[#This Row],[Manufacturer2]:[SN2]])</f>
        <v>1</v>
      </c>
      <c r="M99" t="b">
        <f>AND(Table6[[#This Row],[companyid2]:[categoryname2]],Table6[[#This Row],[Model2]:[SN2]])</f>
        <v>1</v>
      </c>
      <c r="N99" t="b">
        <f>AND(Table6[[#This Row],[companyid2]:[Manufacturer2]],Table6[[#This Row],[SN2]])</f>
        <v>1</v>
      </c>
      <c r="O99" t="b">
        <f>AND(Table6[[#This Row],[companyid2]:[Model2]])</f>
        <v>1</v>
      </c>
      <c r="AS99" s="33"/>
      <c r="AU99" s="33"/>
    </row>
    <row r="100" spans="1:47" x14ac:dyDescent="0.25">
      <c r="A100">
        <v>57283</v>
      </c>
      <c r="B100" t="s">
        <v>568</v>
      </c>
      <c r="C100" t="s">
        <v>566</v>
      </c>
      <c r="D100" s="46" t="s">
        <v>600</v>
      </c>
      <c r="E100" s="122" t="s">
        <v>633</v>
      </c>
      <c r="F100" t="b">
        <f>IFERROR(Table6[[#This Row],[companyid]]=Sheet3!$N$20,TRUE)</f>
        <v>1</v>
      </c>
      <c r="G100" t="b">
        <f>OR(Worksheet!$D$5="",Worksheet!$D$5=Table6[[#This Row],[categoryname]])</f>
        <v>1</v>
      </c>
      <c r="H100" t="b">
        <f>OR(Worksheet!$D$7="",Worksheet!$D$7=Table6[[#This Row],[Manufacturer]])</f>
        <v>1</v>
      </c>
      <c r="I100" t="b">
        <f>OR(Worksheet!$G$7="",Worksheet!$G$7=Table6[[#This Row],[Model No.]])</f>
        <v>1</v>
      </c>
      <c r="J100" t="b">
        <f>OR(Worksheet!$D$8="",Worksheet!$D$8=Table6[[#This Row],[Serial No.]])</f>
        <v>1</v>
      </c>
      <c r="K100" t="b">
        <f>AND(Table6[[#This Row],[categoryname2]:[SN2]])</f>
        <v>1</v>
      </c>
      <c r="L100" t="b">
        <f>AND(Table6[[#This Row],[companyid2]],Table6[[#This Row],[Manufacturer2]:[SN2]])</f>
        <v>1</v>
      </c>
      <c r="M100" t="b">
        <f>AND(Table6[[#This Row],[companyid2]:[categoryname2]],Table6[[#This Row],[Model2]:[SN2]])</f>
        <v>1</v>
      </c>
      <c r="N100" t="b">
        <f>AND(Table6[[#This Row],[companyid2]:[Manufacturer2]],Table6[[#This Row],[SN2]])</f>
        <v>1</v>
      </c>
      <c r="O100" t="b">
        <f>AND(Table6[[#This Row],[companyid2]:[Model2]])</f>
        <v>1</v>
      </c>
      <c r="AS100" s="33"/>
    </row>
    <row r="101" spans="1:47" x14ac:dyDescent="0.25">
      <c r="A101">
        <v>57283</v>
      </c>
      <c r="B101" t="s">
        <v>568</v>
      </c>
      <c r="C101" t="s">
        <v>566</v>
      </c>
      <c r="D101" s="46" t="s">
        <v>600</v>
      </c>
      <c r="E101" s="122" t="s">
        <v>634</v>
      </c>
      <c r="F101" t="b">
        <f>IFERROR(Table6[[#This Row],[companyid]]=Sheet3!$N$20,TRUE)</f>
        <v>1</v>
      </c>
      <c r="G101" t="b">
        <f>OR(Worksheet!$D$5="",Worksheet!$D$5=Table6[[#This Row],[categoryname]])</f>
        <v>1</v>
      </c>
      <c r="H101" t="b">
        <f>OR(Worksheet!$D$7="",Worksheet!$D$7=Table6[[#This Row],[Manufacturer]])</f>
        <v>1</v>
      </c>
      <c r="I101" t="b">
        <f>OR(Worksheet!$G$7="",Worksheet!$G$7=Table6[[#This Row],[Model No.]])</f>
        <v>1</v>
      </c>
      <c r="J101" t="b">
        <f>OR(Worksheet!$D$8="",Worksheet!$D$8=Table6[[#This Row],[Serial No.]])</f>
        <v>1</v>
      </c>
      <c r="K101" t="b">
        <f>AND(Table6[[#This Row],[categoryname2]:[SN2]])</f>
        <v>1</v>
      </c>
      <c r="L101" t="b">
        <f>AND(Table6[[#This Row],[companyid2]],Table6[[#This Row],[Manufacturer2]:[SN2]])</f>
        <v>1</v>
      </c>
      <c r="M101" t="b">
        <f>AND(Table6[[#This Row],[companyid2]:[categoryname2]],Table6[[#This Row],[Model2]:[SN2]])</f>
        <v>1</v>
      </c>
      <c r="N101" t="b">
        <f>AND(Table6[[#This Row],[companyid2]:[Manufacturer2]],Table6[[#This Row],[SN2]])</f>
        <v>1</v>
      </c>
      <c r="O101" t="b">
        <f>AND(Table6[[#This Row],[companyid2]:[Model2]])</f>
        <v>1</v>
      </c>
      <c r="AS101" s="33"/>
      <c r="AU101" s="33"/>
    </row>
    <row r="102" spans="1:47" x14ac:dyDescent="0.25">
      <c r="A102">
        <v>57221</v>
      </c>
      <c r="B102" t="s">
        <v>568</v>
      </c>
      <c r="C102" t="s">
        <v>566</v>
      </c>
      <c r="D102" s="46" t="s">
        <v>600</v>
      </c>
      <c r="E102" s="122" t="s">
        <v>601</v>
      </c>
      <c r="F102" t="b">
        <f>IFERROR(Table6[[#This Row],[companyid]]=Sheet3!$N$20,TRUE)</f>
        <v>1</v>
      </c>
      <c r="G102" t="b">
        <f>OR(Worksheet!$D$5="",Worksheet!$D$5=Table6[[#This Row],[categoryname]])</f>
        <v>1</v>
      </c>
      <c r="H102" t="b">
        <f>OR(Worksheet!$D$7="",Worksheet!$D$7=Table6[[#This Row],[Manufacturer]])</f>
        <v>1</v>
      </c>
      <c r="I102" t="b">
        <f>OR(Worksheet!$G$7="",Worksheet!$G$7=Table6[[#This Row],[Model No.]])</f>
        <v>1</v>
      </c>
      <c r="J102" t="b">
        <f>OR(Worksheet!$D$8="",Worksheet!$D$8=Table6[[#This Row],[Serial No.]])</f>
        <v>1</v>
      </c>
      <c r="K102" t="b">
        <f>AND(Table6[[#This Row],[categoryname2]:[SN2]])</f>
        <v>1</v>
      </c>
      <c r="L102" t="b">
        <f>AND(Table6[[#This Row],[companyid2]],Table6[[#This Row],[Manufacturer2]:[SN2]])</f>
        <v>1</v>
      </c>
      <c r="M102" t="b">
        <f>AND(Table6[[#This Row],[companyid2]:[categoryname2]],Table6[[#This Row],[Model2]:[SN2]])</f>
        <v>1</v>
      </c>
      <c r="N102" t="b">
        <f>AND(Table6[[#This Row],[companyid2]:[Manufacturer2]],Table6[[#This Row],[SN2]])</f>
        <v>1</v>
      </c>
      <c r="O102" t="b">
        <f>AND(Table6[[#This Row],[companyid2]:[Model2]])</f>
        <v>1</v>
      </c>
      <c r="AS102" s="33"/>
    </row>
    <row r="103" spans="1:47" x14ac:dyDescent="0.25">
      <c r="A103">
        <v>57093</v>
      </c>
      <c r="B103" t="s">
        <v>568</v>
      </c>
      <c r="C103" t="s">
        <v>566</v>
      </c>
      <c r="D103" s="46" t="s">
        <v>1153</v>
      </c>
      <c r="E103" s="122">
        <v>7869</v>
      </c>
      <c r="F103" t="b">
        <f>IFERROR(Table6[[#This Row],[companyid]]=Sheet3!$N$20,TRUE)</f>
        <v>1</v>
      </c>
      <c r="G103" t="b">
        <f>OR(Worksheet!$D$5="",Worksheet!$D$5=Table6[[#This Row],[categoryname]])</f>
        <v>1</v>
      </c>
      <c r="H103" t="b">
        <f>OR(Worksheet!$D$7="",Worksheet!$D$7=Table6[[#This Row],[Manufacturer]])</f>
        <v>1</v>
      </c>
      <c r="I103" t="b">
        <f>OR(Worksheet!$G$7="",Worksheet!$G$7=Table6[[#This Row],[Model No.]])</f>
        <v>1</v>
      </c>
      <c r="J103" t="b">
        <f>OR(Worksheet!$D$8="",Worksheet!$D$8=Table6[[#This Row],[Serial No.]])</f>
        <v>1</v>
      </c>
      <c r="K103" t="b">
        <f>AND(Table6[[#This Row],[categoryname2]:[SN2]])</f>
        <v>1</v>
      </c>
      <c r="L103" t="b">
        <f>AND(Table6[[#This Row],[companyid2]],Table6[[#This Row],[Manufacturer2]:[SN2]])</f>
        <v>1</v>
      </c>
      <c r="M103" t="b">
        <f>AND(Table6[[#This Row],[companyid2]:[categoryname2]],Table6[[#This Row],[Model2]:[SN2]])</f>
        <v>1</v>
      </c>
      <c r="N103" t="b">
        <f>AND(Table6[[#This Row],[companyid2]:[Manufacturer2]],Table6[[#This Row],[SN2]])</f>
        <v>1</v>
      </c>
      <c r="O103" t="b">
        <f>AND(Table6[[#This Row],[companyid2]:[Model2]])</f>
        <v>1</v>
      </c>
      <c r="AS103" s="33"/>
    </row>
    <row r="104" spans="1:47" x14ac:dyDescent="0.25">
      <c r="A104">
        <v>58234</v>
      </c>
      <c r="B104" t="s">
        <v>568</v>
      </c>
      <c r="C104" t="s">
        <v>566</v>
      </c>
      <c r="D104" s="46" t="s">
        <v>1216</v>
      </c>
      <c r="E104" s="122" t="s">
        <v>1148</v>
      </c>
      <c r="F104" t="b">
        <f>IFERROR(Table6[[#This Row],[companyid]]=Sheet3!$N$20,TRUE)</f>
        <v>1</v>
      </c>
      <c r="G104" t="b">
        <f>OR(Worksheet!$D$5="",Worksheet!$D$5=Table6[[#This Row],[categoryname]])</f>
        <v>1</v>
      </c>
      <c r="H104" t="b">
        <f>OR(Worksheet!$D$7="",Worksheet!$D$7=Table6[[#This Row],[Manufacturer]])</f>
        <v>1</v>
      </c>
      <c r="I104" t="b">
        <f>OR(Worksheet!$G$7="",Worksheet!$G$7=Table6[[#This Row],[Model No.]])</f>
        <v>1</v>
      </c>
      <c r="J104" t="b">
        <f>OR(Worksheet!$D$8="",Worksheet!$D$8=Table6[[#This Row],[Serial No.]])</f>
        <v>1</v>
      </c>
      <c r="K104" t="b">
        <f>AND(Table6[[#This Row],[categoryname2]:[SN2]])</f>
        <v>1</v>
      </c>
      <c r="L104" t="b">
        <f>AND(Table6[[#This Row],[companyid2]],Table6[[#This Row],[Manufacturer2]:[SN2]])</f>
        <v>1</v>
      </c>
      <c r="M104" t="b">
        <f>AND(Table6[[#This Row],[companyid2]:[categoryname2]],Table6[[#This Row],[Model2]:[SN2]])</f>
        <v>1</v>
      </c>
      <c r="N104" t="b">
        <f>AND(Table6[[#This Row],[companyid2]:[Manufacturer2]],Table6[[#This Row],[SN2]])</f>
        <v>1</v>
      </c>
      <c r="O104" t="b">
        <f>AND(Table6[[#This Row],[companyid2]:[Model2]])</f>
        <v>1</v>
      </c>
      <c r="AS104" s="33"/>
    </row>
    <row r="105" spans="1:47" x14ac:dyDescent="0.25">
      <c r="A105">
        <v>57341</v>
      </c>
      <c r="B105" t="s">
        <v>568</v>
      </c>
      <c r="C105" t="s">
        <v>566</v>
      </c>
      <c r="D105" s="46" t="s">
        <v>1169</v>
      </c>
      <c r="E105" s="122" t="s">
        <v>1075</v>
      </c>
      <c r="F105" t="b">
        <f>IFERROR(Table6[[#This Row],[companyid]]=Sheet3!$N$20,TRUE)</f>
        <v>1</v>
      </c>
      <c r="G105" t="b">
        <f>OR(Worksheet!$D$5="",Worksheet!$D$5=Table6[[#This Row],[categoryname]])</f>
        <v>1</v>
      </c>
      <c r="H105" t="b">
        <f>OR(Worksheet!$D$7="",Worksheet!$D$7=Table6[[#This Row],[Manufacturer]])</f>
        <v>1</v>
      </c>
      <c r="I105" t="b">
        <f>OR(Worksheet!$G$7="",Worksheet!$G$7=Table6[[#This Row],[Model No.]])</f>
        <v>1</v>
      </c>
      <c r="J105" t="b">
        <f>OR(Worksheet!$D$8="",Worksheet!$D$8=Table6[[#This Row],[Serial No.]])</f>
        <v>1</v>
      </c>
      <c r="K105" t="b">
        <f>AND(Table6[[#This Row],[categoryname2]:[SN2]])</f>
        <v>1</v>
      </c>
      <c r="L105" t="b">
        <f>AND(Table6[[#This Row],[companyid2]],Table6[[#This Row],[Manufacturer2]:[SN2]])</f>
        <v>1</v>
      </c>
      <c r="M105" t="b">
        <f>AND(Table6[[#This Row],[companyid2]:[categoryname2]],Table6[[#This Row],[Model2]:[SN2]])</f>
        <v>1</v>
      </c>
      <c r="N105" t="b">
        <f>AND(Table6[[#This Row],[companyid2]:[Manufacturer2]],Table6[[#This Row],[SN2]])</f>
        <v>1</v>
      </c>
      <c r="O105" t="b">
        <f>AND(Table6[[#This Row],[companyid2]:[Model2]])</f>
        <v>1</v>
      </c>
      <c r="AS105" s="33"/>
    </row>
    <row r="106" spans="1:47" x14ac:dyDescent="0.25">
      <c r="A106">
        <v>57562</v>
      </c>
      <c r="B106" t="s">
        <v>568</v>
      </c>
      <c r="C106" t="s">
        <v>566</v>
      </c>
      <c r="D106" s="46" t="s">
        <v>1093</v>
      </c>
      <c r="E106" s="122" t="s">
        <v>1094</v>
      </c>
      <c r="F106" t="b">
        <f>IFERROR(Table6[[#This Row],[companyid]]=Sheet3!$N$20,TRUE)</f>
        <v>1</v>
      </c>
      <c r="G106" t="b">
        <f>OR(Worksheet!$D$5="",Worksheet!$D$5=Table6[[#This Row],[categoryname]])</f>
        <v>1</v>
      </c>
      <c r="H106" t="b">
        <f>OR(Worksheet!$D$7="",Worksheet!$D$7=Table6[[#This Row],[Manufacturer]])</f>
        <v>1</v>
      </c>
      <c r="I106" t="b">
        <f>OR(Worksheet!$G$7="",Worksheet!$G$7=Table6[[#This Row],[Model No.]])</f>
        <v>1</v>
      </c>
      <c r="J106" t="b">
        <f>OR(Worksheet!$D$8="",Worksheet!$D$8=Table6[[#This Row],[Serial No.]])</f>
        <v>1</v>
      </c>
      <c r="K106" t="b">
        <f>AND(Table6[[#This Row],[categoryname2]:[SN2]])</f>
        <v>1</v>
      </c>
      <c r="L106" t="b">
        <f>AND(Table6[[#This Row],[companyid2]],Table6[[#This Row],[Manufacturer2]:[SN2]])</f>
        <v>1</v>
      </c>
      <c r="M106" t="b">
        <f>AND(Table6[[#This Row],[companyid2]:[categoryname2]],Table6[[#This Row],[Model2]:[SN2]])</f>
        <v>1</v>
      </c>
      <c r="N106" t="b">
        <f>AND(Table6[[#This Row],[companyid2]:[Manufacturer2]],Table6[[#This Row],[SN2]])</f>
        <v>1</v>
      </c>
      <c r="O106" t="b">
        <f>AND(Table6[[#This Row],[companyid2]:[Model2]])</f>
        <v>1</v>
      </c>
      <c r="AS106" s="33"/>
    </row>
    <row r="107" spans="1:47" x14ac:dyDescent="0.25">
      <c r="A107">
        <v>57283</v>
      </c>
      <c r="B107" t="s">
        <v>568</v>
      </c>
      <c r="C107" t="s">
        <v>566</v>
      </c>
      <c r="D107" s="46" t="s">
        <v>570</v>
      </c>
      <c r="E107" s="122">
        <v>30244</v>
      </c>
      <c r="F107" t="b">
        <f>IFERROR(Table6[[#This Row],[companyid]]=Sheet3!$N$20,TRUE)</f>
        <v>1</v>
      </c>
      <c r="G107" t="b">
        <f>OR(Worksheet!$D$5="",Worksheet!$D$5=Table6[[#This Row],[categoryname]])</f>
        <v>1</v>
      </c>
      <c r="H107" t="b">
        <f>OR(Worksheet!$D$7="",Worksheet!$D$7=Table6[[#This Row],[Manufacturer]])</f>
        <v>1</v>
      </c>
      <c r="I107" t="b">
        <f>OR(Worksheet!$G$7="",Worksheet!$G$7=Table6[[#This Row],[Model No.]])</f>
        <v>1</v>
      </c>
      <c r="J107" t="b">
        <f>OR(Worksheet!$D$8="",Worksheet!$D$8=Table6[[#This Row],[Serial No.]])</f>
        <v>1</v>
      </c>
      <c r="K107" t="b">
        <f>AND(Table6[[#This Row],[categoryname2]:[SN2]])</f>
        <v>1</v>
      </c>
      <c r="L107" t="b">
        <f>AND(Table6[[#This Row],[companyid2]],Table6[[#This Row],[Manufacturer2]:[SN2]])</f>
        <v>1</v>
      </c>
      <c r="M107" t="b">
        <f>AND(Table6[[#This Row],[companyid2]:[categoryname2]],Table6[[#This Row],[Model2]:[SN2]])</f>
        <v>1</v>
      </c>
      <c r="N107" t="b">
        <f>AND(Table6[[#This Row],[companyid2]:[Manufacturer2]],Table6[[#This Row],[SN2]])</f>
        <v>1</v>
      </c>
      <c r="O107" t="b">
        <f>AND(Table6[[#This Row],[companyid2]:[Model2]])</f>
        <v>1</v>
      </c>
      <c r="AS107" s="33"/>
    </row>
    <row r="108" spans="1:47" x14ac:dyDescent="0.25">
      <c r="A108">
        <v>57682</v>
      </c>
      <c r="B108" t="s">
        <v>568</v>
      </c>
      <c r="C108" t="s">
        <v>1098</v>
      </c>
      <c r="D108" s="46" t="s">
        <v>617</v>
      </c>
      <c r="E108" s="122">
        <v>13696</v>
      </c>
      <c r="F108" t="b">
        <f>IFERROR(Table6[[#This Row],[companyid]]=Sheet3!$N$20,TRUE)</f>
        <v>1</v>
      </c>
      <c r="G108" t="b">
        <f>OR(Worksheet!$D$5="",Worksheet!$D$5=Table6[[#This Row],[categoryname]])</f>
        <v>1</v>
      </c>
      <c r="H108" t="b">
        <f>OR(Worksheet!$D$7="",Worksheet!$D$7=Table6[[#This Row],[Manufacturer]])</f>
        <v>1</v>
      </c>
      <c r="I108" t="b">
        <f>OR(Worksheet!$G$7="",Worksheet!$G$7=Table6[[#This Row],[Model No.]])</f>
        <v>1</v>
      </c>
      <c r="J108" t="b">
        <f>OR(Worksheet!$D$8="",Worksheet!$D$8=Table6[[#This Row],[Serial No.]])</f>
        <v>1</v>
      </c>
      <c r="K108" t="b">
        <f>AND(Table6[[#This Row],[categoryname2]:[SN2]])</f>
        <v>1</v>
      </c>
      <c r="L108" t="b">
        <f>AND(Table6[[#This Row],[companyid2]],Table6[[#This Row],[Manufacturer2]:[SN2]])</f>
        <v>1</v>
      </c>
      <c r="M108" t="b">
        <f>AND(Table6[[#This Row],[companyid2]:[categoryname2]],Table6[[#This Row],[Model2]:[SN2]])</f>
        <v>1</v>
      </c>
      <c r="N108" t="b">
        <f>AND(Table6[[#This Row],[companyid2]:[Manufacturer2]],Table6[[#This Row],[SN2]])</f>
        <v>1</v>
      </c>
      <c r="O108" t="b">
        <f>AND(Table6[[#This Row],[companyid2]:[Model2]])</f>
        <v>1</v>
      </c>
      <c r="AS108" s="33"/>
    </row>
    <row r="109" spans="1:47" x14ac:dyDescent="0.25">
      <c r="A109">
        <v>58053</v>
      </c>
      <c r="B109" t="s">
        <v>568</v>
      </c>
      <c r="C109" t="s">
        <v>1120</v>
      </c>
      <c r="D109" s="46" t="s">
        <v>1201</v>
      </c>
      <c r="E109" s="122">
        <v>78502</v>
      </c>
      <c r="F109" t="b">
        <f>IFERROR(Table6[[#This Row],[companyid]]=Sheet3!$N$20,TRUE)</f>
        <v>1</v>
      </c>
      <c r="G109" t="b">
        <f>OR(Worksheet!$D$5="",Worksheet!$D$5=Table6[[#This Row],[categoryname]])</f>
        <v>1</v>
      </c>
      <c r="H109" t="b">
        <f>OR(Worksheet!$D$7="",Worksheet!$D$7=Table6[[#This Row],[Manufacturer]])</f>
        <v>1</v>
      </c>
      <c r="I109" t="b">
        <f>OR(Worksheet!$G$7="",Worksheet!$G$7=Table6[[#This Row],[Model No.]])</f>
        <v>1</v>
      </c>
      <c r="J109" t="b">
        <f>OR(Worksheet!$D$8="",Worksheet!$D$8=Table6[[#This Row],[Serial No.]])</f>
        <v>1</v>
      </c>
      <c r="K109" t="b">
        <f>AND(Table6[[#This Row],[categoryname2]:[SN2]])</f>
        <v>1</v>
      </c>
      <c r="L109" t="b">
        <f>AND(Table6[[#This Row],[companyid2]],Table6[[#This Row],[Manufacturer2]:[SN2]])</f>
        <v>1</v>
      </c>
      <c r="M109" t="b">
        <f>AND(Table6[[#This Row],[companyid2]:[categoryname2]],Table6[[#This Row],[Model2]:[SN2]])</f>
        <v>1</v>
      </c>
      <c r="N109" t="b">
        <f>AND(Table6[[#This Row],[companyid2]:[Manufacturer2]],Table6[[#This Row],[SN2]])</f>
        <v>1</v>
      </c>
      <c r="O109" t="b">
        <f>AND(Table6[[#This Row],[companyid2]:[Model2]])</f>
        <v>1</v>
      </c>
      <c r="AS109" s="33"/>
    </row>
    <row r="110" spans="1:47" x14ac:dyDescent="0.25">
      <c r="A110">
        <v>58160</v>
      </c>
      <c r="B110" t="s">
        <v>568</v>
      </c>
      <c r="C110" t="s">
        <v>1051</v>
      </c>
      <c r="D110" s="46" t="s">
        <v>1212</v>
      </c>
      <c r="E110" s="122">
        <v>5966</v>
      </c>
      <c r="F110" t="b">
        <f>IFERROR(Table6[[#This Row],[companyid]]=Sheet3!$N$20,TRUE)</f>
        <v>1</v>
      </c>
      <c r="G110" t="b">
        <f>OR(Worksheet!$D$5="",Worksheet!$D$5=Table6[[#This Row],[categoryname]])</f>
        <v>1</v>
      </c>
      <c r="H110" t="b">
        <f>OR(Worksheet!$D$7="",Worksheet!$D$7=Table6[[#This Row],[Manufacturer]])</f>
        <v>1</v>
      </c>
      <c r="I110" t="b">
        <f>OR(Worksheet!$G$7="",Worksheet!$G$7=Table6[[#This Row],[Model No.]])</f>
        <v>1</v>
      </c>
      <c r="J110" t="b">
        <f>OR(Worksheet!$D$8="",Worksheet!$D$8=Table6[[#This Row],[Serial No.]])</f>
        <v>1</v>
      </c>
      <c r="K110" t="b">
        <f>AND(Table6[[#This Row],[categoryname2]:[SN2]])</f>
        <v>1</v>
      </c>
      <c r="L110" t="b">
        <f>AND(Table6[[#This Row],[companyid2]],Table6[[#This Row],[Manufacturer2]:[SN2]])</f>
        <v>1</v>
      </c>
      <c r="M110" t="b">
        <f>AND(Table6[[#This Row],[companyid2]:[categoryname2]],Table6[[#This Row],[Model2]:[SN2]])</f>
        <v>1</v>
      </c>
      <c r="N110" t="b">
        <f>AND(Table6[[#This Row],[companyid2]:[Manufacturer2]],Table6[[#This Row],[SN2]])</f>
        <v>1</v>
      </c>
      <c r="O110" t="b">
        <f>AND(Table6[[#This Row],[companyid2]:[Model2]])</f>
        <v>1</v>
      </c>
      <c r="AS110" s="33"/>
    </row>
    <row r="111" spans="1:47" x14ac:dyDescent="0.25">
      <c r="A111">
        <v>57137</v>
      </c>
      <c r="B111" t="s">
        <v>568</v>
      </c>
      <c r="C111" t="s">
        <v>1051</v>
      </c>
      <c r="D111" s="46" t="s">
        <v>1155</v>
      </c>
      <c r="E111" s="122" t="s">
        <v>1052</v>
      </c>
      <c r="F111" t="b">
        <f>IFERROR(Table6[[#This Row],[companyid]]=Sheet3!$N$20,TRUE)</f>
        <v>1</v>
      </c>
      <c r="G111" t="b">
        <f>OR(Worksheet!$D$5="",Worksheet!$D$5=Table6[[#This Row],[categoryname]])</f>
        <v>1</v>
      </c>
      <c r="H111" t="b">
        <f>OR(Worksheet!$D$7="",Worksheet!$D$7=Table6[[#This Row],[Manufacturer]])</f>
        <v>1</v>
      </c>
      <c r="I111" t="b">
        <f>OR(Worksheet!$G$7="",Worksheet!$G$7=Table6[[#This Row],[Model No.]])</f>
        <v>1</v>
      </c>
      <c r="J111" t="b">
        <f>OR(Worksheet!$D$8="",Worksheet!$D$8=Table6[[#This Row],[Serial No.]])</f>
        <v>1</v>
      </c>
      <c r="K111" t="b">
        <f>AND(Table6[[#This Row],[categoryname2]:[SN2]])</f>
        <v>1</v>
      </c>
      <c r="L111" t="b">
        <f>AND(Table6[[#This Row],[companyid2]],Table6[[#This Row],[Manufacturer2]:[SN2]])</f>
        <v>1</v>
      </c>
      <c r="M111" t="b">
        <f>AND(Table6[[#This Row],[companyid2]:[categoryname2]],Table6[[#This Row],[Model2]:[SN2]])</f>
        <v>1</v>
      </c>
      <c r="N111" t="b">
        <f>AND(Table6[[#This Row],[companyid2]:[Manufacturer2]],Table6[[#This Row],[SN2]])</f>
        <v>1</v>
      </c>
      <c r="O111" t="b">
        <f>AND(Table6[[#This Row],[companyid2]:[Model2]])</f>
        <v>1</v>
      </c>
      <c r="AH111" s="105"/>
    </row>
    <row r="112" spans="1:47" x14ac:dyDescent="0.25">
      <c r="A112">
        <v>57534</v>
      </c>
      <c r="B112" t="s">
        <v>568</v>
      </c>
      <c r="C112" t="s">
        <v>1090</v>
      </c>
      <c r="D112" s="46" t="s">
        <v>1182</v>
      </c>
      <c r="E112" s="122">
        <v>30061037</v>
      </c>
      <c r="F112" t="b">
        <f>IFERROR(Table6[[#This Row],[companyid]]=Sheet3!$N$20,TRUE)</f>
        <v>1</v>
      </c>
      <c r="G112" t="b">
        <f>OR(Worksheet!$D$5="",Worksheet!$D$5=Table6[[#This Row],[categoryname]])</f>
        <v>1</v>
      </c>
      <c r="H112" t="b">
        <f>OR(Worksheet!$D$7="",Worksheet!$D$7=Table6[[#This Row],[Manufacturer]])</f>
        <v>1</v>
      </c>
      <c r="I112" t="b">
        <f>OR(Worksheet!$G$7="",Worksheet!$G$7=Table6[[#This Row],[Model No.]])</f>
        <v>1</v>
      </c>
      <c r="J112" t="b">
        <f>OR(Worksheet!$D$8="",Worksheet!$D$8=Table6[[#This Row],[Serial No.]])</f>
        <v>1</v>
      </c>
      <c r="K112" t="b">
        <f>AND(Table6[[#This Row],[categoryname2]:[SN2]])</f>
        <v>1</v>
      </c>
      <c r="L112" t="b">
        <f>AND(Table6[[#This Row],[companyid2]],Table6[[#This Row],[Manufacturer2]:[SN2]])</f>
        <v>1</v>
      </c>
      <c r="M112" t="b">
        <f>AND(Table6[[#This Row],[companyid2]:[categoryname2]],Table6[[#This Row],[Model2]:[SN2]])</f>
        <v>1</v>
      </c>
      <c r="N112" t="b">
        <f>AND(Table6[[#This Row],[companyid2]:[Manufacturer2]],Table6[[#This Row],[SN2]])</f>
        <v>1</v>
      </c>
      <c r="O112" t="b">
        <f>AND(Table6[[#This Row],[companyid2]:[Model2]])</f>
        <v>1</v>
      </c>
      <c r="AH112" s="105"/>
    </row>
    <row r="113" spans="1:47" x14ac:dyDescent="0.25">
      <c r="A113">
        <v>117081</v>
      </c>
      <c r="B113" t="s">
        <v>568</v>
      </c>
      <c r="C113" t="s">
        <v>1095</v>
      </c>
      <c r="D113" s="46" t="s">
        <v>1044</v>
      </c>
      <c r="E113" s="122" t="s">
        <v>1151</v>
      </c>
      <c r="F113" t="b">
        <f>IFERROR(Table6[[#This Row],[companyid]]=Sheet3!$N$20,TRUE)</f>
        <v>1</v>
      </c>
      <c r="G113" t="b">
        <f>OR(Worksheet!$D$5="",Worksheet!$D$5=Table6[[#This Row],[categoryname]])</f>
        <v>1</v>
      </c>
      <c r="H113" t="b">
        <f>OR(Worksheet!$D$7="",Worksheet!$D$7=Table6[[#This Row],[Manufacturer]])</f>
        <v>1</v>
      </c>
      <c r="I113" t="b">
        <f>OR(Worksheet!$G$7="",Worksheet!$G$7=Table6[[#This Row],[Model No.]])</f>
        <v>1</v>
      </c>
      <c r="J113" t="b">
        <f>OR(Worksheet!$D$8="",Worksheet!$D$8=Table6[[#This Row],[Serial No.]])</f>
        <v>1</v>
      </c>
      <c r="K113" t="b">
        <f>AND(Table6[[#This Row],[categoryname2]:[SN2]])</f>
        <v>1</v>
      </c>
      <c r="L113" t="b">
        <f>AND(Table6[[#This Row],[companyid2]],Table6[[#This Row],[Manufacturer2]:[SN2]])</f>
        <v>1</v>
      </c>
      <c r="M113" t="b">
        <f>AND(Table6[[#This Row],[companyid2]:[categoryname2]],Table6[[#This Row],[Model2]:[SN2]])</f>
        <v>1</v>
      </c>
      <c r="N113" t="b">
        <f>AND(Table6[[#This Row],[companyid2]:[Manufacturer2]],Table6[[#This Row],[SN2]])</f>
        <v>1</v>
      </c>
      <c r="O113" t="b">
        <f>AND(Table6[[#This Row],[companyid2]:[Model2]])</f>
        <v>1</v>
      </c>
      <c r="AH113" s="105"/>
    </row>
    <row r="114" spans="1:47" x14ac:dyDescent="0.25">
      <c r="A114">
        <v>57615</v>
      </c>
      <c r="B114" t="s">
        <v>568</v>
      </c>
      <c r="C114" t="s">
        <v>1095</v>
      </c>
      <c r="D114" s="46" t="s">
        <v>1184</v>
      </c>
      <c r="E114" s="122">
        <v>8535</v>
      </c>
      <c r="F114" t="b">
        <f>IFERROR(Table6[[#This Row],[companyid]]=Sheet3!$N$20,TRUE)</f>
        <v>1</v>
      </c>
      <c r="G114" t="b">
        <f>OR(Worksheet!$D$5="",Worksheet!$D$5=Table6[[#This Row],[categoryname]])</f>
        <v>1</v>
      </c>
      <c r="H114" t="b">
        <f>OR(Worksheet!$D$7="",Worksheet!$D$7=Table6[[#This Row],[Manufacturer]])</f>
        <v>1</v>
      </c>
      <c r="I114" t="b">
        <f>OR(Worksheet!$G$7="",Worksheet!$G$7=Table6[[#This Row],[Model No.]])</f>
        <v>1</v>
      </c>
      <c r="J114" t="b">
        <f>OR(Worksheet!$D$8="",Worksheet!$D$8=Table6[[#This Row],[Serial No.]])</f>
        <v>1</v>
      </c>
      <c r="K114" t="b">
        <f>AND(Table6[[#This Row],[categoryname2]:[SN2]])</f>
        <v>1</v>
      </c>
      <c r="L114" t="b">
        <f>AND(Table6[[#This Row],[companyid2]],Table6[[#This Row],[Manufacturer2]:[SN2]])</f>
        <v>1</v>
      </c>
      <c r="M114" t="b">
        <f>AND(Table6[[#This Row],[companyid2]:[categoryname2]],Table6[[#This Row],[Model2]:[SN2]])</f>
        <v>1</v>
      </c>
      <c r="N114" t="b">
        <f>AND(Table6[[#This Row],[companyid2]:[Manufacturer2]],Table6[[#This Row],[SN2]])</f>
        <v>1</v>
      </c>
      <c r="O114" t="b">
        <f>AND(Table6[[#This Row],[companyid2]:[Model2]])</f>
        <v>1</v>
      </c>
      <c r="AH114" s="105"/>
    </row>
    <row r="115" spans="1:47" x14ac:dyDescent="0.25">
      <c r="A115">
        <v>57072</v>
      </c>
      <c r="B115" t="s">
        <v>568</v>
      </c>
      <c r="C115" t="s">
        <v>639</v>
      </c>
      <c r="D115" s="46">
        <v>2002</v>
      </c>
      <c r="E115" s="122" t="s">
        <v>1045</v>
      </c>
      <c r="F115" t="b">
        <f>IFERROR(Table6[[#This Row],[companyid]]=Sheet3!$N$20,TRUE)</f>
        <v>1</v>
      </c>
      <c r="G115" t="b">
        <f>OR(Worksheet!$D$5="",Worksheet!$D$5=Table6[[#This Row],[categoryname]])</f>
        <v>1</v>
      </c>
      <c r="H115" t="b">
        <f>OR(Worksheet!$D$7="",Worksheet!$D$7=Table6[[#This Row],[Manufacturer]])</f>
        <v>1</v>
      </c>
      <c r="I115" t="b">
        <f>OR(Worksheet!$G$7="",Worksheet!$G$7=Table6[[#This Row],[Model No.]])</f>
        <v>1</v>
      </c>
      <c r="J115" t="b">
        <f>OR(Worksheet!$D$8="",Worksheet!$D$8=Table6[[#This Row],[Serial No.]])</f>
        <v>1</v>
      </c>
      <c r="K115" t="b">
        <f>AND(Table6[[#This Row],[categoryname2]:[SN2]])</f>
        <v>1</v>
      </c>
      <c r="L115" t="b">
        <f>AND(Table6[[#This Row],[companyid2]],Table6[[#This Row],[Manufacturer2]:[SN2]])</f>
        <v>1</v>
      </c>
      <c r="M115" t="b">
        <f>AND(Table6[[#This Row],[companyid2]:[categoryname2]],Table6[[#This Row],[Model2]:[SN2]])</f>
        <v>1</v>
      </c>
      <c r="N115" t="b">
        <f>AND(Table6[[#This Row],[companyid2]:[Manufacturer2]],Table6[[#This Row],[SN2]])</f>
        <v>1</v>
      </c>
      <c r="O115" t="b">
        <f>AND(Table6[[#This Row],[companyid2]:[Model2]])</f>
        <v>1</v>
      </c>
      <c r="AS115" s="33"/>
      <c r="AU115" s="33"/>
    </row>
    <row r="116" spans="1:47" x14ac:dyDescent="0.25">
      <c r="A116">
        <v>87871</v>
      </c>
      <c r="B116" t="s">
        <v>568</v>
      </c>
      <c r="C116" t="s">
        <v>639</v>
      </c>
      <c r="D116" s="46" t="s">
        <v>640</v>
      </c>
      <c r="E116" s="122" t="s">
        <v>649</v>
      </c>
      <c r="F116" t="b">
        <f>IFERROR(Table6[[#This Row],[companyid]]=Sheet3!$N$20,TRUE)</f>
        <v>1</v>
      </c>
      <c r="G116" t="b">
        <f>OR(Worksheet!$D$5="",Worksheet!$D$5=Table6[[#This Row],[categoryname]])</f>
        <v>1</v>
      </c>
      <c r="H116" t="b">
        <f>OR(Worksheet!$D$7="",Worksheet!$D$7=Table6[[#This Row],[Manufacturer]])</f>
        <v>1</v>
      </c>
      <c r="I116" t="b">
        <f>OR(Worksheet!$G$7="",Worksheet!$G$7=Table6[[#This Row],[Model No.]])</f>
        <v>1</v>
      </c>
      <c r="J116" t="b">
        <f>OR(Worksheet!$D$8="",Worksheet!$D$8=Table6[[#This Row],[Serial No.]])</f>
        <v>1</v>
      </c>
      <c r="K116" t="b">
        <f>AND(Table6[[#This Row],[categoryname2]:[SN2]])</f>
        <v>1</v>
      </c>
      <c r="L116" t="b">
        <f>AND(Table6[[#This Row],[companyid2]],Table6[[#This Row],[Manufacturer2]:[SN2]])</f>
        <v>1</v>
      </c>
      <c r="M116" t="b">
        <f>AND(Table6[[#This Row],[companyid2]:[categoryname2]],Table6[[#This Row],[Model2]:[SN2]])</f>
        <v>1</v>
      </c>
      <c r="N116" t="b">
        <f>AND(Table6[[#This Row],[companyid2]:[Manufacturer2]],Table6[[#This Row],[SN2]])</f>
        <v>1</v>
      </c>
      <c r="O116" t="b">
        <f>AND(Table6[[#This Row],[companyid2]:[Model2]])</f>
        <v>1</v>
      </c>
      <c r="AS116" s="33"/>
    </row>
    <row r="117" spans="1:47" x14ac:dyDescent="0.25">
      <c r="A117">
        <v>58115</v>
      </c>
      <c r="B117" t="s">
        <v>568</v>
      </c>
      <c r="C117" t="s">
        <v>639</v>
      </c>
      <c r="D117" s="46" t="s">
        <v>640</v>
      </c>
      <c r="E117" s="122" t="s">
        <v>641</v>
      </c>
      <c r="F117" t="b">
        <f>IFERROR(Table6[[#This Row],[companyid]]=Sheet3!$N$20,TRUE)</f>
        <v>1</v>
      </c>
      <c r="G117" t="b">
        <f>OR(Worksheet!$D$5="",Worksheet!$D$5=Table6[[#This Row],[categoryname]])</f>
        <v>1</v>
      </c>
      <c r="H117" t="b">
        <f>OR(Worksheet!$D$7="",Worksheet!$D$7=Table6[[#This Row],[Manufacturer]])</f>
        <v>1</v>
      </c>
      <c r="I117" t="b">
        <f>OR(Worksheet!$G$7="",Worksheet!$G$7=Table6[[#This Row],[Model No.]])</f>
        <v>1</v>
      </c>
      <c r="J117" t="b">
        <f>OR(Worksheet!$D$8="",Worksheet!$D$8=Table6[[#This Row],[Serial No.]])</f>
        <v>1</v>
      </c>
      <c r="K117" t="b">
        <f>AND(Table6[[#This Row],[categoryname2]:[SN2]])</f>
        <v>1</v>
      </c>
      <c r="L117" t="b">
        <f>AND(Table6[[#This Row],[companyid2]],Table6[[#This Row],[Manufacturer2]:[SN2]])</f>
        <v>1</v>
      </c>
      <c r="M117" t="b">
        <f>AND(Table6[[#This Row],[companyid2]:[categoryname2]],Table6[[#This Row],[Model2]:[SN2]])</f>
        <v>1</v>
      </c>
      <c r="N117" t="b">
        <f>AND(Table6[[#This Row],[companyid2]:[Manufacturer2]],Table6[[#This Row],[SN2]])</f>
        <v>1</v>
      </c>
      <c r="O117" t="b">
        <f>AND(Table6[[#This Row],[companyid2]:[Model2]])</f>
        <v>1</v>
      </c>
      <c r="AH117" s="105"/>
    </row>
    <row r="118" spans="1:47" x14ac:dyDescent="0.25">
      <c r="A118">
        <v>57825</v>
      </c>
      <c r="B118" t="s">
        <v>568</v>
      </c>
      <c r="C118" t="s">
        <v>1105</v>
      </c>
      <c r="D118" s="46" t="s">
        <v>1159</v>
      </c>
      <c r="E118" s="122">
        <v>2029</v>
      </c>
      <c r="F118" t="b">
        <f>IFERROR(Table6[[#This Row],[companyid]]=Sheet3!$N$20,TRUE)</f>
        <v>1</v>
      </c>
      <c r="G118" t="b">
        <f>OR(Worksheet!$D$5="",Worksheet!$D$5=Table6[[#This Row],[categoryname]])</f>
        <v>1</v>
      </c>
      <c r="H118" t="b">
        <f>OR(Worksheet!$D$7="",Worksheet!$D$7=Table6[[#This Row],[Manufacturer]])</f>
        <v>1</v>
      </c>
      <c r="I118" t="b">
        <f>OR(Worksheet!$G$7="",Worksheet!$G$7=Table6[[#This Row],[Model No.]])</f>
        <v>1</v>
      </c>
      <c r="J118" t="b">
        <f>OR(Worksheet!$D$8="",Worksheet!$D$8=Table6[[#This Row],[Serial No.]])</f>
        <v>1</v>
      </c>
      <c r="K118" t="b">
        <f>AND(Table6[[#This Row],[categoryname2]:[SN2]])</f>
        <v>1</v>
      </c>
      <c r="L118" t="b">
        <f>AND(Table6[[#This Row],[companyid2]],Table6[[#This Row],[Manufacturer2]:[SN2]])</f>
        <v>1</v>
      </c>
      <c r="M118" t="b">
        <f>AND(Table6[[#This Row],[companyid2]:[categoryname2]],Table6[[#This Row],[Model2]:[SN2]])</f>
        <v>1</v>
      </c>
      <c r="N118" t="b">
        <f>AND(Table6[[#This Row],[companyid2]:[Manufacturer2]],Table6[[#This Row],[SN2]])</f>
        <v>1</v>
      </c>
      <c r="O118" t="b">
        <f>AND(Table6[[#This Row],[companyid2]:[Model2]])</f>
        <v>1</v>
      </c>
      <c r="AH118" s="105"/>
    </row>
    <row r="119" spans="1:47" x14ac:dyDescent="0.25">
      <c r="A119">
        <v>57305</v>
      </c>
      <c r="B119" t="s">
        <v>568</v>
      </c>
      <c r="C119" t="s">
        <v>597</v>
      </c>
      <c r="D119" s="46" t="s">
        <v>597</v>
      </c>
      <c r="E119" s="122">
        <v>671121</v>
      </c>
      <c r="F119" t="b">
        <f>IFERROR(Table6[[#This Row],[companyid]]=Sheet3!$N$20,TRUE)</f>
        <v>1</v>
      </c>
      <c r="G119" t="b">
        <f>OR(Worksheet!$D$5="",Worksheet!$D$5=Table6[[#This Row],[categoryname]])</f>
        <v>1</v>
      </c>
      <c r="H119" t="b">
        <f>OR(Worksheet!$D$7="",Worksheet!$D$7=Table6[[#This Row],[Manufacturer]])</f>
        <v>1</v>
      </c>
      <c r="I119" t="b">
        <f>OR(Worksheet!$G$7="",Worksheet!$G$7=Table6[[#This Row],[Model No.]])</f>
        <v>1</v>
      </c>
      <c r="J119" t="b">
        <f>OR(Worksheet!$D$8="",Worksheet!$D$8=Table6[[#This Row],[Serial No.]])</f>
        <v>1</v>
      </c>
      <c r="K119" t="b">
        <f>AND(Table6[[#This Row],[categoryname2]:[SN2]])</f>
        <v>1</v>
      </c>
      <c r="L119" t="b">
        <f>AND(Table6[[#This Row],[companyid2]],Table6[[#This Row],[Manufacturer2]:[SN2]])</f>
        <v>1</v>
      </c>
      <c r="M119" t="b">
        <f>AND(Table6[[#This Row],[companyid2]:[categoryname2]],Table6[[#This Row],[Model2]:[SN2]])</f>
        <v>1</v>
      </c>
      <c r="N119" t="b">
        <f>AND(Table6[[#This Row],[companyid2]:[Manufacturer2]],Table6[[#This Row],[SN2]])</f>
        <v>1</v>
      </c>
      <c r="O119" t="b">
        <f>AND(Table6[[#This Row],[companyid2]:[Model2]])</f>
        <v>1</v>
      </c>
      <c r="AS119" s="33"/>
    </row>
    <row r="120" spans="1:47" x14ac:dyDescent="0.25">
      <c r="A120">
        <v>57332</v>
      </c>
      <c r="B120" t="s">
        <v>568</v>
      </c>
      <c r="C120" t="s">
        <v>610</v>
      </c>
      <c r="D120" s="46" t="s">
        <v>654</v>
      </c>
      <c r="E120" s="122">
        <v>1831</v>
      </c>
      <c r="F120" t="b">
        <f>IFERROR(Table6[[#This Row],[companyid]]=Sheet3!$N$20,TRUE)</f>
        <v>1</v>
      </c>
      <c r="G120" t="b">
        <f>OR(Worksheet!$D$5="",Worksheet!$D$5=Table6[[#This Row],[categoryname]])</f>
        <v>1</v>
      </c>
      <c r="H120" t="b">
        <f>OR(Worksheet!$D$7="",Worksheet!$D$7=Table6[[#This Row],[Manufacturer]])</f>
        <v>1</v>
      </c>
      <c r="I120" t="b">
        <f>OR(Worksheet!$G$7="",Worksheet!$G$7=Table6[[#This Row],[Model No.]])</f>
        <v>1</v>
      </c>
      <c r="J120" t="b">
        <f>OR(Worksheet!$D$8="",Worksheet!$D$8=Table6[[#This Row],[Serial No.]])</f>
        <v>1</v>
      </c>
      <c r="K120" t="b">
        <f>AND(Table6[[#This Row],[categoryname2]:[SN2]])</f>
        <v>1</v>
      </c>
      <c r="L120" t="b">
        <f>AND(Table6[[#This Row],[companyid2]],Table6[[#This Row],[Manufacturer2]:[SN2]])</f>
        <v>1</v>
      </c>
      <c r="M120" t="b">
        <f>AND(Table6[[#This Row],[companyid2]:[categoryname2]],Table6[[#This Row],[Model2]:[SN2]])</f>
        <v>1</v>
      </c>
      <c r="N120" t="b">
        <f>AND(Table6[[#This Row],[companyid2]:[Manufacturer2]],Table6[[#This Row],[SN2]])</f>
        <v>1</v>
      </c>
      <c r="O120" t="b">
        <f>AND(Table6[[#This Row],[companyid2]:[Model2]])</f>
        <v>1</v>
      </c>
      <c r="AS120" s="33"/>
    </row>
    <row r="121" spans="1:47" x14ac:dyDescent="0.25">
      <c r="A121">
        <v>57525</v>
      </c>
      <c r="B121" t="s">
        <v>568</v>
      </c>
      <c r="C121" t="s">
        <v>610</v>
      </c>
      <c r="D121" s="46" t="s">
        <v>1181</v>
      </c>
      <c r="E121" s="122" t="s">
        <v>611</v>
      </c>
      <c r="F121" t="b">
        <f>IFERROR(Table6[[#This Row],[companyid]]=Sheet3!$N$20,TRUE)</f>
        <v>1</v>
      </c>
      <c r="G121" t="b">
        <f>OR(Worksheet!$D$5="",Worksheet!$D$5=Table6[[#This Row],[categoryname]])</f>
        <v>1</v>
      </c>
      <c r="H121" t="b">
        <f>OR(Worksheet!$D$7="",Worksheet!$D$7=Table6[[#This Row],[Manufacturer]])</f>
        <v>1</v>
      </c>
      <c r="I121" t="b">
        <f>OR(Worksheet!$G$7="",Worksheet!$G$7=Table6[[#This Row],[Model No.]])</f>
        <v>1</v>
      </c>
      <c r="J121" t="b">
        <f>OR(Worksheet!$D$8="",Worksheet!$D$8=Table6[[#This Row],[Serial No.]])</f>
        <v>1</v>
      </c>
      <c r="K121" t="b">
        <f>AND(Table6[[#This Row],[categoryname2]:[SN2]])</f>
        <v>1</v>
      </c>
      <c r="L121" t="b">
        <f>AND(Table6[[#This Row],[companyid2]],Table6[[#This Row],[Manufacturer2]:[SN2]])</f>
        <v>1</v>
      </c>
      <c r="M121" t="b">
        <f>AND(Table6[[#This Row],[companyid2]:[categoryname2]],Table6[[#This Row],[Model2]:[SN2]])</f>
        <v>1</v>
      </c>
      <c r="N121" t="b">
        <f>AND(Table6[[#This Row],[companyid2]:[Manufacturer2]],Table6[[#This Row],[SN2]])</f>
        <v>1</v>
      </c>
      <c r="O121" t="b">
        <f>AND(Table6[[#This Row],[companyid2]:[Model2]])</f>
        <v>1</v>
      </c>
    </row>
    <row r="122" spans="1:47" x14ac:dyDescent="0.25">
      <c r="A122">
        <v>57718</v>
      </c>
      <c r="B122" t="s">
        <v>568</v>
      </c>
      <c r="C122" t="s">
        <v>610</v>
      </c>
      <c r="D122" s="46" t="s">
        <v>626</v>
      </c>
      <c r="E122" s="122" t="s">
        <v>627</v>
      </c>
      <c r="F122" t="b">
        <f>IFERROR(Table6[[#This Row],[companyid]]=Sheet3!$N$20,TRUE)</f>
        <v>1</v>
      </c>
      <c r="G122" t="b">
        <f>OR(Worksheet!$D$5="",Worksheet!$D$5=Table6[[#This Row],[categoryname]])</f>
        <v>1</v>
      </c>
      <c r="H122" t="b">
        <f>OR(Worksheet!$D$7="",Worksheet!$D$7=Table6[[#This Row],[Manufacturer]])</f>
        <v>1</v>
      </c>
      <c r="I122" t="b">
        <f>OR(Worksheet!$G$7="",Worksheet!$G$7=Table6[[#This Row],[Model No.]])</f>
        <v>1</v>
      </c>
      <c r="J122" t="b">
        <f>OR(Worksheet!$D$8="",Worksheet!$D$8=Table6[[#This Row],[Serial No.]])</f>
        <v>1</v>
      </c>
      <c r="K122" t="b">
        <f>AND(Table6[[#This Row],[categoryname2]:[SN2]])</f>
        <v>1</v>
      </c>
      <c r="L122" t="b">
        <f>AND(Table6[[#This Row],[companyid2]],Table6[[#This Row],[Manufacturer2]:[SN2]])</f>
        <v>1</v>
      </c>
      <c r="M122" t="b">
        <f>AND(Table6[[#This Row],[companyid2]:[categoryname2]],Table6[[#This Row],[Model2]:[SN2]])</f>
        <v>1</v>
      </c>
      <c r="N122" t="b">
        <f>AND(Table6[[#This Row],[companyid2]:[Manufacturer2]],Table6[[#This Row],[SN2]])</f>
        <v>1</v>
      </c>
      <c r="O122" t="b">
        <f>AND(Table6[[#This Row],[companyid2]:[Model2]])</f>
        <v>1</v>
      </c>
      <c r="AS122" s="33"/>
    </row>
    <row r="123" spans="1:47" x14ac:dyDescent="0.25">
      <c r="A123">
        <v>57170</v>
      </c>
      <c r="B123" t="s">
        <v>568</v>
      </c>
      <c r="C123" t="s">
        <v>610</v>
      </c>
      <c r="D123" s="46" t="s">
        <v>1157</v>
      </c>
      <c r="E123" s="122" t="s">
        <v>1056</v>
      </c>
      <c r="F123" t="b">
        <f>IFERROR(Table6[[#This Row],[companyid]]=Sheet3!$N$20,TRUE)</f>
        <v>1</v>
      </c>
      <c r="G123" t="b">
        <f>OR(Worksheet!$D$5="",Worksheet!$D$5=Table6[[#This Row],[categoryname]])</f>
        <v>1</v>
      </c>
      <c r="H123" t="b">
        <f>OR(Worksheet!$D$7="",Worksheet!$D$7=Table6[[#This Row],[Manufacturer]])</f>
        <v>1</v>
      </c>
      <c r="I123" t="b">
        <f>OR(Worksheet!$G$7="",Worksheet!$G$7=Table6[[#This Row],[Model No.]])</f>
        <v>1</v>
      </c>
      <c r="J123" t="b">
        <f>OR(Worksheet!$D$8="",Worksheet!$D$8=Table6[[#This Row],[Serial No.]])</f>
        <v>1</v>
      </c>
      <c r="K123" t="b">
        <f>AND(Table6[[#This Row],[categoryname2]:[SN2]])</f>
        <v>1</v>
      </c>
      <c r="L123" t="b">
        <f>AND(Table6[[#This Row],[companyid2]],Table6[[#This Row],[Manufacturer2]:[SN2]])</f>
        <v>1</v>
      </c>
      <c r="M123" t="b">
        <f>AND(Table6[[#This Row],[companyid2]:[categoryname2]],Table6[[#This Row],[Model2]:[SN2]])</f>
        <v>1</v>
      </c>
      <c r="N123" t="b">
        <f>AND(Table6[[#This Row],[companyid2]:[Manufacturer2]],Table6[[#This Row],[SN2]])</f>
        <v>1</v>
      </c>
      <c r="O123" t="b">
        <f>AND(Table6[[#This Row],[companyid2]:[Model2]])</f>
        <v>1</v>
      </c>
      <c r="AS123" s="33"/>
    </row>
    <row r="124" spans="1:47" x14ac:dyDescent="0.25">
      <c r="A124">
        <v>57615</v>
      </c>
      <c r="B124" t="s">
        <v>568</v>
      </c>
      <c r="C124" t="s">
        <v>610</v>
      </c>
      <c r="D124" s="46" t="s">
        <v>1185</v>
      </c>
      <c r="E124" s="122">
        <v>160648</v>
      </c>
      <c r="F124" t="b">
        <f>IFERROR(Table6[[#This Row],[companyid]]=Sheet3!$N$20,TRUE)</f>
        <v>1</v>
      </c>
      <c r="G124" t="b">
        <f>OR(Worksheet!$D$5="",Worksheet!$D$5=Table6[[#This Row],[categoryname]])</f>
        <v>1</v>
      </c>
      <c r="H124" t="b">
        <f>OR(Worksheet!$D$7="",Worksheet!$D$7=Table6[[#This Row],[Manufacturer]])</f>
        <v>1</v>
      </c>
      <c r="I124" t="b">
        <f>OR(Worksheet!$G$7="",Worksheet!$G$7=Table6[[#This Row],[Model No.]])</f>
        <v>1</v>
      </c>
      <c r="J124" t="b">
        <f>OR(Worksheet!$D$8="",Worksheet!$D$8=Table6[[#This Row],[Serial No.]])</f>
        <v>1</v>
      </c>
      <c r="K124" t="b">
        <f>AND(Table6[[#This Row],[categoryname2]:[SN2]])</f>
        <v>1</v>
      </c>
      <c r="L124" t="b">
        <f>AND(Table6[[#This Row],[companyid2]],Table6[[#This Row],[Manufacturer2]:[SN2]])</f>
        <v>1</v>
      </c>
      <c r="M124" t="b">
        <f>AND(Table6[[#This Row],[companyid2]:[categoryname2]],Table6[[#This Row],[Model2]:[SN2]])</f>
        <v>1</v>
      </c>
      <c r="N124" t="b">
        <f>AND(Table6[[#This Row],[companyid2]:[Manufacturer2]],Table6[[#This Row],[SN2]])</f>
        <v>1</v>
      </c>
      <c r="O124" t="b">
        <f>AND(Table6[[#This Row],[companyid2]:[Model2]])</f>
        <v>1</v>
      </c>
      <c r="AS124" s="33"/>
    </row>
    <row r="125" spans="1:47" x14ac:dyDescent="0.25">
      <c r="A125">
        <v>58115</v>
      </c>
      <c r="B125" t="s">
        <v>568</v>
      </c>
      <c r="C125" t="s">
        <v>575</v>
      </c>
      <c r="D125" s="46" t="s">
        <v>1176</v>
      </c>
      <c r="E125" s="122">
        <v>6589</v>
      </c>
      <c r="F125" t="b">
        <f>IFERROR(Table6[[#This Row],[companyid]]=Sheet3!$N$20,TRUE)</f>
        <v>1</v>
      </c>
      <c r="G125" t="b">
        <f>OR(Worksheet!$D$5="",Worksheet!$D$5=Table6[[#This Row],[categoryname]])</f>
        <v>1</v>
      </c>
      <c r="H125" t="b">
        <f>OR(Worksheet!$D$7="",Worksheet!$D$7=Table6[[#This Row],[Manufacturer]])</f>
        <v>1</v>
      </c>
      <c r="I125" t="b">
        <f>OR(Worksheet!$G$7="",Worksheet!$G$7=Table6[[#This Row],[Model No.]])</f>
        <v>1</v>
      </c>
      <c r="J125" t="b">
        <f>OR(Worksheet!$D$8="",Worksheet!$D$8=Table6[[#This Row],[Serial No.]])</f>
        <v>1</v>
      </c>
      <c r="K125" t="b">
        <f>AND(Table6[[#This Row],[categoryname2]:[SN2]])</f>
        <v>1</v>
      </c>
      <c r="L125" t="b">
        <f>AND(Table6[[#This Row],[companyid2]],Table6[[#This Row],[Manufacturer2]:[SN2]])</f>
        <v>1</v>
      </c>
      <c r="M125" t="b">
        <f>AND(Table6[[#This Row],[companyid2]:[categoryname2]],Table6[[#This Row],[Model2]:[SN2]])</f>
        <v>1</v>
      </c>
      <c r="N125" t="b">
        <f>AND(Table6[[#This Row],[companyid2]:[Manufacturer2]],Table6[[#This Row],[SN2]])</f>
        <v>1</v>
      </c>
      <c r="O125" t="b">
        <f>AND(Table6[[#This Row],[companyid2]:[Model2]])</f>
        <v>1</v>
      </c>
      <c r="AS125" s="33"/>
    </row>
    <row r="126" spans="1:47" x14ac:dyDescent="0.25">
      <c r="A126">
        <v>58115</v>
      </c>
      <c r="B126" t="s">
        <v>568</v>
      </c>
      <c r="C126" t="s">
        <v>575</v>
      </c>
      <c r="D126" s="46" t="s">
        <v>1176</v>
      </c>
      <c r="E126" s="122">
        <v>6627</v>
      </c>
      <c r="F126" t="b">
        <f>IFERROR(Table6[[#This Row],[companyid]]=Sheet3!$N$20,TRUE)</f>
        <v>1</v>
      </c>
      <c r="G126" t="b">
        <f>OR(Worksheet!$D$5="",Worksheet!$D$5=Table6[[#This Row],[categoryname]])</f>
        <v>1</v>
      </c>
      <c r="H126" t="b">
        <f>OR(Worksheet!$D$7="",Worksheet!$D$7=Table6[[#This Row],[Manufacturer]])</f>
        <v>1</v>
      </c>
      <c r="I126" t="b">
        <f>OR(Worksheet!$G$7="",Worksheet!$G$7=Table6[[#This Row],[Model No.]])</f>
        <v>1</v>
      </c>
      <c r="J126" t="b">
        <f>OR(Worksheet!$D$8="",Worksheet!$D$8=Table6[[#This Row],[Serial No.]])</f>
        <v>1</v>
      </c>
      <c r="K126" t="b">
        <f>AND(Table6[[#This Row],[categoryname2]:[SN2]])</f>
        <v>1</v>
      </c>
      <c r="L126" t="b">
        <f>AND(Table6[[#This Row],[companyid2]],Table6[[#This Row],[Manufacturer2]:[SN2]])</f>
        <v>1</v>
      </c>
      <c r="M126" t="b">
        <f>AND(Table6[[#This Row],[companyid2]:[categoryname2]],Table6[[#This Row],[Model2]:[SN2]])</f>
        <v>1</v>
      </c>
      <c r="N126" t="b">
        <f>AND(Table6[[#This Row],[companyid2]:[Manufacturer2]],Table6[[#This Row],[SN2]])</f>
        <v>1</v>
      </c>
      <c r="O126" t="b">
        <f>AND(Table6[[#This Row],[companyid2]:[Model2]])</f>
        <v>1</v>
      </c>
      <c r="AS126" s="33"/>
    </row>
    <row r="127" spans="1:47" x14ac:dyDescent="0.25">
      <c r="A127">
        <v>57481</v>
      </c>
      <c r="B127" t="s">
        <v>568</v>
      </c>
      <c r="C127" t="s">
        <v>575</v>
      </c>
      <c r="D127" s="46" t="s">
        <v>1176</v>
      </c>
      <c r="E127" s="122" t="s">
        <v>628</v>
      </c>
      <c r="F127" t="b">
        <f>IFERROR(Table6[[#This Row],[companyid]]=Sheet3!$N$20,TRUE)</f>
        <v>1</v>
      </c>
      <c r="G127" t="b">
        <f>OR(Worksheet!$D$5="",Worksheet!$D$5=Table6[[#This Row],[categoryname]])</f>
        <v>1</v>
      </c>
      <c r="H127" t="b">
        <f>OR(Worksheet!$D$7="",Worksheet!$D$7=Table6[[#This Row],[Manufacturer]])</f>
        <v>1</v>
      </c>
      <c r="I127" t="b">
        <f>OR(Worksheet!$G$7="",Worksheet!$G$7=Table6[[#This Row],[Model No.]])</f>
        <v>1</v>
      </c>
      <c r="J127" t="b">
        <f>OR(Worksheet!$D$8="",Worksheet!$D$8=Table6[[#This Row],[Serial No.]])</f>
        <v>1</v>
      </c>
      <c r="K127" t="b">
        <f>AND(Table6[[#This Row],[categoryname2]:[SN2]])</f>
        <v>1</v>
      </c>
      <c r="L127" t="b">
        <f>AND(Table6[[#This Row],[companyid2]],Table6[[#This Row],[Manufacturer2]:[SN2]])</f>
        <v>1</v>
      </c>
      <c r="M127" t="b">
        <f>AND(Table6[[#This Row],[companyid2]:[categoryname2]],Table6[[#This Row],[Model2]:[SN2]])</f>
        <v>1</v>
      </c>
      <c r="N127" t="b">
        <f>AND(Table6[[#This Row],[companyid2]:[Manufacturer2]],Table6[[#This Row],[SN2]])</f>
        <v>1</v>
      </c>
      <c r="O127" t="b">
        <f>AND(Table6[[#This Row],[companyid2]:[Model2]])</f>
        <v>1</v>
      </c>
      <c r="AS127" s="33"/>
    </row>
    <row r="128" spans="1:47" x14ac:dyDescent="0.25">
      <c r="A128">
        <v>57461</v>
      </c>
      <c r="B128" t="s">
        <v>568</v>
      </c>
      <c r="C128" t="s">
        <v>575</v>
      </c>
      <c r="D128" s="46" t="s">
        <v>1176</v>
      </c>
      <c r="E128" s="122" t="s">
        <v>588</v>
      </c>
      <c r="F128" t="b">
        <f>IFERROR(Table6[[#This Row],[companyid]]=Sheet3!$N$20,TRUE)</f>
        <v>1</v>
      </c>
      <c r="G128" t="b">
        <f>OR(Worksheet!$D$5="",Worksheet!$D$5=Table6[[#This Row],[categoryname]])</f>
        <v>1</v>
      </c>
      <c r="H128" t="b">
        <f>OR(Worksheet!$D$7="",Worksheet!$D$7=Table6[[#This Row],[Manufacturer]])</f>
        <v>1</v>
      </c>
      <c r="I128" t="b">
        <f>OR(Worksheet!$G$7="",Worksheet!$G$7=Table6[[#This Row],[Model No.]])</f>
        <v>1</v>
      </c>
      <c r="J128" t="b">
        <f>OR(Worksheet!$D$8="",Worksheet!$D$8=Table6[[#This Row],[Serial No.]])</f>
        <v>1</v>
      </c>
      <c r="K128" t="b">
        <f>AND(Table6[[#This Row],[categoryname2]:[SN2]])</f>
        <v>1</v>
      </c>
      <c r="L128" t="b">
        <f>AND(Table6[[#This Row],[companyid2]],Table6[[#This Row],[Manufacturer2]:[SN2]])</f>
        <v>1</v>
      </c>
      <c r="M128" t="b">
        <f>AND(Table6[[#This Row],[companyid2]:[categoryname2]],Table6[[#This Row],[Model2]:[SN2]])</f>
        <v>1</v>
      </c>
      <c r="N128" t="b">
        <f>AND(Table6[[#This Row],[companyid2]:[Manufacturer2]],Table6[[#This Row],[SN2]])</f>
        <v>1</v>
      </c>
      <c r="O128" t="b">
        <f>AND(Table6[[#This Row],[companyid2]:[Model2]])</f>
        <v>1</v>
      </c>
      <c r="AS128" s="33"/>
    </row>
    <row r="129" spans="1:47" x14ac:dyDescent="0.25">
      <c r="A129">
        <v>57819</v>
      </c>
      <c r="B129" t="s">
        <v>568</v>
      </c>
      <c r="C129" t="s">
        <v>575</v>
      </c>
      <c r="D129" s="46" t="s">
        <v>1160</v>
      </c>
      <c r="E129" s="122">
        <v>2348</v>
      </c>
      <c r="F129" t="b">
        <f>IFERROR(Table6[[#This Row],[companyid]]=Sheet3!$N$20,TRUE)</f>
        <v>1</v>
      </c>
      <c r="G129" t="b">
        <f>OR(Worksheet!$D$5="",Worksheet!$D$5=Table6[[#This Row],[categoryname]])</f>
        <v>1</v>
      </c>
      <c r="H129" t="b">
        <f>OR(Worksheet!$D$7="",Worksheet!$D$7=Table6[[#This Row],[Manufacturer]])</f>
        <v>1</v>
      </c>
      <c r="I129" t="b">
        <f>OR(Worksheet!$G$7="",Worksheet!$G$7=Table6[[#This Row],[Model No.]])</f>
        <v>1</v>
      </c>
      <c r="J129" t="b">
        <f>OR(Worksheet!$D$8="",Worksheet!$D$8=Table6[[#This Row],[Serial No.]])</f>
        <v>1</v>
      </c>
      <c r="K129" t="b">
        <f>AND(Table6[[#This Row],[categoryname2]:[SN2]])</f>
        <v>1</v>
      </c>
      <c r="L129" t="b">
        <f>AND(Table6[[#This Row],[companyid2]],Table6[[#This Row],[Manufacturer2]:[SN2]])</f>
        <v>1</v>
      </c>
      <c r="M129" t="b">
        <f>AND(Table6[[#This Row],[companyid2]:[categoryname2]],Table6[[#This Row],[Model2]:[SN2]])</f>
        <v>1</v>
      </c>
      <c r="N129" t="b">
        <f>AND(Table6[[#This Row],[companyid2]:[Manufacturer2]],Table6[[#This Row],[SN2]])</f>
        <v>1</v>
      </c>
      <c r="O129" t="b">
        <f>AND(Table6[[#This Row],[companyid2]:[Model2]])</f>
        <v>1</v>
      </c>
      <c r="AS129" s="33"/>
    </row>
    <row r="130" spans="1:47" x14ac:dyDescent="0.25">
      <c r="A130">
        <v>58115</v>
      </c>
      <c r="B130" t="s">
        <v>568</v>
      </c>
      <c r="C130" t="s">
        <v>575</v>
      </c>
      <c r="D130" s="46" t="s">
        <v>1160</v>
      </c>
      <c r="E130" s="122">
        <v>2826</v>
      </c>
      <c r="F130" t="b">
        <f>IFERROR(Table6[[#This Row],[companyid]]=Sheet3!$N$20,TRUE)</f>
        <v>1</v>
      </c>
      <c r="G130" t="b">
        <f>OR(Worksheet!$D$5="",Worksheet!$D$5=Table6[[#This Row],[categoryname]])</f>
        <v>1</v>
      </c>
      <c r="H130" t="b">
        <f>OR(Worksheet!$D$7="",Worksheet!$D$7=Table6[[#This Row],[Manufacturer]])</f>
        <v>1</v>
      </c>
      <c r="I130" t="b">
        <f>OR(Worksheet!$G$7="",Worksheet!$G$7=Table6[[#This Row],[Model No.]])</f>
        <v>1</v>
      </c>
      <c r="J130" t="b">
        <f>OR(Worksheet!$D$8="",Worksheet!$D$8=Table6[[#This Row],[Serial No.]])</f>
        <v>1</v>
      </c>
      <c r="K130" t="b">
        <f>AND(Table6[[#This Row],[categoryname2]:[SN2]])</f>
        <v>1</v>
      </c>
      <c r="L130" t="b">
        <f>AND(Table6[[#This Row],[companyid2]],Table6[[#This Row],[Manufacturer2]:[SN2]])</f>
        <v>1</v>
      </c>
      <c r="M130" t="b">
        <f>AND(Table6[[#This Row],[companyid2]:[categoryname2]],Table6[[#This Row],[Model2]:[SN2]])</f>
        <v>1</v>
      </c>
      <c r="N130" t="b">
        <f>AND(Table6[[#This Row],[companyid2]:[Manufacturer2]],Table6[[#This Row],[SN2]])</f>
        <v>1</v>
      </c>
      <c r="O130" t="b">
        <f>AND(Table6[[#This Row],[companyid2]:[Model2]])</f>
        <v>1</v>
      </c>
      <c r="AS130" s="33"/>
    </row>
    <row r="131" spans="1:47" x14ac:dyDescent="0.25">
      <c r="A131">
        <v>57856</v>
      </c>
      <c r="B131" t="s">
        <v>568</v>
      </c>
      <c r="C131" t="s">
        <v>575</v>
      </c>
      <c r="D131" s="46" t="s">
        <v>1160</v>
      </c>
      <c r="E131" s="122">
        <v>3512</v>
      </c>
      <c r="F131" t="b">
        <f>IFERROR(Table6[[#This Row],[companyid]]=Sheet3!$N$20,TRUE)</f>
        <v>1</v>
      </c>
      <c r="G131" t="b">
        <f>OR(Worksheet!$D$5="",Worksheet!$D$5=Table6[[#This Row],[categoryname]])</f>
        <v>1</v>
      </c>
      <c r="H131" t="b">
        <f>OR(Worksheet!$D$7="",Worksheet!$D$7=Table6[[#This Row],[Manufacturer]])</f>
        <v>1</v>
      </c>
      <c r="I131" t="b">
        <f>OR(Worksheet!$G$7="",Worksheet!$G$7=Table6[[#This Row],[Model No.]])</f>
        <v>1</v>
      </c>
      <c r="J131" t="b">
        <f>OR(Worksheet!$D$8="",Worksheet!$D$8=Table6[[#This Row],[Serial No.]])</f>
        <v>1</v>
      </c>
      <c r="K131" t="b">
        <f>AND(Table6[[#This Row],[categoryname2]:[SN2]])</f>
        <v>1</v>
      </c>
      <c r="L131" t="b">
        <f>AND(Table6[[#This Row],[companyid2]],Table6[[#This Row],[Manufacturer2]:[SN2]])</f>
        <v>1</v>
      </c>
      <c r="M131" t="b">
        <f>AND(Table6[[#This Row],[companyid2]:[categoryname2]],Table6[[#This Row],[Model2]:[SN2]])</f>
        <v>1</v>
      </c>
      <c r="N131" t="b">
        <f>AND(Table6[[#This Row],[companyid2]:[Manufacturer2]],Table6[[#This Row],[SN2]])</f>
        <v>1</v>
      </c>
      <c r="O131" t="b">
        <f>AND(Table6[[#This Row],[companyid2]:[Model2]])</f>
        <v>1</v>
      </c>
      <c r="AS131" s="33"/>
    </row>
    <row r="132" spans="1:47" x14ac:dyDescent="0.25">
      <c r="A132">
        <v>58115</v>
      </c>
      <c r="B132" t="s">
        <v>568</v>
      </c>
      <c r="C132" t="s">
        <v>575</v>
      </c>
      <c r="D132" s="46" t="s">
        <v>1160</v>
      </c>
      <c r="E132" s="122">
        <v>4280</v>
      </c>
      <c r="F132" t="b">
        <f>IFERROR(Table6[[#This Row],[companyid]]=Sheet3!$N$20,TRUE)</f>
        <v>1</v>
      </c>
      <c r="G132" t="b">
        <f>OR(Worksheet!$D$5="",Worksheet!$D$5=Table6[[#This Row],[categoryname]])</f>
        <v>1</v>
      </c>
      <c r="H132" t="b">
        <f>OR(Worksheet!$D$7="",Worksheet!$D$7=Table6[[#This Row],[Manufacturer]])</f>
        <v>1</v>
      </c>
      <c r="I132" t="b">
        <f>OR(Worksheet!$G$7="",Worksheet!$G$7=Table6[[#This Row],[Model No.]])</f>
        <v>1</v>
      </c>
      <c r="J132" t="b">
        <f>OR(Worksheet!$D$8="",Worksheet!$D$8=Table6[[#This Row],[Serial No.]])</f>
        <v>1</v>
      </c>
      <c r="K132" t="b">
        <f>AND(Table6[[#This Row],[categoryname2]:[SN2]])</f>
        <v>1</v>
      </c>
      <c r="L132" t="b">
        <f>AND(Table6[[#This Row],[companyid2]],Table6[[#This Row],[Manufacturer2]:[SN2]])</f>
        <v>1</v>
      </c>
      <c r="M132" t="b">
        <f>AND(Table6[[#This Row],[companyid2]:[categoryname2]],Table6[[#This Row],[Model2]:[SN2]])</f>
        <v>1</v>
      </c>
      <c r="N132" t="b">
        <f>AND(Table6[[#This Row],[companyid2]:[Manufacturer2]],Table6[[#This Row],[SN2]])</f>
        <v>1</v>
      </c>
      <c r="O132" t="b">
        <f>AND(Table6[[#This Row],[companyid2]:[Model2]])</f>
        <v>1</v>
      </c>
      <c r="AS132" s="33"/>
    </row>
    <row r="133" spans="1:47" x14ac:dyDescent="0.25">
      <c r="A133">
        <v>57819</v>
      </c>
      <c r="B133" t="s">
        <v>568</v>
      </c>
      <c r="C133" t="s">
        <v>575</v>
      </c>
      <c r="D133" s="46" t="s">
        <v>1160</v>
      </c>
      <c r="E133" s="122">
        <v>4783</v>
      </c>
      <c r="F133" t="b">
        <f>IFERROR(Table6[[#This Row],[companyid]]=Sheet3!$N$20,TRUE)</f>
        <v>1</v>
      </c>
      <c r="G133" t="b">
        <f>OR(Worksheet!$D$5="",Worksheet!$D$5=Table6[[#This Row],[categoryname]])</f>
        <v>1</v>
      </c>
      <c r="H133" t="b">
        <f>OR(Worksheet!$D$7="",Worksheet!$D$7=Table6[[#This Row],[Manufacturer]])</f>
        <v>1</v>
      </c>
      <c r="I133" t="b">
        <f>OR(Worksheet!$G$7="",Worksheet!$G$7=Table6[[#This Row],[Model No.]])</f>
        <v>1</v>
      </c>
      <c r="J133" t="b">
        <f>OR(Worksheet!$D$8="",Worksheet!$D$8=Table6[[#This Row],[Serial No.]])</f>
        <v>1</v>
      </c>
      <c r="K133" t="b">
        <f>AND(Table6[[#This Row],[categoryname2]:[SN2]])</f>
        <v>1</v>
      </c>
      <c r="L133" t="b">
        <f>AND(Table6[[#This Row],[companyid2]],Table6[[#This Row],[Manufacturer2]:[SN2]])</f>
        <v>1</v>
      </c>
      <c r="M133" t="b">
        <f>AND(Table6[[#This Row],[companyid2]:[categoryname2]],Table6[[#This Row],[Model2]:[SN2]])</f>
        <v>1</v>
      </c>
      <c r="N133" t="b">
        <f>AND(Table6[[#This Row],[companyid2]:[Manufacturer2]],Table6[[#This Row],[SN2]])</f>
        <v>1</v>
      </c>
      <c r="O133" t="b">
        <f>AND(Table6[[#This Row],[companyid2]:[Model2]])</f>
        <v>1</v>
      </c>
    </row>
    <row r="134" spans="1:47" x14ac:dyDescent="0.25">
      <c r="A134">
        <v>57248</v>
      </c>
      <c r="B134" t="s">
        <v>568</v>
      </c>
      <c r="C134" t="s">
        <v>575</v>
      </c>
      <c r="D134" s="46" t="s">
        <v>1160</v>
      </c>
      <c r="E134" s="122">
        <v>6532</v>
      </c>
      <c r="F134" t="b">
        <f>IFERROR(Table6[[#This Row],[companyid]]=Sheet3!$N$20,TRUE)</f>
        <v>1</v>
      </c>
      <c r="G134" t="b">
        <f>OR(Worksheet!$D$5="",Worksheet!$D$5=Table6[[#This Row],[categoryname]])</f>
        <v>1</v>
      </c>
      <c r="H134" t="b">
        <f>OR(Worksheet!$D$7="",Worksheet!$D$7=Table6[[#This Row],[Manufacturer]])</f>
        <v>1</v>
      </c>
      <c r="I134" t="b">
        <f>OR(Worksheet!$G$7="",Worksheet!$G$7=Table6[[#This Row],[Model No.]])</f>
        <v>1</v>
      </c>
      <c r="J134" t="b">
        <f>OR(Worksheet!$D$8="",Worksheet!$D$8=Table6[[#This Row],[Serial No.]])</f>
        <v>1</v>
      </c>
      <c r="K134" t="b">
        <f>AND(Table6[[#This Row],[categoryname2]:[SN2]])</f>
        <v>1</v>
      </c>
      <c r="L134" t="b">
        <f>AND(Table6[[#This Row],[companyid2]],Table6[[#This Row],[Manufacturer2]:[SN2]])</f>
        <v>1</v>
      </c>
      <c r="M134" t="b">
        <f>AND(Table6[[#This Row],[companyid2]:[categoryname2]],Table6[[#This Row],[Model2]:[SN2]])</f>
        <v>1</v>
      </c>
      <c r="N134" t="b">
        <f>AND(Table6[[#This Row],[companyid2]:[Manufacturer2]],Table6[[#This Row],[SN2]])</f>
        <v>1</v>
      </c>
      <c r="O134" t="b">
        <f>AND(Table6[[#This Row],[companyid2]:[Model2]])</f>
        <v>1</v>
      </c>
    </row>
    <row r="135" spans="1:47" x14ac:dyDescent="0.25">
      <c r="A135">
        <v>58115</v>
      </c>
      <c r="B135" t="s">
        <v>568</v>
      </c>
      <c r="C135" t="s">
        <v>575</v>
      </c>
      <c r="D135" s="46" t="s">
        <v>1160</v>
      </c>
      <c r="E135" s="122">
        <v>6561</v>
      </c>
      <c r="F135" t="b">
        <f>IFERROR(Table6[[#This Row],[companyid]]=Sheet3!$N$20,TRUE)</f>
        <v>1</v>
      </c>
      <c r="G135" t="b">
        <f>OR(Worksheet!$D$5="",Worksheet!$D$5=Table6[[#This Row],[categoryname]])</f>
        <v>1</v>
      </c>
      <c r="H135" t="b">
        <f>OR(Worksheet!$D$7="",Worksheet!$D$7=Table6[[#This Row],[Manufacturer]])</f>
        <v>1</v>
      </c>
      <c r="I135" t="b">
        <f>OR(Worksheet!$G$7="",Worksheet!$G$7=Table6[[#This Row],[Model No.]])</f>
        <v>1</v>
      </c>
      <c r="J135" t="b">
        <f>OR(Worksheet!$D$8="",Worksheet!$D$8=Table6[[#This Row],[Serial No.]])</f>
        <v>1</v>
      </c>
      <c r="K135" t="b">
        <f>AND(Table6[[#This Row],[categoryname2]:[SN2]])</f>
        <v>1</v>
      </c>
      <c r="L135" t="b">
        <f>AND(Table6[[#This Row],[companyid2]],Table6[[#This Row],[Manufacturer2]:[SN2]])</f>
        <v>1</v>
      </c>
      <c r="M135" t="b">
        <f>AND(Table6[[#This Row],[companyid2]:[categoryname2]],Table6[[#This Row],[Model2]:[SN2]])</f>
        <v>1</v>
      </c>
      <c r="N135" t="b">
        <f>AND(Table6[[#This Row],[companyid2]:[Manufacturer2]],Table6[[#This Row],[SN2]])</f>
        <v>1</v>
      </c>
      <c r="O135" t="b">
        <f>AND(Table6[[#This Row],[companyid2]:[Model2]])</f>
        <v>1</v>
      </c>
      <c r="AS135" s="33"/>
      <c r="AU135" s="33"/>
    </row>
    <row r="136" spans="1:47" x14ac:dyDescent="0.25">
      <c r="A136">
        <v>57221</v>
      </c>
      <c r="B136" t="s">
        <v>568</v>
      </c>
      <c r="C136" t="s">
        <v>575</v>
      </c>
      <c r="D136" s="46" t="s">
        <v>1160</v>
      </c>
      <c r="E136" s="122">
        <v>6602</v>
      </c>
      <c r="F136" t="b">
        <f>IFERROR(Table6[[#This Row],[companyid]]=Sheet3!$N$20,TRUE)</f>
        <v>1</v>
      </c>
      <c r="G136" t="b">
        <f>OR(Worksheet!$D$5="",Worksheet!$D$5=Table6[[#This Row],[categoryname]])</f>
        <v>1</v>
      </c>
      <c r="H136" t="b">
        <f>OR(Worksheet!$D$7="",Worksheet!$D$7=Table6[[#This Row],[Manufacturer]])</f>
        <v>1</v>
      </c>
      <c r="I136" t="b">
        <f>OR(Worksheet!$G$7="",Worksheet!$G$7=Table6[[#This Row],[Model No.]])</f>
        <v>1</v>
      </c>
      <c r="J136" t="b">
        <f>OR(Worksheet!$D$8="",Worksheet!$D$8=Table6[[#This Row],[Serial No.]])</f>
        <v>1</v>
      </c>
      <c r="K136" t="b">
        <f>AND(Table6[[#This Row],[categoryname2]:[SN2]])</f>
        <v>1</v>
      </c>
      <c r="L136" t="b">
        <f>AND(Table6[[#This Row],[companyid2]],Table6[[#This Row],[Manufacturer2]:[SN2]])</f>
        <v>1</v>
      </c>
      <c r="M136" t="b">
        <f>AND(Table6[[#This Row],[companyid2]:[categoryname2]],Table6[[#This Row],[Model2]:[SN2]])</f>
        <v>1</v>
      </c>
      <c r="N136" t="b">
        <f>AND(Table6[[#This Row],[companyid2]:[Manufacturer2]],Table6[[#This Row],[SN2]])</f>
        <v>1</v>
      </c>
      <c r="O136" t="b">
        <f>AND(Table6[[#This Row],[companyid2]:[Model2]])</f>
        <v>1</v>
      </c>
      <c r="AS136" s="33"/>
    </row>
    <row r="137" spans="1:47" x14ac:dyDescent="0.25">
      <c r="A137">
        <v>58115</v>
      </c>
      <c r="B137" t="s">
        <v>568</v>
      </c>
      <c r="C137" t="s">
        <v>575</v>
      </c>
      <c r="D137" s="46" t="s">
        <v>1160</v>
      </c>
      <c r="E137" s="122">
        <v>6603</v>
      </c>
      <c r="F137" t="b">
        <f>IFERROR(Table6[[#This Row],[companyid]]=Sheet3!$N$20,TRUE)</f>
        <v>1</v>
      </c>
      <c r="G137" t="b">
        <f>OR(Worksheet!$D$5="",Worksheet!$D$5=Table6[[#This Row],[categoryname]])</f>
        <v>1</v>
      </c>
      <c r="H137" t="b">
        <f>OR(Worksheet!$D$7="",Worksheet!$D$7=Table6[[#This Row],[Manufacturer]])</f>
        <v>1</v>
      </c>
      <c r="I137" t="b">
        <f>OR(Worksheet!$G$7="",Worksheet!$G$7=Table6[[#This Row],[Model No.]])</f>
        <v>1</v>
      </c>
      <c r="J137" t="b">
        <f>OR(Worksheet!$D$8="",Worksheet!$D$8=Table6[[#This Row],[Serial No.]])</f>
        <v>1</v>
      </c>
      <c r="K137" t="b">
        <f>AND(Table6[[#This Row],[categoryname2]:[SN2]])</f>
        <v>1</v>
      </c>
      <c r="L137" t="b">
        <f>AND(Table6[[#This Row],[companyid2]],Table6[[#This Row],[Manufacturer2]:[SN2]])</f>
        <v>1</v>
      </c>
      <c r="M137" t="b">
        <f>AND(Table6[[#This Row],[companyid2]:[categoryname2]],Table6[[#This Row],[Model2]:[SN2]])</f>
        <v>1</v>
      </c>
      <c r="N137" t="b">
        <f>AND(Table6[[#This Row],[companyid2]:[Manufacturer2]],Table6[[#This Row],[SN2]])</f>
        <v>1</v>
      </c>
      <c r="O137" t="b">
        <f>AND(Table6[[#This Row],[companyid2]:[Model2]])</f>
        <v>1</v>
      </c>
      <c r="AS137" s="33"/>
    </row>
    <row r="138" spans="1:47" x14ac:dyDescent="0.25">
      <c r="A138">
        <v>58115</v>
      </c>
      <c r="B138" t="s">
        <v>568</v>
      </c>
      <c r="C138" t="s">
        <v>575</v>
      </c>
      <c r="D138" s="46" t="s">
        <v>1160</v>
      </c>
      <c r="E138" s="122">
        <v>6607</v>
      </c>
      <c r="F138" t="b">
        <f>IFERROR(Table6[[#This Row],[companyid]]=Sheet3!$N$20,TRUE)</f>
        <v>1</v>
      </c>
      <c r="G138" t="b">
        <f>OR(Worksheet!$D$5="",Worksheet!$D$5=Table6[[#This Row],[categoryname]])</f>
        <v>1</v>
      </c>
      <c r="H138" t="b">
        <f>OR(Worksheet!$D$7="",Worksheet!$D$7=Table6[[#This Row],[Manufacturer]])</f>
        <v>1</v>
      </c>
      <c r="I138" t="b">
        <f>OR(Worksheet!$G$7="",Worksheet!$G$7=Table6[[#This Row],[Model No.]])</f>
        <v>1</v>
      </c>
      <c r="J138" t="b">
        <f>OR(Worksheet!$D$8="",Worksheet!$D$8=Table6[[#This Row],[Serial No.]])</f>
        <v>1</v>
      </c>
      <c r="K138" t="b">
        <f>AND(Table6[[#This Row],[categoryname2]:[SN2]])</f>
        <v>1</v>
      </c>
      <c r="L138" t="b">
        <f>AND(Table6[[#This Row],[companyid2]],Table6[[#This Row],[Manufacturer2]:[SN2]])</f>
        <v>1</v>
      </c>
      <c r="M138" t="b">
        <f>AND(Table6[[#This Row],[companyid2]:[categoryname2]],Table6[[#This Row],[Model2]:[SN2]])</f>
        <v>1</v>
      </c>
      <c r="N138" t="b">
        <f>AND(Table6[[#This Row],[companyid2]:[Manufacturer2]],Table6[[#This Row],[SN2]])</f>
        <v>1</v>
      </c>
      <c r="O138" t="b">
        <f>AND(Table6[[#This Row],[companyid2]:[Model2]])</f>
        <v>1</v>
      </c>
      <c r="AS138" s="33"/>
    </row>
    <row r="139" spans="1:47" x14ac:dyDescent="0.25">
      <c r="A139">
        <v>58115</v>
      </c>
      <c r="B139" t="s">
        <v>568</v>
      </c>
      <c r="C139" t="s">
        <v>575</v>
      </c>
      <c r="D139" s="46" t="s">
        <v>1160</v>
      </c>
      <c r="E139" s="122">
        <v>6608</v>
      </c>
      <c r="F139" t="b">
        <f>IFERROR(Table6[[#This Row],[companyid]]=Sheet3!$N$20,TRUE)</f>
        <v>1</v>
      </c>
      <c r="G139" t="b">
        <f>OR(Worksheet!$D$5="",Worksheet!$D$5=Table6[[#This Row],[categoryname]])</f>
        <v>1</v>
      </c>
      <c r="H139" t="b">
        <f>OR(Worksheet!$D$7="",Worksheet!$D$7=Table6[[#This Row],[Manufacturer]])</f>
        <v>1</v>
      </c>
      <c r="I139" t="b">
        <f>OR(Worksheet!$G$7="",Worksheet!$G$7=Table6[[#This Row],[Model No.]])</f>
        <v>1</v>
      </c>
      <c r="J139" t="b">
        <f>OR(Worksheet!$D$8="",Worksheet!$D$8=Table6[[#This Row],[Serial No.]])</f>
        <v>1</v>
      </c>
      <c r="K139" t="b">
        <f>AND(Table6[[#This Row],[categoryname2]:[SN2]])</f>
        <v>1</v>
      </c>
      <c r="L139" t="b">
        <f>AND(Table6[[#This Row],[companyid2]],Table6[[#This Row],[Manufacturer2]:[SN2]])</f>
        <v>1</v>
      </c>
      <c r="M139" t="b">
        <f>AND(Table6[[#This Row],[companyid2]:[categoryname2]],Table6[[#This Row],[Model2]:[SN2]])</f>
        <v>1</v>
      </c>
      <c r="N139" t="b">
        <f>AND(Table6[[#This Row],[companyid2]:[Manufacturer2]],Table6[[#This Row],[SN2]])</f>
        <v>1</v>
      </c>
      <c r="O139" t="b">
        <f>AND(Table6[[#This Row],[companyid2]:[Model2]])</f>
        <v>1</v>
      </c>
      <c r="AS139" s="33"/>
    </row>
    <row r="140" spans="1:47" x14ac:dyDescent="0.25">
      <c r="A140">
        <v>58115</v>
      </c>
      <c r="B140" t="s">
        <v>568</v>
      </c>
      <c r="C140" t="s">
        <v>575</v>
      </c>
      <c r="D140" s="46" t="s">
        <v>1160</v>
      </c>
      <c r="E140" s="122">
        <v>7039</v>
      </c>
      <c r="F140" t="b">
        <f>IFERROR(Table6[[#This Row],[companyid]]=Sheet3!$N$20,TRUE)</f>
        <v>1</v>
      </c>
      <c r="G140" t="b">
        <f>OR(Worksheet!$D$5="",Worksheet!$D$5=Table6[[#This Row],[categoryname]])</f>
        <v>1</v>
      </c>
      <c r="H140" t="b">
        <f>OR(Worksheet!$D$7="",Worksheet!$D$7=Table6[[#This Row],[Manufacturer]])</f>
        <v>1</v>
      </c>
      <c r="I140" t="b">
        <f>OR(Worksheet!$G$7="",Worksheet!$G$7=Table6[[#This Row],[Model No.]])</f>
        <v>1</v>
      </c>
      <c r="J140" t="b">
        <f>OR(Worksheet!$D$8="",Worksheet!$D$8=Table6[[#This Row],[Serial No.]])</f>
        <v>1</v>
      </c>
      <c r="K140" t="b">
        <f>AND(Table6[[#This Row],[categoryname2]:[SN2]])</f>
        <v>1</v>
      </c>
      <c r="L140" t="b">
        <f>AND(Table6[[#This Row],[companyid2]],Table6[[#This Row],[Manufacturer2]:[SN2]])</f>
        <v>1</v>
      </c>
      <c r="M140" t="b">
        <f>AND(Table6[[#This Row],[companyid2]:[categoryname2]],Table6[[#This Row],[Model2]:[SN2]])</f>
        <v>1</v>
      </c>
      <c r="N140" t="b">
        <f>AND(Table6[[#This Row],[companyid2]:[Manufacturer2]],Table6[[#This Row],[SN2]])</f>
        <v>1</v>
      </c>
      <c r="O140" t="b">
        <f>AND(Table6[[#This Row],[companyid2]:[Model2]])</f>
        <v>1</v>
      </c>
      <c r="AS140" s="33"/>
    </row>
    <row r="141" spans="1:47" x14ac:dyDescent="0.25">
      <c r="A141">
        <v>57248</v>
      </c>
      <c r="B141" t="s">
        <v>568</v>
      </c>
      <c r="C141" t="s">
        <v>575</v>
      </c>
      <c r="D141" s="46" t="s">
        <v>1160</v>
      </c>
      <c r="E141" s="122">
        <v>7235</v>
      </c>
      <c r="F141" t="b">
        <f>IFERROR(Table6[[#This Row],[companyid]]=Sheet3!$N$20,TRUE)</f>
        <v>1</v>
      </c>
      <c r="G141" t="b">
        <f>OR(Worksheet!$D$5="",Worksheet!$D$5=Table6[[#This Row],[categoryname]])</f>
        <v>1</v>
      </c>
      <c r="H141" t="b">
        <f>OR(Worksheet!$D$7="",Worksheet!$D$7=Table6[[#This Row],[Manufacturer]])</f>
        <v>1</v>
      </c>
      <c r="I141" t="b">
        <f>OR(Worksheet!$G$7="",Worksheet!$G$7=Table6[[#This Row],[Model No.]])</f>
        <v>1</v>
      </c>
      <c r="J141" t="b">
        <f>OR(Worksheet!$D$8="",Worksheet!$D$8=Table6[[#This Row],[Serial No.]])</f>
        <v>1</v>
      </c>
      <c r="K141" t="b">
        <f>AND(Table6[[#This Row],[categoryname2]:[SN2]])</f>
        <v>1</v>
      </c>
      <c r="L141" t="b">
        <f>AND(Table6[[#This Row],[companyid2]],Table6[[#This Row],[Manufacturer2]:[SN2]])</f>
        <v>1</v>
      </c>
      <c r="M141" t="b">
        <f>AND(Table6[[#This Row],[companyid2]:[categoryname2]],Table6[[#This Row],[Model2]:[SN2]])</f>
        <v>1</v>
      </c>
      <c r="N141" t="b">
        <f>AND(Table6[[#This Row],[companyid2]:[Manufacturer2]],Table6[[#This Row],[SN2]])</f>
        <v>1</v>
      </c>
      <c r="O141" t="b">
        <f>AND(Table6[[#This Row],[companyid2]:[Model2]])</f>
        <v>1</v>
      </c>
    </row>
    <row r="142" spans="1:47" x14ac:dyDescent="0.25">
      <c r="A142">
        <v>57248</v>
      </c>
      <c r="B142" t="s">
        <v>568</v>
      </c>
      <c r="C142" t="s">
        <v>575</v>
      </c>
      <c r="D142" s="46" t="s">
        <v>1160</v>
      </c>
      <c r="E142" s="122">
        <v>7734</v>
      </c>
      <c r="F142" t="b">
        <f>IFERROR(Table6[[#This Row],[companyid]]=Sheet3!$N$20,TRUE)</f>
        <v>1</v>
      </c>
      <c r="G142" t="b">
        <f>OR(Worksheet!$D$5="",Worksheet!$D$5=Table6[[#This Row],[categoryname]])</f>
        <v>1</v>
      </c>
      <c r="H142" t="b">
        <f>OR(Worksheet!$D$7="",Worksheet!$D$7=Table6[[#This Row],[Manufacturer]])</f>
        <v>1</v>
      </c>
      <c r="I142" t="b">
        <f>OR(Worksheet!$G$7="",Worksheet!$G$7=Table6[[#This Row],[Model No.]])</f>
        <v>1</v>
      </c>
      <c r="J142" t="b">
        <f>OR(Worksheet!$D$8="",Worksheet!$D$8=Table6[[#This Row],[Serial No.]])</f>
        <v>1</v>
      </c>
      <c r="K142" t="b">
        <f>AND(Table6[[#This Row],[categoryname2]:[SN2]])</f>
        <v>1</v>
      </c>
      <c r="L142" t="b">
        <f>AND(Table6[[#This Row],[companyid2]],Table6[[#This Row],[Manufacturer2]:[SN2]])</f>
        <v>1</v>
      </c>
      <c r="M142" t="b">
        <f>AND(Table6[[#This Row],[companyid2]:[categoryname2]],Table6[[#This Row],[Model2]:[SN2]])</f>
        <v>1</v>
      </c>
      <c r="N142" t="b">
        <f>AND(Table6[[#This Row],[companyid2]:[Manufacturer2]],Table6[[#This Row],[SN2]])</f>
        <v>1</v>
      </c>
      <c r="O142" t="b">
        <f>AND(Table6[[#This Row],[companyid2]:[Model2]])</f>
        <v>1</v>
      </c>
    </row>
    <row r="143" spans="1:47" x14ac:dyDescent="0.25">
      <c r="A143">
        <v>57221</v>
      </c>
      <c r="B143" t="s">
        <v>568</v>
      </c>
      <c r="C143" t="s">
        <v>575</v>
      </c>
      <c r="D143" s="46" t="s">
        <v>635</v>
      </c>
      <c r="E143" s="122">
        <v>6911</v>
      </c>
      <c r="F143" t="b">
        <f>IFERROR(Table6[[#This Row],[companyid]]=Sheet3!$N$20,TRUE)</f>
        <v>1</v>
      </c>
      <c r="G143" t="b">
        <f>OR(Worksheet!$D$5="",Worksheet!$D$5=Table6[[#This Row],[categoryname]])</f>
        <v>1</v>
      </c>
      <c r="H143" t="b">
        <f>OR(Worksheet!$D$7="",Worksheet!$D$7=Table6[[#This Row],[Manufacturer]])</f>
        <v>1</v>
      </c>
      <c r="I143" t="b">
        <f>OR(Worksheet!$G$7="",Worksheet!$G$7=Table6[[#This Row],[Model No.]])</f>
        <v>1</v>
      </c>
      <c r="J143" t="b">
        <f>OR(Worksheet!$D$8="",Worksheet!$D$8=Table6[[#This Row],[Serial No.]])</f>
        <v>1</v>
      </c>
      <c r="K143" t="b">
        <f>AND(Table6[[#This Row],[categoryname2]:[SN2]])</f>
        <v>1</v>
      </c>
      <c r="L143" t="b">
        <f>AND(Table6[[#This Row],[companyid2]],Table6[[#This Row],[Manufacturer2]:[SN2]])</f>
        <v>1</v>
      </c>
      <c r="M143" t="b">
        <f>AND(Table6[[#This Row],[companyid2]:[categoryname2]],Table6[[#This Row],[Model2]:[SN2]])</f>
        <v>1</v>
      </c>
      <c r="N143" t="b">
        <f>AND(Table6[[#This Row],[companyid2]:[Manufacturer2]],Table6[[#This Row],[SN2]])</f>
        <v>1</v>
      </c>
      <c r="O143" t="b">
        <f>AND(Table6[[#This Row],[companyid2]:[Model2]])</f>
        <v>1</v>
      </c>
    </row>
    <row r="144" spans="1:47" x14ac:dyDescent="0.25">
      <c r="A144">
        <v>58115</v>
      </c>
      <c r="B144" t="s">
        <v>568</v>
      </c>
      <c r="C144" t="s">
        <v>575</v>
      </c>
      <c r="D144" s="46" t="s">
        <v>635</v>
      </c>
      <c r="E144" s="122" t="s">
        <v>636</v>
      </c>
      <c r="F144" t="b">
        <f>IFERROR(Table6[[#This Row],[companyid]]=Sheet3!$N$20,TRUE)</f>
        <v>1</v>
      </c>
      <c r="G144" t="b">
        <f>OR(Worksheet!$D$5="",Worksheet!$D$5=Table6[[#This Row],[categoryname]])</f>
        <v>1</v>
      </c>
      <c r="H144" t="b">
        <f>OR(Worksheet!$D$7="",Worksheet!$D$7=Table6[[#This Row],[Manufacturer]])</f>
        <v>1</v>
      </c>
      <c r="I144" t="b">
        <f>OR(Worksheet!$G$7="",Worksheet!$G$7=Table6[[#This Row],[Model No.]])</f>
        <v>1</v>
      </c>
      <c r="J144" t="b">
        <f>OR(Worksheet!$D$8="",Worksheet!$D$8=Table6[[#This Row],[Serial No.]])</f>
        <v>1</v>
      </c>
      <c r="K144" t="b">
        <f>AND(Table6[[#This Row],[categoryname2]:[SN2]])</f>
        <v>1</v>
      </c>
      <c r="L144" t="b">
        <f>AND(Table6[[#This Row],[companyid2]],Table6[[#This Row],[Manufacturer2]:[SN2]])</f>
        <v>1</v>
      </c>
      <c r="M144" t="b">
        <f>AND(Table6[[#This Row],[companyid2]:[categoryname2]],Table6[[#This Row],[Model2]:[SN2]])</f>
        <v>1</v>
      </c>
      <c r="N144" t="b">
        <f>AND(Table6[[#This Row],[companyid2]:[Manufacturer2]],Table6[[#This Row],[SN2]])</f>
        <v>1</v>
      </c>
      <c r="O144" t="b">
        <f>AND(Table6[[#This Row],[companyid2]:[Model2]])</f>
        <v>1</v>
      </c>
    </row>
    <row r="145" spans="1:15" x14ac:dyDescent="0.25">
      <c r="A145">
        <v>58115</v>
      </c>
      <c r="B145" t="s">
        <v>568</v>
      </c>
      <c r="C145" t="s">
        <v>575</v>
      </c>
      <c r="D145" s="46" t="s">
        <v>1131</v>
      </c>
      <c r="E145" s="122" t="s">
        <v>1132</v>
      </c>
      <c r="F145" t="b">
        <f>IFERROR(Table6[[#This Row],[companyid]]=Sheet3!$N$20,TRUE)</f>
        <v>1</v>
      </c>
      <c r="G145" t="b">
        <f>OR(Worksheet!$D$5="",Worksheet!$D$5=Table6[[#This Row],[categoryname]])</f>
        <v>1</v>
      </c>
      <c r="H145" t="b">
        <f>OR(Worksheet!$D$7="",Worksheet!$D$7=Table6[[#This Row],[Manufacturer]])</f>
        <v>1</v>
      </c>
      <c r="I145" t="b">
        <f>OR(Worksheet!$G$7="",Worksheet!$G$7=Table6[[#This Row],[Model No.]])</f>
        <v>1</v>
      </c>
      <c r="J145" t="b">
        <f>OR(Worksheet!$D$8="",Worksheet!$D$8=Table6[[#This Row],[Serial No.]])</f>
        <v>1</v>
      </c>
      <c r="K145" t="b">
        <f>AND(Table6[[#This Row],[categoryname2]:[SN2]])</f>
        <v>1</v>
      </c>
      <c r="L145" t="b">
        <f>AND(Table6[[#This Row],[companyid2]],Table6[[#This Row],[Manufacturer2]:[SN2]])</f>
        <v>1</v>
      </c>
      <c r="M145" t="b">
        <f>AND(Table6[[#This Row],[companyid2]:[categoryname2]],Table6[[#This Row],[Model2]:[SN2]])</f>
        <v>1</v>
      </c>
      <c r="N145" t="b">
        <f>AND(Table6[[#This Row],[companyid2]:[Manufacturer2]],Table6[[#This Row],[SN2]])</f>
        <v>1</v>
      </c>
      <c r="O145" t="b">
        <f>AND(Table6[[#This Row],[companyid2]:[Model2]])</f>
        <v>1</v>
      </c>
    </row>
    <row r="146" spans="1:15" x14ac:dyDescent="0.25">
      <c r="A146">
        <v>57221</v>
      </c>
      <c r="B146" t="s">
        <v>568</v>
      </c>
      <c r="C146" t="s">
        <v>575</v>
      </c>
      <c r="D146" s="46" t="s">
        <v>1161</v>
      </c>
      <c r="E146" s="122">
        <v>9321</v>
      </c>
      <c r="F146" t="b">
        <f>IFERROR(Table6[[#This Row],[companyid]]=Sheet3!$N$20,TRUE)</f>
        <v>1</v>
      </c>
      <c r="G146" t="b">
        <f>OR(Worksheet!$D$5="",Worksheet!$D$5=Table6[[#This Row],[categoryname]])</f>
        <v>1</v>
      </c>
      <c r="H146" t="b">
        <f>OR(Worksheet!$D$7="",Worksheet!$D$7=Table6[[#This Row],[Manufacturer]])</f>
        <v>1</v>
      </c>
      <c r="I146" t="b">
        <f>OR(Worksheet!$G$7="",Worksheet!$G$7=Table6[[#This Row],[Model No.]])</f>
        <v>1</v>
      </c>
      <c r="J146" t="b">
        <f>OR(Worksheet!$D$8="",Worksheet!$D$8=Table6[[#This Row],[Serial No.]])</f>
        <v>1</v>
      </c>
      <c r="K146" t="b">
        <f>AND(Table6[[#This Row],[categoryname2]:[SN2]])</f>
        <v>1</v>
      </c>
      <c r="L146" t="b">
        <f>AND(Table6[[#This Row],[companyid2]],Table6[[#This Row],[Manufacturer2]:[SN2]])</f>
        <v>1</v>
      </c>
      <c r="M146" t="b">
        <f>AND(Table6[[#This Row],[companyid2]:[categoryname2]],Table6[[#This Row],[Model2]:[SN2]])</f>
        <v>1</v>
      </c>
      <c r="N146" t="b">
        <f>AND(Table6[[#This Row],[companyid2]:[Manufacturer2]],Table6[[#This Row],[SN2]])</f>
        <v>1</v>
      </c>
      <c r="O146" t="b">
        <f>AND(Table6[[#This Row],[companyid2]:[Model2]])</f>
        <v>1</v>
      </c>
    </row>
    <row r="147" spans="1:15" x14ac:dyDescent="0.25">
      <c r="A147">
        <v>57221</v>
      </c>
      <c r="B147" t="s">
        <v>568</v>
      </c>
      <c r="C147" t="s">
        <v>575</v>
      </c>
      <c r="D147" s="46" t="s">
        <v>1161</v>
      </c>
      <c r="E147" s="122">
        <v>9329</v>
      </c>
      <c r="F147" t="b">
        <f>IFERROR(Table6[[#This Row],[companyid]]=Sheet3!$N$20,TRUE)</f>
        <v>1</v>
      </c>
      <c r="G147" t="b">
        <f>OR(Worksheet!$D$5="",Worksheet!$D$5=Table6[[#This Row],[categoryname]])</f>
        <v>1</v>
      </c>
      <c r="H147" t="b">
        <f>OR(Worksheet!$D$7="",Worksheet!$D$7=Table6[[#This Row],[Manufacturer]])</f>
        <v>1</v>
      </c>
      <c r="I147" t="b">
        <f>OR(Worksheet!$G$7="",Worksheet!$G$7=Table6[[#This Row],[Model No.]])</f>
        <v>1</v>
      </c>
      <c r="J147" t="b">
        <f>OR(Worksheet!$D$8="",Worksheet!$D$8=Table6[[#This Row],[Serial No.]])</f>
        <v>1</v>
      </c>
      <c r="K147" t="b">
        <f>AND(Table6[[#This Row],[categoryname2]:[SN2]])</f>
        <v>1</v>
      </c>
      <c r="L147" t="b">
        <f>AND(Table6[[#This Row],[companyid2]],Table6[[#This Row],[Manufacturer2]:[SN2]])</f>
        <v>1</v>
      </c>
      <c r="M147" t="b">
        <f>AND(Table6[[#This Row],[companyid2]:[categoryname2]],Table6[[#This Row],[Model2]:[SN2]])</f>
        <v>1</v>
      </c>
      <c r="N147" t="b">
        <f>AND(Table6[[#This Row],[companyid2]:[Manufacturer2]],Table6[[#This Row],[SN2]])</f>
        <v>1</v>
      </c>
      <c r="O147" t="b">
        <f>AND(Table6[[#This Row],[companyid2]:[Model2]])</f>
        <v>1</v>
      </c>
    </row>
    <row r="148" spans="1:15" x14ac:dyDescent="0.25">
      <c r="A148">
        <v>58115</v>
      </c>
      <c r="B148" t="s">
        <v>568</v>
      </c>
      <c r="C148" t="s">
        <v>575</v>
      </c>
      <c r="D148" s="46" t="s">
        <v>1044</v>
      </c>
      <c r="E148" s="122">
        <v>185707</v>
      </c>
      <c r="F148" t="b">
        <f>IFERROR(Table6[[#This Row],[companyid]]=Sheet3!$N$20,TRUE)</f>
        <v>1</v>
      </c>
      <c r="G148" t="b">
        <f>OR(Worksheet!$D$5="",Worksheet!$D$5=Table6[[#This Row],[categoryname]])</f>
        <v>1</v>
      </c>
      <c r="H148" t="b">
        <f>OR(Worksheet!$D$7="",Worksheet!$D$7=Table6[[#This Row],[Manufacturer]])</f>
        <v>1</v>
      </c>
      <c r="I148" t="b">
        <f>OR(Worksheet!$G$7="",Worksheet!$G$7=Table6[[#This Row],[Model No.]])</f>
        <v>1</v>
      </c>
      <c r="J148" t="b">
        <f>OR(Worksheet!$D$8="",Worksheet!$D$8=Table6[[#This Row],[Serial No.]])</f>
        <v>1</v>
      </c>
      <c r="K148" t="b">
        <f>AND(Table6[[#This Row],[categoryname2]:[SN2]])</f>
        <v>1</v>
      </c>
      <c r="L148" t="b">
        <f>AND(Table6[[#This Row],[companyid2]],Table6[[#This Row],[Manufacturer2]:[SN2]])</f>
        <v>1</v>
      </c>
      <c r="M148" t="b">
        <f>AND(Table6[[#This Row],[companyid2]:[categoryname2]],Table6[[#This Row],[Model2]:[SN2]])</f>
        <v>1</v>
      </c>
      <c r="N148" t="b">
        <f>AND(Table6[[#This Row],[companyid2]:[Manufacturer2]],Table6[[#This Row],[SN2]])</f>
        <v>1</v>
      </c>
      <c r="O148" t="b">
        <f>AND(Table6[[#This Row],[companyid2]:[Model2]])</f>
        <v>1</v>
      </c>
    </row>
    <row r="149" spans="1:15" x14ac:dyDescent="0.25">
      <c r="A149">
        <v>58115</v>
      </c>
      <c r="B149" t="s">
        <v>568</v>
      </c>
      <c r="C149" t="s">
        <v>575</v>
      </c>
      <c r="D149" s="46" t="s">
        <v>1044</v>
      </c>
      <c r="E149" s="122">
        <v>185708</v>
      </c>
      <c r="F149" t="b">
        <f>IFERROR(Table6[[#This Row],[companyid]]=Sheet3!$N$20,TRUE)</f>
        <v>1</v>
      </c>
      <c r="G149" t="b">
        <f>OR(Worksheet!$D$5="",Worksheet!$D$5=Table6[[#This Row],[categoryname]])</f>
        <v>1</v>
      </c>
      <c r="H149" t="b">
        <f>OR(Worksheet!$D$7="",Worksheet!$D$7=Table6[[#This Row],[Manufacturer]])</f>
        <v>1</v>
      </c>
      <c r="I149" t="b">
        <f>OR(Worksheet!$G$7="",Worksheet!$G$7=Table6[[#This Row],[Model No.]])</f>
        <v>1</v>
      </c>
      <c r="J149" t="b">
        <f>OR(Worksheet!$D$8="",Worksheet!$D$8=Table6[[#This Row],[Serial No.]])</f>
        <v>1</v>
      </c>
      <c r="K149" t="b">
        <f>AND(Table6[[#This Row],[categoryname2]:[SN2]])</f>
        <v>1</v>
      </c>
      <c r="L149" t="b">
        <f>AND(Table6[[#This Row],[companyid2]],Table6[[#This Row],[Manufacturer2]:[SN2]])</f>
        <v>1</v>
      </c>
      <c r="M149" t="b">
        <f>AND(Table6[[#This Row],[companyid2]:[categoryname2]],Table6[[#This Row],[Model2]:[SN2]])</f>
        <v>1</v>
      </c>
      <c r="N149" t="b">
        <f>AND(Table6[[#This Row],[companyid2]:[Manufacturer2]],Table6[[#This Row],[SN2]])</f>
        <v>1</v>
      </c>
      <c r="O149" t="b">
        <f>AND(Table6[[#This Row],[companyid2]:[Model2]])</f>
        <v>1</v>
      </c>
    </row>
    <row r="150" spans="1:15" x14ac:dyDescent="0.25">
      <c r="A150">
        <v>57932</v>
      </c>
      <c r="B150" t="s">
        <v>568</v>
      </c>
      <c r="C150" t="s">
        <v>575</v>
      </c>
      <c r="D150" s="46" t="s">
        <v>1044</v>
      </c>
      <c r="E150" s="122">
        <v>971755</v>
      </c>
      <c r="F150" t="b">
        <f>IFERROR(Table6[[#This Row],[companyid]]=Sheet3!$N$20,TRUE)</f>
        <v>1</v>
      </c>
      <c r="G150" t="b">
        <f>OR(Worksheet!$D$5="",Worksheet!$D$5=Table6[[#This Row],[categoryname]])</f>
        <v>1</v>
      </c>
      <c r="H150" t="b">
        <f>OR(Worksheet!$D$7="",Worksheet!$D$7=Table6[[#This Row],[Manufacturer]])</f>
        <v>1</v>
      </c>
      <c r="I150" t="b">
        <f>OR(Worksheet!$G$7="",Worksheet!$G$7=Table6[[#This Row],[Model No.]])</f>
        <v>1</v>
      </c>
      <c r="J150" t="b">
        <f>OR(Worksheet!$D$8="",Worksheet!$D$8=Table6[[#This Row],[Serial No.]])</f>
        <v>1</v>
      </c>
      <c r="K150" t="b">
        <f>AND(Table6[[#This Row],[categoryname2]:[SN2]])</f>
        <v>1</v>
      </c>
      <c r="L150" t="b">
        <f>AND(Table6[[#This Row],[companyid2]],Table6[[#This Row],[Manufacturer2]:[SN2]])</f>
        <v>1</v>
      </c>
      <c r="M150" t="b">
        <f>AND(Table6[[#This Row],[companyid2]:[categoryname2]],Table6[[#This Row],[Model2]:[SN2]])</f>
        <v>1</v>
      </c>
      <c r="N150" t="b">
        <f>AND(Table6[[#This Row],[companyid2]:[Manufacturer2]],Table6[[#This Row],[SN2]])</f>
        <v>1</v>
      </c>
      <c r="O150" t="b">
        <f>AND(Table6[[#This Row],[companyid2]:[Model2]])</f>
        <v>1</v>
      </c>
    </row>
    <row r="151" spans="1:15" x14ac:dyDescent="0.25">
      <c r="A151">
        <v>57819</v>
      </c>
      <c r="B151" t="s">
        <v>568</v>
      </c>
      <c r="C151" t="s">
        <v>575</v>
      </c>
      <c r="D151" s="46" t="s">
        <v>629</v>
      </c>
      <c r="E151" s="122">
        <v>6624</v>
      </c>
      <c r="F151" t="b">
        <f>IFERROR(Table6[[#This Row],[companyid]]=Sheet3!$N$20,TRUE)</f>
        <v>1</v>
      </c>
      <c r="G151" t="b">
        <f>OR(Worksheet!$D$5="",Worksheet!$D$5=Table6[[#This Row],[categoryname]])</f>
        <v>1</v>
      </c>
      <c r="H151" t="b">
        <f>OR(Worksheet!$D$7="",Worksheet!$D$7=Table6[[#This Row],[Manufacturer]])</f>
        <v>1</v>
      </c>
      <c r="I151" t="b">
        <f>OR(Worksheet!$G$7="",Worksheet!$G$7=Table6[[#This Row],[Model No.]])</f>
        <v>1</v>
      </c>
      <c r="J151" t="b">
        <f>OR(Worksheet!$D$8="",Worksheet!$D$8=Table6[[#This Row],[Serial No.]])</f>
        <v>1</v>
      </c>
      <c r="K151" t="b">
        <f>AND(Table6[[#This Row],[categoryname2]:[SN2]])</f>
        <v>1</v>
      </c>
      <c r="L151" t="b">
        <f>AND(Table6[[#This Row],[companyid2]],Table6[[#This Row],[Manufacturer2]:[SN2]])</f>
        <v>1</v>
      </c>
      <c r="M151" t="b">
        <f>AND(Table6[[#This Row],[companyid2]:[categoryname2]],Table6[[#This Row],[Model2]:[SN2]])</f>
        <v>1</v>
      </c>
      <c r="N151" t="b">
        <f>AND(Table6[[#This Row],[companyid2]:[Manufacturer2]],Table6[[#This Row],[SN2]])</f>
        <v>1</v>
      </c>
      <c r="O151" t="b">
        <f>AND(Table6[[#This Row],[companyid2]:[Model2]])</f>
        <v>1</v>
      </c>
    </row>
    <row r="152" spans="1:15" x14ac:dyDescent="0.25">
      <c r="A152">
        <v>57481</v>
      </c>
      <c r="B152" t="s">
        <v>568</v>
      </c>
      <c r="C152" t="s">
        <v>575</v>
      </c>
      <c r="D152" s="46" t="s">
        <v>629</v>
      </c>
      <c r="E152" s="122">
        <v>124528</v>
      </c>
      <c r="F152" t="b">
        <f>IFERROR(Table6[[#This Row],[companyid]]=Sheet3!$N$20,TRUE)</f>
        <v>1</v>
      </c>
      <c r="G152" t="b">
        <f>OR(Worksheet!$D$5="",Worksheet!$D$5=Table6[[#This Row],[categoryname]])</f>
        <v>1</v>
      </c>
      <c r="H152" t="b">
        <f>OR(Worksheet!$D$7="",Worksheet!$D$7=Table6[[#This Row],[Manufacturer]])</f>
        <v>1</v>
      </c>
      <c r="I152" t="b">
        <f>OR(Worksheet!$G$7="",Worksheet!$G$7=Table6[[#This Row],[Model No.]])</f>
        <v>1</v>
      </c>
      <c r="J152" t="b">
        <f>OR(Worksheet!$D$8="",Worksheet!$D$8=Table6[[#This Row],[Serial No.]])</f>
        <v>1</v>
      </c>
      <c r="K152" t="b">
        <f>AND(Table6[[#This Row],[categoryname2]:[SN2]])</f>
        <v>1</v>
      </c>
      <c r="L152" t="b">
        <f>AND(Table6[[#This Row],[companyid2]],Table6[[#This Row],[Manufacturer2]:[SN2]])</f>
        <v>1</v>
      </c>
      <c r="M152" t="b">
        <f>AND(Table6[[#This Row],[companyid2]:[categoryname2]],Table6[[#This Row],[Model2]:[SN2]])</f>
        <v>1</v>
      </c>
      <c r="N152" t="b">
        <f>AND(Table6[[#This Row],[companyid2]:[Manufacturer2]],Table6[[#This Row],[SN2]])</f>
        <v>1</v>
      </c>
      <c r="O152" t="b">
        <f>AND(Table6[[#This Row],[companyid2]:[Model2]])</f>
        <v>1</v>
      </c>
    </row>
    <row r="153" spans="1:15" x14ac:dyDescent="0.25">
      <c r="A153">
        <v>58115</v>
      </c>
      <c r="B153" t="s">
        <v>568</v>
      </c>
      <c r="C153" t="s">
        <v>575</v>
      </c>
      <c r="D153" s="46" t="s">
        <v>629</v>
      </c>
      <c r="E153" s="122" t="s">
        <v>1133</v>
      </c>
      <c r="F153" t="b">
        <f>IFERROR(Table6[[#This Row],[companyid]]=Sheet3!$N$20,TRUE)</f>
        <v>1</v>
      </c>
      <c r="G153" t="b">
        <f>OR(Worksheet!$D$5="",Worksheet!$D$5=Table6[[#This Row],[categoryname]])</f>
        <v>1</v>
      </c>
      <c r="H153" t="b">
        <f>OR(Worksheet!$D$7="",Worksheet!$D$7=Table6[[#This Row],[Manufacturer]])</f>
        <v>1</v>
      </c>
      <c r="I153" t="b">
        <f>OR(Worksheet!$G$7="",Worksheet!$G$7=Table6[[#This Row],[Model No.]])</f>
        <v>1</v>
      </c>
      <c r="J153" t="b">
        <f>OR(Worksheet!$D$8="",Worksheet!$D$8=Table6[[#This Row],[Serial No.]])</f>
        <v>1</v>
      </c>
      <c r="K153" t="b">
        <f>AND(Table6[[#This Row],[categoryname2]:[SN2]])</f>
        <v>1</v>
      </c>
      <c r="L153" t="b">
        <f>AND(Table6[[#This Row],[companyid2]],Table6[[#This Row],[Manufacturer2]:[SN2]])</f>
        <v>1</v>
      </c>
      <c r="M153" t="b">
        <f>AND(Table6[[#This Row],[companyid2]:[categoryname2]],Table6[[#This Row],[Model2]:[SN2]])</f>
        <v>1</v>
      </c>
      <c r="N153" t="b">
        <f>AND(Table6[[#This Row],[companyid2]:[Manufacturer2]],Table6[[#This Row],[SN2]])</f>
        <v>1</v>
      </c>
      <c r="O153" t="b">
        <f>AND(Table6[[#This Row],[companyid2]:[Model2]])</f>
        <v>1</v>
      </c>
    </row>
    <row r="154" spans="1:15" x14ac:dyDescent="0.25">
      <c r="A154">
        <v>58115</v>
      </c>
      <c r="B154" t="s">
        <v>568</v>
      </c>
      <c r="C154" t="s">
        <v>575</v>
      </c>
      <c r="D154" s="46" t="s">
        <v>629</v>
      </c>
      <c r="E154" s="122" t="s">
        <v>1135</v>
      </c>
      <c r="F154" t="b">
        <f>IFERROR(Table6[[#This Row],[companyid]]=Sheet3!$N$20,TRUE)</f>
        <v>1</v>
      </c>
      <c r="G154" t="b">
        <f>OR(Worksheet!$D$5="",Worksheet!$D$5=Table6[[#This Row],[categoryname]])</f>
        <v>1</v>
      </c>
      <c r="H154" t="b">
        <f>OR(Worksheet!$D$7="",Worksheet!$D$7=Table6[[#This Row],[Manufacturer]])</f>
        <v>1</v>
      </c>
      <c r="I154" t="b">
        <f>OR(Worksheet!$G$7="",Worksheet!$G$7=Table6[[#This Row],[Model No.]])</f>
        <v>1</v>
      </c>
      <c r="J154" t="b">
        <f>OR(Worksheet!$D$8="",Worksheet!$D$8=Table6[[#This Row],[Serial No.]])</f>
        <v>1</v>
      </c>
      <c r="K154" t="b">
        <f>AND(Table6[[#This Row],[categoryname2]:[SN2]])</f>
        <v>1</v>
      </c>
      <c r="L154" t="b">
        <f>AND(Table6[[#This Row],[companyid2]],Table6[[#This Row],[Manufacturer2]:[SN2]])</f>
        <v>1</v>
      </c>
      <c r="M154" t="b">
        <f>AND(Table6[[#This Row],[companyid2]:[categoryname2]],Table6[[#This Row],[Model2]:[SN2]])</f>
        <v>1</v>
      </c>
      <c r="N154" t="b">
        <f>AND(Table6[[#This Row],[companyid2]:[Manufacturer2]],Table6[[#This Row],[SN2]])</f>
        <v>1</v>
      </c>
      <c r="O154" t="b">
        <f>AND(Table6[[#This Row],[companyid2]:[Model2]])</f>
        <v>1</v>
      </c>
    </row>
    <row r="155" spans="1:15" x14ac:dyDescent="0.25">
      <c r="A155">
        <v>58115</v>
      </c>
      <c r="B155" t="s">
        <v>568</v>
      </c>
      <c r="C155" t="s">
        <v>575</v>
      </c>
      <c r="D155" s="46" t="s">
        <v>629</v>
      </c>
      <c r="E155" s="122" t="s">
        <v>1136</v>
      </c>
      <c r="F155" t="b">
        <f>IFERROR(Table6[[#This Row],[companyid]]=Sheet3!$N$20,TRUE)</f>
        <v>1</v>
      </c>
      <c r="G155" t="b">
        <f>OR(Worksheet!$D$5="",Worksheet!$D$5=Table6[[#This Row],[categoryname]])</f>
        <v>1</v>
      </c>
      <c r="H155" t="b">
        <f>OR(Worksheet!$D$7="",Worksheet!$D$7=Table6[[#This Row],[Manufacturer]])</f>
        <v>1</v>
      </c>
      <c r="I155" t="b">
        <f>OR(Worksheet!$G$7="",Worksheet!$G$7=Table6[[#This Row],[Model No.]])</f>
        <v>1</v>
      </c>
      <c r="J155" t="b">
        <f>OR(Worksheet!$D$8="",Worksheet!$D$8=Table6[[#This Row],[Serial No.]])</f>
        <v>1</v>
      </c>
      <c r="K155" t="b">
        <f>AND(Table6[[#This Row],[categoryname2]:[SN2]])</f>
        <v>1</v>
      </c>
      <c r="L155" t="b">
        <f>AND(Table6[[#This Row],[companyid2]],Table6[[#This Row],[Manufacturer2]:[SN2]])</f>
        <v>1</v>
      </c>
      <c r="M155" t="b">
        <f>AND(Table6[[#This Row],[companyid2]:[categoryname2]],Table6[[#This Row],[Model2]:[SN2]])</f>
        <v>1</v>
      </c>
      <c r="N155" t="b">
        <f>AND(Table6[[#This Row],[companyid2]:[Manufacturer2]],Table6[[#This Row],[SN2]])</f>
        <v>1</v>
      </c>
      <c r="O155" t="b">
        <f>AND(Table6[[#This Row],[companyid2]:[Model2]])</f>
        <v>1</v>
      </c>
    </row>
    <row r="156" spans="1:15" x14ac:dyDescent="0.25">
      <c r="A156">
        <v>58115</v>
      </c>
      <c r="B156" t="s">
        <v>568</v>
      </c>
      <c r="C156" t="s">
        <v>575</v>
      </c>
      <c r="D156" s="46" t="s">
        <v>1205</v>
      </c>
      <c r="E156" s="122">
        <v>165185</v>
      </c>
      <c r="F156" t="b">
        <f>IFERROR(Table6[[#This Row],[companyid]]=Sheet3!$N$20,TRUE)</f>
        <v>1</v>
      </c>
      <c r="G156" t="b">
        <f>OR(Worksheet!$D$5="",Worksheet!$D$5=Table6[[#This Row],[categoryname]])</f>
        <v>1</v>
      </c>
      <c r="H156" t="b">
        <f>OR(Worksheet!$D$7="",Worksheet!$D$7=Table6[[#This Row],[Manufacturer]])</f>
        <v>1</v>
      </c>
      <c r="I156" t="b">
        <f>OR(Worksheet!$G$7="",Worksheet!$G$7=Table6[[#This Row],[Model No.]])</f>
        <v>1</v>
      </c>
      <c r="J156" t="b">
        <f>OR(Worksheet!$D$8="",Worksheet!$D$8=Table6[[#This Row],[Serial No.]])</f>
        <v>1</v>
      </c>
      <c r="K156" t="b">
        <f>AND(Table6[[#This Row],[categoryname2]:[SN2]])</f>
        <v>1</v>
      </c>
      <c r="L156" t="b">
        <f>AND(Table6[[#This Row],[companyid2]],Table6[[#This Row],[Manufacturer2]:[SN2]])</f>
        <v>1</v>
      </c>
      <c r="M156" t="b">
        <f>AND(Table6[[#This Row],[companyid2]:[categoryname2]],Table6[[#This Row],[Model2]:[SN2]])</f>
        <v>1</v>
      </c>
      <c r="N156" t="b">
        <f>AND(Table6[[#This Row],[companyid2]:[Manufacturer2]],Table6[[#This Row],[SN2]])</f>
        <v>1</v>
      </c>
      <c r="O156" t="b">
        <f>AND(Table6[[#This Row],[companyid2]:[Model2]])</f>
        <v>1</v>
      </c>
    </row>
    <row r="157" spans="1:15" x14ac:dyDescent="0.25">
      <c r="A157">
        <v>58115</v>
      </c>
      <c r="B157" t="s">
        <v>568</v>
      </c>
      <c r="C157" t="s">
        <v>575</v>
      </c>
      <c r="D157" s="46" t="s">
        <v>1205</v>
      </c>
      <c r="E157" s="122">
        <v>931071</v>
      </c>
      <c r="F157" t="b">
        <f>IFERROR(Table6[[#This Row],[companyid]]=Sheet3!$N$20,TRUE)</f>
        <v>1</v>
      </c>
      <c r="G157" t="b">
        <f>OR(Worksheet!$D$5="",Worksheet!$D$5=Table6[[#This Row],[categoryname]])</f>
        <v>1</v>
      </c>
      <c r="H157" t="b">
        <f>OR(Worksheet!$D$7="",Worksheet!$D$7=Table6[[#This Row],[Manufacturer]])</f>
        <v>1</v>
      </c>
      <c r="I157" t="b">
        <f>OR(Worksheet!$G$7="",Worksheet!$G$7=Table6[[#This Row],[Model No.]])</f>
        <v>1</v>
      </c>
      <c r="J157" t="b">
        <f>OR(Worksheet!$D$8="",Worksheet!$D$8=Table6[[#This Row],[Serial No.]])</f>
        <v>1</v>
      </c>
      <c r="K157" t="b">
        <f>AND(Table6[[#This Row],[categoryname2]:[SN2]])</f>
        <v>1</v>
      </c>
      <c r="L157" t="b">
        <f>AND(Table6[[#This Row],[companyid2]],Table6[[#This Row],[Manufacturer2]:[SN2]])</f>
        <v>1</v>
      </c>
      <c r="M157" t="b">
        <f>AND(Table6[[#This Row],[companyid2]:[categoryname2]],Table6[[#This Row],[Model2]:[SN2]])</f>
        <v>1</v>
      </c>
      <c r="N157" t="b">
        <f>AND(Table6[[#This Row],[companyid2]:[Manufacturer2]],Table6[[#This Row],[SN2]])</f>
        <v>1</v>
      </c>
      <c r="O157" t="b">
        <f>AND(Table6[[#This Row],[companyid2]:[Model2]])</f>
        <v>1</v>
      </c>
    </row>
    <row r="158" spans="1:15" x14ac:dyDescent="0.25">
      <c r="A158">
        <v>58115</v>
      </c>
      <c r="B158" t="s">
        <v>568</v>
      </c>
      <c r="C158" t="s">
        <v>575</v>
      </c>
      <c r="D158" s="46" t="s">
        <v>1205</v>
      </c>
      <c r="E158" s="122">
        <v>992144</v>
      </c>
      <c r="F158" t="b">
        <f>IFERROR(Table6[[#This Row],[companyid]]=Sheet3!$N$20,TRUE)</f>
        <v>1</v>
      </c>
      <c r="G158" t="b">
        <f>OR(Worksheet!$D$5="",Worksheet!$D$5=Table6[[#This Row],[categoryname]])</f>
        <v>1</v>
      </c>
      <c r="H158" t="b">
        <f>OR(Worksheet!$D$7="",Worksheet!$D$7=Table6[[#This Row],[Manufacturer]])</f>
        <v>1</v>
      </c>
      <c r="I158" t="b">
        <f>OR(Worksheet!$G$7="",Worksheet!$G$7=Table6[[#This Row],[Model No.]])</f>
        <v>1</v>
      </c>
      <c r="J158" t="b">
        <f>OR(Worksheet!$D$8="",Worksheet!$D$8=Table6[[#This Row],[Serial No.]])</f>
        <v>1</v>
      </c>
      <c r="K158" t="b">
        <f>AND(Table6[[#This Row],[categoryname2]:[SN2]])</f>
        <v>1</v>
      </c>
      <c r="L158" t="b">
        <f>AND(Table6[[#This Row],[companyid2]],Table6[[#This Row],[Manufacturer2]:[SN2]])</f>
        <v>1</v>
      </c>
      <c r="M158" t="b">
        <f>AND(Table6[[#This Row],[companyid2]:[categoryname2]],Table6[[#This Row],[Model2]:[SN2]])</f>
        <v>1</v>
      </c>
      <c r="N158" t="b">
        <f>AND(Table6[[#This Row],[companyid2]:[Manufacturer2]],Table6[[#This Row],[SN2]])</f>
        <v>1</v>
      </c>
      <c r="O158" t="b">
        <f>AND(Table6[[#This Row],[companyid2]:[Model2]])</f>
        <v>1</v>
      </c>
    </row>
    <row r="159" spans="1:15" x14ac:dyDescent="0.25">
      <c r="A159">
        <v>58115</v>
      </c>
      <c r="B159" t="s">
        <v>568</v>
      </c>
      <c r="C159" t="s">
        <v>575</v>
      </c>
      <c r="D159" s="46" t="s">
        <v>1205</v>
      </c>
      <c r="E159" s="122" t="s">
        <v>1134</v>
      </c>
      <c r="F159" t="b">
        <f>IFERROR(Table6[[#This Row],[companyid]]=Sheet3!$N$20,TRUE)</f>
        <v>1</v>
      </c>
      <c r="G159" t="b">
        <f>OR(Worksheet!$D$5="",Worksheet!$D$5=Table6[[#This Row],[categoryname]])</f>
        <v>1</v>
      </c>
      <c r="H159" t="b">
        <f>OR(Worksheet!$D$7="",Worksheet!$D$7=Table6[[#This Row],[Manufacturer]])</f>
        <v>1</v>
      </c>
      <c r="I159" t="b">
        <f>OR(Worksheet!$G$7="",Worksheet!$G$7=Table6[[#This Row],[Model No.]])</f>
        <v>1</v>
      </c>
      <c r="J159" t="b">
        <f>OR(Worksheet!$D$8="",Worksheet!$D$8=Table6[[#This Row],[Serial No.]])</f>
        <v>1</v>
      </c>
      <c r="K159" t="b">
        <f>AND(Table6[[#This Row],[categoryname2]:[SN2]])</f>
        <v>1</v>
      </c>
      <c r="L159" t="b">
        <f>AND(Table6[[#This Row],[companyid2]],Table6[[#This Row],[Manufacturer2]:[SN2]])</f>
        <v>1</v>
      </c>
      <c r="M159" t="b">
        <f>AND(Table6[[#This Row],[companyid2]:[categoryname2]],Table6[[#This Row],[Model2]:[SN2]])</f>
        <v>1</v>
      </c>
      <c r="N159" t="b">
        <f>AND(Table6[[#This Row],[companyid2]:[Manufacturer2]],Table6[[#This Row],[SN2]])</f>
        <v>1</v>
      </c>
      <c r="O159" t="b">
        <f>AND(Table6[[#This Row],[companyid2]:[Model2]])</f>
        <v>1</v>
      </c>
    </row>
    <row r="160" spans="1:15" x14ac:dyDescent="0.25">
      <c r="A160">
        <v>57693</v>
      </c>
      <c r="B160" t="s">
        <v>568</v>
      </c>
      <c r="C160" t="s">
        <v>575</v>
      </c>
      <c r="D160" s="46" t="s">
        <v>1187</v>
      </c>
      <c r="E160" s="122">
        <v>992</v>
      </c>
      <c r="F160" t="b">
        <f>IFERROR(Table6[[#This Row],[companyid]]=Sheet3!$N$20,TRUE)</f>
        <v>1</v>
      </c>
      <c r="G160" t="b">
        <f>OR(Worksheet!$D$5="",Worksheet!$D$5=Table6[[#This Row],[categoryname]])</f>
        <v>1</v>
      </c>
      <c r="H160" t="b">
        <f>OR(Worksheet!$D$7="",Worksheet!$D$7=Table6[[#This Row],[Manufacturer]])</f>
        <v>1</v>
      </c>
      <c r="I160" t="b">
        <f>OR(Worksheet!$G$7="",Worksheet!$G$7=Table6[[#This Row],[Model No.]])</f>
        <v>1</v>
      </c>
      <c r="J160" t="b">
        <f>OR(Worksheet!$D$8="",Worksheet!$D$8=Table6[[#This Row],[Serial No.]])</f>
        <v>1</v>
      </c>
      <c r="K160" t="b">
        <f>AND(Table6[[#This Row],[categoryname2]:[SN2]])</f>
        <v>1</v>
      </c>
      <c r="L160" t="b">
        <f>AND(Table6[[#This Row],[companyid2]],Table6[[#This Row],[Manufacturer2]:[SN2]])</f>
        <v>1</v>
      </c>
      <c r="M160" t="b">
        <f>AND(Table6[[#This Row],[companyid2]:[categoryname2]],Table6[[#This Row],[Model2]:[SN2]])</f>
        <v>1</v>
      </c>
      <c r="N160" t="b">
        <f>AND(Table6[[#This Row],[companyid2]:[Manufacturer2]],Table6[[#This Row],[SN2]])</f>
        <v>1</v>
      </c>
      <c r="O160" t="b">
        <f>AND(Table6[[#This Row],[companyid2]:[Model2]])</f>
        <v>1</v>
      </c>
    </row>
    <row r="161" spans="1:15" x14ac:dyDescent="0.25">
      <c r="A161">
        <v>57718</v>
      </c>
      <c r="B161" t="s">
        <v>568</v>
      </c>
      <c r="C161" t="s">
        <v>575</v>
      </c>
      <c r="D161" s="46" t="s">
        <v>1187</v>
      </c>
      <c r="E161" s="122">
        <v>992</v>
      </c>
      <c r="F161" t="b">
        <f>IFERROR(Table6[[#This Row],[companyid]]=Sheet3!$N$20,TRUE)</f>
        <v>1</v>
      </c>
      <c r="G161" t="b">
        <f>OR(Worksheet!$D$5="",Worksheet!$D$5=Table6[[#This Row],[categoryname]])</f>
        <v>1</v>
      </c>
      <c r="H161" t="b">
        <f>OR(Worksheet!$D$7="",Worksheet!$D$7=Table6[[#This Row],[Manufacturer]])</f>
        <v>1</v>
      </c>
      <c r="I161" t="b">
        <f>OR(Worksheet!$G$7="",Worksheet!$G$7=Table6[[#This Row],[Model No.]])</f>
        <v>1</v>
      </c>
      <c r="J161" t="b">
        <f>OR(Worksheet!$D$8="",Worksheet!$D$8=Table6[[#This Row],[Serial No.]])</f>
        <v>1</v>
      </c>
      <c r="K161" t="b">
        <f>AND(Table6[[#This Row],[categoryname2]:[SN2]])</f>
        <v>1</v>
      </c>
      <c r="L161" t="b">
        <f>AND(Table6[[#This Row],[companyid2]],Table6[[#This Row],[Manufacturer2]:[SN2]])</f>
        <v>1</v>
      </c>
      <c r="M161" t="b">
        <f>AND(Table6[[#This Row],[companyid2]:[categoryname2]],Table6[[#This Row],[Model2]:[SN2]])</f>
        <v>1</v>
      </c>
      <c r="N161" t="b">
        <f>AND(Table6[[#This Row],[companyid2]:[Manufacturer2]],Table6[[#This Row],[SN2]])</f>
        <v>1</v>
      </c>
      <c r="O161" t="b">
        <f>AND(Table6[[#This Row],[companyid2]:[Model2]])</f>
        <v>1</v>
      </c>
    </row>
    <row r="162" spans="1:15" x14ac:dyDescent="0.25">
      <c r="A162">
        <v>58115</v>
      </c>
      <c r="B162" t="s">
        <v>568</v>
      </c>
      <c r="C162" t="s">
        <v>575</v>
      </c>
      <c r="D162" s="46" t="s">
        <v>637</v>
      </c>
      <c r="E162" s="122">
        <v>961704</v>
      </c>
      <c r="F162" t="b">
        <f>IFERROR(Table6[[#This Row],[companyid]]=Sheet3!$N$20,TRUE)</f>
        <v>1</v>
      </c>
      <c r="G162" t="b">
        <f>OR(Worksheet!$D$5="",Worksheet!$D$5=Table6[[#This Row],[categoryname]])</f>
        <v>1</v>
      </c>
      <c r="H162" t="b">
        <f>OR(Worksheet!$D$7="",Worksheet!$D$7=Table6[[#This Row],[Manufacturer]])</f>
        <v>1</v>
      </c>
      <c r="I162" t="b">
        <f>OR(Worksheet!$G$7="",Worksheet!$G$7=Table6[[#This Row],[Model No.]])</f>
        <v>1</v>
      </c>
      <c r="J162" t="b">
        <f>OR(Worksheet!$D$8="",Worksheet!$D$8=Table6[[#This Row],[Serial No.]])</f>
        <v>1</v>
      </c>
      <c r="K162" t="b">
        <f>AND(Table6[[#This Row],[categoryname2]:[SN2]])</f>
        <v>1</v>
      </c>
      <c r="L162" t="b">
        <f>AND(Table6[[#This Row],[companyid2]],Table6[[#This Row],[Manufacturer2]:[SN2]])</f>
        <v>1</v>
      </c>
      <c r="M162" t="b">
        <f>AND(Table6[[#This Row],[companyid2]:[categoryname2]],Table6[[#This Row],[Model2]:[SN2]])</f>
        <v>1</v>
      </c>
      <c r="N162" t="b">
        <f>AND(Table6[[#This Row],[companyid2]:[Manufacturer2]],Table6[[#This Row],[SN2]])</f>
        <v>1</v>
      </c>
      <c r="O162" t="b">
        <f>AND(Table6[[#This Row],[companyid2]:[Model2]])</f>
        <v>1</v>
      </c>
    </row>
    <row r="163" spans="1:15" x14ac:dyDescent="0.25">
      <c r="A163">
        <v>58115</v>
      </c>
      <c r="B163" t="s">
        <v>568</v>
      </c>
      <c r="C163" t="s">
        <v>575</v>
      </c>
      <c r="D163" s="46" t="s">
        <v>637</v>
      </c>
      <c r="E163" s="122" t="s">
        <v>643</v>
      </c>
      <c r="F163" t="b">
        <f>IFERROR(Table6[[#This Row],[companyid]]=Sheet3!$N$20,TRUE)</f>
        <v>1</v>
      </c>
      <c r="G163" t="b">
        <f>OR(Worksheet!$D$5="",Worksheet!$D$5=Table6[[#This Row],[categoryname]])</f>
        <v>1</v>
      </c>
      <c r="H163" t="b">
        <f>OR(Worksheet!$D$7="",Worksheet!$D$7=Table6[[#This Row],[Manufacturer]])</f>
        <v>1</v>
      </c>
      <c r="I163" t="b">
        <f>OR(Worksheet!$G$7="",Worksheet!$G$7=Table6[[#This Row],[Model No.]])</f>
        <v>1</v>
      </c>
      <c r="J163" t="b">
        <f>OR(Worksheet!$D$8="",Worksheet!$D$8=Table6[[#This Row],[Serial No.]])</f>
        <v>1</v>
      </c>
      <c r="K163" t="b">
        <f>AND(Table6[[#This Row],[categoryname2]:[SN2]])</f>
        <v>1</v>
      </c>
      <c r="L163" t="b">
        <f>AND(Table6[[#This Row],[companyid2]],Table6[[#This Row],[Manufacturer2]:[SN2]])</f>
        <v>1</v>
      </c>
      <c r="M163" t="b">
        <f>AND(Table6[[#This Row],[companyid2]:[categoryname2]],Table6[[#This Row],[Model2]:[SN2]])</f>
        <v>1</v>
      </c>
      <c r="N163" t="b">
        <f>AND(Table6[[#This Row],[companyid2]:[Manufacturer2]],Table6[[#This Row],[SN2]])</f>
        <v>1</v>
      </c>
      <c r="O163" t="b">
        <f>AND(Table6[[#This Row],[companyid2]:[Model2]])</f>
        <v>1</v>
      </c>
    </row>
    <row r="164" spans="1:15" x14ac:dyDescent="0.25">
      <c r="A164">
        <v>58115</v>
      </c>
      <c r="B164" t="s">
        <v>568</v>
      </c>
      <c r="C164" t="s">
        <v>575</v>
      </c>
      <c r="D164" s="46" t="s">
        <v>637</v>
      </c>
      <c r="E164" s="122" t="s">
        <v>642</v>
      </c>
      <c r="F164" t="b">
        <f>IFERROR(Table6[[#This Row],[companyid]]=Sheet3!$N$20,TRUE)</f>
        <v>1</v>
      </c>
      <c r="G164" t="b">
        <f>OR(Worksheet!$D$5="",Worksheet!$D$5=Table6[[#This Row],[categoryname]])</f>
        <v>1</v>
      </c>
      <c r="H164" t="b">
        <f>OR(Worksheet!$D$7="",Worksheet!$D$7=Table6[[#This Row],[Manufacturer]])</f>
        <v>1</v>
      </c>
      <c r="I164" t="b">
        <f>OR(Worksheet!$G$7="",Worksheet!$G$7=Table6[[#This Row],[Model No.]])</f>
        <v>1</v>
      </c>
      <c r="J164" t="b">
        <f>OR(Worksheet!$D$8="",Worksheet!$D$8=Table6[[#This Row],[Serial No.]])</f>
        <v>1</v>
      </c>
      <c r="K164" t="b">
        <f>AND(Table6[[#This Row],[categoryname2]:[SN2]])</f>
        <v>1</v>
      </c>
      <c r="L164" t="b">
        <f>AND(Table6[[#This Row],[companyid2]],Table6[[#This Row],[Manufacturer2]:[SN2]])</f>
        <v>1</v>
      </c>
      <c r="M164" t="b">
        <f>AND(Table6[[#This Row],[companyid2]:[categoryname2]],Table6[[#This Row],[Model2]:[SN2]])</f>
        <v>1</v>
      </c>
      <c r="N164" t="b">
        <f>AND(Table6[[#This Row],[companyid2]:[Manufacturer2]],Table6[[#This Row],[SN2]])</f>
        <v>1</v>
      </c>
      <c r="O164" t="b">
        <f>AND(Table6[[#This Row],[companyid2]:[Model2]])</f>
        <v>1</v>
      </c>
    </row>
    <row r="165" spans="1:15" x14ac:dyDescent="0.25">
      <c r="A165">
        <v>58115</v>
      </c>
      <c r="B165" t="s">
        <v>568</v>
      </c>
      <c r="C165" t="s">
        <v>575</v>
      </c>
      <c r="D165" s="46" t="s">
        <v>637</v>
      </c>
      <c r="E165" s="122" t="s">
        <v>638</v>
      </c>
      <c r="F165" t="b">
        <f>IFERROR(Table6[[#This Row],[companyid]]=Sheet3!$N$20,TRUE)</f>
        <v>1</v>
      </c>
      <c r="G165" t="b">
        <f>OR(Worksheet!$D$5="",Worksheet!$D$5=Table6[[#This Row],[categoryname]])</f>
        <v>1</v>
      </c>
      <c r="H165" t="b">
        <f>OR(Worksheet!$D$7="",Worksheet!$D$7=Table6[[#This Row],[Manufacturer]])</f>
        <v>1</v>
      </c>
      <c r="I165" t="b">
        <f>OR(Worksheet!$G$7="",Worksheet!$G$7=Table6[[#This Row],[Model No.]])</f>
        <v>1</v>
      </c>
      <c r="J165" t="b">
        <f>OR(Worksheet!$D$8="",Worksheet!$D$8=Table6[[#This Row],[Serial No.]])</f>
        <v>1</v>
      </c>
      <c r="K165" t="b">
        <f>AND(Table6[[#This Row],[categoryname2]:[SN2]])</f>
        <v>1</v>
      </c>
      <c r="L165" t="b">
        <f>AND(Table6[[#This Row],[companyid2]],Table6[[#This Row],[Manufacturer2]:[SN2]])</f>
        <v>1</v>
      </c>
      <c r="M165" t="b">
        <f>AND(Table6[[#This Row],[companyid2]:[categoryname2]],Table6[[#This Row],[Model2]:[SN2]])</f>
        <v>1</v>
      </c>
      <c r="N165" t="b">
        <f>AND(Table6[[#This Row],[companyid2]:[Manufacturer2]],Table6[[#This Row],[SN2]])</f>
        <v>1</v>
      </c>
      <c r="O165" t="b">
        <f>AND(Table6[[#This Row],[companyid2]:[Model2]])</f>
        <v>1</v>
      </c>
    </row>
    <row r="166" spans="1:15" x14ac:dyDescent="0.25">
      <c r="A166">
        <v>57290</v>
      </c>
      <c r="B166" t="s">
        <v>568</v>
      </c>
      <c r="C166" t="s">
        <v>575</v>
      </c>
      <c r="D166" s="46" t="s">
        <v>1166</v>
      </c>
      <c r="E166" s="122" t="s">
        <v>1065</v>
      </c>
      <c r="F166" t="b">
        <f>IFERROR(Table6[[#This Row],[companyid]]=Sheet3!$N$20,TRUE)</f>
        <v>1</v>
      </c>
      <c r="G166" t="b">
        <f>OR(Worksheet!$D$5="",Worksheet!$D$5=Table6[[#This Row],[categoryname]])</f>
        <v>1</v>
      </c>
      <c r="H166" t="b">
        <f>OR(Worksheet!$D$7="",Worksheet!$D$7=Table6[[#This Row],[Manufacturer]])</f>
        <v>1</v>
      </c>
      <c r="I166" t="b">
        <f>OR(Worksheet!$G$7="",Worksheet!$G$7=Table6[[#This Row],[Model No.]])</f>
        <v>1</v>
      </c>
      <c r="J166" t="b">
        <f>OR(Worksheet!$D$8="",Worksheet!$D$8=Table6[[#This Row],[Serial No.]])</f>
        <v>1</v>
      </c>
      <c r="K166" t="b">
        <f>AND(Table6[[#This Row],[categoryname2]:[SN2]])</f>
        <v>1</v>
      </c>
      <c r="L166" t="b">
        <f>AND(Table6[[#This Row],[companyid2]],Table6[[#This Row],[Manufacturer2]:[SN2]])</f>
        <v>1</v>
      </c>
      <c r="M166" t="b">
        <f>AND(Table6[[#This Row],[companyid2]:[categoryname2]],Table6[[#This Row],[Model2]:[SN2]])</f>
        <v>1</v>
      </c>
      <c r="N166" t="b">
        <f>AND(Table6[[#This Row],[companyid2]:[Manufacturer2]],Table6[[#This Row],[SN2]])</f>
        <v>1</v>
      </c>
      <c r="O166" t="b">
        <f>AND(Table6[[#This Row],[companyid2]:[Model2]])</f>
        <v>1</v>
      </c>
    </row>
    <row r="167" spans="1:15" x14ac:dyDescent="0.25">
      <c r="A167">
        <v>58115</v>
      </c>
      <c r="B167" t="s">
        <v>568</v>
      </c>
      <c r="C167" t="s">
        <v>575</v>
      </c>
      <c r="D167" s="46" t="s">
        <v>582</v>
      </c>
      <c r="E167" s="122">
        <v>165186</v>
      </c>
      <c r="F167" t="b">
        <f>IFERROR(Table6[[#This Row],[companyid]]=Sheet3!$N$20,TRUE)</f>
        <v>1</v>
      </c>
      <c r="G167" t="b">
        <f>OR(Worksheet!$D$5="",Worksheet!$D$5=Table6[[#This Row],[categoryname]])</f>
        <v>1</v>
      </c>
      <c r="H167" t="b">
        <f>OR(Worksheet!$D$7="",Worksheet!$D$7=Table6[[#This Row],[Manufacturer]])</f>
        <v>1</v>
      </c>
      <c r="I167" t="b">
        <f>OR(Worksheet!$G$7="",Worksheet!$G$7=Table6[[#This Row],[Model No.]])</f>
        <v>1</v>
      </c>
      <c r="J167" t="b">
        <f>OR(Worksheet!$D$8="",Worksheet!$D$8=Table6[[#This Row],[Serial No.]])</f>
        <v>1</v>
      </c>
      <c r="K167" t="b">
        <f>AND(Table6[[#This Row],[categoryname2]:[SN2]])</f>
        <v>1</v>
      </c>
      <c r="L167" t="b">
        <f>AND(Table6[[#This Row],[companyid2]],Table6[[#This Row],[Manufacturer2]:[SN2]])</f>
        <v>1</v>
      </c>
      <c r="M167" t="b">
        <f>AND(Table6[[#This Row],[companyid2]:[categoryname2]],Table6[[#This Row],[Model2]:[SN2]])</f>
        <v>1</v>
      </c>
      <c r="N167" t="b">
        <f>AND(Table6[[#This Row],[companyid2]:[Manufacturer2]],Table6[[#This Row],[SN2]])</f>
        <v>1</v>
      </c>
      <c r="O167" t="b">
        <f>AND(Table6[[#This Row],[companyid2]:[Model2]])</f>
        <v>1</v>
      </c>
    </row>
    <row r="168" spans="1:15" x14ac:dyDescent="0.25">
      <c r="A168">
        <v>58115</v>
      </c>
      <c r="B168" t="s">
        <v>568</v>
      </c>
      <c r="C168" t="s">
        <v>575</v>
      </c>
      <c r="D168" s="46" t="s">
        <v>582</v>
      </c>
      <c r="E168" s="122">
        <v>165279</v>
      </c>
      <c r="F168" t="b">
        <f>IFERROR(Table6[[#This Row],[companyid]]=Sheet3!$N$20,TRUE)</f>
        <v>1</v>
      </c>
      <c r="G168" t="b">
        <f>OR(Worksheet!$D$5="",Worksheet!$D$5=Table6[[#This Row],[categoryname]])</f>
        <v>1</v>
      </c>
      <c r="H168" t="b">
        <f>OR(Worksheet!$D$7="",Worksheet!$D$7=Table6[[#This Row],[Manufacturer]])</f>
        <v>1</v>
      </c>
      <c r="I168" t="b">
        <f>OR(Worksheet!$G$7="",Worksheet!$G$7=Table6[[#This Row],[Model No.]])</f>
        <v>1</v>
      </c>
      <c r="J168" t="b">
        <f>OR(Worksheet!$D$8="",Worksheet!$D$8=Table6[[#This Row],[Serial No.]])</f>
        <v>1</v>
      </c>
      <c r="K168" t="b">
        <f>AND(Table6[[#This Row],[categoryname2]:[SN2]])</f>
        <v>1</v>
      </c>
      <c r="L168" t="b">
        <f>AND(Table6[[#This Row],[companyid2]],Table6[[#This Row],[Manufacturer2]:[SN2]])</f>
        <v>1</v>
      </c>
      <c r="M168" t="b">
        <f>AND(Table6[[#This Row],[companyid2]:[categoryname2]],Table6[[#This Row],[Model2]:[SN2]])</f>
        <v>1</v>
      </c>
      <c r="N168" t="b">
        <f>AND(Table6[[#This Row],[companyid2]:[Manufacturer2]],Table6[[#This Row],[SN2]])</f>
        <v>1</v>
      </c>
      <c r="O168" t="b">
        <f>AND(Table6[[#This Row],[companyid2]:[Model2]])</f>
        <v>1</v>
      </c>
    </row>
    <row r="169" spans="1:15" x14ac:dyDescent="0.25">
      <c r="A169">
        <v>58115</v>
      </c>
      <c r="B169" t="s">
        <v>568</v>
      </c>
      <c r="C169" t="s">
        <v>575</v>
      </c>
      <c r="D169" s="46" t="s">
        <v>582</v>
      </c>
      <c r="E169" s="122">
        <v>174505</v>
      </c>
      <c r="F169" t="b">
        <f>IFERROR(Table6[[#This Row],[companyid]]=Sheet3!$N$20,TRUE)</f>
        <v>1</v>
      </c>
      <c r="G169" t="b">
        <f>OR(Worksheet!$D$5="",Worksheet!$D$5=Table6[[#This Row],[categoryname]])</f>
        <v>1</v>
      </c>
      <c r="H169" t="b">
        <f>OR(Worksheet!$D$7="",Worksheet!$D$7=Table6[[#This Row],[Manufacturer]])</f>
        <v>1</v>
      </c>
      <c r="I169" t="b">
        <f>OR(Worksheet!$G$7="",Worksheet!$G$7=Table6[[#This Row],[Model No.]])</f>
        <v>1</v>
      </c>
      <c r="J169" t="b">
        <f>OR(Worksheet!$D$8="",Worksheet!$D$8=Table6[[#This Row],[Serial No.]])</f>
        <v>1</v>
      </c>
      <c r="K169" t="b">
        <f>AND(Table6[[#This Row],[categoryname2]:[SN2]])</f>
        <v>1</v>
      </c>
      <c r="L169" t="b">
        <f>AND(Table6[[#This Row],[companyid2]],Table6[[#This Row],[Manufacturer2]:[SN2]])</f>
        <v>1</v>
      </c>
      <c r="M169" t="b">
        <f>AND(Table6[[#This Row],[companyid2]:[categoryname2]],Table6[[#This Row],[Model2]:[SN2]])</f>
        <v>1</v>
      </c>
      <c r="N169" t="b">
        <f>AND(Table6[[#This Row],[companyid2]:[Manufacturer2]],Table6[[#This Row],[SN2]])</f>
        <v>1</v>
      </c>
      <c r="O169" t="b">
        <f>AND(Table6[[#This Row],[companyid2]:[Model2]])</f>
        <v>1</v>
      </c>
    </row>
    <row r="170" spans="1:15" x14ac:dyDescent="0.25">
      <c r="A170">
        <v>58115</v>
      </c>
      <c r="B170" t="s">
        <v>568</v>
      </c>
      <c r="C170" t="s">
        <v>575</v>
      </c>
      <c r="D170" s="46" t="s">
        <v>582</v>
      </c>
      <c r="E170" s="122">
        <v>175446</v>
      </c>
      <c r="F170" t="b">
        <f>IFERROR(Table6[[#This Row],[companyid]]=Sheet3!$N$20,TRUE)</f>
        <v>1</v>
      </c>
      <c r="G170" t="b">
        <f>OR(Worksheet!$D$5="",Worksheet!$D$5=Table6[[#This Row],[categoryname]])</f>
        <v>1</v>
      </c>
      <c r="H170" t="b">
        <f>OR(Worksheet!$D$7="",Worksheet!$D$7=Table6[[#This Row],[Manufacturer]])</f>
        <v>1</v>
      </c>
      <c r="I170" t="b">
        <f>OR(Worksheet!$G$7="",Worksheet!$G$7=Table6[[#This Row],[Model No.]])</f>
        <v>1</v>
      </c>
      <c r="J170" t="b">
        <f>OR(Worksheet!$D$8="",Worksheet!$D$8=Table6[[#This Row],[Serial No.]])</f>
        <v>1</v>
      </c>
      <c r="K170" t="b">
        <f>AND(Table6[[#This Row],[categoryname2]:[SN2]])</f>
        <v>1</v>
      </c>
      <c r="L170" t="b">
        <f>AND(Table6[[#This Row],[companyid2]],Table6[[#This Row],[Manufacturer2]:[SN2]])</f>
        <v>1</v>
      </c>
      <c r="M170" t="b">
        <f>AND(Table6[[#This Row],[companyid2]:[categoryname2]],Table6[[#This Row],[Model2]:[SN2]])</f>
        <v>1</v>
      </c>
      <c r="N170" t="b">
        <f>AND(Table6[[#This Row],[companyid2]:[Manufacturer2]],Table6[[#This Row],[SN2]])</f>
        <v>1</v>
      </c>
      <c r="O170" t="b">
        <f>AND(Table6[[#This Row],[companyid2]:[Model2]])</f>
        <v>1</v>
      </c>
    </row>
    <row r="171" spans="1:15" x14ac:dyDescent="0.25">
      <c r="A171">
        <v>58115</v>
      </c>
      <c r="B171" t="s">
        <v>568</v>
      </c>
      <c r="C171" t="s">
        <v>575</v>
      </c>
      <c r="D171" s="46" t="s">
        <v>582</v>
      </c>
      <c r="E171" s="122">
        <v>185637</v>
      </c>
      <c r="F171" t="b">
        <f>IFERROR(Table6[[#This Row],[companyid]]=Sheet3!$N$20,TRUE)</f>
        <v>1</v>
      </c>
      <c r="G171" t="b">
        <f>OR(Worksheet!$D$5="",Worksheet!$D$5=Table6[[#This Row],[categoryname]])</f>
        <v>1</v>
      </c>
      <c r="H171" t="b">
        <f>OR(Worksheet!$D$7="",Worksheet!$D$7=Table6[[#This Row],[Manufacturer]])</f>
        <v>1</v>
      </c>
      <c r="I171" t="b">
        <f>OR(Worksheet!$G$7="",Worksheet!$G$7=Table6[[#This Row],[Model No.]])</f>
        <v>1</v>
      </c>
      <c r="J171" t="b">
        <f>OR(Worksheet!$D$8="",Worksheet!$D$8=Table6[[#This Row],[Serial No.]])</f>
        <v>1</v>
      </c>
      <c r="K171" t="b">
        <f>AND(Table6[[#This Row],[categoryname2]:[SN2]])</f>
        <v>1</v>
      </c>
      <c r="L171" t="b">
        <f>AND(Table6[[#This Row],[companyid2]],Table6[[#This Row],[Manufacturer2]:[SN2]])</f>
        <v>1</v>
      </c>
      <c r="M171" t="b">
        <f>AND(Table6[[#This Row],[companyid2]:[categoryname2]],Table6[[#This Row],[Model2]:[SN2]])</f>
        <v>1</v>
      </c>
      <c r="N171" t="b">
        <f>AND(Table6[[#This Row],[companyid2]:[Manufacturer2]],Table6[[#This Row],[SN2]])</f>
        <v>1</v>
      </c>
      <c r="O171" t="b">
        <f>AND(Table6[[#This Row],[companyid2]:[Model2]])</f>
        <v>1</v>
      </c>
    </row>
    <row r="172" spans="1:15" x14ac:dyDescent="0.25">
      <c r="A172">
        <v>58115</v>
      </c>
      <c r="B172" t="s">
        <v>568</v>
      </c>
      <c r="C172" t="s">
        <v>575</v>
      </c>
      <c r="D172" s="46" t="s">
        <v>582</v>
      </c>
      <c r="E172" s="122">
        <v>185674</v>
      </c>
      <c r="F172" t="b">
        <f>IFERROR(Table6[[#This Row],[companyid]]=Sheet3!$N$20,TRUE)</f>
        <v>1</v>
      </c>
      <c r="G172" t="b">
        <f>OR(Worksheet!$D$5="",Worksheet!$D$5=Table6[[#This Row],[categoryname]])</f>
        <v>1</v>
      </c>
      <c r="H172" t="b">
        <f>OR(Worksheet!$D$7="",Worksheet!$D$7=Table6[[#This Row],[Manufacturer]])</f>
        <v>1</v>
      </c>
      <c r="I172" t="b">
        <f>OR(Worksheet!$G$7="",Worksheet!$G$7=Table6[[#This Row],[Model No.]])</f>
        <v>1</v>
      </c>
      <c r="J172" t="b">
        <f>OR(Worksheet!$D$8="",Worksheet!$D$8=Table6[[#This Row],[Serial No.]])</f>
        <v>1</v>
      </c>
      <c r="K172" t="b">
        <f>AND(Table6[[#This Row],[categoryname2]:[SN2]])</f>
        <v>1</v>
      </c>
      <c r="L172" t="b">
        <f>AND(Table6[[#This Row],[companyid2]],Table6[[#This Row],[Manufacturer2]:[SN2]])</f>
        <v>1</v>
      </c>
      <c r="M172" t="b">
        <f>AND(Table6[[#This Row],[companyid2]:[categoryname2]],Table6[[#This Row],[Model2]:[SN2]])</f>
        <v>1</v>
      </c>
      <c r="N172" t="b">
        <f>AND(Table6[[#This Row],[companyid2]:[Manufacturer2]],Table6[[#This Row],[SN2]])</f>
        <v>1</v>
      </c>
      <c r="O172" t="b">
        <f>AND(Table6[[#This Row],[companyid2]:[Model2]])</f>
        <v>1</v>
      </c>
    </row>
    <row r="173" spans="1:15" x14ac:dyDescent="0.25">
      <c r="A173">
        <v>58115</v>
      </c>
      <c r="B173" t="s">
        <v>568</v>
      </c>
      <c r="C173" t="s">
        <v>575</v>
      </c>
      <c r="D173" s="46" t="s">
        <v>582</v>
      </c>
      <c r="E173" s="122">
        <v>216238</v>
      </c>
      <c r="F173" t="b">
        <f>IFERROR(Table6[[#This Row],[companyid]]=Sheet3!$N$20,TRUE)</f>
        <v>1</v>
      </c>
      <c r="G173" t="b">
        <f>OR(Worksheet!$D$5="",Worksheet!$D$5=Table6[[#This Row],[categoryname]])</f>
        <v>1</v>
      </c>
      <c r="H173" t="b">
        <f>OR(Worksheet!$D$7="",Worksheet!$D$7=Table6[[#This Row],[Manufacturer]])</f>
        <v>1</v>
      </c>
      <c r="I173" t="b">
        <f>OR(Worksheet!$G$7="",Worksheet!$G$7=Table6[[#This Row],[Model No.]])</f>
        <v>1</v>
      </c>
      <c r="J173" t="b">
        <f>OR(Worksheet!$D$8="",Worksheet!$D$8=Table6[[#This Row],[Serial No.]])</f>
        <v>1</v>
      </c>
      <c r="K173" t="b">
        <f>AND(Table6[[#This Row],[categoryname2]:[SN2]])</f>
        <v>1</v>
      </c>
      <c r="L173" t="b">
        <f>AND(Table6[[#This Row],[companyid2]],Table6[[#This Row],[Manufacturer2]:[SN2]])</f>
        <v>1</v>
      </c>
      <c r="M173" t="b">
        <f>AND(Table6[[#This Row],[companyid2]:[categoryname2]],Table6[[#This Row],[Model2]:[SN2]])</f>
        <v>1</v>
      </c>
      <c r="N173" t="b">
        <f>AND(Table6[[#This Row],[companyid2]:[Manufacturer2]],Table6[[#This Row],[SN2]])</f>
        <v>1</v>
      </c>
      <c r="O173" t="b">
        <f>AND(Table6[[#This Row],[companyid2]:[Model2]])</f>
        <v>1</v>
      </c>
    </row>
    <row r="174" spans="1:15" x14ac:dyDescent="0.25">
      <c r="A174">
        <v>58115</v>
      </c>
      <c r="B174" t="s">
        <v>568</v>
      </c>
      <c r="C174" t="s">
        <v>575</v>
      </c>
      <c r="D174" s="46" t="s">
        <v>582</v>
      </c>
      <c r="E174" s="122">
        <v>216239</v>
      </c>
      <c r="F174" t="b">
        <f>IFERROR(Table6[[#This Row],[companyid]]=Sheet3!$N$20,TRUE)</f>
        <v>1</v>
      </c>
      <c r="G174" t="b">
        <f>OR(Worksheet!$D$5="",Worksheet!$D$5=Table6[[#This Row],[categoryname]])</f>
        <v>1</v>
      </c>
      <c r="H174" t="b">
        <f>OR(Worksheet!$D$7="",Worksheet!$D$7=Table6[[#This Row],[Manufacturer]])</f>
        <v>1</v>
      </c>
      <c r="I174" t="b">
        <f>OR(Worksheet!$G$7="",Worksheet!$G$7=Table6[[#This Row],[Model No.]])</f>
        <v>1</v>
      </c>
      <c r="J174" t="b">
        <f>OR(Worksheet!$D$8="",Worksheet!$D$8=Table6[[#This Row],[Serial No.]])</f>
        <v>1</v>
      </c>
      <c r="K174" t="b">
        <f>AND(Table6[[#This Row],[categoryname2]:[SN2]])</f>
        <v>1</v>
      </c>
      <c r="L174" t="b">
        <f>AND(Table6[[#This Row],[companyid2]],Table6[[#This Row],[Manufacturer2]:[SN2]])</f>
        <v>1</v>
      </c>
      <c r="M174" t="b">
        <f>AND(Table6[[#This Row],[companyid2]:[categoryname2]],Table6[[#This Row],[Model2]:[SN2]])</f>
        <v>1</v>
      </c>
      <c r="N174" t="b">
        <f>AND(Table6[[#This Row],[companyid2]:[Manufacturer2]],Table6[[#This Row],[SN2]])</f>
        <v>1</v>
      </c>
      <c r="O174" t="b">
        <f>AND(Table6[[#This Row],[companyid2]:[Model2]])</f>
        <v>1</v>
      </c>
    </row>
    <row r="175" spans="1:15" x14ac:dyDescent="0.25">
      <c r="A175">
        <v>57290</v>
      </c>
      <c r="B175" t="s">
        <v>568</v>
      </c>
      <c r="C175" t="s">
        <v>575</v>
      </c>
      <c r="D175" s="46" t="s">
        <v>1165</v>
      </c>
      <c r="E175" s="122">
        <v>195949</v>
      </c>
      <c r="F175" t="b">
        <f>IFERROR(Table6[[#This Row],[companyid]]=Sheet3!$N$20,TRUE)</f>
        <v>1</v>
      </c>
      <c r="G175" t="b">
        <f>OR(Worksheet!$D$5="",Worksheet!$D$5=Table6[[#This Row],[categoryname]])</f>
        <v>1</v>
      </c>
      <c r="H175" t="b">
        <f>OR(Worksheet!$D$7="",Worksheet!$D$7=Table6[[#This Row],[Manufacturer]])</f>
        <v>1</v>
      </c>
      <c r="I175" t="b">
        <f>OR(Worksheet!$G$7="",Worksheet!$G$7=Table6[[#This Row],[Model No.]])</f>
        <v>1</v>
      </c>
      <c r="J175" t="b">
        <f>OR(Worksheet!$D$8="",Worksheet!$D$8=Table6[[#This Row],[Serial No.]])</f>
        <v>1</v>
      </c>
      <c r="K175" t="b">
        <f>AND(Table6[[#This Row],[categoryname2]:[SN2]])</f>
        <v>1</v>
      </c>
      <c r="L175" t="b">
        <f>AND(Table6[[#This Row],[companyid2]],Table6[[#This Row],[Manufacturer2]:[SN2]])</f>
        <v>1</v>
      </c>
      <c r="M175" t="b">
        <f>AND(Table6[[#This Row],[companyid2]:[categoryname2]],Table6[[#This Row],[Model2]:[SN2]])</f>
        <v>1</v>
      </c>
      <c r="N175" t="b">
        <f>AND(Table6[[#This Row],[companyid2]:[Manufacturer2]],Table6[[#This Row],[SN2]])</f>
        <v>1</v>
      </c>
      <c r="O175" t="b">
        <f>AND(Table6[[#This Row],[companyid2]:[Model2]])</f>
        <v>1</v>
      </c>
    </row>
    <row r="176" spans="1:15" x14ac:dyDescent="0.25">
      <c r="A176">
        <v>57820</v>
      </c>
      <c r="B176" t="s">
        <v>568</v>
      </c>
      <c r="C176" t="s">
        <v>575</v>
      </c>
      <c r="D176" s="46" t="s">
        <v>587</v>
      </c>
      <c r="E176" s="122">
        <v>2048</v>
      </c>
      <c r="F176" t="b">
        <f>IFERROR(Table6[[#This Row],[companyid]]=Sheet3!$N$20,TRUE)</f>
        <v>1</v>
      </c>
      <c r="G176" t="b">
        <f>OR(Worksheet!$D$5="",Worksheet!$D$5=Table6[[#This Row],[categoryname]])</f>
        <v>1</v>
      </c>
      <c r="H176" t="b">
        <f>OR(Worksheet!$D$7="",Worksheet!$D$7=Table6[[#This Row],[Manufacturer]])</f>
        <v>1</v>
      </c>
      <c r="I176" t="b">
        <f>OR(Worksheet!$G$7="",Worksheet!$G$7=Table6[[#This Row],[Model No.]])</f>
        <v>1</v>
      </c>
      <c r="J176" t="b">
        <f>OR(Worksheet!$D$8="",Worksheet!$D$8=Table6[[#This Row],[Serial No.]])</f>
        <v>1</v>
      </c>
      <c r="K176" t="b">
        <f>AND(Table6[[#This Row],[categoryname2]:[SN2]])</f>
        <v>1</v>
      </c>
      <c r="L176" t="b">
        <f>AND(Table6[[#This Row],[companyid2]],Table6[[#This Row],[Manufacturer2]:[SN2]])</f>
        <v>1</v>
      </c>
      <c r="M176" t="b">
        <f>AND(Table6[[#This Row],[companyid2]:[categoryname2]],Table6[[#This Row],[Model2]:[SN2]])</f>
        <v>1</v>
      </c>
      <c r="N176" t="b">
        <f>AND(Table6[[#This Row],[companyid2]:[Manufacturer2]],Table6[[#This Row],[SN2]])</f>
        <v>1</v>
      </c>
      <c r="O176" t="b">
        <f>AND(Table6[[#This Row],[companyid2]:[Model2]])</f>
        <v>1</v>
      </c>
    </row>
    <row r="177" spans="1:15" x14ac:dyDescent="0.25">
      <c r="A177">
        <v>57283</v>
      </c>
      <c r="B177" t="s">
        <v>568</v>
      </c>
      <c r="C177" t="s">
        <v>575</v>
      </c>
      <c r="D177" s="46" t="s">
        <v>587</v>
      </c>
      <c r="E177" s="122">
        <v>2325</v>
      </c>
      <c r="F177" t="b">
        <f>IFERROR(Table6[[#This Row],[companyid]]=Sheet3!$N$20,TRUE)</f>
        <v>1</v>
      </c>
      <c r="G177" t="b">
        <f>OR(Worksheet!$D$5="",Worksheet!$D$5=Table6[[#This Row],[categoryname]])</f>
        <v>1</v>
      </c>
      <c r="H177" t="b">
        <f>OR(Worksheet!$D$7="",Worksheet!$D$7=Table6[[#This Row],[Manufacturer]])</f>
        <v>1</v>
      </c>
      <c r="I177" t="b">
        <f>OR(Worksheet!$G$7="",Worksheet!$G$7=Table6[[#This Row],[Model No.]])</f>
        <v>1</v>
      </c>
      <c r="J177" t="b">
        <f>OR(Worksheet!$D$8="",Worksheet!$D$8=Table6[[#This Row],[Serial No.]])</f>
        <v>1</v>
      </c>
      <c r="K177" t="b">
        <f>AND(Table6[[#This Row],[categoryname2]:[SN2]])</f>
        <v>1</v>
      </c>
      <c r="L177" t="b">
        <f>AND(Table6[[#This Row],[companyid2]],Table6[[#This Row],[Manufacturer2]:[SN2]])</f>
        <v>1</v>
      </c>
      <c r="M177" t="b">
        <f>AND(Table6[[#This Row],[companyid2]:[categoryname2]],Table6[[#This Row],[Model2]:[SN2]])</f>
        <v>1</v>
      </c>
      <c r="N177" t="b">
        <f>AND(Table6[[#This Row],[companyid2]:[Manufacturer2]],Table6[[#This Row],[SN2]])</f>
        <v>1</v>
      </c>
      <c r="O177" t="b">
        <f>AND(Table6[[#This Row],[companyid2]:[Model2]])</f>
        <v>1</v>
      </c>
    </row>
    <row r="178" spans="1:15" x14ac:dyDescent="0.25">
      <c r="A178">
        <v>57820</v>
      </c>
      <c r="B178" t="s">
        <v>568</v>
      </c>
      <c r="C178" t="s">
        <v>575</v>
      </c>
      <c r="D178" s="46" t="s">
        <v>587</v>
      </c>
      <c r="E178" s="122">
        <v>3704</v>
      </c>
      <c r="F178" t="b">
        <f>IFERROR(Table6[[#This Row],[companyid]]=Sheet3!$N$20,TRUE)</f>
        <v>1</v>
      </c>
      <c r="G178" t="b">
        <f>OR(Worksheet!$D$5="",Worksheet!$D$5=Table6[[#This Row],[categoryname]])</f>
        <v>1</v>
      </c>
      <c r="H178" t="b">
        <f>OR(Worksheet!$D$7="",Worksheet!$D$7=Table6[[#This Row],[Manufacturer]])</f>
        <v>1</v>
      </c>
      <c r="I178" t="b">
        <f>OR(Worksheet!$G$7="",Worksheet!$G$7=Table6[[#This Row],[Model No.]])</f>
        <v>1</v>
      </c>
      <c r="J178" t="b">
        <f>OR(Worksheet!$D$8="",Worksheet!$D$8=Table6[[#This Row],[Serial No.]])</f>
        <v>1</v>
      </c>
      <c r="K178" t="b">
        <f>AND(Table6[[#This Row],[categoryname2]:[SN2]])</f>
        <v>1</v>
      </c>
      <c r="L178" t="b">
        <f>AND(Table6[[#This Row],[companyid2]],Table6[[#This Row],[Manufacturer2]:[SN2]])</f>
        <v>1</v>
      </c>
      <c r="M178" t="b">
        <f>AND(Table6[[#This Row],[companyid2]:[categoryname2]],Table6[[#This Row],[Model2]:[SN2]])</f>
        <v>1</v>
      </c>
      <c r="N178" t="b">
        <f>AND(Table6[[#This Row],[companyid2]:[Manufacturer2]],Table6[[#This Row],[SN2]])</f>
        <v>1</v>
      </c>
      <c r="O178" t="b">
        <f>AND(Table6[[#This Row],[companyid2]:[Model2]])</f>
        <v>1</v>
      </c>
    </row>
    <row r="179" spans="1:15" x14ac:dyDescent="0.25">
      <c r="A179">
        <v>57855</v>
      </c>
      <c r="B179" t="s">
        <v>568</v>
      </c>
      <c r="C179" t="s">
        <v>575</v>
      </c>
      <c r="D179" s="46" t="s">
        <v>587</v>
      </c>
      <c r="E179" s="122">
        <v>4230</v>
      </c>
      <c r="F179" t="b">
        <f>IFERROR(Table6[[#This Row],[companyid]]=Sheet3!$N$20,TRUE)</f>
        <v>1</v>
      </c>
      <c r="G179" t="b">
        <f>OR(Worksheet!$D$5="",Worksheet!$D$5=Table6[[#This Row],[categoryname]])</f>
        <v>1</v>
      </c>
      <c r="H179" t="b">
        <f>OR(Worksheet!$D$7="",Worksheet!$D$7=Table6[[#This Row],[Manufacturer]])</f>
        <v>1</v>
      </c>
      <c r="I179" t="b">
        <f>OR(Worksheet!$G$7="",Worksheet!$G$7=Table6[[#This Row],[Model No.]])</f>
        <v>1</v>
      </c>
      <c r="J179" t="b">
        <f>OR(Worksheet!$D$8="",Worksheet!$D$8=Table6[[#This Row],[Serial No.]])</f>
        <v>1</v>
      </c>
      <c r="K179" t="b">
        <f>AND(Table6[[#This Row],[categoryname2]:[SN2]])</f>
        <v>1</v>
      </c>
      <c r="L179" t="b">
        <f>AND(Table6[[#This Row],[companyid2]],Table6[[#This Row],[Manufacturer2]:[SN2]])</f>
        <v>1</v>
      </c>
      <c r="M179" t="b">
        <f>AND(Table6[[#This Row],[companyid2]:[categoryname2]],Table6[[#This Row],[Model2]:[SN2]])</f>
        <v>1</v>
      </c>
      <c r="N179" t="b">
        <f>AND(Table6[[#This Row],[companyid2]:[Manufacturer2]],Table6[[#This Row],[SN2]])</f>
        <v>1</v>
      </c>
      <c r="O179" t="b">
        <f>AND(Table6[[#This Row],[companyid2]:[Model2]])</f>
        <v>1</v>
      </c>
    </row>
    <row r="180" spans="1:15" x14ac:dyDescent="0.25">
      <c r="A180">
        <v>57820</v>
      </c>
      <c r="B180" t="s">
        <v>568</v>
      </c>
      <c r="C180" t="s">
        <v>575</v>
      </c>
      <c r="D180" s="46" t="s">
        <v>587</v>
      </c>
      <c r="E180" s="122">
        <v>4382</v>
      </c>
      <c r="F180" t="b">
        <f>IFERROR(Table6[[#This Row],[companyid]]=Sheet3!$N$20,TRUE)</f>
        <v>1</v>
      </c>
      <c r="G180" t="b">
        <f>OR(Worksheet!$D$5="",Worksheet!$D$5=Table6[[#This Row],[categoryname]])</f>
        <v>1</v>
      </c>
      <c r="H180" t="b">
        <f>OR(Worksheet!$D$7="",Worksheet!$D$7=Table6[[#This Row],[Manufacturer]])</f>
        <v>1</v>
      </c>
      <c r="I180" t="b">
        <f>OR(Worksheet!$G$7="",Worksheet!$G$7=Table6[[#This Row],[Model No.]])</f>
        <v>1</v>
      </c>
      <c r="J180" t="b">
        <f>OR(Worksheet!$D$8="",Worksheet!$D$8=Table6[[#This Row],[Serial No.]])</f>
        <v>1</v>
      </c>
      <c r="K180" t="b">
        <f>AND(Table6[[#This Row],[categoryname2]:[SN2]])</f>
        <v>1</v>
      </c>
      <c r="L180" t="b">
        <f>AND(Table6[[#This Row],[companyid2]],Table6[[#This Row],[Manufacturer2]:[SN2]])</f>
        <v>1</v>
      </c>
      <c r="M180" t="b">
        <f>AND(Table6[[#This Row],[companyid2]:[categoryname2]],Table6[[#This Row],[Model2]:[SN2]])</f>
        <v>1</v>
      </c>
      <c r="N180" t="b">
        <f>AND(Table6[[#This Row],[companyid2]:[Manufacturer2]],Table6[[#This Row],[SN2]])</f>
        <v>1</v>
      </c>
      <c r="O180" t="b">
        <f>AND(Table6[[#This Row],[companyid2]:[Model2]])</f>
        <v>1</v>
      </c>
    </row>
    <row r="181" spans="1:15" x14ac:dyDescent="0.25">
      <c r="A181">
        <v>57820</v>
      </c>
      <c r="B181" t="s">
        <v>568</v>
      </c>
      <c r="C181" t="s">
        <v>575</v>
      </c>
      <c r="D181" s="46" t="s">
        <v>587</v>
      </c>
      <c r="E181" s="122">
        <v>4385</v>
      </c>
      <c r="F181" t="b">
        <f>IFERROR(Table6[[#This Row],[companyid]]=Sheet3!$N$20,TRUE)</f>
        <v>1</v>
      </c>
      <c r="G181" t="b">
        <f>OR(Worksheet!$D$5="",Worksheet!$D$5=Table6[[#This Row],[categoryname]])</f>
        <v>1</v>
      </c>
      <c r="H181" t="b">
        <f>OR(Worksheet!$D$7="",Worksheet!$D$7=Table6[[#This Row],[Manufacturer]])</f>
        <v>1</v>
      </c>
      <c r="I181" t="b">
        <f>OR(Worksheet!$G$7="",Worksheet!$G$7=Table6[[#This Row],[Model No.]])</f>
        <v>1</v>
      </c>
      <c r="J181" t="b">
        <f>OR(Worksheet!$D$8="",Worksheet!$D$8=Table6[[#This Row],[Serial No.]])</f>
        <v>1</v>
      </c>
      <c r="K181" t="b">
        <f>AND(Table6[[#This Row],[categoryname2]:[SN2]])</f>
        <v>1</v>
      </c>
      <c r="L181" t="b">
        <f>AND(Table6[[#This Row],[companyid2]],Table6[[#This Row],[Manufacturer2]:[SN2]])</f>
        <v>1</v>
      </c>
      <c r="M181" t="b">
        <f>AND(Table6[[#This Row],[companyid2]:[categoryname2]],Table6[[#This Row],[Model2]:[SN2]])</f>
        <v>1</v>
      </c>
      <c r="N181" t="b">
        <f>AND(Table6[[#This Row],[companyid2]:[Manufacturer2]],Table6[[#This Row],[SN2]])</f>
        <v>1</v>
      </c>
      <c r="O181" t="b">
        <f>AND(Table6[[#This Row],[companyid2]:[Model2]])</f>
        <v>1</v>
      </c>
    </row>
    <row r="182" spans="1:15" x14ac:dyDescent="0.25">
      <c r="A182">
        <v>57819</v>
      </c>
      <c r="B182" t="s">
        <v>568</v>
      </c>
      <c r="C182" t="s">
        <v>575</v>
      </c>
      <c r="D182" s="46" t="s">
        <v>587</v>
      </c>
      <c r="E182" s="122">
        <v>4427</v>
      </c>
      <c r="F182" t="b">
        <f>IFERROR(Table6[[#This Row],[companyid]]=Sheet3!$N$20,TRUE)</f>
        <v>1</v>
      </c>
      <c r="G182" t="b">
        <f>OR(Worksheet!$D$5="",Worksheet!$D$5=Table6[[#This Row],[categoryname]])</f>
        <v>1</v>
      </c>
      <c r="H182" t="b">
        <f>OR(Worksheet!$D$7="",Worksheet!$D$7=Table6[[#This Row],[Manufacturer]])</f>
        <v>1</v>
      </c>
      <c r="I182" t="b">
        <f>OR(Worksheet!$G$7="",Worksheet!$G$7=Table6[[#This Row],[Model No.]])</f>
        <v>1</v>
      </c>
      <c r="J182" t="b">
        <f>OR(Worksheet!$D$8="",Worksheet!$D$8=Table6[[#This Row],[Serial No.]])</f>
        <v>1</v>
      </c>
      <c r="K182" t="b">
        <f>AND(Table6[[#This Row],[categoryname2]:[SN2]])</f>
        <v>1</v>
      </c>
      <c r="L182" t="b">
        <f>AND(Table6[[#This Row],[companyid2]],Table6[[#This Row],[Manufacturer2]:[SN2]])</f>
        <v>1</v>
      </c>
      <c r="M182" t="b">
        <f>AND(Table6[[#This Row],[companyid2]:[categoryname2]],Table6[[#This Row],[Model2]:[SN2]])</f>
        <v>1</v>
      </c>
      <c r="N182" t="b">
        <f>AND(Table6[[#This Row],[companyid2]:[Manufacturer2]],Table6[[#This Row],[SN2]])</f>
        <v>1</v>
      </c>
      <c r="O182" t="b">
        <f>AND(Table6[[#This Row],[companyid2]:[Model2]])</f>
        <v>1</v>
      </c>
    </row>
    <row r="183" spans="1:15" x14ac:dyDescent="0.25">
      <c r="A183">
        <v>57819</v>
      </c>
      <c r="B183" t="s">
        <v>568</v>
      </c>
      <c r="C183" t="s">
        <v>575</v>
      </c>
      <c r="D183" s="46" t="s">
        <v>587</v>
      </c>
      <c r="E183" s="122">
        <v>5942</v>
      </c>
      <c r="F183" t="b">
        <f>IFERROR(Table6[[#This Row],[companyid]]=Sheet3!$N$20,TRUE)</f>
        <v>1</v>
      </c>
      <c r="G183" t="b">
        <f>OR(Worksheet!$D$5="",Worksheet!$D$5=Table6[[#This Row],[categoryname]])</f>
        <v>1</v>
      </c>
      <c r="H183" t="b">
        <f>OR(Worksheet!$D$7="",Worksheet!$D$7=Table6[[#This Row],[Manufacturer]])</f>
        <v>1</v>
      </c>
      <c r="I183" t="b">
        <f>OR(Worksheet!$G$7="",Worksheet!$G$7=Table6[[#This Row],[Model No.]])</f>
        <v>1</v>
      </c>
      <c r="J183" t="b">
        <f>OR(Worksheet!$D$8="",Worksheet!$D$8=Table6[[#This Row],[Serial No.]])</f>
        <v>1</v>
      </c>
      <c r="K183" t="b">
        <f>AND(Table6[[#This Row],[categoryname2]:[SN2]])</f>
        <v>1</v>
      </c>
      <c r="L183" t="b">
        <f>AND(Table6[[#This Row],[companyid2]],Table6[[#This Row],[Manufacturer2]:[SN2]])</f>
        <v>1</v>
      </c>
      <c r="M183" t="b">
        <f>AND(Table6[[#This Row],[companyid2]:[categoryname2]],Table6[[#This Row],[Model2]:[SN2]])</f>
        <v>1</v>
      </c>
      <c r="N183" t="b">
        <f>AND(Table6[[#This Row],[companyid2]:[Manufacturer2]],Table6[[#This Row],[SN2]])</f>
        <v>1</v>
      </c>
      <c r="O183" t="b">
        <f>AND(Table6[[#This Row],[companyid2]:[Model2]])</f>
        <v>1</v>
      </c>
    </row>
    <row r="184" spans="1:15" x14ac:dyDescent="0.25">
      <c r="A184">
        <v>57819</v>
      </c>
      <c r="B184" t="s">
        <v>568</v>
      </c>
      <c r="C184" t="s">
        <v>575</v>
      </c>
      <c r="D184" s="46" t="s">
        <v>587</v>
      </c>
      <c r="E184" s="122">
        <v>6579</v>
      </c>
      <c r="F184" t="b">
        <f>IFERROR(Table6[[#This Row],[companyid]]=Sheet3!$N$20,TRUE)</f>
        <v>1</v>
      </c>
      <c r="G184" t="b">
        <f>OR(Worksheet!$D$5="",Worksheet!$D$5=Table6[[#This Row],[categoryname]])</f>
        <v>1</v>
      </c>
      <c r="H184" t="b">
        <f>OR(Worksheet!$D$7="",Worksheet!$D$7=Table6[[#This Row],[Manufacturer]])</f>
        <v>1</v>
      </c>
      <c r="I184" t="b">
        <f>OR(Worksheet!$G$7="",Worksheet!$G$7=Table6[[#This Row],[Model No.]])</f>
        <v>1</v>
      </c>
      <c r="J184" t="b">
        <f>OR(Worksheet!$D$8="",Worksheet!$D$8=Table6[[#This Row],[Serial No.]])</f>
        <v>1</v>
      </c>
      <c r="K184" t="b">
        <f>AND(Table6[[#This Row],[categoryname2]:[SN2]])</f>
        <v>1</v>
      </c>
      <c r="L184" t="b">
        <f>AND(Table6[[#This Row],[companyid2]],Table6[[#This Row],[Manufacturer2]:[SN2]])</f>
        <v>1</v>
      </c>
      <c r="M184" t="b">
        <f>AND(Table6[[#This Row],[companyid2]:[categoryname2]],Table6[[#This Row],[Model2]:[SN2]])</f>
        <v>1</v>
      </c>
      <c r="N184" t="b">
        <f>AND(Table6[[#This Row],[companyid2]:[Manufacturer2]],Table6[[#This Row],[SN2]])</f>
        <v>1</v>
      </c>
      <c r="O184" t="b">
        <f>AND(Table6[[#This Row],[companyid2]:[Model2]])</f>
        <v>1</v>
      </c>
    </row>
    <row r="185" spans="1:15" x14ac:dyDescent="0.25">
      <c r="A185">
        <v>57481</v>
      </c>
      <c r="B185" t="s">
        <v>568</v>
      </c>
      <c r="C185" t="s">
        <v>575</v>
      </c>
      <c r="D185" s="46" t="s">
        <v>587</v>
      </c>
      <c r="E185" s="122" t="s">
        <v>576</v>
      </c>
      <c r="F185" t="b">
        <f>IFERROR(Table6[[#This Row],[companyid]]=Sheet3!$N$20,TRUE)</f>
        <v>1</v>
      </c>
      <c r="G185" t="b">
        <f>OR(Worksheet!$D$5="",Worksheet!$D$5=Table6[[#This Row],[categoryname]])</f>
        <v>1</v>
      </c>
      <c r="H185" t="b">
        <f>OR(Worksheet!$D$7="",Worksheet!$D$7=Table6[[#This Row],[Manufacturer]])</f>
        <v>1</v>
      </c>
      <c r="I185" t="b">
        <f>OR(Worksheet!$G$7="",Worksheet!$G$7=Table6[[#This Row],[Model No.]])</f>
        <v>1</v>
      </c>
      <c r="J185" t="b">
        <f>OR(Worksheet!$D$8="",Worksheet!$D$8=Table6[[#This Row],[Serial No.]])</f>
        <v>1</v>
      </c>
      <c r="K185" t="b">
        <f>AND(Table6[[#This Row],[categoryname2]:[SN2]])</f>
        <v>1</v>
      </c>
      <c r="L185" t="b">
        <f>AND(Table6[[#This Row],[companyid2]],Table6[[#This Row],[Manufacturer2]:[SN2]])</f>
        <v>1</v>
      </c>
      <c r="M185" t="b">
        <f>AND(Table6[[#This Row],[companyid2]:[categoryname2]],Table6[[#This Row],[Model2]:[SN2]])</f>
        <v>1</v>
      </c>
      <c r="N185" t="b">
        <f>AND(Table6[[#This Row],[companyid2]:[Manufacturer2]],Table6[[#This Row],[SN2]])</f>
        <v>1</v>
      </c>
      <c r="O185" t="b">
        <f>AND(Table6[[#This Row],[companyid2]:[Model2]])</f>
        <v>1</v>
      </c>
    </row>
    <row r="186" spans="1:15" x14ac:dyDescent="0.25">
      <c r="A186">
        <v>58227</v>
      </c>
      <c r="B186" t="s">
        <v>568</v>
      </c>
      <c r="C186" t="s">
        <v>1063</v>
      </c>
      <c r="D186" s="46" t="s">
        <v>1215</v>
      </c>
      <c r="E186" s="122">
        <v>1656</v>
      </c>
      <c r="F186" t="b">
        <f>IFERROR(Table6[[#This Row],[companyid]]=Sheet3!$N$20,TRUE)</f>
        <v>1</v>
      </c>
      <c r="G186" t="b">
        <f>OR(Worksheet!$D$5="",Worksheet!$D$5=Table6[[#This Row],[categoryname]])</f>
        <v>1</v>
      </c>
      <c r="H186" t="b">
        <f>OR(Worksheet!$D$7="",Worksheet!$D$7=Table6[[#This Row],[Manufacturer]])</f>
        <v>1</v>
      </c>
      <c r="I186" t="b">
        <f>OR(Worksheet!$G$7="",Worksheet!$G$7=Table6[[#This Row],[Model No.]])</f>
        <v>1</v>
      </c>
      <c r="J186" t="b">
        <f>OR(Worksheet!$D$8="",Worksheet!$D$8=Table6[[#This Row],[Serial No.]])</f>
        <v>1</v>
      </c>
      <c r="K186" t="b">
        <f>AND(Table6[[#This Row],[categoryname2]:[SN2]])</f>
        <v>1</v>
      </c>
      <c r="L186" t="b">
        <f>AND(Table6[[#This Row],[companyid2]],Table6[[#This Row],[Manufacturer2]:[SN2]])</f>
        <v>1</v>
      </c>
      <c r="M186" t="b">
        <f>AND(Table6[[#This Row],[companyid2]:[categoryname2]],Table6[[#This Row],[Model2]:[SN2]])</f>
        <v>1</v>
      </c>
      <c r="N186" t="b">
        <f>AND(Table6[[#This Row],[companyid2]:[Manufacturer2]],Table6[[#This Row],[SN2]])</f>
        <v>1</v>
      </c>
      <c r="O186" t="b">
        <f>AND(Table6[[#This Row],[companyid2]:[Model2]])</f>
        <v>1</v>
      </c>
    </row>
    <row r="187" spans="1:15" x14ac:dyDescent="0.25">
      <c r="A187">
        <v>58227</v>
      </c>
      <c r="B187" t="s">
        <v>568</v>
      </c>
      <c r="C187" t="s">
        <v>1063</v>
      </c>
      <c r="D187" s="46" t="s">
        <v>1160</v>
      </c>
      <c r="E187" s="122">
        <v>5431</v>
      </c>
      <c r="F187" t="b">
        <f>IFERROR(Table6[[#This Row],[companyid]]=Sheet3!$N$20,TRUE)</f>
        <v>1</v>
      </c>
      <c r="G187" t="b">
        <f>OR(Worksheet!$D$5="",Worksheet!$D$5=Table6[[#This Row],[categoryname]])</f>
        <v>1</v>
      </c>
      <c r="H187" t="b">
        <f>OR(Worksheet!$D$7="",Worksheet!$D$7=Table6[[#This Row],[Manufacturer]])</f>
        <v>1</v>
      </c>
      <c r="I187" t="b">
        <f>OR(Worksheet!$G$7="",Worksheet!$G$7=Table6[[#This Row],[Model No.]])</f>
        <v>1</v>
      </c>
      <c r="J187" t="b">
        <f>OR(Worksheet!$D$8="",Worksheet!$D$8=Table6[[#This Row],[Serial No.]])</f>
        <v>1</v>
      </c>
      <c r="K187" t="b">
        <f>AND(Table6[[#This Row],[categoryname2]:[SN2]])</f>
        <v>1</v>
      </c>
      <c r="L187" t="b">
        <f>AND(Table6[[#This Row],[companyid2]],Table6[[#This Row],[Manufacturer2]:[SN2]])</f>
        <v>1</v>
      </c>
      <c r="M187" t="b">
        <f>AND(Table6[[#This Row],[companyid2]:[categoryname2]],Table6[[#This Row],[Model2]:[SN2]])</f>
        <v>1</v>
      </c>
      <c r="N187" t="b">
        <f>AND(Table6[[#This Row],[companyid2]:[Manufacturer2]],Table6[[#This Row],[SN2]])</f>
        <v>1</v>
      </c>
      <c r="O187" t="b">
        <f>AND(Table6[[#This Row],[companyid2]:[Model2]])</f>
        <v>1</v>
      </c>
    </row>
    <row r="188" spans="1:15" x14ac:dyDescent="0.25">
      <c r="A188">
        <v>57273</v>
      </c>
      <c r="B188" t="s">
        <v>568</v>
      </c>
      <c r="C188" t="s">
        <v>1063</v>
      </c>
      <c r="D188" s="46" t="s">
        <v>1044</v>
      </c>
      <c r="E188" s="122">
        <v>7215</v>
      </c>
      <c r="F188" t="b">
        <f>IFERROR(Table6[[#This Row],[companyid]]=Sheet3!$N$20,TRUE)</f>
        <v>1</v>
      </c>
      <c r="G188" t="b">
        <f>OR(Worksheet!$D$5="",Worksheet!$D$5=Table6[[#This Row],[categoryname]])</f>
        <v>1</v>
      </c>
      <c r="H188" t="b">
        <f>OR(Worksheet!$D$7="",Worksheet!$D$7=Table6[[#This Row],[Manufacturer]])</f>
        <v>1</v>
      </c>
      <c r="I188" t="b">
        <f>OR(Worksheet!$G$7="",Worksheet!$G$7=Table6[[#This Row],[Model No.]])</f>
        <v>1</v>
      </c>
      <c r="J188" t="b">
        <f>OR(Worksheet!$D$8="",Worksheet!$D$8=Table6[[#This Row],[Serial No.]])</f>
        <v>1</v>
      </c>
      <c r="K188" t="b">
        <f>AND(Table6[[#This Row],[categoryname2]:[SN2]])</f>
        <v>1</v>
      </c>
      <c r="L188" t="b">
        <f>AND(Table6[[#This Row],[companyid2]],Table6[[#This Row],[Manufacturer2]:[SN2]])</f>
        <v>1</v>
      </c>
      <c r="M188" t="b">
        <f>AND(Table6[[#This Row],[companyid2]:[categoryname2]],Table6[[#This Row],[Model2]:[SN2]])</f>
        <v>1</v>
      </c>
      <c r="N188" t="b">
        <f>AND(Table6[[#This Row],[companyid2]:[Manufacturer2]],Table6[[#This Row],[SN2]])</f>
        <v>1</v>
      </c>
      <c r="O188" t="b">
        <f>AND(Table6[[#This Row],[companyid2]:[Model2]])</f>
        <v>1</v>
      </c>
    </row>
    <row r="189" spans="1:15" x14ac:dyDescent="0.25">
      <c r="A189">
        <v>57408</v>
      </c>
      <c r="B189" t="s">
        <v>568</v>
      </c>
      <c r="C189" t="s">
        <v>1077</v>
      </c>
      <c r="D189" s="46" t="s">
        <v>1172</v>
      </c>
      <c r="E189" s="122">
        <v>1664</v>
      </c>
      <c r="F189" t="b">
        <f>IFERROR(Table6[[#This Row],[companyid]]=Sheet3!$N$20,TRUE)</f>
        <v>1</v>
      </c>
      <c r="G189" t="b">
        <f>OR(Worksheet!$D$5="",Worksheet!$D$5=Table6[[#This Row],[categoryname]])</f>
        <v>1</v>
      </c>
      <c r="H189" t="b">
        <f>OR(Worksheet!$D$7="",Worksheet!$D$7=Table6[[#This Row],[Manufacturer]])</f>
        <v>1</v>
      </c>
      <c r="I189" t="b">
        <f>OR(Worksheet!$G$7="",Worksheet!$G$7=Table6[[#This Row],[Model No.]])</f>
        <v>1</v>
      </c>
      <c r="J189" t="b">
        <f>OR(Worksheet!$D$8="",Worksheet!$D$8=Table6[[#This Row],[Serial No.]])</f>
        <v>1</v>
      </c>
      <c r="K189" t="b">
        <f>AND(Table6[[#This Row],[categoryname2]:[SN2]])</f>
        <v>1</v>
      </c>
      <c r="L189" t="b">
        <f>AND(Table6[[#This Row],[companyid2]],Table6[[#This Row],[Manufacturer2]:[SN2]])</f>
        <v>1</v>
      </c>
      <c r="M189" t="b">
        <f>AND(Table6[[#This Row],[companyid2]:[categoryname2]],Table6[[#This Row],[Model2]:[SN2]])</f>
        <v>1</v>
      </c>
      <c r="N189" t="b">
        <f>AND(Table6[[#This Row],[companyid2]:[Manufacturer2]],Table6[[#This Row],[SN2]])</f>
        <v>1</v>
      </c>
      <c r="O189" t="b">
        <f>AND(Table6[[#This Row],[companyid2]:[Model2]])</f>
        <v>1</v>
      </c>
    </row>
    <row r="190" spans="1:15" x14ac:dyDescent="0.25">
      <c r="A190">
        <v>57790</v>
      </c>
      <c r="B190" t="s">
        <v>568</v>
      </c>
      <c r="C190" t="s">
        <v>1077</v>
      </c>
      <c r="D190" s="46" t="s">
        <v>1044</v>
      </c>
      <c r="E190" s="122" t="s">
        <v>1100</v>
      </c>
      <c r="F190" t="b">
        <f>IFERROR(Table6[[#This Row],[companyid]]=Sheet3!$N$20,TRUE)</f>
        <v>1</v>
      </c>
      <c r="G190" t="b">
        <f>OR(Worksheet!$D$5="",Worksheet!$D$5=Table6[[#This Row],[categoryname]])</f>
        <v>1</v>
      </c>
      <c r="H190" t="b">
        <f>OR(Worksheet!$D$7="",Worksheet!$D$7=Table6[[#This Row],[Manufacturer]])</f>
        <v>1</v>
      </c>
      <c r="I190" t="b">
        <f>OR(Worksheet!$G$7="",Worksheet!$G$7=Table6[[#This Row],[Model No.]])</f>
        <v>1</v>
      </c>
      <c r="J190" t="b">
        <f>OR(Worksheet!$D$8="",Worksheet!$D$8=Table6[[#This Row],[Serial No.]])</f>
        <v>1</v>
      </c>
      <c r="K190" t="b">
        <f>AND(Table6[[#This Row],[categoryname2]:[SN2]])</f>
        <v>1</v>
      </c>
      <c r="L190" t="b">
        <f>AND(Table6[[#This Row],[companyid2]],Table6[[#This Row],[Manufacturer2]:[SN2]])</f>
        <v>1</v>
      </c>
      <c r="M190" t="b">
        <f>AND(Table6[[#This Row],[companyid2]:[categoryname2]],Table6[[#This Row],[Model2]:[SN2]])</f>
        <v>1</v>
      </c>
      <c r="N190" t="b">
        <f>AND(Table6[[#This Row],[companyid2]:[Manufacturer2]],Table6[[#This Row],[SN2]])</f>
        <v>1</v>
      </c>
      <c r="O190" t="b">
        <f>AND(Table6[[#This Row],[companyid2]:[Model2]])</f>
        <v>1</v>
      </c>
    </row>
    <row r="191" spans="1:15" x14ac:dyDescent="0.25">
      <c r="A191">
        <v>57790</v>
      </c>
      <c r="B191" t="s">
        <v>568</v>
      </c>
      <c r="C191" t="s">
        <v>1077</v>
      </c>
      <c r="D191" s="46" t="s">
        <v>1044</v>
      </c>
      <c r="E191" s="122" t="s">
        <v>1101</v>
      </c>
      <c r="F191" t="b">
        <f>IFERROR(Table6[[#This Row],[companyid]]=Sheet3!$N$20,TRUE)</f>
        <v>1</v>
      </c>
      <c r="G191" t="b">
        <f>OR(Worksheet!$D$5="",Worksheet!$D$5=Table6[[#This Row],[categoryname]])</f>
        <v>1</v>
      </c>
      <c r="H191" t="b">
        <f>OR(Worksheet!$D$7="",Worksheet!$D$7=Table6[[#This Row],[Manufacturer]])</f>
        <v>1</v>
      </c>
      <c r="I191" t="b">
        <f>OR(Worksheet!$G$7="",Worksheet!$G$7=Table6[[#This Row],[Model No.]])</f>
        <v>1</v>
      </c>
      <c r="J191" t="b">
        <f>OR(Worksheet!$D$8="",Worksheet!$D$8=Table6[[#This Row],[Serial No.]])</f>
        <v>1</v>
      </c>
      <c r="K191" t="b">
        <f>AND(Table6[[#This Row],[categoryname2]:[SN2]])</f>
        <v>1</v>
      </c>
      <c r="L191" t="b">
        <f>AND(Table6[[#This Row],[companyid2]],Table6[[#This Row],[Manufacturer2]:[SN2]])</f>
        <v>1</v>
      </c>
      <c r="M191" t="b">
        <f>AND(Table6[[#This Row],[companyid2]:[categoryname2]],Table6[[#This Row],[Model2]:[SN2]])</f>
        <v>1</v>
      </c>
      <c r="N191" t="b">
        <f>AND(Table6[[#This Row],[companyid2]:[Manufacturer2]],Table6[[#This Row],[SN2]])</f>
        <v>1</v>
      </c>
      <c r="O191" t="b">
        <f>AND(Table6[[#This Row],[companyid2]:[Model2]])</f>
        <v>1</v>
      </c>
    </row>
    <row r="192" spans="1:15" x14ac:dyDescent="0.25">
      <c r="A192">
        <v>57948</v>
      </c>
      <c r="B192" t="s">
        <v>568</v>
      </c>
      <c r="C192" t="s">
        <v>1077</v>
      </c>
      <c r="D192" s="46" t="s">
        <v>1195</v>
      </c>
      <c r="E192" s="122">
        <v>537</v>
      </c>
      <c r="F192" t="b">
        <f>IFERROR(Table6[[#This Row],[companyid]]=Sheet3!$N$20,TRUE)</f>
        <v>1</v>
      </c>
      <c r="G192" t="b">
        <f>OR(Worksheet!$D$5="",Worksheet!$D$5=Table6[[#This Row],[categoryname]])</f>
        <v>1</v>
      </c>
      <c r="H192" t="b">
        <f>OR(Worksheet!$D$7="",Worksheet!$D$7=Table6[[#This Row],[Manufacturer]])</f>
        <v>1</v>
      </c>
      <c r="I192" t="b">
        <f>OR(Worksheet!$G$7="",Worksheet!$G$7=Table6[[#This Row],[Model No.]])</f>
        <v>1</v>
      </c>
      <c r="J192" t="b">
        <f>OR(Worksheet!$D$8="",Worksheet!$D$8=Table6[[#This Row],[Serial No.]])</f>
        <v>1</v>
      </c>
      <c r="K192" t="b">
        <f>AND(Table6[[#This Row],[categoryname2]:[SN2]])</f>
        <v>1</v>
      </c>
      <c r="L192" t="b">
        <f>AND(Table6[[#This Row],[companyid2]],Table6[[#This Row],[Manufacturer2]:[SN2]])</f>
        <v>1</v>
      </c>
      <c r="M192" t="b">
        <f>AND(Table6[[#This Row],[companyid2]:[categoryname2]],Table6[[#This Row],[Model2]:[SN2]])</f>
        <v>1</v>
      </c>
      <c r="N192" t="b">
        <f>AND(Table6[[#This Row],[companyid2]:[Manufacturer2]],Table6[[#This Row],[SN2]])</f>
        <v>1</v>
      </c>
      <c r="O192" t="b">
        <f>AND(Table6[[#This Row],[companyid2]:[Model2]])</f>
        <v>1</v>
      </c>
    </row>
    <row r="193" spans="1:15" x14ac:dyDescent="0.25">
      <c r="A193">
        <v>57534</v>
      </c>
      <c r="B193" t="s">
        <v>568</v>
      </c>
      <c r="C193" t="s">
        <v>1077</v>
      </c>
      <c r="D193" s="46" t="s">
        <v>1183</v>
      </c>
      <c r="E193" s="122" t="s">
        <v>1091</v>
      </c>
      <c r="F193" t="b">
        <f>IFERROR(Table6[[#This Row],[companyid]]=Sheet3!$N$20,TRUE)</f>
        <v>1</v>
      </c>
      <c r="G193" t="b">
        <f>OR(Worksheet!$D$5="",Worksheet!$D$5=Table6[[#This Row],[categoryname]])</f>
        <v>1</v>
      </c>
      <c r="H193" t="b">
        <f>OR(Worksheet!$D$7="",Worksheet!$D$7=Table6[[#This Row],[Manufacturer]])</f>
        <v>1</v>
      </c>
      <c r="I193" t="b">
        <f>OR(Worksheet!$G$7="",Worksheet!$G$7=Table6[[#This Row],[Model No.]])</f>
        <v>1</v>
      </c>
      <c r="J193" t="b">
        <f>OR(Worksheet!$D$8="",Worksheet!$D$8=Table6[[#This Row],[Serial No.]])</f>
        <v>1</v>
      </c>
      <c r="K193" t="b">
        <f>AND(Table6[[#This Row],[categoryname2]:[SN2]])</f>
        <v>1</v>
      </c>
      <c r="L193" t="b">
        <f>AND(Table6[[#This Row],[companyid2]],Table6[[#This Row],[Manufacturer2]:[SN2]])</f>
        <v>1</v>
      </c>
      <c r="M193" t="b">
        <f>AND(Table6[[#This Row],[companyid2]:[categoryname2]],Table6[[#This Row],[Model2]:[SN2]])</f>
        <v>1</v>
      </c>
      <c r="N193" t="b">
        <f>AND(Table6[[#This Row],[companyid2]:[Manufacturer2]],Table6[[#This Row],[SN2]])</f>
        <v>1</v>
      </c>
      <c r="O193" t="b">
        <f>AND(Table6[[#This Row],[companyid2]:[Model2]])</f>
        <v>1</v>
      </c>
    </row>
    <row r="194" spans="1:15" x14ac:dyDescent="0.25">
      <c r="A194">
        <v>57534</v>
      </c>
      <c r="B194" t="s">
        <v>568</v>
      </c>
      <c r="C194" t="s">
        <v>1077</v>
      </c>
      <c r="D194" s="46" t="s">
        <v>1183</v>
      </c>
      <c r="E194" s="122" t="s">
        <v>1092</v>
      </c>
      <c r="F194" t="b">
        <f>IFERROR(Table6[[#This Row],[companyid]]=Sheet3!$N$20,TRUE)</f>
        <v>1</v>
      </c>
      <c r="G194" t="b">
        <f>OR(Worksheet!$D$5="",Worksheet!$D$5=Table6[[#This Row],[categoryname]])</f>
        <v>1</v>
      </c>
      <c r="H194" t="b">
        <f>OR(Worksheet!$D$7="",Worksheet!$D$7=Table6[[#This Row],[Manufacturer]])</f>
        <v>1</v>
      </c>
      <c r="I194" t="b">
        <f>OR(Worksheet!$G$7="",Worksheet!$G$7=Table6[[#This Row],[Model No.]])</f>
        <v>1</v>
      </c>
      <c r="J194" t="b">
        <f>OR(Worksheet!$D$8="",Worksheet!$D$8=Table6[[#This Row],[Serial No.]])</f>
        <v>1</v>
      </c>
      <c r="K194" t="b">
        <f>AND(Table6[[#This Row],[categoryname2]:[SN2]])</f>
        <v>1</v>
      </c>
      <c r="L194" t="b">
        <f>AND(Table6[[#This Row],[companyid2]],Table6[[#This Row],[Manufacturer2]:[SN2]])</f>
        <v>1</v>
      </c>
      <c r="M194" t="b">
        <f>AND(Table6[[#This Row],[companyid2]:[categoryname2]],Table6[[#This Row],[Model2]:[SN2]])</f>
        <v>1</v>
      </c>
      <c r="N194" t="b">
        <f>AND(Table6[[#This Row],[companyid2]:[Manufacturer2]],Table6[[#This Row],[SN2]])</f>
        <v>1</v>
      </c>
      <c r="O194" t="b">
        <f>AND(Table6[[#This Row],[companyid2]:[Model2]])</f>
        <v>1</v>
      </c>
    </row>
    <row r="195" spans="1:15" x14ac:dyDescent="0.25">
      <c r="A195">
        <v>58060</v>
      </c>
      <c r="B195" t="s">
        <v>568</v>
      </c>
      <c r="C195" t="s">
        <v>1121</v>
      </c>
      <c r="D195" s="46" t="s">
        <v>1202</v>
      </c>
      <c r="E195" s="122">
        <v>20050401004</v>
      </c>
      <c r="F195" t="b">
        <f>IFERROR(Table6[[#This Row],[companyid]]=Sheet3!$N$20,TRUE)</f>
        <v>1</v>
      </c>
      <c r="G195" t="b">
        <f>OR(Worksheet!$D$5="",Worksheet!$D$5=Table6[[#This Row],[categoryname]])</f>
        <v>1</v>
      </c>
      <c r="H195" t="b">
        <f>OR(Worksheet!$D$7="",Worksheet!$D$7=Table6[[#This Row],[Manufacturer]])</f>
        <v>1</v>
      </c>
      <c r="I195" t="b">
        <f>OR(Worksheet!$G$7="",Worksheet!$G$7=Table6[[#This Row],[Model No.]])</f>
        <v>1</v>
      </c>
      <c r="J195" t="b">
        <f>OR(Worksheet!$D$8="",Worksheet!$D$8=Table6[[#This Row],[Serial No.]])</f>
        <v>1</v>
      </c>
      <c r="K195" t="b">
        <f>AND(Table6[[#This Row],[categoryname2]:[SN2]])</f>
        <v>1</v>
      </c>
      <c r="L195" t="b">
        <f>AND(Table6[[#This Row],[companyid2]],Table6[[#This Row],[Manufacturer2]:[SN2]])</f>
        <v>1</v>
      </c>
      <c r="M195" t="b">
        <f>AND(Table6[[#This Row],[companyid2]:[categoryname2]],Table6[[#This Row],[Model2]:[SN2]])</f>
        <v>1</v>
      </c>
      <c r="N195" t="b">
        <f>AND(Table6[[#This Row],[companyid2]:[Manufacturer2]],Table6[[#This Row],[SN2]])</f>
        <v>1</v>
      </c>
      <c r="O195" t="b">
        <f>AND(Table6[[#This Row],[companyid2]:[Model2]])</f>
        <v>1</v>
      </c>
    </row>
    <row r="196" spans="1:15" x14ac:dyDescent="0.25">
      <c r="A196">
        <v>57835</v>
      </c>
      <c r="B196" t="s">
        <v>568</v>
      </c>
      <c r="C196" t="s">
        <v>1103</v>
      </c>
      <c r="D196" s="46" t="s">
        <v>1218</v>
      </c>
      <c r="E196" s="122">
        <v>2219</v>
      </c>
      <c r="F196" t="b">
        <f>IFERROR(Table6[[#This Row],[companyid]]=Sheet3!$N$20,TRUE)</f>
        <v>1</v>
      </c>
      <c r="G196" t="b">
        <f>OR(Worksheet!$D$5="",Worksheet!$D$5=Table6[[#This Row],[categoryname]])</f>
        <v>1</v>
      </c>
      <c r="H196" t="b">
        <f>OR(Worksheet!$D$7="",Worksheet!$D$7=Table6[[#This Row],[Manufacturer]])</f>
        <v>1</v>
      </c>
      <c r="I196" t="b">
        <f>OR(Worksheet!$G$7="",Worksheet!$G$7=Table6[[#This Row],[Model No.]])</f>
        <v>1</v>
      </c>
      <c r="J196" t="b">
        <f>OR(Worksheet!$D$8="",Worksheet!$D$8=Table6[[#This Row],[Serial No.]])</f>
        <v>1</v>
      </c>
      <c r="K196" t="b">
        <f>AND(Table6[[#This Row],[categoryname2]:[SN2]])</f>
        <v>1</v>
      </c>
      <c r="L196" t="b">
        <f>AND(Table6[[#This Row],[companyid2]],Table6[[#This Row],[Manufacturer2]:[SN2]])</f>
        <v>1</v>
      </c>
      <c r="M196" t="b">
        <f>AND(Table6[[#This Row],[companyid2]:[categoryname2]],Table6[[#This Row],[Model2]:[SN2]])</f>
        <v>1</v>
      </c>
      <c r="N196" t="b">
        <f>AND(Table6[[#This Row],[companyid2]:[Manufacturer2]],Table6[[#This Row],[SN2]])</f>
        <v>1</v>
      </c>
      <c r="O196" t="b">
        <f>AND(Table6[[#This Row],[companyid2]:[Model2]])</f>
        <v>1</v>
      </c>
    </row>
    <row r="197" spans="1:15" x14ac:dyDescent="0.25">
      <c r="A197">
        <v>57812</v>
      </c>
      <c r="B197" t="s">
        <v>568</v>
      </c>
      <c r="C197" t="s">
        <v>1103</v>
      </c>
      <c r="D197" s="46" t="s">
        <v>1104</v>
      </c>
      <c r="E197" s="122">
        <v>1726</v>
      </c>
      <c r="F197" t="b">
        <f>IFERROR(Table6[[#This Row],[companyid]]=Sheet3!$N$20,TRUE)</f>
        <v>1</v>
      </c>
      <c r="G197" t="b">
        <f>OR(Worksheet!$D$5="",Worksheet!$D$5=Table6[[#This Row],[categoryname]])</f>
        <v>1</v>
      </c>
      <c r="H197" t="b">
        <f>OR(Worksheet!$D$7="",Worksheet!$D$7=Table6[[#This Row],[Manufacturer]])</f>
        <v>1</v>
      </c>
      <c r="I197" t="b">
        <f>OR(Worksheet!$G$7="",Worksheet!$G$7=Table6[[#This Row],[Model No.]])</f>
        <v>1</v>
      </c>
      <c r="J197" t="b">
        <f>OR(Worksheet!$D$8="",Worksheet!$D$8=Table6[[#This Row],[Serial No.]])</f>
        <v>1</v>
      </c>
      <c r="K197" t="b">
        <f>AND(Table6[[#This Row],[categoryname2]:[SN2]])</f>
        <v>1</v>
      </c>
      <c r="L197" t="b">
        <f>AND(Table6[[#This Row],[companyid2]],Table6[[#This Row],[Manufacturer2]:[SN2]])</f>
        <v>1</v>
      </c>
      <c r="M197" t="b">
        <f>AND(Table6[[#This Row],[companyid2]:[categoryname2]],Table6[[#This Row],[Model2]:[SN2]])</f>
        <v>1</v>
      </c>
      <c r="N197" t="b">
        <f>AND(Table6[[#This Row],[companyid2]:[Manufacturer2]],Table6[[#This Row],[SN2]])</f>
        <v>1</v>
      </c>
      <c r="O197" t="b">
        <f>AND(Table6[[#This Row],[companyid2]:[Model2]])</f>
        <v>1</v>
      </c>
    </row>
    <row r="198" spans="1:15" x14ac:dyDescent="0.25">
      <c r="A198">
        <v>57146</v>
      </c>
      <c r="B198" t="s">
        <v>568</v>
      </c>
      <c r="C198" t="s">
        <v>1053</v>
      </c>
      <c r="D198" s="46" t="s">
        <v>1044</v>
      </c>
      <c r="E198" s="122">
        <v>1816</v>
      </c>
      <c r="F198" t="b">
        <f>IFERROR(Table6[[#This Row],[companyid]]=Sheet3!$N$20,TRUE)</f>
        <v>1</v>
      </c>
      <c r="G198" t="b">
        <f>OR(Worksheet!$D$5="",Worksheet!$D$5=Table6[[#This Row],[categoryname]])</f>
        <v>1</v>
      </c>
      <c r="H198" t="b">
        <f>OR(Worksheet!$D$7="",Worksheet!$D$7=Table6[[#This Row],[Manufacturer]])</f>
        <v>1</v>
      </c>
      <c r="I198" t="b">
        <f>OR(Worksheet!$G$7="",Worksheet!$G$7=Table6[[#This Row],[Model No.]])</f>
        <v>1</v>
      </c>
      <c r="J198" t="b">
        <f>OR(Worksheet!$D$8="",Worksheet!$D$8=Table6[[#This Row],[Serial No.]])</f>
        <v>1</v>
      </c>
      <c r="K198" t="b">
        <f>AND(Table6[[#This Row],[categoryname2]:[SN2]])</f>
        <v>1</v>
      </c>
      <c r="L198" t="b">
        <f>AND(Table6[[#This Row],[companyid2]],Table6[[#This Row],[Manufacturer2]:[SN2]])</f>
        <v>1</v>
      </c>
      <c r="M198" t="b">
        <f>AND(Table6[[#This Row],[companyid2]:[categoryname2]],Table6[[#This Row],[Model2]:[SN2]])</f>
        <v>1</v>
      </c>
      <c r="N198" t="b">
        <f>AND(Table6[[#This Row],[companyid2]:[Manufacturer2]],Table6[[#This Row],[SN2]])</f>
        <v>1</v>
      </c>
      <c r="O198" t="b">
        <f>AND(Table6[[#This Row],[companyid2]:[Model2]])</f>
        <v>1</v>
      </c>
    </row>
    <row r="199" spans="1:15" x14ac:dyDescent="0.25">
      <c r="A199">
        <v>57416</v>
      </c>
      <c r="B199" t="s">
        <v>568</v>
      </c>
      <c r="C199" t="s">
        <v>568</v>
      </c>
      <c r="D199" s="46" t="s">
        <v>1044</v>
      </c>
      <c r="E199" s="122" t="s">
        <v>1079</v>
      </c>
      <c r="F199" t="b">
        <f>IFERROR(Table6[[#This Row],[companyid]]=Sheet3!$N$20,TRUE)</f>
        <v>1</v>
      </c>
      <c r="G199" t="b">
        <f>OR(Worksheet!$D$5="",Worksheet!$D$5=Table6[[#This Row],[categoryname]])</f>
        <v>1</v>
      </c>
      <c r="H199" t="b">
        <f>OR(Worksheet!$D$7="",Worksheet!$D$7=Table6[[#This Row],[Manufacturer]])</f>
        <v>1</v>
      </c>
      <c r="I199" t="b">
        <f>OR(Worksheet!$G$7="",Worksheet!$G$7=Table6[[#This Row],[Model No.]])</f>
        <v>1</v>
      </c>
      <c r="J199" t="b">
        <f>OR(Worksheet!$D$8="",Worksheet!$D$8=Table6[[#This Row],[Serial No.]])</f>
        <v>1</v>
      </c>
      <c r="K199" t="b">
        <f>AND(Table6[[#This Row],[categoryname2]:[SN2]])</f>
        <v>1</v>
      </c>
      <c r="L199" t="b">
        <f>AND(Table6[[#This Row],[companyid2]],Table6[[#This Row],[Manufacturer2]:[SN2]])</f>
        <v>1</v>
      </c>
      <c r="M199" t="b">
        <f>AND(Table6[[#This Row],[companyid2]:[categoryname2]],Table6[[#This Row],[Model2]:[SN2]])</f>
        <v>1</v>
      </c>
      <c r="N199" t="b">
        <f>AND(Table6[[#This Row],[companyid2]:[Manufacturer2]],Table6[[#This Row],[SN2]])</f>
        <v>1</v>
      </c>
      <c r="O199" t="b">
        <f>AND(Table6[[#This Row],[companyid2]:[Model2]])</f>
        <v>1</v>
      </c>
    </row>
    <row r="200" spans="1:15" x14ac:dyDescent="0.25">
      <c r="A200">
        <v>58142</v>
      </c>
      <c r="B200" t="s">
        <v>568</v>
      </c>
      <c r="C200" t="s">
        <v>1048</v>
      </c>
      <c r="D200" s="46" t="s">
        <v>1211</v>
      </c>
      <c r="E200" s="122">
        <v>25275</v>
      </c>
      <c r="F200" t="b">
        <f>IFERROR(Table6[[#This Row],[companyid]]=Sheet3!$N$20,TRUE)</f>
        <v>1</v>
      </c>
      <c r="G200" t="b">
        <f>OR(Worksheet!$D$5="",Worksheet!$D$5=Table6[[#This Row],[categoryname]])</f>
        <v>1</v>
      </c>
      <c r="H200" t="b">
        <f>OR(Worksheet!$D$7="",Worksheet!$D$7=Table6[[#This Row],[Manufacturer]])</f>
        <v>1</v>
      </c>
      <c r="I200" t="b">
        <f>OR(Worksheet!$G$7="",Worksheet!$G$7=Table6[[#This Row],[Model No.]])</f>
        <v>1</v>
      </c>
      <c r="J200" t="b">
        <f>OR(Worksheet!$D$8="",Worksheet!$D$8=Table6[[#This Row],[Serial No.]])</f>
        <v>1</v>
      </c>
      <c r="K200" t="b">
        <f>AND(Table6[[#This Row],[categoryname2]:[SN2]])</f>
        <v>1</v>
      </c>
      <c r="L200" t="b">
        <f>AND(Table6[[#This Row],[companyid2]],Table6[[#This Row],[Manufacturer2]:[SN2]])</f>
        <v>1</v>
      </c>
      <c r="M200" t="b">
        <f>AND(Table6[[#This Row],[companyid2]:[categoryname2]],Table6[[#This Row],[Model2]:[SN2]])</f>
        <v>1</v>
      </c>
      <c r="N200" t="b">
        <f>AND(Table6[[#This Row],[companyid2]:[Manufacturer2]],Table6[[#This Row],[SN2]])</f>
        <v>1</v>
      </c>
      <c r="O200" t="b">
        <f>AND(Table6[[#This Row],[companyid2]:[Model2]])</f>
        <v>1</v>
      </c>
    </row>
    <row r="201" spans="1:15" x14ac:dyDescent="0.25">
      <c r="A201">
        <v>57114</v>
      </c>
      <c r="B201" t="s">
        <v>568</v>
      </c>
      <c r="C201" t="s">
        <v>1048</v>
      </c>
      <c r="D201" s="46" t="s">
        <v>1154</v>
      </c>
      <c r="E201" s="122">
        <v>20257</v>
      </c>
      <c r="F201" t="b">
        <f>IFERROR(Table6[[#This Row],[companyid]]=Sheet3!$N$20,TRUE)</f>
        <v>1</v>
      </c>
      <c r="G201" t="b">
        <f>OR(Worksheet!$D$5="",Worksheet!$D$5=Table6[[#This Row],[categoryname]])</f>
        <v>1</v>
      </c>
      <c r="H201" t="b">
        <f>OR(Worksheet!$D$7="",Worksheet!$D$7=Table6[[#This Row],[Manufacturer]])</f>
        <v>1</v>
      </c>
      <c r="I201" t="b">
        <f>OR(Worksheet!$G$7="",Worksheet!$G$7=Table6[[#This Row],[Model No.]])</f>
        <v>1</v>
      </c>
      <c r="J201" t="b">
        <f>OR(Worksheet!$D$8="",Worksheet!$D$8=Table6[[#This Row],[Serial No.]])</f>
        <v>1</v>
      </c>
      <c r="K201" t="b">
        <f>AND(Table6[[#This Row],[categoryname2]:[SN2]])</f>
        <v>1</v>
      </c>
      <c r="L201" t="b">
        <f>AND(Table6[[#This Row],[companyid2]],Table6[[#This Row],[Manufacturer2]:[SN2]])</f>
        <v>1</v>
      </c>
      <c r="M201" t="b">
        <f>AND(Table6[[#This Row],[companyid2]:[categoryname2]],Table6[[#This Row],[Model2]:[SN2]])</f>
        <v>1</v>
      </c>
      <c r="N201" t="b">
        <f>AND(Table6[[#This Row],[companyid2]:[Manufacturer2]],Table6[[#This Row],[SN2]])</f>
        <v>1</v>
      </c>
      <c r="O201" t="b">
        <f>AND(Table6[[#This Row],[companyid2]:[Model2]])</f>
        <v>1</v>
      </c>
    </row>
    <row r="202" spans="1:15" x14ac:dyDescent="0.25">
      <c r="A202">
        <v>57416</v>
      </c>
      <c r="B202" t="s">
        <v>568</v>
      </c>
      <c r="C202" t="s">
        <v>1080</v>
      </c>
      <c r="D202" s="46" t="s">
        <v>1159</v>
      </c>
      <c r="E202" s="122" t="s">
        <v>1081</v>
      </c>
      <c r="F202" t="b">
        <f>IFERROR(Table6[[#This Row],[companyid]]=Sheet3!$N$20,TRUE)</f>
        <v>1</v>
      </c>
      <c r="G202" t="b">
        <f>OR(Worksheet!$D$5="",Worksheet!$D$5=Table6[[#This Row],[categoryname]])</f>
        <v>1</v>
      </c>
      <c r="H202" t="b">
        <f>OR(Worksheet!$D$7="",Worksheet!$D$7=Table6[[#This Row],[Manufacturer]])</f>
        <v>1</v>
      </c>
      <c r="I202" t="b">
        <f>OR(Worksheet!$G$7="",Worksheet!$G$7=Table6[[#This Row],[Model No.]])</f>
        <v>1</v>
      </c>
      <c r="J202" t="b">
        <f>OR(Worksheet!$D$8="",Worksheet!$D$8=Table6[[#This Row],[Serial No.]])</f>
        <v>1</v>
      </c>
      <c r="K202" t="b">
        <f>AND(Table6[[#This Row],[categoryname2]:[SN2]])</f>
        <v>1</v>
      </c>
      <c r="L202" t="b">
        <f>AND(Table6[[#This Row],[companyid2]],Table6[[#This Row],[Manufacturer2]:[SN2]])</f>
        <v>1</v>
      </c>
      <c r="M202" t="b">
        <f>AND(Table6[[#This Row],[companyid2]:[categoryname2]],Table6[[#This Row],[Model2]:[SN2]])</f>
        <v>1</v>
      </c>
      <c r="N202" t="b">
        <f>AND(Table6[[#This Row],[companyid2]:[Manufacturer2]],Table6[[#This Row],[SN2]])</f>
        <v>1</v>
      </c>
      <c r="O202" t="b">
        <f>AND(Table6[[#This Row],[companyid2]:[Model2]])</f>
        <v>1</v>
      </c>
    </row>
    <row r="203" spans="1:15" x14ac:dyDescent="0.25">
      <c r="A203">
        <v>57177</v>
      </c>
      <c r="B203" t="s">
        <v>568</v>
      </c>
      <c r="C203" t="s">
        <v>1057</v>
      </c>
      <c r="D203" s="46" t="s">
        <v>1158</v>
      </c>
      <c r="E203" s="122">
        <v>5531</v>
      </c>
      <c r="F203" t="b">
        <f>IFERROR(Table6[[#This Row],[companyid]]=Sheet3!$N$20,TRUE)</f>
        <v>1</v>
      </c>
      <c r="G203" t="b">
        <f>OR(Worksheet!$D$5="",Worksheet!$D$5=Table6[[#This Row],[categoryname]])</f>
        <v>1</v>
      </c>
      <c r="H203" t="b">
        <f>OR(Worksheet!$D$7="",Worksheet!$D$7=Table6[[#This Row],[Manufacturer]])</f>
        <v>1</v>
      </c>
      <c r="I203" t="b">
        <f>OR(Worksheet!$G$7="",Worksheet!$G$7=Table6[[#This Row],[Model No.]])</f>
        <v>1</v>
      </c>
      <c r="J203" t="b">
        <f>OR(Worksheet!$D$8="",Worksheet!$D$8=Table6[[#This Row],[Serial No.]])</f>
        <v>1</v>
      </c>
      <c r="K203" t="b">
        <f>AND(Table6[[#This Row],[categoryname2]:[SN2]])</f>
        <v>1</v>
      </c>
      <c r="L203" t="b">
        <f>AND(Table6[[#This Row],[companyid2]],Table6[[#This Row],[Manufacturer2]:[SN2]])</f>
        <v>1</v>
      </c>
      <c r="M203" t="b">
        <f>AND(Table6[[#This Row],[companyid2]:[categoryname2]],Table6[[#This Row],[Model2]:[SN2]])</f>
        <v>1</v>
      </c>
      <c r="N203" t="b">
        <f>AND(Table6[[#This Row],[companyid2]:[Manufacturer2]],Table6[[#This Row],[SN2]])</f>
        <v>1</v>
      </c>
      <c r="O203" t="b">
        <f>AND(Table6[[#This Row],[companyid2]:[Model2]])</f>
        <v>1</v>
      </c>
    </row>
    <row r="204" spans="1:15" x14ac:dyDescent="0.25">
      <c r="A204">
        <v>57240</v>
      </c>
      <c r="B204" t="s">
        <v>568</v>
      </c>
      <c r="C204" t="s">
        <v>623</v>
      </c>
      <c r="D204" s="46">
        <v>3814</v>
      </c>
      <c r="E204" s="122">
        <v>8975</v>
      </c>
      <c r="F204" t="b">
        <f>IFERROR(Table6[[#This Row],[companyid]]=Sheet3!$N$20,TRUE)</f>
        <v>1</v>
      </c>
      <c r="G204" t="b">
        <f>OR(Worksheet!$D$5="",Worksheet!$D$5=Table6[[#This Row],[categoryname]])</f>
        <v>1</v>
      </c>
      <c r="H204" t="b">
        <f>OR(Worksheet!$D$7="",Worksheet!$D$7=Table6[[#This Row],[Manufacturer]])</f>
        <v>1</v>
      </c>
      <c r="I204" t="b">
        <f>OR(Worksheet!$G$7="",Worksheet!$G$7=Table6[[#This Row],[Model No.]])</f>
        <v>1</v>
      </c>
      <c r="J204" t="b">
        <f>OR(Worksheet!$D$8="",Worksheet!$D$8=Table6[[#This Row],[Serial No.]])</f>
        <v>1</v>
      </c>
      <c r="K204" t="b">
        <f>AND(Table6[[#This Row],[categoryname2]:[SN2]])</f>
        <v>1</v>
      </c>
      <c r="L204" t="b">
        <f>AND(Table6[[#This Row],[companyid2]],Table6[[#This Row],[Manufacturer2]:[SN2]])</f>
        <v>1</v>
      </c>
      <c r="M204" t="b">
        <f>AND(Table6[[#This Row],[companyid2]:[categoryname2]],Table6[[#This Row],[Model2]:[SN2]])</f>
        <v>1</v>
      </c>
      <c r="N204" t="b">
        <f>AND(Table6[[#This Row],[companyid2]:[Manufacturer2]],Table6[[#This Row],[SN2]])</f>
        <v>1</v>
      </c>
      <c r="O204" t="b">
        <f>AND(Table6[[#This Row],[companyid2]:[Model2]])</f>
        <v>1</v>
      </c>
    </row>
    <row r="205" spans="1:15" x14ac:dyDescent="0.25">
      <c r="A205">
        <v>58115</v>
      </c>
      <c r="B205" t="s">
        <v>568</v>
      </c>
      <c r="C205" t="s">
        <v>623</v>
      </c>
      <c r="D205" s="46">
        <v>3814</v>
      </c>
      <c r="E205" s="122">
        <v>16870</v>
      </c>
      <c r="F205" t="b">
        <f>IFERROR(Table6[[#This Row],[companyid]]=Sheet3!$N$20,TRUE)</f>
        <v>1</v>
      </c>
      <c r="G205" t="b">
        <f>OR(Worksheet!$D$5="",Worksheet!$D$5=Table6[[#This Row],[categoryname]])</f>
        <v>1</v>
      </c>
      <c r="H205" t="b">
        <f>OR(Worksheet!$D$7="",Worksheet!$D$7=Table6[[#This Row],[Manufacturer]])</f>
        <v>1</v>
      </c>
      <c r="I205" t="b">
        <f>OR(Worksheet!$G$7="",Worksheet!$G$7=Table6[[#This Row],[Model No.]])</f>
        <v>1</v>
      </c>
      <c r="J205" t="b">
        <f>OR(Worksheet!$D$8="",Worksheet!$D$8=Table6[[#This Row],[Serial No.]])</f>
        <v>1</v>
      </c>
      <c r="K205" t="b">
        <f>AND(Table6[[#This Row],[categoryname2]:[SN2]])</f>
        <v>1</v>
      </c>
      <c r="L205" t="b">
        <f>AND(Table6[[#This Row],[companyid2]],Table6[[#This Row],[Manufacturer2]:[SN2]])</f>
        <v>1</v>
      </c>
      <c r="M205" t="b">
        <f>AND(Table6[[#This Row],[companyid2]:[categoryname2]],Table6[[#This Row],[Model2]:[SN2]])</f>
        <v>1</v>
      </c>
      <c r="N205" t="b">
        <f>AND(Table6[[#This Row],[companyid2]:[Manufacturer2]],Table6[[#This Row],[SN2]])</f>
        <v>1</v>
      </c>
      <c r="O205" t="b">
        <f>AND(Table6[[#This Row],[companyid2]:[Model2]])</f>
        <v>1</v>
      </c>
    </row>
    <row r="206" spans="1:15" x14ac:dyDescent="0.25">
      <c r="A206">
        <v>57983</v>
      </c>
      <c r="B206" t="s">
        <v>568</v>
      </c>
      <c r="C206" t="s">
        <v>623</v>
      </c>
      <c r="D206" s="46">
        <v>3814</v>
      </c>
      <c r="E206" s="122" t="s">
        <v>624</v>
      </c>
      <c r="F206" t="b">
        <f>IFERROR(Table6[[#This Row],[companyid]]=Sheet3!$N$20,TRUE)</f>
        <v>1</v>
      </c>
      <c r="G206" t="b">
        <f>OR(Worksheet!$D$5="",Worksheet!$D$5=Table6[[#This Row],[categoryname]])</f>
        <v>1</v>
      </c>
      <c r="H206" t="b">
        <f>OR(Worksheet!$D$7="",Worksheet!$D$7=Table6[[#This Row],[Manufacturer]])</f>
        <v>1</v>
      </c>
      <c r="I206" t="b">
        <f>OR(Worksheet!$G$7="",Worksheet!$G$7=Table6[[#This Row],[Model No.]])</f>
        <v>1</v>
      </c>
      <c r="J206" t="b">
        <f>OR(Worksheet!$D$8="",Worksheet!$D$8=Table6[[#This Row],[Serial No.]])</f>
        <v>1</v>
      </c>
      <c r="K206" t="b">
        <f>AND(Table6[[#This Row],[categoryname2]:[SN2]])</f>
        <v>1</v>
      </c>
      <c r="L206" t="b">
        <f>AND(Table6[[#This Row],[companyid2]],Table6[[#This Row],[Manufacturer2]:[SN2]])</f>
        <v>1</v>
      </c>
      <c r="M206" t="b">
        <f>AND(Table6[[#This Row],[companyid2]:[categoryname2]],Table6[[#This Row],[Model2]:[SN2]])</f>
        <v>1</v>
      </c>
      <c r="N206" t="b">
        <f>AND(Table6[[#This Row],[companyid2]:[Manufacturer2]],Table6[[#This Row],[SN2]])</f>
        <v>1</v>
      </c>
      <c r="O206" t="b">
        <f>AND(Table6[[#This Row],[companyid2]:[Model2]])</f>
        <v>1</v>
      </c>
    </row>
    <row r="207" spans="1:15" x14ac:dyDescent="0.25">
      <c r="A207">
        <v>57825</v>
      </c>
      <c r="B207" t="s">
        <v>568</v>
      </c>
      <c r="C207" t="s">
        <v>623</v>
      </c>
      <c r="D207" s="46">
        <v>3817</v>
      </c>
      <c r="E207" s="122" t="s">
        <v>1106</v>
      </c>
      <c r="F207" t="b">
        <f>IFERROR(Table6[[#This Row],[companyid]]=Sheet3!$N$20,TRUE)</f>
        <v>1</v>
      </c>
      <c r="G207" t="b">
        <f>OR(Worksheet!$D$5="",Worksheet!$D$5=Table6[[#This Row],[categoryname]])</f>
        <v>1</v>
      </c>
      <c r="H207" t="b">
        <f>OR(Worksheet!$D$7="",Worksheet!$D$7=Table6[[#This Row],[Manufacturer]])</f>
        <v>1</v>
      </c>
      <c r="I207" t="b">
        <f>OR(Worksheet!$G$7="",Worksheet!$G$7=Table6[[#This Row],[Model No.]])</f>
        <v>1</v>
      </c>
      <c r="J207" t="b">
        <f>OR(Worksheet!$D$8="",Worksheet!$D$8=Table6[[#This Row],[Serial No.]])</f>
        <v>1</v>
      </c>
      <c r="K207" t="b">
        <f>AND(Table6[[#This Row],[categoryname2]:[SN2]])</f>
        <v>1</v>
      </c>
      <c r="L207" t="b">
        <f>AND(Table6[[#This Row],[companyid2]],Table6[[#This Row],[Manufacturer2]:[SN2]])</f>
        <v>1</v>
      </c>
      <c r="M207" t="b">
        <f>AND(Table6[[#This Row],[companyid2]:[categoryname2]],Table6[[#This Row],[Model2]:[SN2]])</f>
        <v>1</v>
      </c>
      <c r="N207" t="b">
        <f>AND(Table6[[#This Row],[companyid2]:[Manufacturer2]],Table6[[#This Row],[SN2]])</f>
        <v>1</v>
      </c>
      <c r="O207" t="b">
        <f>AND(Table6[[#This Row],[companyid2]:[Model2]])</f>
        <v>1</v>
      </c>
    </row>
    <row r="208" spans="1:15" x14ac:dyDescent="0.25">
      <c r="A208">
        <v>79875</v>
      </c>
      <c r="B208" t="s">
        <v>568</v>
      </c>
      <c r="C208" t="s">
        <v>623</v>
      </c>
      <c r="D208" s="46">
        <v>3831</v>
      </c>
      <c r="E208" s="122" t="s">
        <v>1150</v>
      </c>
      <c r="F208" t="b">
        <f>IFERROR(Table6[[#This Row],[companyid]]=Sheet3!$N$20,TRUE)</f>
        <v>1</v>
      </c>
      <c r="G208" t="b">
        <f>OR(Worksheet!$D$5="",Worksheet!$D$5=Table6[[#This Row],[categoryname]])</f>
        <v>1</v>
      </c>
      <c r="H208" t="b">
        <f>OR(Worksheet!$D$7="",Worksheet!$D$7=Table6[[#This Row],[Manufacturer]])</f>
        <v>1</v>
      </c>
      <c r="I208" t="b">
        <f>OR(Worksheet!$G$7="",Worksheet!$G$7=Table6[[#This Row],[Model No.]])</f>
        <v>1</v>
      </c>
      <c r="J208" t="b">
        <f>OR(Worksheet!$D$8="",Worksheet!$D$8=Table6[[#This Row],[Serial No.]])</f>
        <v>1</v>
      </c>
      <c r="K208" t="b">
        <f>AND(Table6[[#This Row],[categoryname2]:[SN2]])</f>
        <v>1</v>
      </c>
      <c r="L208" t="b">
        <f>AND(Table6[[#This Row],[companyid2]],Table6[[#This Row],[Manufacturer2]:[SN2]])</f>
        <v>1</v>
      </c>
      <c r="M208" t="b">
        <f>AND(Table6[[#This Row],[companyid2]:[categoryname2]],Table6[[#This Row],[Model2]:[SN2]])</f>
        <v>1</v>
      </c>
      <c r="N208" t="b">
        <f>AND(Table6[[#This Row],[companyid2]:[Manufacturer2]],Table6[[#This Row],[SN2]])</f>
        <v>1</v>
      </c>
      <c r="O208" t="b">
        <f>AND(Table6[[#This Row],[companyid2]:[Model2]])</f>
        <v>1</v>
      </c>
    </row>
    <row r="209" spans="1:15" x14ac:dyDescent="0.25">
      <c r="A209">
        <v>57319</v>
      </c>
      <c r="B209" t="s">
        <v>568</v>
      </c>
      <c r="C209" t="s">
        <v>623</v>
      </c>
      <c r="D209" s="46">
        <v>6814</v>
      </c>
      <c r="E209" s="122" t="s">
        <v>1068</v>
      </c>
      <c r="F209" t="b">
        <f>IFERROR(Table6[[#This Row],[companyid]]=Sheet3!$N$20,TRUE)</f>
        <v>1</v>
      </c>
      <c r="G209" t="b">
        <f>OR(Worksheet!$D$5="",Worksheet!$D$5=Table6[[#This Row],[categoryname]])</f>
        <v>1</v>
      </c>
      <c r="H209" t="b">
        <f>OR(Worksheet!$D$7="",Worksheet!$D$7=Table6[[#This Row],[Manufacturer]])</f>
        <v>1</v>
      </c>
      <c r="I209" t="b">
        <f>OR(Worksheet!$G$7="",Worksheet!$G$7=Table6[[#This Row],[Model No.]])</f>
        <v>1</v>
      </c>
      <c r="J209" t="b">
        <f>OR(Worksheet!$D$8="",Worksheet!$D$8=Table6[[#This Row],[Serial No.]])</f>
        <v>1</v>
      </c>
      <c r="K209" t="b">
        <f>AND(Table6[[#This Row],[categoryname2]:[SN2]])</f>
        <v>1</v>
      </c>
      <c r="L209" t="b">
        <f>AND(Table6[[#This Row],[companyid2]],Table6[[#This Row],[Manufacturer2]:[SN2]])</f>
        <v>1</v>
      </c>
      <c r="M209" t="b">
        <f>AND(Table6[[#This Row],[companyid2]:[categoryname2]],Table6[[#This Row],[Model2]:[SN2]])</f>
        <v>1</v>
      </c>
      <c r="N209" t="b">
        <f>AND(Table6[[#This Row],[companyid2]:[Manufacturer2]],Table6[[#This Row],[SN2]])</f>
        <v>1</v>
      </c>
      <c r="O209" t="b">
        <f>AND(Table6[[#This Row],[companyid2]:[Model2]])</f>
        <v>1</v>
      </c>
    </row>
    <row r="210" spans="1:15" x14ac:dyDescent="0.25">
      <c r="A210">
        <v>57319</v>
      </c>
      <c r="B210" t="s">
        <v>568</v>
      </c>
      <c r="C210" t="s">
        <v>623</v>
      </c>
      <c r="D210" s="46">
        <v>6814</v>
      </c>
      <c r="E210" s="122" t="s">
        <v>1069</v>
      </c>
      <c r="F210" t="b">
        <f>IFERROR(Table6[[#This Row],[companyid]]=Sheet3!$N$20,TRUE)</f>
        <v>1</v>
      </c>
      <c r="G210" t="b">
        <f>OR(Worksheet!$D$5="",Worksheet!$D$5=Table6[[#This Row],[categoryname]])</f>
        <v>1</v>
      </c>
      <c r="H210" t="b">
        <f>OR(Worksheet!$D$7="",Worksheet!$D$7=Table6[[#This Row],[Manufacturer]])</f>
        <v>1</v>
      </c>
      <c r="I210" t="b">
        <f>OR(Worksheet!$G$7="",Worksheet!$G$7=Table6[[#This Row],[Model No.]])</f>
        <v>1</v>
      </c>
      <c r="J210" t="b">
        <f>OR(Worksheet!$D$8="",Worksheet!$D$8=Table6[[#This Row],[Serial No.]])</f>
        <v>1</v>
      </c>
      <c r="K210" t="b">
        <f>AND(Table6[[#This Row],[categoryname2]:[SN2]])</f>
        <v>1</v>
      </c>
      <c r="L210" t="b">
        <f>AND(Table6[[#This Row],[companyid2]],Table6[[#This Row],[Manufacturer2]:[SN2]])</f>
        <v>1</v>
      </c>
      <c r="M210" t="b">
        <f>AND(Table6[[#This Row],[companyid2]:[categoryname2]],Table6[[#This Row],[Model2]:[SN2]])</f>
        <v>1</v>
      </c>
      <c r="N210" t="b">
        <f>AND(Table6[[#This Row],[companyid2]:[Manufacturer2]],Table6[[#This Row],[SN2]])</f>
        <v>1</v>
      </c>
      <c r="O210" t="b">
        <f>AND(Table6[[#This Row],[companyid2]:[Model2]])</f>
        <v>1</v>
      </c>
    </row>
    <row r="211" spans="1:15" x14ac:dyDescent="0.25">
      <c r="A211">
        <v>58078</v>
      </c>
      <c r="B211" t="s">
        <v>568</v>
      </c>
      <c r="C211" t="s">
        <v>623</v>
      </c>
      <c r="D211" s="46" t="s">
        <v>1044</v>
      </c>
      <c r="E211" s="122" t="s">
        <v>1106</v>
      </c>
      <c r="F211" t="b">
        <f>IFERROR(Table6[[#This Row],[companyid]]=Sheet3!$N$20,TRUE)</f>
        <v>1</v>
      </c>
      <c r="G211" t="b">
        <f>OR(Worksheet!$D$5="",Worksheet!$D$5=Table6[[#This Row],[categoryname]])</f>
        <v>1</v>
      </c>
      <c r="H211" t="b">
        <f>OR(Worksheet!$D$7="",Worksheet!$D$7=Table6[[#This Row],[Manufacturer]])</f>
        <v>1</v>
      </c>
      <c r="I211" t="b">
        <f>OR(Worksheet!$G$7="",Worksheet!$G$7=Table6[[#This Row],[Model No.]])</f>
        <v>1</v>
      </c>
      <c r="J211" t="b">
        <f>OR(Worksheet!$D$8="",Worksheet!$D$8=Table6[[#This Row],[Serial No.]])</f>
        <v>1</v>
      </c>
      <c r="K211" t="b">
        <f>AND(Table6[[#This Row],[categoryname2]:[SN2]])</f>
        <v>1</v>
      </c>
      <c r="L211" t="b">
        <f>AND(Table6[[#This Row],[companyid2]],Table6[[#This Row],[Manufacturer2]:[SN2]])</f>
        <v>1</v>
      </c>
      <c r="M211" t="b">
        <f>AND(Table6[[#This Row],[companyid2]:[categoryname2]],Table6[[#This Row],[Model2]:[SN2]])</f>
        <v>1</v>
      </c>
      <c r="N211" t="b">
        <f>AND(Table6[[#This Row],[companyid2]:[Manufacturer2]],Table6[[#This Row],[SN2]])</f>
        <v>1</v>
      </c>
      <c r="O211" t="b">
        <f>AND(Table6[[#This Row],[companyid2]:[Model2]])</f>
        <v>1</v>
      </c>
    </row>
    <row r="212" spans="1:15" x14ac:dyDescent="0.25">
      <c r="A212">
        <v>57162</v>
      </c>
      <c r="B212" t="s">
        <v>568</v>
      </c>
      <c r="C212" t="s">
        <v>1055</v>
      </c>
      <c r="D212" s="46">
        <v>3814</v>
      </c>
      <c r="E212" s="122">
        <v>10624</v>
      </c>
      <c r="F212" t="b">
        <f>IFERROR(Table6[[#This Row],[companyid]]=Sheet3!$N$20,TRUE)</f>
        <v>1</v>
      </c>
      <c r="G212" t="b">
        <f>OR(Worksheet!$D$5="",Worksheet!$D$5=Table6[[#This Row],[categoryname]])</f>
        <v>1</v>
      </c>
      <c r="H212" t="b">
        <f>OR(Worksheet!$D$7="",Worksheet!$D$7=Table6[[#This Row],[Manufacturer]])</f>
        <v>1</v>
      </c>
      <c r="I212" t="b">
        <f>OR(Worksheet!$G$7="",Worksheet!$G$7=Table6[[#This Row],[Model No.]])</f>
        <v>1</v>
      </c>
      <c r="J212" t="b">
        <f>OR(Worksheet!$D$8="",Worksheet!$D$8=Table6[[#This Row],[Serial No.]])</f>
        <v>1</v>
      </c>
      <c r="K212" t="b">
        <f>AND(Table6[[#This Row],[categoryname2]:[SN2]])</f>
        <v>1</v>
      </c>
      <c r="L212" t="b">
        <f>AND(Table6[[#This Row],[companyid2]],Table6[[#This Row],[Manufacturer2]:[SN2]])</f>
        <v>1</v>
      </c>
      <c r="M212" t="b">
        <f>AND(Table6[[#This Row],[companyid2]:[categoryname2]],Table6[[#This Row],[Model2]:[SN2]])</f>
        <v>1</v>
      </c>
      <c r="N212" t="b">
        <f>AND(Table6[[#This Row],[companyid2]:[Manufacturer2]],Table6[[#This Row],[SN2]])</f>
        <v>1</v>
      </c>
      <c r="O212" t="b">
        <f>AND(Table6[[#This Row],[companyid2]:[Model2]])</f>
        <v>1</v>
      </c>
    </row>
    <row r="213" spans="1:15" x14ac:dyDescent="0.25">
      <c r="A213">
        <v>57799</v>
      </c>
      <c r="B213" t="s">
        <v>568</v>
      </c>
      <c r="C213" t="s">
        <v>1102</v>
      </c>
      <c r="D213" s="46" t="s">
        <v>1192</v>
      </c>
      <c r="E213" s="122">
        <v>2131838</v>
      </c>
      <c r="F213" t="b">
        <f>IFERROR(Table6[[#This Row],[companyid]]=Sheet3!$N$20,TRUE)</f>
        <v>1</v>
      </c>
      <c r="G213" t="b">
        <f>OR(Worksheet!$D$5="",Worksheet!$D$5=Table6[[#This Row],[categoryname]])</f>
        <v>1</v>
      </c>
      <c r="H213" t="b">
        <f>OR(Worksheet!$D$7="",Worksheet!$D$7=Table6[[#This Row],[Manufacturer]])</f>
        <v>1</v>
      </c>
      <c r="I213" t="b">
        <f>OR(Worksheet!$G$7="",Worksheet!$G$7=Table6[[#This Row],[Model No.]])</f>
        <v>1</v>
      </c>
      <c r="J213" t="b">
        <f>OR(Worksheet!$D$8="",Worksheet!$D$8=Table6[[#This Row],[Serial No.]])</f>
        <v>1</v>
      </c>
      <c r="K213" t="b">
        <f>AND(Table6[[#This Row],[categoryname2]:[SN2]])</f>
        <v>1</v>
      </c>
      <c r="L213" t="b">
        <f>AND(Table6[[#This Row],[companyid2]],Table6[[#This Row],[Manufacturer2]:[SN2]])</f>
        <v>1</v>
      </c>
      <c r="M213" t="b">
        <f>AND(Table6[[#This Row],[companyid2]:[categoryname2]],Table6[[#This Row],[Model2]:[SN2]])</f>
        <v>1</v>
      </c>
      <c r="N213" t="b">
        <f>AND(Table6[[#This Row],[companyid2]:[Manufacturer2]],Table6[[#This Row],[SN2]])</f>
        <v>1</v>
      </c>
      <c r="O213" t="b">
        <f>AND(Table6[[#This Row],[companyid2]:[Model2]])</f>
        <v>1</v>
      </c>
    </row>
    <row r="214" spans="1:15" x14ac:dyDescent="0.25">
      <c r="A214">
        <v>58005</v>
      </c>
      <c r="B214" t="s">
        <v>568</v>
      </c>
      <c r="C214" t="s">
        <v>569</v>
      </c>
      <c r="D214" s="46" t="s">
        <v>1159</v>
      </c>
      <c r="E214" s="122" t="s">
        <v>1118</v>
      </c>
      <c r="F214" t="b">
        <f>IFERROR(Table6[[#This Row],[companyid]]=Sheet3!$N$20,TRUE)</f>
        <v>1</v>
      </c>
      <c r="G214" t="b">
        <f>OR(Worksheet!$D$5="",Worksheet!$D$5=Table6[[#This Row],[categoryname]])</f>
        <v>1</v>
      </c>
      <c r="H214" t="b">
        <f>OR(Worksheet!$D$7="",Worksheet!$D$7=Table6[[#This Row],[Manufacturer]])</f>
        <v>1</v>
      </c>
      <c r="I214" t="b">
        <f>OR(Worksheet!$G$7="",Worksheet!$G$7=Table6[[#This Row],[Model No.]])</f>
        <v>1</v>
      </c>
      <c r="J214" t="b">
        <f>OR(Worksheet!$D$8="",Worksheet!$D$8=Table6[[#This Row],[Serial No.]])</f>
        <v>1</v>
      </c>
      <c r="K214" t="b">
        <f>AND(Table6[[#This Row],[categoryname2]:[SN2]])</f>
        <v>1</v>
      </c>
      <c r="L214" t="b">
        <f>AND(Table6[[#This Row],[companyid2]],Table6[[#This Row],[Manufacturer2]:[SN2]])</f>
        <v>1</v>
      </c>
      <c r="M214" t="b">
        <f>AND(Table6[[#This Row],[companyid2]:[categoryname2]],Table6[[#This Row],[Model2]:[SN2]])</f>
        <v>1</v>
      </c>
      <c r="N214" t="b">
        <f>AND(Table6[[#This Row],[companyid2]:[Manufacturer2]],Table6[[#This Row],[SN2]])</f>
        <v>1</v>
      </c>
      <c r="O214" t="b">
        <f>AND(Table6[[#This Row],[companyid2]:[Model2]])</f>
        <v>1</v>
      </c>
    </row>
    <row r="215" spans="1:15" x14ac:dyDescent="0.25">
      <c r="A215">
        <v>114895</v>
      </c>
      <c r="B215" t="s">
        <v>568</v>
      </c>
      <c r="C215" t="s">
        <v>1060</v>
      </c>
      <c r="D215" s="46" t="s">
        <v>1061</v>
      </c>
      <c r="E215" s="122">
        <v>271550</v>
      </c>
      <c r="F215" t="b">
        <f>IFERROR(Table6[[#This Row],[companyid]]=Sheet3!$N$20,TRUE)</f>
        <v>1</v>
      </c>
      <c r="G215" t="b">
        <f>OR(Worksheet!$D$5="",Worksheet!$D$5=Table6[[#This Row],[categoryname]])</f>
        <v>1</v>
      </c>
      <c r="H215" t="b">
        <f>OR(Worksheet!$D$7="",Worksheet!$D$7=Table6[[#This Row],[Manufacturer]])</f>
        <v>1</v>
      </c>
      <c r="I215" t="b">
        <f>OR(Worksheet!$G$7="",Worksheet!$G$7=Table6[[#This Row],[Model No.]])</f>
        <v>1</v>
      </c>
      <c r="J215" t="b">
        <f>OR(Worksheet!$D$8="",Worksheet!$D$8=Table6[[#This Row],[Serial No.]])</f>
        <v>1</v>
      </c>
      <c r="K215" t="b">
        <f>AND(Table6[[#This Row],[categoryname2]:[SN2]])</f>
        <v>1</v>
      </c>
      <c r="L215" t="b">
        <f>AND(Table6[[#This Row],[companyid2]],Table6[[#This Row],[Manufacturer2]:[SN2]])</f>
        <v>1</v>
      </c>
      <c r="M215" t="b">
        <f>AND(Table6[[#This Row],[companyid2]:[categoryname2]],Table6[[#This Row],[Model2]:[SN2]])</f>
        <v>1</v>
      </c>
      <c r="N215" t="b">
        <f>AND(Table6[[#This Row],[companyid2]:[Manufacturer2]],Table6[[#This Row],[SN2]])</f>
        <v>1</v>
      </c>
      <c r="O215" t="b">
        <f>AND(Table6[[#This Row],[companyid2]:[Model2]])</f>
        <v>1</v>
      </c>
    </row>
    <row r="216" spans="1:15" x14ac:dyDescent="0.25">
      <c r="A216">
        <v>57206</v>
      </c>
      <c r="B216" t="s">
        <v>568</v>
      </c>
      <c r="C216" t="s">
        <v>1060</v>
      </c>
      <c r="D216" s="46" t="s">
        <v>1061</v>
      </c>
      <c r="E216" s="122">
        <v>2111719</v>
      </c>
      <c r="F216" t="b">
        <f>IFERROR(Table6[[#This Row],[companyid]]=Sheet3!$N$20,TRUE)</f>
        <v>1</v>
      </c>
      <c r="G216" t="b">
        <f>OR(Worksheet!$D$5="",Worksheet!$D$5=Table6[[#This Row],[categoryname]])</f>
        <v>1</v>
      </c>
      <c r="H216" t="b">
        <f>OR(Worksheet!$D$7="",Worksheet!$D$7=Table6[[#This Row],[Manufacturer]])</f>
        <v>1</v>
      </c>
      <c r="I216" t="b">
        <f>OR(Worksheet!$G$7="",Worksheet!$G$7=Table6[[#This Row],[Model No.]])</f>
        <v>1</v>
      </c>
      <c r="J216" t="b">
        <f>OR(Worksheet!$D$8="",Worksheet!$D$8=Table6[[#This Row],[Serial No.]])</f>
        <v>1</v>
      </c>
      <c r="K216" t="b">
        <f>AND(Table6[[#This Row],[categoryname2]:[SN2]])</f>
        <v>1</v>
      </c>
      <c r="L216" t="b">
        <f>AND(Table6[[#This Row],[companyid2]],Table6[[#This Row],[Manufacturer2]:[SN2]])</f>
        <v>1</v>
      </c>
      <c r="M216" t="b">
        <f>AND(Table6[[#This Row],[companyid2]:[categoryname2]],Table6[[#This Row],[Model2]:[SN2]])</f>
        <v>1</v>
      </c>
      <c r="N216" t="b">
        <f>AND(Table6[[#This Row],[companyid2]:[Manufacturer2]],Table6[[#This Row],[SN2]])</f>
        <v>1</v>
      </c>
      <c r="O216" t="b">
        <f>AND(Table6[[#This Row],[companyid2]:[Model2]])</f>
        <v>1</v>
      </c>
    </row>
    <row r="217" spans="1:15" x14ac:dyDescent="0.25">
      <c r="A217">
        <v>57248</v>
      </c>
      <c r="B217" t="s">
        <v>568</v>
      </c>
      <c r="C217" t="s">
        <v>1060</v>
      </c>
      <c r="D217" s="46" t="s">
        <v>1061</v>
      </c>
      <c r="E217" s="122">
        <v>2192283</v>
      </c>
      <c r="F217" t="b">
        <f>IFERROR(Table6[[#This Row],[companyid]]=Sheet3!$N$20,TRUE)</f>
        <v>1</v>
      </c>
      <c r="G217" t="b">
        <f>OR(Worksheet!$D$5="",Worksheet!$D$5=Table6[[#This Row],[categoryname]])</f>
        <v>1</v>
      </c>
      <c r="H217" t="b">
        <f>OR(Worksheet!$D$7="",Worksheet!$D$7=Table6[[#This Row],[Manufacturer]])</f>
        <v>1</v>
      </c>
      <c r="I217" t="b">
        <f>OR(Worksheet!$G$7="",Worksheet!$G$7=Table6[[#This Row],[Model No.]])</f>
        <v>1</v>
      </c>
      <c r="J217" t="b">
        <f>OR(Worksheet!$D$8="",Worksheet!$D$8=Table6[[#This Row],[Serial No.]])</f>
        <v>1</v>
      </c>
      <c r="K217" t="b">
        <f>AND(Table6[[#This Row],[categoryname2]:[SN2]])</f>
        <v>1</v>
      </c>
      <c r="L217" t="b">
        <f>AND(Table6[[#This Row],[companyid2]],Table6[[#This Row],[Manufacturer2]:[SN2]])</f>
        <v>1</v>
      </c>
      <c r="M217" t="b">
        <f>AND(Table6[[#This Row],[companyid2]:[categoryname2]],Table6[[#This Row],[Model2]:[SN2]])</f>
        <v>1</v>
      </c>
      <c r="N217" t="b">
        <f>AND(Table6[[#This Row],[companyid2]:[Manufacturer2]],Table6[[#This Row],[SN2]])</f>
        <v>1</v>
      </c>
      <c r="O217" t="b">
        <f>AND(Table6[[#This Row],[companyid2]:[Model2]])</f>
        <v>1</v>
      </c>
    </row>
    <row r="218" spans="1:15" x14ac:dyDescent="0.25">
      <c r="A218">
        <v>57248</v>
      </c>
      <c r="B218" t="s">
        <v>568</v>
      </c>
      <c r="C218" t="s">
        <v>1060</v>
      </c>
      <c r="D218" s="46" t="s">
        <v>1061</v>
      </c>
      <c r="E218" s="122">
        <v>2192284</v>
      </c>
      <c r="F218" t="b">
        <f>IFERROR(Table6[[#This Row],[companyid]]=Sheet3!$N$20,TRUE)</f>
        <v>1</v>
      </c>
      <c r="G218" t="b">
        <f>OR(Worksheet!$D$5="",Worksheet!$D$5=Table6[[#This Row],[categoryname]])</f>
        <v>1</v>
      </c>
      <c r="H218" t="b">
        <f>OR(Worksheet!$D$7="",Worksheet!$D$7=Table6[[#This Row],[Manufacturer]])</f>
        <v>1</v>
      </c>
      <c r="I218" t="b">
        <f>OR(Worksheet!$G$7="",Worksheet!$G$7=Table6[[#This Row],[Model No.]])</f>
        <v>1</v>
      </c>
      <c r="J218" t="b">
        <f>OR(Worksheet!$D$8="",Worksheet!$D$8=Table6[[#This Row],[Serial No.]])</f>
        <v>1</v>
      </c>
      <c r="K218" t="b">
        <f>AND(Table6[[#This Row],[categoryname2]:[SN2]])</f>
        <v>1</v>
      </c>
      <c r="L218" t="b">
        <f>AND(Table6[[#This Row],[companyid2]],Table6[[#This Row],[Manufacturer2]:[SN2]])</f>
        <v>1</v>
      </c>
      <c r="M218" t="b">
        <f>AND(Table6[[#This Row],[companyid2]:[categoryname2]],Table6[[#This Row],[Model2]:[SN2]])</f>
        <v>1</v>
      </c>
      <c r="N218" t="b">
        <f>AND(Table6[[#This Row],[companyid2]:[Manufacturer2]],Table6[[#This Row],[SN2]])</f>
        <v>1</v>
      </c>
      <c r="O218" t="b">
        <f>AND(Table6[[#This Row],[companyid2]:[Model2]])</f>
        <v>1</v>
      </c>
    </row>
    <row r="219" spans="1:15" x14ac:dyDescent="0.25">
      <c r="A219">
        <v>57248</v>
      </c>
      <c r="B219" t="s">
        <v>568</v>
      </c>
      <c r="C219" t="s">
        <v>1060</v>
      </c>
      <c r="D219" s="46" t="s">
        <v>1061</v>
      </c>
      <c r="E219" s="122">
        <v>2192285</v>
      </c>
      <c r="F219" t="b">
        <f>IFERROR(Table6[[#This Row],[companyid]]=Sheet3!$N$20,TRUE)</f>
        <v>1</v>
      </c>
      <c r="G219" t="b">
        <f>OR(Worksheet!$D$5="",Worksheet!$D$5=Table6[[#This Row],[categoryname]])</f>
        <v>1</v>
      </c>
      <c r="H219" t="b">
        <f>OR(Worksheet!$D$7="",Worksheet!$D$7=Table6[[#This Row],[Manufacturer]])</f>
        <v>1</v>
      </c>
      <c r="I219" t="b">
        <f>OR(Worksheet!$G$7="",Worksheet!$G$7=Table6[[#This Row],[Model No.]])</f>
        <v>1</v>
      </c>
      <c r="J219" t="b">
        <f>OR(Worksheet!$D$8="",Worksheet!$D$8=Table6[[#This Row],[Serial No.]])</f>
        <v>1</v>
      </c>
      <c r="K219" t="b">
        <f>AND(Table6[[#This Row],[categoryname2]:[SN2]])</f>
        <v>1</v>
      </c>
      <c r="L219" t="b">
        <f>AND(Table6[[#This Row],[companyid2]],Table6[[#This Row],[Manufacturer2]:[SN2]])</f>
        <v>1</v>
      </c>
      <c r="M219" t="b">
        <f>AND(Table6[[#This Row],[companyid2]:[categoryname2]],Table6[[#This Row],[Model2]:[SN2]])</f>
        <v>1</v>
      </c>
      <c r="N219" t="b">
        <f>AND(Table6[[#This Row],[companyid2]:[Manufacturer2]],Table6[[#This Row],[SN2]])</f>
        <v>1</v>
      </c>
      <c r="O219" t="b">
        <f>AND(Table6[[#This Row],[companyid2]:[Model2]])</f>
        <v>1</v>
      </c>
    </row>
    <row r="220" spans="1:15" x14ac:dyDescent="0.25">
      <c r="A220">
        <v>57248</v>
      </c>
      <c r="B220" t="s">
        <v>568</v>
      </c>
      <c r="C220" t="s">
        <v>1060</v>
      </c>
      <c r="D220" s="46" t="s">
        <v>1061</v>
      </c>
      <c r="E220" s="122">
        <v>2192286</v>
      </c>
      <c r="F220" t="b">
        <f>IFERROR(Table6[[#This Row],[companyid]]=Sheet3!$N$20,TRUE)</f>
        <v>1</v>
      </c>
      <c r="G220" t="b">
        <f>OR(Worksheet!$D$5="",Worksheet!$D$5=Table6[[#This Row],[categoryname]])</f>
        <v>1</v>
      </c>
      <c r="H220" t="b">
        <f>OR(Worksheet!$D$7="",Worksheet!$D$7=Table6[[#This Row],[Manufacturer]])</f>
        <v>1</v>
      </c>
      <c r="I220" t="b">
        <f>OR(Worksheet!$G$7="",Worksheet!$G$7=Table6[[#This Row],[Model No.]])</f>
        <v>1</v>
      </c>
      <c r="J220" t="b">
        <f>OR(Worksheet!$D$8="",Worksheet!$D$8=Table6[[#This Row],[Serial No.]])</f>
        <v>1</v>
      </c>
      <c r="K220" t="b">
        <f>AND(Table6[[#This Row],[categoryname2]:[SN2]])</f>
        <v>1</v>
      </c>
      <c r="L220" t="b">
        <f>AND(Table6[[#This Row],[companyid2]],Table6[[#This Row],[Manufacturer2]:[SN2]])</f>
        <v>1</v>
      </c>
      <c r="M220" t="b">
        <f>AND(Table6[[#This Row],[companyid2]:[categoryname2]],Table6[[#This Row],[Model2]:[SN2]])</f>
        <v>1</v>
      </c>
      <c r="N220" t="b">
        <f>AND(Table6[[#This Row],[companyid2]:[Manufacturer2]],Table6[[#This Row],[SN2]])</f>
        <v>1</v>
      </c>
      <c r="O220" t="b">
        <f>AND(Table6[[#This Row],[companyid2]:[Model2]])</f>
        <v>1</v>
      </c>
    </row>
    <row r="221" spans="1:15" x14ac:dyDescent="0.25">
      <c r="A221">
        <v>58030</v>
      </c>
      <c r="B221" t="s">
        <v>568</v>
      </c>
      <c r="C221" t="s">
        <v>1119</v>
      </c>
      <c r="D221" s="46" t="s">
        <v>1200</v>
      </c>
      <c r="E221" s="122">
        <v>1895</v>
      </c>
      <c r="F221" t="b">
        <f>IFERROR(Table6[[#This Row],[companyid]]=Sheet3!$N$20,TRUE)</f>
        <v>1</v>
      </c>
      <c r="G221" t="b">
        <f>OR(Worksheet!$D$5="",Worksheet!$D$5=Table6[[#This Row],[categoryname]])</f>
        <v>1</v>
      </c>
      <c r="H221" t="b">
        <f>OR(Worksheet!$D$7="",Worksheet!$D$7=Table6[[#This Row],[Manufacturer]])</f>
        <v>1</v>
      </c>
      <c r="I221" t="b">
        <f>OR(Worksheet!$G$7="",Worksheet!$G$7=Table6[[#This Row],[Model No.]])</f>
        <v>1</v>
      </c>
      <c r="J221" t="b">
        <f>OR(Worksheet!$D$8="",Worksheet!$D$8=Table6[[#This Row],[Serial No.]])</f>
        <v>1</v>
      </c>
      <c r="K221" t="b">
        <f>AND(Table6[[#This Row],[categoryname2]:[SN2]])</f>
        <v>1</v>
      </c>
      <c r="L221" t="b">
        <f>AND(Table6[[#This Row],[companyid2]],Table6[[#This Row],[Manufacturer2]:[SN2]])</f>
        <v>1</v>
      </c>
      <c r="M221" t="b">
        <f>AND(Table6[[#This Row],[companyid2]:[categoryname2]],Table6[[#This Row],[Model2]:[SN2]])</f>
        <v>1</v>
      </c>
      <c r="N221" t="b">
        <f>AND(Table6[[#This Row],[companyid2]:[Manufacturer2]],Table6[[#This Row],[SN2]])</f>
        <v>1</v>
      </c>
      <c r="O221" t="b">
        <f>AND(Table6[[#This Row],[companyid2]:[Model2]])</f>
        <v>1</v>
      </c>
    </row>
    <row r="222" spans="1:15" x14ac:dyDescent="0.25">
      <c r="A222">
        <v>57330</v>
      </c>
      <c r="B222" t="s">
        <v>568</v>
      </c>
      <c r="C222" t="s">
        <v>571</v>
      </c>
      <c r="D222" s="46">
        <v>4</v>
      </c>
      <c r="E222" s="122" t="s">
        <v>1072</v>
      </c>
      <c r="F222" t="b">
        <f>IFERROR(Table6[[#This Row],[companyid]]=Sheet3!$N$20,TRUE)</f>
        <v>1</v>
      </c>
      <c r="G222" t="b">
        <f>OR(Worksheet!$D$5="",Worksheet!$D$5=Table6[[#This Row],[categoryname]])</f>
        <v>1</v>
      </c>
      <c r="H222" t="b">
        <f>OR(Worksheet!$D$7="",Worksheet!$D$7=Table6[[#This Row],[Manufacturer]])</f>
        <v>1</v>
      </c>
      <c r="I222" t="b">
        <f>OR(Worksheet!$G$7="",Worksheet!$G$7=Table6[[#This Row],[Model No.]])</f>
        <v>1</v>
      </c>
      <c r="J222" t="b">
        <f>OR(Worksheet!$D$8="",Worksheet!$D$8=Table6[[#This Row],[Serial No.]])</f>
        <v>1</v>
      </c>
      <c r="K222" t="b">
        <f>AND(Table6[[#This Row],[categoryname2]:[SN2]])</f>
        <v>1</v>
      </c>
      <c r="L222" t="b">
        <f>AND(Table6[[#This Row],[companyid2]],Table6[[#This Row],[Manufacturer2]:[SN2]])</f>
        <v>1</v>
      </c>
      <c r="M222" t="b">
        <f>AND(Table6[[#This Row],[companyid2]:[categoryname2]],Table6[[#This Row],[Model2]:[SN2]])</f>
        <v>1</v>
      </c>
      <c r="N222" t="b">
        <f>AND(Table6[[#This Row],[companyid2]:[Manufacturer2]],Table6[[#This Row],[SN2]])</f>
        <v>1</v>
      </c>
      <c r="O222" t="b">
        <f>AND(Table6[[#This Row],[companyid2]:[Model2]])</f>
        <v>1</v>
      </c>
    </row>
    <row r="223" spans="1:15" x14ac:dyDescent="0.25">
      <c r="A223">
        <v>57250</v>
      </c>
      <c r="B223" t="s">
        <v>568</v>
      </c>
      <c r="C223" t="s">
        <v>571</v>
      </c>
      <c r="D223" s="46">
        <v>425</v>
      </c>
      <c r="E223" s="122">
        <v>2282</v>
      </c>
      <c r="F223" t="b">
        <f>IFERROR(Table6[[#This Row],[companyid]]=Sheet3!$N$20,TRUE)</f>
        <v>1</v>
      </c>
      <c r="G223" t="b">
        <f>OR(Worksheet!$D$5="",Worksheet!$D$5=Table6[[#This Row],[categoryname]])</f>
        <v>1</v>
      </c>
      <c r="H223" t="b">
        <f>OR(Worksheet!$D$7="",Worksheet!$D$7=Table6[[#This Row],[Manufacturer]])</f>
        <v>1</v>
      </c>
      <c r="I223" t="b">
        <f>OR(Worksheet!$G$7="",Worksheet!$G$7=Table6[[#This Row],[Model No.]])</f>
        <v>1</v>
      </c>
      <c r="J223" t="b">
        <f>OR(Worksheet!$D$8="",Worksheet!$D$8=Table6[[#This Row],[Serial No.]])</f>
        <v>1</v>
      </c>
      <c r="K223" t="b">
        <f>AND(Table6[[#This Row],[categoryname2]:[SN2]])</f>
        <v>1</v>
      </c>
      <c r="L223" t="b">
        <f>AND(Table6[[#This Row],[companyid2]],Table6[[#This Row],[Manufacturer2]:[SN2]])</f>
        <v>1</v>
      </c>
      <c r="M223" t="b">
        <f>AND(Table6[[#This Row],[companyid2]:[categoryname2]],Table6[[#This Row],[Model2]:[SN2]])</f>
        <v>1</v>
      </c>
      <c r="N223" t="b">
        <f>AND(Table6[[#This Row],[companyid2]:[Manufacturer2]],Table6[[#This Row],[SN2]])</f>
        <v>1</v>
      </c>
      <c r="O223" t="b">
        <f>AND(Table6[[#This Row],[companyid2]:[Model2]])</f>
        <v>1</v>
      </c>
    </row>
    <row r="224" spans="1:15" x14ac:dyDescent="0.25">
      <c r="A224">
        <v>57327</v>
      </c>
      <c r="B224" t="s">
        <v>568</v>
      </c>
      <c r="C224" t="s">
        <v>571</v>
      </c>
      <c r="D224" s="46">
        <v>500</v>
      </c>
      <c r="E224" s="122" t="s">
        <v>1071</v>
      </c>
      <c r="F224" t="b">
        <f>IFERROR(Table6[[#This Row],[companyid]]=Sheet3!$N$20,TRUE)</f>
        <v>1</v>
      </c>
      <c r="G224" t="b">
        <f>OR(Worksheet!$D$5="",Worksheet!$D$5=Table6[[#This Row],[categoryname]])</f>
        <v>1</v>
      </c>
      <c r="H224" t="b">
        <f>OR(Worksheet!$D$7="",Worksheet!$D$7=Table6[[#This Row],[Manufacturer]])</f>
        <v>1</v>
      </c>
      <c r="I224" t="b">
        <f>OR(Worksheet!$G$7="",Worksheet!$G$7=Table6[[#This Row],[Model No.]])</f>
        <v>1</v>
      </c>
      <c r="J224" t="b">
        <f>OR(Worksheet!$D$8="",Worksheet!$D$8=Table6[[#This Row],[Serial No.]])</f>
        <v>1</v>
      </c>
      <c r="K224" t="b">
        <f>AND(Table6[[#This Row],[categoryname2]:[SN2]])</f>
        <v>1</v>
      </c>
      <c r="L224" t="b">
        <f>AND(Table6[[#This Row],[companyid2]],Table6[[#This Row],[Manufacturer2]:[SN2]])</f>
        <v>1</v>
      </c>
      <c r="M224" t="b">
        <f>AND(Table6[[#This Row],[companyid2]:[categoryname2]],Table6[[#This Row],[Model2]:[SN2]])</f>
        <v>1</v>
      </c>
      <c r="N224" t="b">
        <f>AND(Table6[[#This Row],[companyid2]:[Manufacturer2]],Table6[[#This Row],[SN2]])</f>
        <v>1</v>
      </c>
      <c r="O224" t="b">
        <f>AND(Table6[[#This Row],[companyid2]:[Model2]])</f>
        <v>1</v>
      </c>
    </row>
    <row r="225" spans="1:15" x14ac:dyDescent="0.25">
      <c r="A225">
        <v>58115</v>
      </c>
      <c r="B225" t="s">
        <v>568</v>
      </c>
      <c r="C225" t="s">
        <v>571</v>
      </c>
      <c r="D225" s="46">
        <v>574</v>
      </c>
      <c r="E225" s="122" t="s">
        <v>1125</v>
      </c>
      <c r="F225" t="b">
        <f>IFERROR(Table6[[#This Row],[companyid]]=Sheet3!$N$20,TRUE)</f>
        <v>1</v>
      </c>
      <c r="G225" t="b">
        <f>OR(Worksheet!$D$5="",Worksheet!$D$5=Table6[[#This Row],[categoryname]])</f>
        <v>1</v>
      </c>
      <c r="H225" t="b">
        <f>OR(Worksheet!$D$7="",Worksheet!$D$7=Table6[[#This Row],[Manufacturer]])</f>
        <v>1</v>
      </c>
      <c r="I225" t="b">
        <f>OR(Worksheet!$G$7="",Worksheet!$G$7=Table6[[#This Row],[Model No.]])</f>
        <v>1</v>
      </c>
      <c r="J225" t="b">
        <f>OR(Worksheet!$D$8="",Worksheet!$D$8=Table6[[#This Row],[Serial No.]])</f>
        <v>1</v>
      </c>
      <c r="K225" t="b">
        <f>AND(Table6[[#This Row],[categoryname2]:[SN2]])</f>
        <v>1</v>
      </c>
      <c r="L225" t="b">
        <f>AND(Table6[[#This Row],[companyid2]],Table6[[#This Row],[Manufacturer2]:[SN2]])</f>
        <v>1</v>
      </c>
      <c r="M225" t="b">
        <f>AND(Table6[[#This Row],[companyid2]:[categoryname2]],Table6[[#This Row],[Model2]:[SN2]])</f>
        <v>1</v>
      </c>
      <c r="N225" t="b">
        <f>AND(Table6[[#This Row],[companyid2]:[Manufacturer2]],Table6[[#This Row],[SN2]])</f>
        <v>1</v>
      </c>
      <c r="O225" t="b">
        <f>AND(Table6[[#This Row],[companyid2]:[Model2]])</f>
        <v>1</v>
      </c>
    </row>
    <row r="226" spans="1:15" x14ac:dyDescent="0.25">
      <c r="A226">
        <v>57222</v>
      </c>
      <c r="B226" t="s">
        <v>568</v>
      </c>
      <c r="C226" t="s">
        <v>571</v>
      </c>
      <c r="D226" s="46">
        <v>574</v>
      </c>
      <c r="E226" s="122" t="s">
        <v>1062</v>
      </c>
      <c r="F226" t="b">
        <f>IFERROR(Table6[[#This Row],[companyid]]=Sheet3!$N$20,TRUE)</f>
        <v>1</v>
      </c>
      <c r="G226" t="b">
        <f>OR(Worksheet!$D$5="",Worksheet!$D$5=Table6[[#This Row],[categoryname]])</f>
        <v>1</v>
      </c>
      <c r="H226" t="b">
        <f>OR(Worksheet!$D$7="",Worksheet!$D$7=Table6[[#This Row],[Manufacturer]])</f>
        <v>1</v>
      </c>
      <c r="I226" t="b">
        <f>OR(Worksheet!$G$7="",Worksheet!$G$7=Table6[[#This Row],[Model No.]])</f>
        <v>1</v>
      </c>
      <c r="J226" t="b">
        <f>OR(Worksheet!$D$8="",Worksheet!$D$8=Table6[[#This Row],[Serial No.]])</f>
        <v>1</v>
      </c>
      <c r="K226" t="b">
        <f>AND(Table6[[#This Row],[categoryname2]:[SN2]])</f>
        <v>1</v>
      </c>
      <c r="L226" t="b">
        <f>AND(Table6[[#This Row],[companyid2]],Table6[[#This Row],[Manufacturer2]:[SN2]])</f>
        <v>1</v>
      </c>
      <c r="M226" t="b">
        <f>AND(Table6[[#This Row],[companyid2]:[categoryname2]],Table6[[#This Row],[Model2]:[SN2]])</f>
        <v>1</v>
      </c>
      <c r="N226" t="b">
        <f>AND(Table6[[#This Row],[companyid2]:[Manufacturer2]],Table6[[#This Row],[SN2]])</f>
        <v>1</v>
      </c>
      <c r="O226" t="b">
        <f>AND(Table6[[#This Row],[companyid2]:[Model2]])</f>
        <v>1</v>
      </c>
    </row>
    <row r="227" spans="1:15" x14ac:dyDescent="0.25">
      <c r="A227">
        <v>57667</v>
      </c>
      <c r="B227" t="s">
        <v>568</v>
      </c>
      <c r="C227" t="s">
        <v>571</v>
      </c>
      <c r="D227" s="46">
        <v>2000</v>
      </c>
      <c r="E227" s="122" t="s">
        <v>1097</v>
      </c>
      <c r="F227" t="b">
        <f>IFERROR(Table6[[#This Row],[companyid]]=Sheet3!$N$20,TRUE)</f>
        <v>1</v>
      </c>
      <c r="G227" t="b">
        <f>OR(Worksheet!$D$5="",Worksheet!$D$5=Table6[[#This Row],[categoryname]])</f>
        <v>1</v>
      </c>
      <c r="H227" t="b">
        <f>OR(Worksheet!$D$7="",Worksheet!$D$7=Table6[[#This Row],[Manufacturer]])</f>
        <v>1</v>
      </c>
      <c r="I227" t="b">
        <f>OR(Worksheet!$G$7="",Worksheet!$G$7=Table6[[#This Row],[Model No.]])</f>
        <v>1</v>
      </c>
      <c r="J227" t="b">
        <f>OR(Worksheet!$D$8="",Worksheet!$D$8=Table6[[#This Row],[Serial No.]])</f>
        <v>1</v>
      </c>
      <c r="K227" t="b">
        <f>AND(Table6[[#This Row],[categoryname2]:[SN2]])</f>
        <v>1</v>
      </c>
      <c r="L227" t="b">
        <f>AND(Table6[[#This Row],[companyid2]],Table6[[#This Row],[Manufacturer2]:[SN2]])</f>
        <v>1</v>
      </c>
      <c r="M227" t="b">
        <f>AND(Table6[[#This Row],[companyid2]:[categoryname2]],Table6[[#This Row],[Model2]:[SN2]])</f>
        <v>1</v>
      </c>
      <c r="N227" t="b">
        <f>AND(Table6[[#This Row],[companyid2]:[Manufacturer2]],Table6[[#This Row],[SN2]])</f>
        <v>1</v>
      </c>
      <c r="O227" t="b">
        <f>AND(Table6[[#This Row],[companyid2]:[Model2]])</f>
        <v>1</v>
      </c>
    </row>
    <row r="228" spans="1:15" x14ac:dyDescent="0.25">
      <c r="A228">
        <v>57146</v>
      </c>
      <c r="B228" t="s">
        <v>568</v>
      </c>
      <c r="C228" t="s">
        <v>571</v>
      </c>
      <c r="D228" s="46" t="s">
        <v>1156</v>
      </c>
      <c r="E228" s="122">
        <v>1548</v>
      </c>
      <c r="F228" t="b">
        <f>IFERROR(Table6[[#This Row],[companyid]]=Sheet3!$N$20,TRUE)</f>
        <v>1</v>
      </c>
      <c r="G228" t="b">
        <f>OR(Worksheet!$D$5="",Worksheet!$D$5=Table6[[#This Row],[categoryname]])</f>
        <v>1</v>
      </c>
      <c r="H228" t="b">
        <f>OR(Worksheet!$D$7="",Worksheet!$D$7=Table6[[#This Row],[Manufacturer]])</f>
        <v>1</v>
      </c>
      <c r="I228" t="b">
        <f>OR(Worksheet!$G$7="",Worksheet!$G$7=Table6[[#This Row],[Model No.]])</f>
        <v>1</v>
      </c>
      <c r="J228" t="b">
        <f>OR(Worksheet!$D$8="",Worksheet!$D$8=Table6[[#This Row],[Serial No.]])</f>
        <v>1</v>
      </c>
      <c r="K228" t="b">
        <f>AND(Table6[[#This Row],[categoryname2]:[SN2]])</f>
        <v>1</v>
      </c>
      <c r="L228" t="b">
        <f>AND(Table6[[#This Row],[companyid2]],Table6[[#This Row],[Manufacturer2]:[SN2]])</f>
        <v>1</v>
      </c>
      <c r="M228" t="b">
        <f>AND(Table6[[#This Row],[companyid2]:[categoryname2]],Table6[[#This Row],[Model2]:[SN2]])</f>
        <v>1</v>
      </c>
      <c r="N228" t="b">
        <f>AND(Table6[[#This Row],[companyid2]:[Manufacturer2]],Table6[[#This Row],[SN2]])</f>
        <v>1</v>
      </c>
      <c r="O228" t="b">
        <f>AND(Table6[[#This Row],[companyid2]:[Model2]])</f>
        <v>1</v>
      </c>
    </row>
    <row r="229" spans="1:15" x14ac:dyDescent="0.25">
      <c r="A229">
        <v>57958</v>
      </c>
      <c r="B229" t="s">
        <v>568</v>
      </c>
      <c r="C229" t="s">
        <v>571</v>
      </c>
      <c r="D229" s="46" t="s">
        <v>1196</v>
      </c>
      <c r="E229" s="122">
        <v>530</v>
      </c>
      <c r="F229" t="b">
        <f>IFERROR(Table6[[#This Row],[companyid]]=Sheet3!$N$20,TRUE)</f>
        <v>1</v>
      </c>
      <c r="G229" t="b">
        <f>OR(Worksheet!$D$5="",Worksheet!$D$5=Table6[[#This Row],[categoryname]])</f>
        <v>1</v>
      </c>
      <c r="H229" t="b">
        <f>OR(Worksheet!$D$7="",Worksheet!$D$7=Table6[[#This Row],[Manufacturer]])</f>
        <v>1</v>
      </c>
      <c r="I229" t="b">
        <f>OR(Worksheet!$G$7="",Worksheet!$G$7=Table6[[#This Row],[Model No.]])</f>
        <v>1</v>
      </c>
      <c r="J229" t="b">
        <f>OR(Worksheet!$D$8="",Worksheet!$D$8=Table6[[#This Row],[Serial No.]])</f>
        <v>1</v>
      </c>
      <c r="K229" t="b">
        <f>AND(Table6[[#This Row],[categoryname2]:[SN2]])</f>
        <v>1</v>
      </c>
      <c r="L229" t="b">
        <f>AND(Table6[[#This Row],[companyid2]],Table6[[#This Row],[Manufacturer2]:[SN2]])</f>
        <v>1</v>
      </c>
      <c r="M229" t="b">
        <f>AND(Table6[[#This Row],[companyid2]:[categoryname2]],Table6[[#This Row],[Model2]:[SN2]])</f>
        <v>1</v>
      </c>
      <c r="N229" t="b">
        <f>AND(Table6[[#This Row],[companyid2]:[Manufacturer2]],Table6[[#This Row],[SN2]])</f>
        <v>1</v>
      </c>
      <c r="O229" t="b">
        <f>AND(Table6[[#This Row],[companyid2]:[Model2]])</f>
        <v>1</v>
      </c>
    </row>
    <row r="230" spans="1:15" x14ac:dyDescent="0.25">
      <c r="A230">
        <v>57132</v>
      </c>
      <c r="B230" t="s">
        <v>568</v>
      </c>
      <c r="C230" t="s">
        <v>571</v>
      </c>
      <c r="D230" s="46" t="s">
        <v>647</v>
      </c>
      <c r="E230" s="122">
        <v>1994</v>
      </c>
      <c r="F230" t="b">
        <f>IFERROR(Table6[[#This Row],[companyid]]=Sheet3!$N$20,TRUE)</f>
        <v>1</v>
      </c>
      <c r="G230" t="b">
        <f>OR(Worksheet!$D$5="",Worksheet!$D$5=Table6[[#This Row],[categoryname]])</f>
        <v>1</v>
      </c>
      <c r="H230" t="b">
        <f>OR(Worksheet!$D$7="",Worksheet!$D$7=Table6[[#This Row],[Manufacturer]])</f>
        <v>1</v>
      </c>
      <c r="I230" t="b">
        <f>OR(Worksheet!$G$7="",Worksheet!$G$7=Table6[[#This Row],[Model No.]])</f>
        <v>1</v>
      </c>
      <c r="J230" t="b">
        <f>OR(Worksheet!$D$8="",Worksheet!$D$8=Table6[[#This Row],[Serial No.]])</f>
        <v>1</v>
      </c>
      <c r="K230" t="b">
        <f>AND(Table6[[#This Row],[categoryname2]:[SN2]])</f>
        <v>1</v>
      </c>
      <c r="L230" t="b">
        <f>AND(Table6[[#This Row],[companyid2]],Table6[[#This Row],[Manufacturer2]:[SN2]])</f>
        <v>1</v>
      </c>
      <c r="M230" t="b">
        <f>AND(Table6[[#This Row],[companyid2]:[categoryname2]],Table6[[#This Row],[Model2]:[SN2]])</f>
        <v>1</v>
      </c>
      <c r="N230" t="b">
        <f>AND(Table6[[#This Row],[companyid2]:[Manufacturer2]],Table6[[#This Row],[SN2]])</f>
        <v>1</v>
      </c>
      <c r="O230" t="b">
        <f>AND(Table6[[#This Row],[companyid2]:[Model2]])</f>
        <v>1</v>
      </c>
    </row>
    <row r="231" spans="1:15" x14ac:dyDescent="0.25">
      <c r="A231">
        <v>58115</v>
      </c>
      <c r="B231" t="s">
        <v>568</v>
      </c>
      <c r="C231" t="s">
        <v>571</v>
      </c>
      <c r="D231" s="46" t="s">
        <v>1209</v>
      </c>
      <c r="E231" s="122" t="s">
        <v>1139</v>
      </c>
      <c r="F231" t="b">
        <f>IFERROR(Table6[[#This Row],[companyid]]=Sheet3!$N$20,TRUE)</f>
        <v>1</v>
      </c>
      <c r="G231" t="b">
        <f>OR(Worksheet!$D$5="",Worksheet!$D$5=Table6[[#This Row],[categoryname]])</f>
        <v>1</v>
      </c>
      <c r="H231" t="b">
        <f>OR(Worksheet!$D$7="",Worksheet!$D$7=Table6[[#This Row],[Manufacturer]])</f>
        <v>1</v>
      </c>
      <c r="I231" t="b">
        <f>OR(Worksheet!$G$7="",Worksheet!$G$7=Table6[[#This Row],[Model No.]])</f>
        <v>1</v>
      </c>
      <c r="J231" t="b">
        <f>OR(Worksheet!$D$8="",Worksheet!$D$8=Table6[[#This Row],[Serial No.]])</f>
        <v>1</v>
      </c>
      <c r="K231" t="b">
        <f>AND(Table6[[#This Row],[categoryname2]:[SN2]])</f>
        <v>1</v>
      </c>
      <c r="L231" t="b">
        <f>AND(Table6[[#This Row],[companyid2]],Table6[[#This Row],[Manufacturer2]:[SN2]])</f>
        <v>1</v>
      </c>
      <c r="M231" t="b">
        <f>AND(Table6[[#This Row],[companyid2]:[categoryname2]],Table6[[#This Row],[Model2]:[SN2]])</f>
        <v>1</v>
      </c>
      <c r="N231" t="b">
        <f>AND(Table6[[#This Row],[companyid2]:[Manufacturer2]],Table6[[#This Row],[SN2]])</f>
        <v>1</v>
      </c>
      <c r="O231" t="b">
        <f>AND(Table6[[#This Row],[companyid2]:[Model2]])</f>
        <v>1</v>
      </c>
    </row>
    <row r="232" spans="1:15" x14ac:dyDescent="0.25">
      <c r="A232">
        <v>57248</v>
      </c>
      <c r="B232" t="s">
        <v>568</v>
      </c>
      <c r="C232" t="s">
        <v>571</v>
      </c>
      <c r="D232" s="46" t="s">
        <v>585</v>
      </c>
      <c r="E232" s="122" t="s">
        <v>586</v>
      </c>
      <c r="F232" t="b">
        <f>IFERROR(Table6[[#This Row],[companyid]]=Sheet3!$N$20,TRUE)</f>
        <v>1</v>
      </c>
      <c r="G232" t="b">
        <f>OR(Worksheet!$D$5="",Worksheet!$D$5=Table6[[#This Row],[categoryname]])</f>
        <v>1</v>
      </c>
      <c r="H232" t="b">
        <f>OR(Worksheet!$D$7="",Worksheet!$D$7=Table6[[#This Row],[Manufacturer]])</f>
        <v>1</v>
      </c>
      <c r="I232" t="b">
        <f>OR(Worksheet!$G$7="",Worksheet!$G$7=Table6[[#This Row],[Model No.]])</f>
        <v>1</v>
      </c>
      <c r="J232" t="b">
        <f>OR(Worksheet!$D$8="",Worksheet!$D$8=Table6[[#This Row],[Serial No.]])</f>
        <v>1</v>
      </c>
      <c r="K232" t="b">
        <f>AND(Table6[[#This Row],[categoryname2]:[SN2]])</f>
        <v>1</v>
      </c>
      <c r="L232" t="b">
        <f>AND(Table6[[#This Row],[companyid2]],Table6[[#This Row],[Manufacturer2]:[SN2]])</f>
        <v>1</v>
      </c>
      <c r="M232" t="b">
        <f>AND(Table6[[#This Row],[companyid2]:[categoryname2]],Table6[[#This Row],[Model2]:[SN2]])</f>
        <v>1</v>
      </c>
      <c r="N232" t="b">
        <f>AND(Table6[[#This Row],[companyid2]:[Manufacturer2]],Table6[[#This Row],[SN2]])</f>
        <v>1</v>
      </c>
      <c r="O232" t="b">
        <f>AND(Table6[[#This Row],[companyid2]:[Model2]])</f>
        <v>1</v>
      </c>
    </row>
    <row r="233" spans="1:15" x14ac:dyDescent="0.25">
      <c r="A233">
        <v>57248</v>
      </c>
      <c r="B233" t="s">
        <v>568</v>
      </c>
      <c r="C233" t="s">
        <v>571</v>
      </c>
      <c r="D233" s="46" t="s">
        <v>585</v>
      </c>
      <c r="E233" s="122" t="s">
        <v>632</v>
      </c>
      <c r="F233" t="b">
        <f>IFERROR(Table6[[#This Row],[companyid]]=Sheet3!$N$20,TRUE)</f>
        <v>1</v>
      </c>
      <c r="G233" t="b">
        <f>OR(Worksheet!$D$5="",Worksheet!$D$5=Table6[[#This Row],[categoryname]])</f>
        <v>1</v>
      </c>
      <c r="H233" t="b">
        <f>OR(Worksheet!$D$7="",Worksheet!$D$7=Table6[[#This Row],[Manufacturer]])</f>
        <v>1</v>
      </c>
      <c r="I233" t="b">
        <f>OR(Worksheet!$G$7="",Worksheet!$G$7=Table6[[#This Row],[Model No.]])</f>
        <v>1</v>
      </c>
      <c r="J233" t="b">
        <f>OR(Worksheet!$D$8="",Worksheet!$D$8=Table6[[#This Row],[Serial No.]])</f>
        <v>1</v>
      </c>
      <c r="K233" t="b">
        <f>AND(Table6[[#This Row],[categoryname2]:[SN2]])</f>
        <v>1</v>
      </c>
      <c r="L233" t="b">
        <f>AND(Table6[[#This Row],[companyid2]],Table6[[#This Row],[Manufacturer2]:[SN2]])</f>
        <v>1</v>
      </c>
      <c r="M233" t="b">
        <f>AND(Table6[[#This Row],[companyid2]:[categoryname2]],Table6[[#This Row],[Model2]:[SN2]])</f>
        <v>1</v>
      </c>
      <c r="N233" t="b">
        <f>AND(Table6[[#This Row],[companyid2]:[Manufacturer2]],Table6[[#This Row],[SN2]])</f>
        <v>1</v>
      </c>
      <c r="O233" t="b">
        <f>AND(Table6[[#This Row],[companyid2]:[Model2]])</f>
        <v>1</v>
      </c>
    </row>
    <row r="234" spans="1:15" x14ac:dyDescent="0.25">
      <c r="A234">
        <v>58115</v>
      </c>
      <c r="B234" t="s">
        <v>568</v>
      </c>
      <c r="C234" t="s">
        <v>571</v>
      </c>
      <c r="D234" s="46" t="s">
        <v>585</v>
      </c>
      <c r="E234" s="122" t="s">
        <v>1141</v>
      </c>
      <c r="F234" t="b">
        <f>IFERROR(Table6[[#This Row],[companyid]]=Sheet3!$N$20,TRUE)</f>
        <v>1</v>
      </c>
      <c r="G234" t="b">
        <f>OR(Worksheet!$D$5="",Worksheet!$D$5=Table6[[#This Row],[categoryname]])</f>
        <v>1</v>
      </c>
      <c r="H234" t="b">
        <f>OR(Worksheet!$D$7="",Worksheet!$D$7=Table6[[#This Row],[Manufacturer]])</f>
        <v>1</v>
      </c>
      <c r="I234" t="b">
        <f>OR(Worksheet!$G$7="",Worksheet!$G$7=Table6[[#This Row],[Model No.]])</f>
        <v>1</v>
      </c>
      <c r="J234" t="b">
        <f>OR(Worksheet!$D$8="",Worksheet!$D$8=Table6[[#This Row],[Serial No.]])</f>
        <v>1</v>
      </c>
      <c r="K234" t="b">
        <f>AND(Table6[[#This Row],[categoryname2]:[SN2]])</f>
        <v>1</v>
      </c>
      <c r="L234" t="b">
        <f>AND(Table6[[#This Row],[companyid2]],Table6[[#This Row],[Manufacturer2]:[SN2]])</f>
        <v>1</v>
      </c>
      <c r="M234" t="b">
        <f>AND(Table6[[#This Row],[companyid2]:[categoryname2]],Table6[[#This Row],[Model2]:[SN2]])</f>
        <v>1</v>
      </c>
      <c r="N234" t="b">
        <f>AND(Table6[[#This Row],[companyid2]:[Manufacturer2]],Table6[[#This Row],[SN2]])</f>
        <v>1</v>
      </c>
      <c r="O234" t="b">
        <f>AND(Table6[[#This Row],[companyid2]:[Model2]])</f>
        <v>1</v>
      </c>
    </row>
    <row r="235" spans="1:15" x14ac:dyDescent="0.25">
      <c r="A235">
        <v>57912</v>
      </c>
      <c r="B235" t="s">
        <v>568</v>
      </c>
      <c r="C235" t="s">
        <v>571</v>
      </c>
      <c r="D235" s="46" t="s">
        <v>572</v>
      </c>
      <c r="E235" s="122">
        <v>2279</v>
      </c>
      <c r="F235" t="b">
        <f>IFERROR(Table6[[#This Row],[companyid]]=Sheet3!$N$20,TRUE)</f>
        <v>1</v>
      </c>
      <c r="G235" t="b">
        <f>OR(Worksheet!$D$5="",Worksheet!$D$5=Table6[[#This Row],[categoryname]])</f>
        <v>1</v>
      </c>
      <c r="H235" t="b">
        <f>OR(Worksheet!$D$7="",Worksheet!$D$7=Table6[[#This Row],[Manufacturer]])</f>
        <v>1</v>
      </c>
      <c r="I235" t="b">
        <f>OR(Worksheet!$G$7="",Worksheet!$G$7=Table6[[#This Row],[Model No.]])</f>
        <v>1</v>
      </c>
      <c r="J235" t="b">
        <f>OR(Worksheet!$D$8="",Worksheet!$D$8=Table6[[#This Row],[Serial No.]])</f>
        <v>1</v>
      </c>
      <c r="K235" t="b">
        <f>AND(Table6[[#This Row],[categoryname2]:[SN2]])</f>
        <v>1</v>
      </c>
      <c r="L235" t="b">
        <f>AND(Table6[[#This Row],[companyid2]],Table6[[#This Row],[Manufacturer2]:[SN2]])</f>
        <v>1</v>
      </c>
      <c r="M235" t="b">
        <f>AND(Table6[[#This Row],[companyid2]:[categoryname2]],Table6[[#This Row],[Model2]:[SN2]])</f>
        <v>1</v>
      </c>
      <c r="N235" t="b">
        <f>AND(Table6[[#This Row],[companyid2]:[Manufacturer2]],Table6[[#This Row],[SN2]])</f>
        <v>1</v>
      </c>
      <c r="O235" t="b">
        <f>AND(Table6[[#This Row],[companyid2]:[Model2]])</f>
        <v>1</v>
      </c>
    </row>
    <row r="236" spans="1:15" x14ac:dyDescent="0.25">
      <c r="A236">
        <v>58107</v>
      </c>
      <c r="B236" t="s">
        <v>568</v>
      </c>
      <c r="C236" t="s">
        <v>571</v>
      </c>
      <c r="D236" s="46" t="s">
        <v>572</v>
      </c>
      <c r="E236" s="122">
        <v>7363</v>
      </c>
      <c r="F236" t="b">
        <f>IFERROR(Table6[[#This Row],[companyid]]=Sheet3!$N$20,TRUE)</f>
        <v>1</v>
      </c>
      <c r="G236" t="b">
        <f>OR(Worksheet!$D$5="",Worksheet!$D$5=Table6[[#This Row],[categoryname]])</f>
        <v>1</v>
      </c>
      <c r="H236" t="b">
        <f>OR(Worksheet!$D$7="",Worksheet!$D$7=Table6[[#This Row],[Manufacturer]])</f>
        <v>1</v>
      </c>
      <c r="I236" t="b">
        <f>OR(Worksheet!$G$7="",Worksheet!$G$7=Table6[[#This Row],[Model No.]])</f>
        <v>1</v>
      </c>
      <c r="J236" t="b">
        <f>OR(Worksheet!$D$8="",Worksheet!$D$8=Table6[[#This Row],[Serial No.]])</f>
        <v>1</v>
      </c>
      <c r="K236" t="b">
        <f>AND(Table6[[#This Row],[categoryname2]:[SN2]])</f>
        <v>1</v>
      </c>
      <c r="L236" t="b">
        <f>AND(Table6[[#This Row],[companyid2]],Table6[[#This Row],[Manufacturer2]:[SN2]])</f>
        <v>1</v>
      </c>
      <c r="M236" t="b">
        <f>AND(Table6[[#This Row],[companyid2]:[categoryname2]],Table6[[#This Row],[Model2]:[SN2]])</f>
        <v>1</v>
      </c>
      <c r="N236" t="b">
        <f>AND(Table6[[#This Row],[companyid2]:[Manufacturer2]],Table6[[#This Row],[SN2]])</f>
        <v>1</v>
      </c>
      <c r="O236" t="b">
        <f>AND(Table6[[#This Row],[companyid2]:[Model2]])</f>
        <v>1</v>
      </c>
    </row>
    <row r="237" spans="1:15" x14ac:dyDescent="0.25">
      <c r="A237">
        <v>57836</v>
      </c>
      <c r="B237" t="s">
        <v>568</v>
      </c>
      <c r="C237" t="s">
        <v>571</v>
      </c>
      <c r="D237" s="46" t="s">
        <v>572</v>
      </c>
      <c r="E237" s="122">
        <v>8092</v>
      </c>
      <c r="F237" t="b">
        <f>IFERROR(Table6[[#This Row],[companyid]]=Sheet3!$N$20,TRUE)</f>
        <v>1</v>
      </c>
      <c r="G237" t="b">
        <f>OR(Worksheet!$D$5="",Worksheet!$D$5=Table6[[#This Row],[categoryname]])</f>
        <v>1</v>
      </c>
      <c r="H237" t="b">
        <f>OR(Worksheet!$D$7="",Worksheet!$D$7=Table6[[#This Row],[Manufacturer]])</f>
        <v>1</v>
      </c>
      <c r="I237" t="b">
        <f>OR(Worksheet!$G$7="",Worksheet!$G$7=Table6[[#This Row],[Model No.]])</f>
        <v>1</v>
      </c>
      <c r="J237" t="b">
        <f>OR(Worksheet!$D$8="",Worksheet!$D$8=Table6[[#This Row],[Serial No.]])</f>
        <v>1</v>
      </c>
      <c r="K237" t="b">
        <f>AND(Table6[[#This Row],[categoryname2]:[SN2]])</f>
        <v>1</v>
      </c>
      <c r="L237" t="b">
        <f>AND(Table6[[#This Row],[companyid2]],Table6[[#This Row],[Manufacturer2]:[SN2]])</f>
        <v>1</v>
      </c>
      <c r="M237" t="b">
        <f>AND(Table6[[#This Row],[companyid2]:[categoryname2]],Table6[[#This Row],[Model2]:[SN2]])</f>
        <v>1</v>
      </c>
      <c r="N237" t="b">
        <f>AND(Table6[[#This Row],[companyid2]:[Manufacturer2]],Table6[[#This Row],[SN2]])</f>
        <v>1</v>
      </c>
      <c r="O237" t="b">
        <f>AND(Table6[[#This Row],[companyid2]:[Model2]])</f>
        <v>1</v>
      </c>
    </row>
    <row r="238" spans="1:15" x14ac:dyDescent="0.25">
      <c r="A238">
        <v>58107</v>
      </c>
      <c r="B238" t="s">
        <v>568</v>
      </c>
      <c r="C238" t="s">
        <v>571</v>
      </c>
      <c r="D238" s="46" t="s">
        <v>572</v>
      </c>
      <c r="E238" s="122">
        <v>8556</v>
      </c>
      <c r="F238" t="b">
        <f>IFERROR(Table6[[#This Row],[companyid]]=Sheet3!$N$20,TRUE)</f>
        <v>1</v>
      </c>
      <c r="G238" t="b">
        <f>OR(Worksheet!$D$5="",Worksheet!$D$5=Table6[[#This Row],[categoryname]])</f>
        <v>1</v>
      </c>
      <c r="H238" t="b">
        <f>OR(Worksheet!$D$7="",Worksheet!$D$7=Table6[[#This Row],[Manufacturer]])</f>
        <v>1</v>
      </c>
      <c r="I238" t="b">
        <f>OR(Worksheet!$G$7="",Worksheet!$G$7=Table6[[#This Row],[Model No.]])</f>
        <v>1</v>
      </c>
      <c r="J238" t="b">
        <f>OR(Worksheet!$D$8="",Worksheet!$D$8=Table6[[#This Row],[Serial No.]])</f>
        <v>1</v>
      </c>
      <c r="K238" t="b">
        <f>AND(Table6[[#This Row],[categoryname2]:[SN2]])</f>
        <v>1</v>
      </c>
      <c r="L238" t="b">
        <f>AND(Table6[[#This Row],[companyid2]],Table6[[#This Row],[Manufacturer2]:[SN2]])</f>
        <v>1</v>
      </c>
      <c r="M238" t="b">
        <f>AND(Table6[[#This Row],[companyid2]:[categoryname2]],Table6[[#This Row],[Model2]:[SN2]])</f>
        <v>1</v>
      </c>
      <c r="N238" t="b">
        <f>AND(Table6[[#This Row],[companyid2]:[Manufacturer2]],Table6[[#This Row],[SN2]])</f>
        <v>1</v>
      </c>
      <c r="O238" t="b">
        <f>AND(Table6[[#This Row],[companyid2]:[Model2]])</f>
        <v>1</v>
      </c>
    </row>
    <row r="239" spans="1:15" x14ac:dyDescent="0.25">
      <c r="A239">
        <v>57437</v>
      </c>
      <c r="B239" t="s">
        <v>568</v>
      </c>
      <c r="C239" t="s">
        <v>571</v>
      </c>
      <c r="D239" s="46" t="s">
        <v>572</v>
      </c>
      <c r="E239" s="122">
        <v>9287</v>
      </c>
      <c r="F239" t="b">
        <f>IFERROR(Table6[[#This Row],[companyid]]=Sheet3!$N$20,TRUE)</f>
        <v>1</v>
      </c>
      <c r="G239" t="b">
        <f>OR(Worksheet!$D$5="",Worksheet!$D$5=Table6[[#This Row],[categoryname]])</f>
        <v>1</v>
      </c>
      <c r="H239" t="b">
        <f>OR(Worksheet!$D$7="",Worksheet!$D$7=Table6[[#This Row],[Manufacturer]])</f>
        <v>1</v>
      </c>
      <c r="I239" t="b">
        <f>OR(Worksheet!$G$7="",Worksheet!$G$7=Table6[[#This Row],[Model No.]])</f>
        <v>1</v>
      </c>
      <c r="J239" t="b">
        <f>OR(Worksheet!$D$8="",Worksheet!$D$8=Table6[[#This Row],[Serial No.]])</f>
        <v>1</v>
      </c>
      <c r="K239" t="b">
        <f>AND(Table6[[#This Row],[categoryname2]:[SN2]])</f>
        <v>1</v>
      </c>
      <c r="L239" t="b">
        <f>AND(Table6[[#This Row],[companyid2]],Table6[[#This Row],[Manufacturer2]:[SN2]])</f>
        <v>1</v>
      </c>
      <c r="M239" t="b">
        <f>AND(Table6[[#This Row],[companyid2]:[categoryname2]],Table6[[#This Row],[Model2]:[SN2]])</f>
        <v>1</v>
      </c>
      <c r="N239" t="b">
        <f>AND(Table6[[#This Row],[companyid2]:[Manufacturer2]],Table6[[#This Row],[SN2]])</f>
        <v>1</v>
      </c>
      <c r="O239" t="b">
        <f>AND(Table6[[#This Row],[companyid2]:[Model2]])</f>
        <v>1</v>
      </c>
    </row>
    <row r="240" spans="1:15" x14ac:dyDescent="0.25">
      <c r="A240">
        <v>57178</v>
      </c>
      <c r="B240" t="s">
        <v>568</v>
      </c>
      <c r="C240" t="s">
        <v>571</v>
      </c>
      <c r="D240" s="46" t="s">
        <v>572</v>
      </c>
      <c r="E240" s="122">
        <v>9688</v>
      </c>
      <c r="F240" t="b">
        <f>IFERROR(Table6[[#This Row],[companyid]]=Sheet3!$N$20,TRUE)</f>
        <v>1</v>
      </c>
      <c r="G240" t="b">
        <f>OR(Worksheet!$D$5="",Worksheet!$D$5=Table6[[#This Row],[categoryname]])</f>
        <v>1</v>
      </c>
      <c r="H240" t="b">
        <f>OR(Worksheet!$D$7="",Worksheet!$D$7=Table6[[#This Row],[Manufacturer]])</f>
        <v>1</v>
      </c>
      <c r="I240" t="b">
        <f>OR(Worksheet!$G$7="",Worksheet!$G$7=Table6[[#This Row],[Model No.]])</f>
        <v>1</v>
      </c>
      <c r="J240" t="b">
        <f>OR(Worksheet!$D$8="",Worksheet!$D$8=Table6[[#This Row],[Serial No.]])</f>
        <v>1</v>
      </c>
      <c r="K240" t="b">
        <f>AND(Table6[[#This Row],[categoryname2]:[SN2]])</f>
        <v>1</v>
      </c>
      <c r="L240" t="b">
        <f>AND(Table6[[#This Row],[companyid2]],Table6[[#This Row],[Manufacturer2]:[SN2]])</f>
        <v>1</v>
      </c>
      <c r="M240" t="b">
        <f>AND(Table6[[#This Row],[companyid2]:[categoryname2]],Table6[[#This Row],[Model2]:[SN2]])</f>
        <v>1</v>
      </c>
      <c r="N240" t="b">
        <f>AND(Table6[[#This Row],[companyid2]:[Manufacturer2]],Table6[[#This Row],[SN2]])</f>
        <v>1</v>
      </c>
      <c r="O240" t="b">
        <f>AND(Table6[[#This Row],[companyid2]:[Model2]])</f>
        <v>1</v>
      </c>
    </row>
    <row r="241" spans="1:15" x14ac:dyDescent="0.25">
      <c r="A241">
        <v>57286</v>
      </c>
      <c r="B241" t="s">
        <v>568</v>
      </c>
      <c r="C241" t="s">
        <v>571</v>
      </c>
      <c r="D241" s="46" t="s">
        <v>572</v>
      </c>
      <c r="E241" s="122">
        <v>10573</v>
      </c>
      <c r="F241" t="b">
        <f>IFERROR(Table6[[#This Row],[companyid]]=Sheet3!$N$20,TRUE)</f>
        <v>1</v>
      </c>
      <c r="G241" t="b">
        <f>OR(Worksheet!$D$5="",Worksheet!$D$5=Table6[[#This Row],[categoryname]])</f>
        <v>1</v>
      </c>
      <c r="H241" t="b">
        <f>OR(Worksheet!$D$7="",Worksheet!$D$7=Table6[[#This Row],[Manufacturer]])</f>
        <v>1</v>
      </c>
      <c r="I241" t="b">
        <f>OR(Worksheet!$G$7="",Worksheet!$G$7=Table6[[#This Row],[Model No.]])</f>
        <v>1</v>
      </c>
      <c r="J241" t="b">
        <f>OR(Worksheet!$D$8="",Worksheet!$D$8=Table6[[#This Row],[Serial No.]])</f>
        <v>1</v>
      </c>
      <c r="K241" t="b">
        <f>AND(Table6[[#This Row],[categoryname2]:[SN2]])</f>
        <v>1</v>
      </c>
      <c r="L241" t="b">
        <f>AND(Table6[[#This Row],[companyid2]],Table6[[#This Row],[Manufacturer2]:[SN2]])</f>
        <v>1</v>
      </c>
      <c r="M241" t="b">
        <f>AND(Table6[[#This Row],[companyid2]:[categoryname2]],Table6[[#This Row],[Model2]:[SN2]])</f>
        <v>1</v>
      </c>
      <c r="N241" t="b">
        <f>AND(Table6[[#This Row],[companyid2]:[Manufacturer2]],Table6[[#This Row],[SN2]])</f>
        <v>1</v>
      </c>
      <c r="O241" t="b">
        <f>AND(Table6[[#This Row],[companyid2]:[Model2]])</f>
        <v>1</v>
      </c>
    </row>
    <row r="242" spans="1:15" x14ac:dyDescent="0.25">
      <c r="A242">
        <v>57508</v>
      </c>
      <c r="B242" t="s">
        <v>568</v>
      </c>
      <c r="C242" t="s">
        <v>571</v>
      </c>
      <c r="D242" s="46" t="s">
        <v>572</v>
      </c>
      <c r="E242" s="122" t="s">
        <v>591</v>
      </c>
      <c r="F242" t="b">
        <f>IFERROR(Table6[[#This Row],[companyid]]=Sheet3!$N$20,TRUE)</f>
        <v>1</v>
      </c>
      <c r="G242" t="b">
        <f>OR(Worksheet!$D$5="",Worksheet!$D$5=Table6[[#This Row],[categoryname]])</f>
        <v>1</v>
      </c>
      <c r="H242" t="b">
        <f>OR(Worksheet!$D$7="",Worksheet!$D$7=Table6[[#This Row],[Manufacturer]])</f>
        <v>1</v>
      </c>
      <c r="I242" t="b">
        <f>OR(Worksheet!$G$7="",Worksheet!$G$7=Table6[[#This Row],[Model No.]])</f>
        <v>1</v>
      </c>
      <c r="J242" t="b">
        <f>OR(Worksheet!$D$8="",Worksheet!$D$8=Table6[[#This Row],[Serial No.]])</f>
        <v>1</v>
      </c>
      <c r="K242" t="b">
        <f>AND(Table6[[#This Row],[categoryname2]:[SN2]])</f>
        <v>1</v>
      </c>
      <c r="L242" t="b">
        <f>AND(Table6[[#This Row],[companyid2]],Table6[[#This Row],[Manufacturer2]:[SN2]])</f>
        <v>1</v>
      </c>
      <c r="M242" t="b">
        <f>AND(Table6[[#This Row],[companyid2]:[categoryname2]],Table6[[#This Row],[Model2]:[SN2]])</f>
        <v>1</v>
      </c>
      <c r="N242" t="b">
        <f>AND(Table6[[#This Row],[companyid2]:[Manufacturer2]],Table6[[#This Row],[SN2]])</f>
        <v>1</v>
      </c>
      <c r="O242" t="b">
        <f>AND(Table6[[#This Row],[companyid2]:[Model2]])</f>
        <v>1</v>
      </c>
    </row>
    <row r="243" spans="1:15" x14ac:dyDescent="0.25">
      <c r="A243">
        <v>61312</v>
      </c>
      <c r="B243" t="s">
        <v>568</v>
      </c>
      <c r="C243" t="s">
        <v>571</v>
      </c>
      <c r="D243" s="46" t="s">
        <v>572</v>
      </c>
      <c r="E243" s="122" t="s">
        <v>652</v>
      </c>
      <c r="F243" t="b">
        <f>IFERROR(Table6[[#This Row],[companyid]]=Sheet3!$N$20,TRUE)</f>
        <v>1</v>
      </c>
      <c r="G243" t="b">
        <f>OR(Worksheet!$D$5="",Worksheet!$D$5=Table6[[#This Row],[categoryname]])</f>
        <v>1</v>
      </c>
      <c r="H243" t="b">
        <f>OR(Worksheet!$D$7="",Worksheet!$D$7=Table6[[#This Row],[Manufacturer]])</f>
        <v>1</v>
      </c>
      <c r="I243" t="b">
        <f>OR(Worksheet!$G$7="",Worksheet!$G$7=Table6[[#This Row],[Model No.]])</f>
        <v>1</v>
      </c>
      <c r="J243" t="b">
        <f>OR(Worksheet!$D$8="",Worksheet!$D$8=Table6[[#This Row],[Serial No.]])</f>
        <v>1</v>
      </c>
      <c r="K243" t="b">
        <f>AND(Table6[[#This Row],[categoryname2]:[SN2]])</f>
        <v>1</v>
      </c>
      <c r="L243" t="b">
        <f>AND(Table6[[#This Row],[companyid2]],Table6[[#This Row],[Manufacturer2]:[SN2]])</f>
        <v>1</v>
      </c>
      <c r="M243" t="b">
        <f>AND(Table6[[#This Row],[companyid2]:[categoryname2]],Table6[[#This Row],[Model2]:[SN2]])</f>
        <v>1</v>
      </c>
      <c r="N243" t="b">
        <f>AND(Table6[[#This Row],[companyid2]:[Manufacturer2]],Table6[[#This Row],[SN2]])</f>
        <v>1</v>
      </c>
      <c r="O243" t="b">
        <f>AND(Table6[[#This Row],[companyid2]:[Model2]])</f>
        <v>1</v>
      </c>
    </row>
    <row r="244" spans="1:15" x14ac:dyDescent="0.25">
      <c r="A244">
        <v>58206</v>
      </c>
      <c r="B244" t="s">
        <v>568</v>
      </c>
      <c r="C244" t="s">
        <v>571</v>
      </c>
      <c r="D244" s="46" t="s">
        <v>572</v>
      </c>
      <c r="E244" s="122" t="s">
        <v>599</v>
      </c>
      <c r="F244" t="b">
        <f>IFERROR(Table6[[#This Row],[companyid]]=Sheet3!$N$20,TRUE)</f>
        <v>1</v>
      </c>
      <c r="G244" t="b">
        <f>OR(Worksheet!$D$5="",Worksheet!$D$5=Table6[[#This Row],[categoryname]])</f>
        <v>1</v>
      </c>
      <c r="H244" t="b">
        <f>OR(Worksheet!$D$7="",Worksheet!$D$7=Table6[[#This Row],[Manufacturer]])</f>
        <v>1</v>
      </c>
      <c r="I244" t="b">
        <f>OR(Worksheet!$G$7="",Worksheet!$G$7=Table6[[#This Row],[Model No.]])</f>
        <v>1</v>
      </c>
      <c r="J244" t="b">
        <f>OR(Worksheet!$D$8="",Worksheet!$D$8=Table6[[#This Row],[Serial No.]])</f>
        <v>1</v>
      </c>
      <c r="K244" t="b">
        <f>AND(Table6[[#This Row],[categoryname2]:[SN2]])</f>
        <v>1</v>
      </c>
      <c r="L244" t="b">
        <f>AND(Table6[[#This Row],[companyid2]],Table6[[#This Row],[Manufacturer2]:[SN2]])</f>
        <v>1</v>
      </c>
      <c r="M244" t="b">
        <f>AND(Table6[[#This Row],[companyid2]:[categoryname2]],Table6[[#This Row],[Model2]:[SN2]])</f>
        <v>1</v>
      </c>
      <c r="N244" t="b">
        <f>AND(Table6[[#This Row],[companyid2]:[Manufacturer2]],Table6[[#This Row],[SN2]])</f>
        <v>1</v>
      </c>
      <c r="O244" t="b">
        <f>AND(Table6[[#This Row],[companyid2]:[Model2]])</f>
        <v>1</v>
      </c>
    </row>
    <row r="245" spans="1:15" x14ac:dyDescent="0.25">
      <c r="A245">
        <v>57248</v>
      </c>
      <c r="B245" t="s">
        <v>568</v>
      </c>
      <c r="C245" t="s">
        <v>571</v>
      </c>
      <c r="D245" s="46" t="s">
        <v>1163</v>
      </c>
      <c r="E245" s="122">
        <v>3746</v>
      </c>
      <c r="F245" t="b">
        <f>IFERROR(Table6[[#This Row],[companyid]]=Sheet3!$N$20,TRUE)</f>
        <v>1</v>
      </c>
      <c r="G245" t="b">
        <f>OR(Worksheet!$D$5="",Worksheet!$D$5=Table6[[#This Row],[categoryname]])</f>
        <v>1</v>
      </c>
      <c r="H245" t="b">
        <f>OR(Worksheet!$D$7="",Worksheet!$D$7=Table6[[#This Row],[Manufacturer]])</f>
        <v>1</v>
      </c>
      <c r="I245" t="b">
        <f>OR(Worksheet!$G$7="",Worksheet!$G$7=Table6[[#This Row],[Model No.]])</f>
        <v>1</v>
      </c>
      <c r="J245" t="b">
        <f>OR(Worksheet!$D$8="",Worksheet!$D$8=Table6[[#This Row],[Serial No.]])</f>
        <v>1</v>
      </c>
      <c r="K245" t="b">
        <f>AND(Table6[[#This Row],[categoryname2]:[SN2]])</f>
        <v>1</v>
      </c>
      <c r="L245" t="b">
        <f>AND(Table6[[#This Row],[companyid2]],Table6[[#This Row],[Manufacturer2]:[SN2]])</f>
        <v>1</v>
      </c>
      <c r="M245" t="b">
        <f>AND(Table6[[#This Row],[companyid2]:[categoryname2]],Table6[[#This Row],[Model2]:[SN2]])</f>
        <v>1</v>
      </c>
      <c r="N245" t="b">
        <f>AND(Table6[[#This Row],[companyid2]:[Manufacturer2]],Table6[[#This Row],[SN2]])</f>
        <v>1</v>
      </c>
      <c r="O245" t="b">
        <f>AND(Table6[[#This Row],[companyid2]:[Model2]])</f>
        <v>1</v>
      </c>
    </row>
    <row r="246" spans="1:15" x14ac:dyDescent="0.25">
      <c r="A246">
        <v>57856</v>
      </c>
      <c r="B246" t="s">
        <v>568</v>
      </c>
      <c r="C246" t="s">
        <v>571</v>
      </c>
      <c r="D246" s="46" t="s">
        <v>1163</v>
      </c>
      <c r="E246" s="122" t="s">
        <v>1108</v>
      </c>
      <c r="F246" t="b">
        <f>IFERROR(Table6[[#This Row],[companyid]]=Sheet3!$N$20,TRUE)</f>
        <v>1</v>
      </c>
      <c r="G246" t="b">
        <f>OR(Worksheet!$D$5="",Worksheet!$D$5=Table6[[#This Row],[categoryname]])</f>
        <v>1</v>
      </c>
      <c r="H246" t="b">
        <f>OR(Worksheet!$D$7="",Worksheet!$D$7=Table6[[#This Row],[Manufacturer]])</f>
        <v>1</v>
      </c>
      <c r="I246" t="b">
        <f>OR(Worksheet!$G$7="",Worksheet!$G$7=Table6[[#This Row],[Model No.]])</f>
        <v>1</v>
      </c>
      <c r="J246" t="b">
        <f>OR(Worksheet!$D$8="",Worksheet!$D$8=Table6[[#This Row],[Serial No.]])</f>
        <v>1</v>
      </c>
      <c r="K246" t="b">
        <f>AND(Table6[[#This Row],[categoryname2]:[SN2]])</f>
        <v>1</v>
      </c>
      <c r="L246" t="b">
        <f>AND(Table6[[#This Row],[companyid2]],Table6[[#This Row],[Manufacturer2]:[SN2]])</f>
        <v>1</v>
      </c>
      <c r="M246" t="b">
        <f>AND(Table6[[#This Row],[companyid2]:[categoryname2]],Table6[[#This Row],[Model2]:[SN2]])</f>
        <v>1</v>
      </c>
      <c r="N246" t="b">
        <f>AND(Table6[[#This Row],[companyid2]:[Manufacturer2]],Table6[[#This Row],[SN2]])</f>
        <v>1</v>
      </c>
      <c r="O246" t="b">
        <f>AND(Table6[[#This Row],[companyid2]:[Model2]])</f>
        <v>1</v>
      </c>
    </row>
    <row r="247" spans="1:15" x14ac:dyDescent="0.25">
      <c r="A247">
        <v>57330</v>
      </c>
      <c r="B247" t="s">
        <v>568</v>
      </c>
      <c r="C247" t="s">
        <v>571</v>
      </c>
      <c r="D247" s="46" t="s">
        <v>1163</v>
      </c>
      <c r="E247" s="122" t="s">
        <v>1073</v>
      </c>
      <c r="F247" t="b">
        <f>IFERROR(Table6[[#This Row],[companyid]]=Sheet3!$N$20,TRUE)</f>
        <v>1</v>
      </c>
      <c r="G247" t="b">
        <f>OR(Worksheet!$D$5="",Worksheet!$D$5=Table6[[#This Row],[categoryname]])</f>
        <v>1</v>
      </c>
      <c r="H247" t="b">
        <f>OR(Worksheet!$D$7="",Worksheet!$D$7=Table6[[#This Row],[Manufacturer]])</f>
        <v>1</v>
      </c>
      <c r="I247" t="b">
        <f>OR(Worksheet!$G$7="",Worksheet!$G$7=Table6[[#This Row],[Model No.]])</f>
        <v>1</v>
      </c>
      <c r="J247" t="b">
        <f>OR(Worksheet!$D$8="",Worksheet!$D$8=Table6[[#This Row],[Serial No.]])</f>
        <v>1</v>
      </c>
      <c r="K247" t="b">
        <f>AND(Table6[[#This Row],[categoryname2]:[SN2]])</f>
        <v>1</v>
      </c>
      <c r="L247" t="b">
        <f>AND(Table6[[#This Row],[companyid2]],Table6[[#This Row],[Manufacturer2]:[SN2]])</f>
        <v>1</v>
      </c>
      <c r="M247" t="b">
        <f>AND(Table6[[#This Row],[companyid2]:[categoryname2]],Table6[[#This Row],[Model2]:[SN2]])</f>
        <v>1</v>
      </c>
      <c r="N247" t="b">
        <f>AND(Table6[[#This Row],[companyid2]:[Manufacturer2]],Table6[[#This Row],[SN2]])</f>
        <v>1</v>
      </c>
      <c r="O247" t="b">
        <f>AND(Table6[[#This Row],[companyid2]:[Model2]])</f>
        <v>1</v>
      </c>
    </row>
    <row r="248" spans="1:15" x14ac:dyDescent="0.25">
      <c r="A248">
        <v>57514</v>
      </c>
      <c r="B248" t="s">
        <v>568</v>
      </c>
      <c r="C248" t="s">
        <v>571</v>
      </c>
      <c r="D248" s="46" t="s">
        <v>1178</v>
      </c>
      <c r="E248" s="122" t="s">
        <v>1089</v>
      </c>
      <c r="F248" t="b">
        <f>IFERROR(Table6[[#This Row],[companyid]]=Sheet3!$N$20,TRUE)</f>
        <v>1</v>
      </c>
      <c r="G248" t="b">
        <f>OR(Worksheet!$D$5="",Worksheet!$D$5=Table6[[#This Row],[categoryname]])</f>
        <v>1</v>
      </c>
      <c r="H248" t="b">
        <f>OR(Worksheet!$D$7="",Worksheet!$D$7=Table6[[#This Row],[Manufacturer]])</f>
        <v>1</v>
      </c>
      <c r="I248" t="b">
        <f>OR(Worksheet!$G$7="",Worksheet!$G$7=Table6[[#This Row],[Model No.]])</f>
        <v>1</v>
      </c>
      <c r="J248" t="b">
        <f>OR(Worksheet!$D$8="",Worksheet!$D$8=Table6[[#This Row],[Serial No.]])</f>
        <v>1</v>
      </c>
      <c r="K248" t="b">
        <f>AND(Table6[[#This Row],[categoryname2]:[SN2]])</f>
        <v>1</v>
      </c>
      <c r="L248" t="b">
        <f>AND(Table6[[#This Row],[companyid2]],Table6[[#This Row],[Manufacturer2]:[SN2]])</f>
        <v>1</v>
      </c>
      <c r="M248" t="b">
        <f>AND(Table6[[#This Row],[companyid2]:[categoryname2]],Table6[[#This Row],[Model2]:[SN2]])</f>
        <v>1</v>
      </c>
      <c r="N248" t="b">
        <f>AND(Table6[[#This Row],[companyid2]:[Manufacturer2]],Table6[[#This Row],[SN2]])</f>
        <v>1</v>
      </c>
      <c r="O248" t="b">
        <f>AND(Table6[[#This Row],[companyid2]:[Model2]])</f>
        <v>1</v>
      </c>
    </row>
    <row r="249" spans="1:15" x14ac:dyDescent="0.25">
      <c r="A249">
        <v>58011</v>
      </c>
      <c r="B249" t="s">
        <v>568</v>
      </c>
      <c r="C249" t="s">
        <v>571</v>
      </c>
      <c r="D249" s="46" t="s">
        <v>1112</v>
      </c>
      <c r="E249" s="122">
        <v>1683</v>
      </c>
      <c r="F249" t="b">
        <f>IFERROR(Table6[[#This Row],[companyid]]=Sheet3!$N$20,TRUE)</f>
        <v>1</v>
      </c>
      <c r="G249" t="b">
        <f>OR(Worksheet!$D$5="",Worksheet!$D$5=Table6[[#This Row],[categoryname]])</f>
        <v>1</v>
      </c>
      <c r="H249" t="b">
        <f>OR(Worksheet!$D$7="",Worksheet!$D$7=Table6[[#This Row],[Manufacturer]])</f>
        <v>1</v>
      </c>
      <c r="I249" t="b">
        <f>OR(Worksheet!$G$7="",Worksheet!$G$7=Table6[[#This Row],[Model No.]])</f>
        <v>1</v>
      </c>
      <c r="J249" t="b">
        <f>OR(Worksheet!$D$8="",Worksheet!$D$8=Table6[[#This Row],[Serial No.]])</f>
        <v>1</v>
      </c>
      <c r="K249" t="b">
        <f>AND(Table6[[#This Row],[categoryname2]:[SN2]])</f>
        <v>1</v>
      </c>
      <c r="L249" t="b">
        <f>AND(Table6[[#This Row],[companyid2]],Table6[[#This Row],[Manufacturer2]:[SN2]])</f>
        <v>1</v>
      </c>
      <c r="M249" t="b">
        <f>AND(Table6[[#This Row],[companyid2]:[categoryname2]],Table6[[#This Row],[Model2]:[SN2]])</f>
        <v>1</v>
      </c>
      <c r="N249" t="b">
        <f>AND(Table6[[#This Row],[companyid2]:[Manufacturer2]],Table6[[#This Row],[SN2]])</f>
        <v>1</v>
      </c>
      <c r="O249" t="b">
        <f>AND(Table6[[#This Row],[companyid2]:[Model2]])</f>
        <v>1</v>
      </c>
    </row>
    <row r="250" spans="1:15" x14ac:dyDescent="0.25">
      <c r="A250">
        <v>57908</v>
      </c>
      <c r="B250" t="s">
        <v>568</v>
      </c>
      <c r="C250" t="s">
        <v>571</v>
      </c>
      <c r="D250" s="46" t="s">
        <v>1112</v>
      </c>
      <c r="E250" s="122" t="s">
        <v>1113</v>
      </c>
      <c r="F250" t="b">
        <f>IFERROR(Table6[[#This Row],[companyid]]=Sheet3!$N$20,TRUE)</f>
        <v>1</v>
      </c>
      <c r="G250" t="b">
        <f>OR(Worksheet!$D$5="",Worksheet!$D$5=Table6[[#This Row],[categoryname]])</f>
        <v>1</v>
      </c>
      <c r="H250" t="b">
        <f>OR(Worksheet!$D$7="",Worksheet!$D$7=Table6[[#This Row],[Manufacturer]])</f>
        <v>1</v>
      </c>
      <c r="I250" t="b">
        <f>OR(Worksheet!$G$7="",Worksheet!$G$7=Table6[[#This Row],[Model No.]])</f>
        <v>1</v>
      </c>
      <c r="J250" t="b">
        <f>OR(Worksheet!$D$8="",Worksheet!$D$8=Table6[[#This Row],[Serial No.]])</f>
        <v>1</v>
      </c>
      <c r="K250" t="b">
        <f>AND(Table6[[#This Row],[categoryname2]:[SN2]])</f>
        <v>1</v>
      </c>
      <c r="L250" t="b">
        <f>AND(Table6[[#This Row],[companyid2]],Table6[[#This Row],[Manufacturer2]:[SN2]])</f>
        <v>1</v>
      </c>
      <c r="M250" t="b">
        <f>AND(Table6[[#This Row],[companyid2]:[categoryname2]],Table6[[#This Row],[Model2]:[SN2]])</f>
        <v>1</v>
      </c>
      <c r="N250" t="b">
        <f>AND(Table6[[#This Row],[companyid2]:[Manufacturer2]],Table6[[#This Row],[SN2]])</f>
        <v>1</v>
      </c>
      <c r="O250" t="b">
        <f>AND(Table6[[#This Row],[companyid2]:[Model2]])</f>
        <v>1</v>
      </c>
    </row>
    <row r="251" spans="1:15" x14ac:dyDescent="0.25">
      <c r="A251">
        <v>57649</v>
      </c>
      <c r="B251" t="s">
        <v>568</v>
      </c>
      <c r="C251" t="s">
        <v>571</v>
      </c>
      <c r="D251" s="46" t="s">
        <v>1186</v>
      </c>
      <c r="E251" s="122" t="s">
        <v>1096</v>
      </c>
      <c r="F251" t="b">
        <f>IFERROR(Table6[[#This Row],[companyid]]=Sheet3!$N$20,TRUE)</f>
        <v>1</v>
      </c>
      <c r="G251" t="b">
        <f>OR(Worksheet!$D$5="",Worksheet!$D$5=Table6[[#This Row],[categoryname]])</f>
        <v>1</v>
      </c>
      <c r="H251" t="b">
        <f>OR(Worksheet!$D$7="",Worksheet!$D$7=Table6[[#This Row],[Manufacturer]])</f>
        <v>1</v>
      </c>
      <c r="I251" t="b">
        <f>OR(Worksheet!$G$7="",Worksheet!$G$7=Table6[[#This Row],[Model No.]])</f>
        <v>1</v>
      </c>
      <c r="J251" t="b">
        <f>OR(Worksheet!$D$8="",Worksheet!$D$8=Table6[[#This Row],[Serial No.]])</f>
        <v>1</v>
      </c>
      <c r="K251" t="b">
        <f>AND(Table6[[#This Row],[categoryname2]:[SN2]])</f>
        <v>1</v>
      </c>
      <c r="L251" t="b">
        <f>AND(Table6[[#This Row],[companyid2]],Table6[[#This Row],[Manufacturer2]:[SN2]])</f>
        <v>1</v>
      </c>
      <c r="M251" t="b">
        <f>AND(Table6[[#This Row],[companyid2]:[categoryname2]],Table6[[#This Row],[Model2]:[SN2]])</f>
        <v>1</v>
      </c>
      <c r="N251" t="b">
        <f>AND(Table6[[#This Row],[companyid2]:[Manufacturer2]],Table6[[#This Row],[SN2]])</f>
        <v>1</v>
      </c>
      <c r="O251" t="b">
        <f>AND(Table6[[#This Row],[companyid2]:[Model2]])</f>
        <v>1</v>
      </c>
    </row>
    <row r="252" spans="1:15" x14ac:dyDescent="0.25">
      <c r="A252">
        <v>57421</v>
      </c>
      <c r="B252" t="s">
        <v>568</v>
      </c>
      <c r="C252" t="s">
        <v>571</v>
      </c>
      <c r="D252" s="46" t="s">
        <v>1107</v>
      </c>
      <c r="E252" s="122" t="s">
        <v>1084</v>
      </c>
      <c r="F252" t="b">
        <f>IFERROR(Table6[[#This Row],[companyid]]=Sheet3!$N$20,TRUE)</f>
        <v>1</v>
      </c>
      <c r="G252" t="b">
        <f>OR(Worksheet!$D$5="",Worksheet!$D$5=Table6[[#This Row],[categoryname]])</f>
        <v>1</v>
      </c>
      <c r="H252" t="b">
        <f>OR(Worksheet!$D$7="",Worksheet!$D$7=Table6[[#This Row],[Manufacturer]])</f>
        <v>1</v>
      </c>
      <c r="I252" t="b">
        <f>OR(Worksheet!$G$7="",Worksheet!$G$7=Table6[[#This Row],[Model No.]])</f>
        <v>1</v>
      </c>
      <c r="J252" t="b">
        <f>OR(Worksheet!$D$8="",Worksheet!$D$8=Table6[[#This Row],[Serial No.]])</f>
        <v>1</v>
      </c>
      <c r="K252" t="b">
        <f>AND(Table6[[#This Row],[categoryname2]:[SN2]])</f>
        <v>1</v>
      </c>
      <c r="L252" t="b">
        <f>AND(Table6[[#This Row],[companyid2]],Table6[[#This Row],[Manufacturer2]:[SN2]])</f>
        <v>1</v>
      </c>
      <c r="M252" t="b">
        <f>AND(Table6[[#This Row],[companyid2]:[categoryname2]],Table6[[#This Row],[Model2]:[SN2]])</f>
        <v>1</v>
      </c>
      <c r="N252" t="b">
        <f>AND(Table6[[#This Row],[companyid2]:[Manufacturer2]],Table6[[#This Row],[SN2]])</f>
        <v>1</v>
      </c>
      <c r="O252" t="b">
        <f>AND(Table6[[#This Row],[companyid2]:[Model2]])</f>
        <v>1</v>
      </c>
    </row>
    <row r="253" spans="1:15" x14ac:dyDescent="0.25">
      <c r="A253">
        <v>58225</v>
      </c>
      <c r="B253" t="s">
        <v>568</v>
      </c>
      <c r="C253" t="s">
        <v>571</v>
      </c>
      <c r="D253" s="46" t="s">
        <v>1214</v>
      </c>
      <c r="E253" s="122" t="s">
        <v>1146</v>
      </c>
      <c r="F253" t="b">
        <f>IFERROR(Table6[[#This Row],[companyid]]=Sheet3!$N$20,TRUE)</f>
        <v>1</v>
      </c>
      <c r="G253" t="b">
        <f>OR(Worksheet!$D$5="",Worksheet!$D$5=Table6[[#This Row],[categoryname]])</f>
        <v>1</v>
      </c>
      <c r="H253" t="b">
        <f>OR(Worksheet!$D$7="",Worksheet!$D$7=Table6[[#This Row],[Manufacturer]])</f>
        <v>1</v>
      </c>
      <c r="I253" t="b">
        <f>OR(Worksheet!$G$7="",Worksheet!$G$7=Table6[[#This Row],[Model No.]])</f>
        <v>1</v>
      </c>
      <c r="J253" t="b">
        <f>OR(Worksheet!$D$8="",Worksheet!$D$8=Table6[[#This Row],[Serial No.]])</f>
        <v>1</v>
      </c>
      <c r="K253" t="b">
        <f>AND(Table6[[#This Row],[categoryname2]:[SN2]])</f>
        <v>1</v>
      </c>
      <c r="L253" t="b">
        <f>AND(Table6[[#This Row],[companyid2]],Table6[[#This Row],[Manufacturer2]:[SN2]])</f>
        <v>1</v>
      </c>
      <c r="M253" t="b">
        <f>AND(Table6[[#This Row],[companyid2]:[categoryname2]],Table6[[#This Row],[Model2]:[SN2]])</f>
        <v>1</v>
      </c>
      <c r="N253" t="b">
        <f>AND(Table6[[#This Row],[companyid2]:[Manufacturer2]],Table6[[#This Row],[SN2]])</f>
        <v>1</v>
      </c>
      <c r="O253" t="b">
        <f>AND(Table6[[#This Row],[companyid2]:[Model2]])</f>
        <v>1</v>
      </c>
    </row>
    <row r="254" spans="1:15" x14ac:dyDescent="0.25">
      <c r="A254">
        <v>58202</v>
      </c>
      <c r="B254" t="s">
        <v>568</v>
      </c>
      <c r="C254" t="s">
        <v>571</v>
      </c>
      <c r="D254" s="46" t="s">
        <v>625</v>
      </c>
      <c r="E254" s="122">
        <v>1981</v>
      </c>
      <c r="F254" t="b">
        <f>IFERROR(Table6[[#This Row],[companyid]]=Sheet3!$N$20,TRUE)</f>
        <v>1</v>
      </c>
      <c r="G254" t="b">
        <f>OR(Worksheet!$D$5="",Worksheet!$D$5=Table6[[#This Row],[categoryname]])</f>
        <v>1</v>
      </c>
      <c r="H254" t="b">
        <f>OR(Worksheet!$D$7="",Worksheet!$D$7=Table6[[#This Row],[Manufacturer]])</f>
        <v>1</v>
      </c>
      <c r="I254" t="b">
        <f>OR(Worksheet!$G$7="",Worksheet!$G$7=Table6[[#This Row],[Model No.]])</f>
        <v>1</v>
      </c>
      <c r="J254" t="b">
        <f>OR(Worksheet!$D$8="",Worksheet!$D$8=Table6[[#This Row],[Serial No.]])</f>
        <v>1</v>
      </c>
      <c r="K254" t="b">
        <f>AND(Table6[[#This Row],[categoryname2]:[SN2]])</f>
        <v>1</v>
      </c>
      <c r="L254" t="b">
        <f>AND(Table6[[#This Row],[companyid2]],Table6[[#This Row],[Manufacturer2]:[SN2]])</f>
        <v>1</v>
      </c>
      <c r="M254" t="b">
        <f>AND(Table6[[#This Row],[companyid2]:[categoryname2]],Table6[[#This Row],[Model2]:[SN2]])</f>
        <v>1</v>
      </c>
      <c r="N254" t="b">
        <f>AND(Table6[[#This Row],[companyid2]:[Manufacturer2]],Table6[[#This Row],[SN2]])</f>
        <v>1</v>
      </c>
      <c r="O254" t="b">
        <f>AND(Table6[[#This Row],[companyid2]:[Model2]])</f>
        <v>1</v>
      </c>
    </row>
    <row r="255" spans="1:15" x14ac:dyDescent="0.25">
      <c r="A255">
        <v>57852</v>
      </c>
      <c r="B255" t="s">
        <v>568</v>
      </c>
      <c r="C255" t="s">
        <v>571</v>
      </c>
      <c r="D255" s="46" t="s">
        <v>625</v>
      </c>
      <c r="E255" s="122">
        <v>2692</v>
      </c>
      <c r="F255" t="b">
        <f>IFERROR(Table6[[#This Row],[companyid]]=Sheet3!$N$20,TRUE)</f>
        <v>1</v>
      </c>
      <c r="G255" t="b">
        <f>OR(Worksheet!$D$5="",Worksheet!$D$5=Table6[[#This Row],[categoryname]])</f>
        <v>1</v>
      </c>
      <c r="H255" t="b">
        <f>OR(Worksheet!$D$7="",Worksheet!$D$7=Table6[[#This Row],[Manufacturer]])</f>
        <v>1</v>
      </c>
      <c r="I255" t="b">
        <f>OR(Worksheet!$G$7="",Worksheet!$G$7=Table6[[#This Row],[Model No.]])</f>
        <v>1</v>
      </c>
      <c r="J255" t="b">
        <f>OR(Worksheet!$D$8="",Worksheet!$D$8=Table6[[#This Row],[Serial No.]])</f>
        <v>1</v>
      </c>
      <c r="K255" t="b">
        <f>AND(Table6[[#This Row],[categoryname2]:[SN2]])</f>
        <v>1</v>
      </c>
      <c r="L255" t="b">
        <f>AND(Table6[[#This Row],[companyid2]],Table6[[#This Row],[Manufacturer2]:[SN2]])</f>
        <v>1</v>
      </c>
      <c r="M255" t="b">
        <f>AND(Table6[[#This Row],[companyid2]:[categoryname2]],Table6[[#This Row],[Model2]:[SN2]])</f>
        <v>1</v>
      </c>
      <c r="N255" t="b">
        <f>AND(Table6[[#This Row],[companyid2]:[Manufacturer2]],Table6[[#This Row],[SN2]])</f>
        <v>1</v>
      </c>
      <c r="O255" t="b">
        <f>AND(Table6[[#This Row],[companyid2]:[Model2]])</f>
        <v>1</v>
      </c>
    </row>
    <row r="256" spans="1:15" x14ac:dyDescent="0.25">
      <c r="A256">
        <v>57508</v>
      </c>
      <c r="B256" t="s">
        <v>568</v>
      </c>
      <c r="C256" t="s">
        <v>571</v>
      </c>
      <c r="D256" s="46" t="s">
        <v>625</v>
      </c>
      <c r="E256" s="122">
        <v>3594</v>
      </c>
      <c r="F256" t="b">
        <f>IFERROR(Table6[[#This Row],[companyid]]=Sheet3!$N$20,TRUE)</f>
        <v>1</v>
      </c>
      <c r="G256" t="b">
        <f>OR(Worksheet!$D$5="",Worksheet!$D$5=Table6[[#This Row],[categoryname]])</f>
        <v>1</v>
      </c>
      <c r="H256" t="b">
        <f>OR(Worksheet!$D$7="",Worksheet!$D$7=Table6[[#This Row],[Manufacturer]])</f>
        <v>1</v>
      </c>
      <c r="I256" t="b">
        <f>OR(Worksheet!$G$7="",Worksheet!$G$7=Table6[[#This Row],[Model No.]])</f>
        <v>1</v>
      </c>
      <c r="J256" t="b">
        <f>OR(Worksheet!$D$8="",Worksheet!$D$8=Table6[[#This Row],[Serial No.]])</f>
        <v>1</v>
      </c>
      <c r="K256" t="b">
        <f>AND(Table6[[#This Row],[categoryname2]:[SN2]])</f>
        <v>1</v>
      </c>
      <c r="L256" t="b">
        <f>AND(Table6[[#This Row],[companyid2]],Table6[[#This Row],[Manufacturer2]:[SN2]])</f>
        <v>1</v>
      </c>
      <c r="M256" t="b">
        <f>AND(Table6[[#This Row],[companyid2]:[categoryname2]],Table6[[#This Row],[Model2]:[SN2]])</f>
        <v>1</v>
      </c>
      <c r="N256" t="b">
        <f>AND(Table6[[#This Row],[companyid2]:[Manufacturer2]],Table6[[#This Row],[SN2]])</f>
        <v>1</v>
      </c>
      <c r="O256" t="b">
        <f>AND(Table6[[#This Row],[companyid2]:[Model2]])</f>
        <v>1</v>
      </c>
    </row>
    <row r="257" spans="1:15" x14ac:dyDescent="0.25">
      <c r="A257">
        <v>58028</v>
      </c>
      <c r="B257" t="s">
        <v>568</v>
      </c>
      <c r="C257" t="s">
        <v>571</v>
      </c>
      <c r="D257" s="46" t="s">
        <v>625</v>
      </c>
      <c r="E257" s="122">
        <v>4927</v>
      </c>
      <c r="F257" t="b">
        <f>IFERROR(Table6[[#This Row],[companyid]]=Sheet3!$N$20,TRUE)</f>
        <v>1</v>
      </c>
      <c r="G257" t="b">
        <f>OR(Worksheet!$D$5="",Worksheet!$D$5=Table6[[#This Row],[categoryname]])</f>
        <v>1</v>
      </c>
      <c r="H257" t="b">
        <f>OR(Worksheet!$D$7="",Worksheet!$D$7=Table6[[#This Row],[Manufacturer]])</f>
        <v>1</v>
      </c>
      <c r="I257" t="b">
        <f>OR(Worksheet!$G$7="",Worksheet!$G$7=Table6[[#This Row],[Model No.]])</f>
        <v>1</v>
      </c>
      <c r="J257" t="b">
        <f>OR(Worksheet!$D$8="",Worksheet!$D$8=Table6[[#This Row],[Serial No.]])</f>
        <v>1</v>
      </c>
      <c r="K257" t="b">
        <f>AND(Table6[[#This Row],[categoryname2]:[SN2]])</f>
        <v>1</v>
      </c>
      <c r="L257" t="b">
        <f>AND(Table6[[#This Row],[companyid2]],Table6[[#This Row],[Manufacturer2]:[SN2]])</f>
        <v>1</v>
      </c>
      <c r="M257" t="b">
        <f>AND(Table6[[#This Row],[companyid2]:[categoryname2]],Table6[[#This Row],[Model2]:[SN2]])</f>
        <v>1</v>
      </c>
      <c r="N257" t="b">
        <f>AND(Table6[[#This Row],[companyid2]:[Manufacturer2]],Table6[[#This Row],[SN2]])</f>
        <v>1</v>
      </c>
      <c r="O257" t="b">
        <f>AND(Table6[[#This Row],[companyid2]:[Model2]])</f>
        <v>1</v>
      </c>
    </row>
    <row r="258" spans="1:15" x14ac:dyDescent="0.25">
      <c r="A258">
        <v>57867</v>
      </c>
      <c r="B258" t="s">
        <v>568</v>
      </c>
      <c r="C258" t="s">
        <v>571</v>
      </c>
      <c r="D258" s="46" t="s">
        <v>625</v>
      </c>
      <c r="E258" s="122">
        <v>5042</v>
      </c>
      <c r="F258" t="b">
        <f>IFERROR(Table6[[#This Row],[companyid]]=Sheet3!$N$20,TRUE)</f>
        <v>1</v>
      </c>
      <c r="G258" t="b">
        <f>OR(Worksheet!$D$5="",Worksheet!$D$5=Table6[[#This Row],[categoryname]])</f>
        <v>1</v>
      </c>
      <c r="H258" t="b">
        <f>OR(Worksheet!$D$7="",Worksheet!$D$7=Table6[[#This Row],[Manufacturer]])</f>
        <v>1</v>
      </c>
      <c r="I258" t="b">
        <f>OR(Worksheet!$G$7="",Worksheet!$G$7=Table6[[#This Row],[Model No.]])</f>
        <v>1</v>
      </c>
      <c r="J258" t="b">
        <f>OR(Worksheet!$D$8="",Worksheet!$D$8=Table6[[#This Row],[Serial No.]])</f>
        <v>1</v>
      </c>
      <c r="K258" t="b">
        <f>AND(Table6[[#This Row],[categoryname2]:[SN2]])</f>
        <v>1</v>
      </c>
      <c r="L258" t="b">
        <f>AND(Table6[[#This Row],[companyid2]],Table6[[#This Row],[Manufacturer2]:[SN2]])</f>
        <v>1</v>
      </c>
      <c r="M258" t="b">
        <f>AND(Table6[[#This Row],[companyid2]:[categoryname2]],Table6[[#This Row],[Model2]:[SN2]])</f>
        <v>1</v>
      </c>
      <c r="N258" t="b">
        <f>AND(Table6[[#This Row],[companyid2]:[Manufacturer2]],Table6[[#This Row],[SN2]])</f>
        <v>1</v>
      </c>
      <c r="O258" t="b">
        <f>AND(Table6[[#This Row],[companyid2]:[Model2]])</f>
        <v>1</v>
      </c>
    </row>
    <row r="259" spans="1:15" x14ac:dyDescent="0.25">
      <c r="A259">
        <v>57704</v>
      </c>
      <c r="B259" t="s">
        <v>568</v>
      </c>
      <c r="C259" t="s">
        <v>571</v>
      </c>
      <c r="D259" s="46" t="s">
        <v>625</v>
      </c>
      <c r="E259" s="122">
        <v>5216</v>
      </c>
      <c r="F259" t="b">
        <f>IFERROR(Table6[[#This Row],[companyid]]=Sheet3!$N$20,TRUE)</f>
        <v>1</v>
      </c>
      <c r="G259" t="b">
        <f>OR(Worksheet!$D$5="",Worksheet!$D$5=Table6[[#This Row],[categoryname]])</f>
        <v>1</v>
      </c>
      <c r="H259" t="b">
        <f>OR(Worksheet!$D$7="",Worksheet!$D$7=Table6[[#This Row],[Manufacturer]])</f>
        <v>1</v>
      </c>
      <c r="I259" t="b">
        <f>OR(Worksheet!$G$7="",Worksheet!$G$7=Table6[[#This Row],[Model No.]])</f>
        <v>1</v>
      </c>
      <c r="J259" t="b">
        <f>OR(Worksheet!$D$8="",Worksheet!$D$8=Table6[[#This Row],[Serial No.]])</f>
        <v>1</v>
      </c>
      <c r="K259" t="b">
        <f>AND(Table6[[#This Row],[categoryname2]:[SN2]])</f>
        <v>1</v>
      </c>
      <c r="L259" t="b">
        <f>AND(Table6[[#This Row],[companyid2]],Table6[[#This Row],[Manufacturer2]:[SN2]])</f>
        <v>1</v>
      </c>
      <c r="M259" t="b">
        <f>AND(Table6[[#This Row],[companyid2]:[categoryname2]],Table6[[#This Row],[Model2]:[SN2]])</f>
        <v>1</v>
      </c>
      <c r="N259" t="b">
        <f>AND(Table6[[#This Row],[companyid2]:[Manufacturer2]],Table6[[#This Row],[SN2]])</f>
        <v>1</v>
      </c>
      <c r="O259" t="b">
        <f>AND(Table6[[#This Row],[companyid2]:[Model2]])</f>
        <v>1</v>
      </c>
    </row>
    <row r="260" spans="1:15" x14ac:dyDescent="0.25">
      <c r="A260">
        <v>58053</v>
      </c>
      <c r="B260" t="s">
        <v>568</v>
      </c>
      <c r="C260" t="s">
        <v>571</v>
      </c>
      <c r="D260" s="46" t="s">
        <v>625</v>
      </c>
      <c r="E260" s="122">
        <v>5282</v>
      </c>
      <c r="F260" t="b">
        <f>IFERROR(Table6[[#This Row],[companyid]]=Sheet3!$N$20,TRUE)</f>
        <v>1</v>
      </c>
      <c r="G260" t="b">
        <f>OR(Worksheet!$D$5="",Worksheet!$D$5=Table6[[#This Row],[categoryname]])</f>
        <v>1</v>
      </c>
      <c r="H260" t="b">
        <f>OR(Worksheet!$D$7="",Worksheet!$D$7=Table6[[#This Row],[Manufacturer]])</f>
        <v>1</v>
      </c>
      <c r="I260" t="b">
        <f>OR(Worksheet!$G$7="",Worksheet!$G$7=Table6[[#This Row],[Model No.]])</f>
        <v>1</v>
      </c>
      <c r="J260" t="b">
        <f>OR(Worksheet!$D$8="",Worksheet!$D$8=Table6[[#This Row],[Serial No.]])</f>
        <v>1</v>
      </c>
      <c r="K260" t="b">
        <f>AND(Table6[[#This Row],[categoryname2]:[SN2]])</f>
        <v>1</v>
      </c>
      <c r="L260" t="b">
        <f>AND(Table6[[#This Row],[companyid2]],Table6[[#This Row],[Manufacturer2]:[SN2]])</f>
        <v>1</v>
      </c>
      <c r="M260" t="b">
        <f>AND(Table6[[#This Row],[companyid2]:[categoryname2]],Table6[[#This Row],[Model2]:[SN2]])</f>
        <v>1</v>
      </c>
      <c r="N260" t="b">
        <f>AND(Table6[[#This Row],[companyid2]:[Manufacturer2]],Table6[[#This Row],[SN2]])</f>
        <v>1</v>
      </c>
      <c r="O260" t="b">
        <f>AND(Table6[[#This Row],[companyid2]:[Model2]])</f>
        <v>1</v>
      </c>
    </row>
    <row r="261" spans="1:15" x14ac:dyDescent="0.25">
      <c r="A261">
        <v>57460</v>
      </c>
      <c r="B261" t="s">
        <v>568</v>
      </c>
      <c r="C261" t="s">
        <v>571</v>
      </c>
      <c r="D261" s="46" t="s">
        <v>625</v>
      </c>
      <c r="E261" s="122">
        <v>7013</v>
      </c>
      <c r="F261" t="b">
        <f>IFERROR(Table6[[#This Row],[companyid]]=Sheet3!$N$20,TRUE)</f>
        <v>1</v>
      </c>
      <c r="G261" t="b">
        <f>OR(Worksheet!$D$5="",Worksheet!$D$5=Table6[[#This Row],[categoryname]])</f>
        <v>1</v>
      </c>
      <c r="H261" t="b">
        <f>OR(Worksheet!$D$7="",Worksheet!$D$7=Table6[[#This Row],[Manufacturer]])</f>
        <v>1</v>
      </c>
      <c r="I261" t="b">
        <f>OR(Worksheet!$G$7="",Worksheet!$G$7=Table6[[#This Row],[Model No.]])</f>
        <v>1</v>
      </c>
      <c r="J261" t="b">
        <f>OR(Worksheet!$D$8="",Worksheet!$D$8=Table6[[#This Row],[Serial No.]])</f>
        <v>1</v>
      </c>
      <c r="K261" t="b">
        <f>AND(Table6[[#This Row],[categoryname2]:[SN2]])</f>
        <v>1</v>
      </c>
      <c r="L261" t="b">
        <f>AND(Table6[[#This Row],[companyid2]],Table6[[#This Row],[Manufacturer2]:[SN2]])</f>
        <v>1</v>
      </c>
      <c r="M261" t="b">
        <f>AND(Table6[[#This Row],[companyid2]:[categoryname2]],Table6[[#This Row],[Model2]:[SN2]])</f>
        <v>1</v>
      </c>
      <c r="N261" t="b">
        <f>AND(Table6[[#This Row],[companyid2]:[Manufacturer2]],Table6[[#This Row],[SN2]])</f>
        <v>1</v>
      </c>
      <c r="O261" t="b">
        <f>AND(Table6[[#This Row],[companyid2]:[Model2]])</f>
        <v>1</v>
      </c>
    </row>
    <row r="262" spans="1:15" x14ac:dyDescent="0.25">
      <c r="A262">
        <v>57439</v>
      </c>
      <c r="B262" t="s">
        <v>568</v>
      </c>
      <c r="C262" t="s">
        <v>571</v>
      </c>
      <c r="D262" s="46" t="s">
        <v>625</v>
      </c>
      <c r="E262" s="122">
        <v>7326</v>
      </c>
      <c r="F262" t="b">
        <f>IFERROR(Table6[[#This Row],[companyid]]=Sheet3!$N$20,TRUE)</f>
        <v>1</v>
      </c>
      <c r="G262" t="b">
        <f>OR(Worksheet!$D$5="",Worksheet!$D$5=Table6[[#This Row],[categoryname]])</f>
        <v>1</v>
      </c>
      <c r="H262" t="b">
        <f>OR(Worksheet!$D$7="",Worksheet!$D$7=Table6[[#This Row],[Manufacturer]])</f>
        <v>1</v>
      </c>
      <c r="I262" t="b">
        <f>OR(Worksheet!$G$7="",Worksheet!$G$7=Table6[[#This Row],[Model No.]])</f>
        <v>1</v>
      </c>
      <c r="J262" t="b">
        <f>OR(Worksheet!$D$8="",Worksheet!$D$8=Table6[[#This Row],[Serial No.]])</f>
        <v>1</v>
      </c>
      <c r="K262" t="b">
        <f>AND(Table6[[#This Row],[categoryname2]:[SN2]])</f>
        <v>1</v>
      </c>
      <c r="L262" t="b">
        <f>AND(Table6[[#This Row],[companyid2]],Table6[[#This Row],[Manufacturer2]:[SN2]])</f>
        <v>1</v>
      </c>
      <c r="M262" t="b">
        <f>AND(Table6[[#This Row],[companyid2]:[categoryname2]],Table6[[#This Row],[Model2]:[SN2]])</f>
        <v>1</v>
      </c>
      <c r="N262" t="b">
        <f>AND(Table6[[#This Row],[companyid2]:[Manufacturer2]],Table6[[#This Row],[SN2]])</f>
        <v>1</v>
      </c>
      <c r="O262" t="b">
        <f>AND(Table6[[#This Row],[companyid2]:[Model2]])</f>
        <v>1</v>
      </c>
    </row>
    <row r="263" spans="1:15" x14ac:dyDescent="0.25">
      <c r="A263">
        <v>57437</v>
      </c>
      <c r="B263" t="s">
        <v>568</v>
      </c>
      <c r="C263" t="s">
        <v>571</v>
      </c>
      <c r="D263" s="46" t="s">
        <v>625</v>
      </c>
      <c r="E263" s="122">
        <v>7336</v>
      </c>
      <c r="F263" t="b">
        <f>IFERROR(Table6[[#This Row],[companyid]]=Sheet3!$N$20,TRUE)</f>
        <v>1</v>
      </c>
      <c r="G263" t="b">
        <f>OR(Worksheet!$D$5="",Worksheet!$D$5=Table6[[#This Row],[categoryname]])</f>
        <v>1</v>
      </c>
      <c r="H263" t="b">
        <f>OR(Worksheet!$D$7="",Worksheet!$D$7=Table6[[#This Row],[Manufacturer]])</f>
        <v>1</v>
      </c>
      <c r="I263" t="b">
        <f>OR(Worksheet!$G$7="",Worksheet!$G$7=Table6[[#This Row],[Model No.]])</f>
        <v>1</v>
      </c>
      <c r="J263" t="b">
        <f>OR(Worksheet!$D$8="",Worksheet!$D$8=Table6[[#This Row],[Serial No.]])</f>
        <v>1</v>
      </c>
      <c r="K263" t="b">
        <f>AND(Table6[[#This Row],[categoryname2]:[SN2]])</f>
        <v>1</v>
      </c>
      <c r="L263" t="b">
        <f>AND(Table6[[#This Row],[companyid2]],Table6[[#This Row],[Manufacturer2]:[SN2]])</f>
        <v>1</v>
      </c>
      <c r="M263" t="b">
        <f>AND(Table6[[#This Row],[companyid2]:[categoryname2]],Table6[[#This Row],[Model2]:[SN2]])</f>
        <v>1</v>
      </c>
      <c r="N263" t="b">
        <f>AND(Table6[[#This Row],[companyid2]:[Manufacturer2]],Table6[[#This Row],[SN2]])</f>
        <v>1</v>
      </c>
      <c r="O263" t="b">
        <f>AND(Table6[[#This Row],[companyid2]:[Model2]])</f>
        <v>1</v>
      </c>
    </row>
    <row r="264" spans="1:15" x14ac:dyDescent="0.25">
      <c r="A264">
        <v>57332</v>
      </c>
      <c r="B264" t="s">
        <v>568</v>
      </c>
      <c r="C264" t="s">
        <v>571</v>
      </c>
      <c r="D264" s="46" t="s">
        <v>625</v>
      </c>
      <c r="E264" s="122">
        <v>7549</v>
      </c>
      <c r="F264" t="b">
        <f>IFERROR(Table6[[#This Row],[companyid]]=Sheet3!$N$20,TRUE)</f>
        <v>1</v>
      </c>
      <c r="G264" t="b">
        <f>OR(Worksheet!$D$5="",Worksheet!$D$5=Table6[[#This Row],[categoryname]])</f>
        <v>1</v>
      </c>
      <c r="H264" t="b">
        <f>OR(Worksheet!$D$7="",Worksheet!$D$7=Table6[[#This Row],[Manufacturer]])</f>
        <v>1</v>
      </c>
      <c r="I264" t="b">
        <f>OR(Worksheet!$G$7="",Worksheet!$G$7=Table6[[#This Row],[Model No.]])</f>
        <v>1</v>
      </c>
      <c r="J264" t="b">
        <f>OR(Worksheet!$D$8="",Worksheet!$D$8=Table6[[#This Row],[Serial No.]])</f>
        <v>1</v>
      </c>
      <c r="K264" t="b">
        <f>AND(Table6[[#This Row],[categoryname2]:[SN2]])</f>
        <v>1</v>
      </c>
      <c r="L264" t="b">
        <f>AND(Table6[[#This Row],[companyid2]],Table6[[#This Row],[Manufacturer2]:[SN2]])</f>
        <v>1</v>
      </c>
      <c r="M264" t="b">
        <f>AND(Table6[[#This Row],[companyid2]:[categoryname2]],Table6[[#This Row],[Model2]:[SN2]])</f>
        <v>1</v>
      </c>
      <c r="N264" t="b">
        <f>AND(Table6[[#This Row],[companyid2]:[Manufacturer2]],Table6[[#This Row],[SN2]])</f>
        <v>1</v>
      </c>
      <c r="O264" t="b">
        <f>AND(Table6[[#This Row],[companyid2]:[Model2]])</f>
        <v>1</v>
      </c>
    </row>
    <row r="265" spans="1:15" x14ac:dyDescent="0.25">
      <c r="A265">
        <v>57470</v>
      </c>
      <c r="B265" t="s">
        <v>568</v>
      </c>
      <c r="C265" t="s">
        <v>571</v>
      </c>
      <c r="D265" s="46" t="s">
        <v>625</v>
      </c>
      <c r="E265" s="122">
        <v>7772</v>
      </c>
      <c r="F265" t="b">
        <f>IFERROR(Table6[[#This Row],[companyid]]=Sheet3!$N$20,TRUE)</f>
        <v>1</v>
      </c>
      <c r="G265" t="b">
        <f>OR(Worksheet!$D$5="",Worksheet!$D$5=Table6[[#This Row],[categoryname]])</f>
        <v>1</v>
      </c>
      <c r="H265" t="b">
        <f>OR(Worksheet!$D$7="",Worksheet!$D$7=Table6[[#This Row],[Manufacturer]])</f>
        <v>1</v>
      </c>
      <c r="I265" t="b">
        <f>OR(Worksheet!$G$7="",Worksheet!$G$7=Table6[[#This Row],[Model No.]])</f>
        <v>1</v>
      </c>
      <c r="J265" t="b">
        <f>OR(Worksheet!$D$8="",Worksheet!$D$8=Table6[[#This Row],[Serial No.]])</f>
        <v>1</v>
      </c>
      <c r="K265" t="b">
        <f>AND(Table6[[#This Row],[categoryname2]:[SN2]])</f>
        <v>1</v>
      </c>
      <c r="L265" t="b">
        <f>AND(Table6[[#This Row],[companyid2]],Table6[[#This Row],[Manufacturer2]:[SN2]])</f>
        <v>1</v>
      </c>
      <c r="M265" t="b">
        <f>AND(Table6[[#This Row],[companyid2]:[categoryname2]],Table6[[#This Row],[Model2]:[SN2]])</f>
        <v>1</v>
      </c>
      <c r="N265" t="b">
        <f>AND(Table6[[#This Row],[companyid2]:[Manufacturer2]],Table6[[#This Row],[SN2]])</f>
        <v>1</v>
      </c>
      <c r="O265" t="b">
        <f>AND(Table6[[#This Row],[companyid2]:[Model2]])</f>
        <v>1</v>
      </c>
    </row>
    <row r="266" spans="1:15" x14ac:dyDescent="0.25">
      <c r="A266">
        <v>58227</v>
      </c>
      <c r="B266" t="s">
        <v>568</v>
      </c>
      <c r="C266" t="s">
        <v>571</v>
      </c>
      <c r="D266" s="46" t="s">
        <v>625</v>
      </c>
      <c r="E266" s="122" t="s">
        <v>1147</v>
      </c>
      <c r="F266" t="b">
        <f>IFERROR(Table6[[#This Row],[companyid]]=Sheet3!$N$20,TRUE)</f>
        <v>1</v>
      </c>
      <c r="G266" t="b">
        <f>OR(Worksheet!$D$5="",Worksheet!$D$5=Table6[[#This Row],[categoryname]])</f>
        <v>1</v>
      </c>
      <c r="H266" t="b">
        <f>OR(Worksheet!$D$7="",Worksheet!$D$7=Table6[[#This Row],[Manufacturer]])</f>
        <v>1</v>
      </c>
      <c r="I266" t="b">
        <f>OR(Worksheet!$G$7="",Worksheet!$G$7=Table6[[#This Row],[Model No.]])</f>
        <v>1</v>
      </c>
      <c r="J266" t="b">
        <f>OR(Worksheet!$D$8="",Worksheet!$D$8=Table6[[#This Row],[Serial No.]])</f>
        <v>1</v>
      </c>
      <c r="K266" t="b">
        <f>AND(Table6[[#This Row],[categoryname2]:[SN2]])</f>
        <v>1</v>
      </c>
      <c r="L266" t="b">
        <f>AND(Table6[[#This Row],[companyid2]],Table6[[#This Row],[Manufacturer2]:[SN2]])</f>
        <v>1</v>
      </c>
      <c r="M266" t="b">
        <f>AND(Table6[[#This Row],[companyid2]:[categoryname2]],Table6[[#This Row],[Model2]:[SN2]])</f>
        <v>1</v>
      </c>
      <c r="N266" t="b">
        <f>AND(Table6[[#This Row],[companyid2]:[Manufacturer2]],Table6[[#This Row],[SN2]])</f>
        <v>1</v>
      </c>
      <c r="O266" t="b">
        <f>AND(Table6[[#This Row],[companyid2]:[Model2]])</f>
        <v>1</v>
      </c>
    </row>
    <row r="267" spans="1:15" x14ac:dyDescent="0.25">
      <c r="A267">
        <v>57948</v>
      </c>
      <c r="B267" t="s">
        <v>568</v>
      </c>
      <c r="C267" t="s">
        <v>571</v>
      </c>
      <c r="D267" s="46" t="s">
        <v>625</v>
      </c>
      <c r="E267" s="122" t="s">
        <v>1115</v>
      </c>
      <c r="F267" t="b">
        <f>IFERROR(Table6[[#This Row],[companyid]]=Sheet3!$N$20,TRUE)</f>
        <v>1</v>
      </c>
      <c r="G267" t="b">
        <f>OR(Worksheet!$D$5="",Worksheet!$D$5=Table6[[#This Row],[categoryname]])</f>
        <v>1</v>
      </c>
      <c r="H267" t="b">
        <f>OR(Worksheet!$D$7="",Worksheet!$D$7=Table6[[#This Row],[Manufacturer]])</f>
        <v>1</v>
      </c>
      <c r="I267" t="b">
        <f>OR(Worksheet!$G$7="",Worksheet!$G$7=Table6[[#This Row],[Model No.]])</f>
        <v>1</v>
      </c>
      <c r="J267" t="b">
        <f>OR(Worksheet!$D$8="",Worksheet!$D$8=Table6[[#This Row],[Serial No.]])</f>
        <v>1</v>
      </c>
      <c r="K267" t="b">
        <f>AND(Table6[[#This Row],[categoryname2]:[SN2]])</f>
        <v>1</v>
      </c>
      <c r="L267" t="b">
        <f>AND(Table6[[#This Row],[companyid2]],Table6[[#This Row],[Manufacturer2]:[SN2]])</f>
        <v>1</v>
      </c>
      <c r="M267" t="b">
        <f>AND(Table6[[#This Row],[companyid2]:[categoryname2]],Table6[[#This Row],[Model2]:[SN2]])</f>
        <v>1</v>
      </c>
      <c r="N267" t="b">
        <f>AND(Table6[[#This Row],[companyid2]:[Manufacturer2]],Table6[[#This Row],[SN2]])</f>
        <v>1</v>
      </c>
      <c r="O267" t="b">
        <f>AND(Table6[[#This Row],[companyid2]:[Model2]])</f>
        <v>1</v>
      </c>
    </row>
    <row r="268" spans="1:15" x14ac:dyDescent="0.25">
      <c r="A268">
        <v>57198</v>
      </c>
      <c r="B268" t="s">
        <v>568</v>
      </c>
      <c r="C268" t="s">
        <v>571</v>
      </c>
      <c r="D268" s="46" t="s">
        <v>625</v>
      </c>
      <c r="E268" s="122" t="s">
        <v>1059</v>
      </c>
      <c r="F268" t="b">
        <f>IFERROR(Table6[[#This Row],[companyid]]=Sheet3!$N$20,TRUE)</f>
        <v>1</v>
      </c>
      <c r="G268" t="b">
        <f>OR(Worksheet!$D$5="",Worksheet!$D$5=Table6[[#This Row],[categoryname]])</f>
        <v>1</v>
      </c>
      <c r="H268" t="b">
        <f>OR(Worksheet!$D$7="",Worksheet!$D$7=Table6[[#This Row],[Manufacturer]])</f>
        <v>1</v>
      </c>
      <c r="I268" t="b">
        <f>OR(Worksheet!$G$7="",Worksheet!$G$7=Table6[[#This Row],[Model No.]])</f>
        <v>1</v>
      </c>
      <c r="J268" t="b">
        <f>OR(Worksheet!$D$8="",Worksheet!$D$8=Table6[[#This Row],[Serial No.]])</f>
        <v>1</v>
      </c>
      <c r="K268" t="b">
        <f>AND(Table6[[#This Row],[categoryname2]:[SN2]])</f>
        <v>1</v>
      </c>
      <c r="L268" t="b">
        <f>AND(Table6[[#This Row],[companyid2]],Table6[[#This Row],[Manufacturer2]:[SN2]])</f>
        <v>1</v>
      </c>
      <c r="M268" t="b">
        <f>AND(Table6[[#This Row],[companyid2]:[categoryname2]],Table6[[#This Row],[Model2]:[SN2]])</f>
        <v>1</v>
      </c>
      <c r="N268" t="b">
        <f>AND(Table6[[#This Row],[companyid2]:[Manufacturer2]],Table6[[#This Row],[SN2]])</f>
        <v>1</v>
      </c>
      <c r="O268" t="b">
        <f>AND(Table6[[#This Row],[companyid2]:[Model2]])</f>
        <v>1</v>
      </c>
    </row>
    <row r="269" spans="1:15" x14ac:dyDescent="0.25">
      <c r="A269">
        <v>57961</v>
      </c>
      <c r="B269" t="s">
        <v>568</v>
      </c>
      <c r="C269" t="s">
        <v>571</v>
      </c>
      <c r="D269" s="46" t="s">
        <v>625</v>
      </c>
      <c r="E269" s="122" t="s">
        <v>1116</v>
      </c>
      <c r="F269" t="b">
        <f>IFERROR(Table6[[#This Row],[companyid]]=Sheet3!$N$20,TRUE)</f>
        <v>1</v>
      </c>
      <c r="G269" t="b">
        <f>OR(Worksheet!$D$5="",Worksheet!$D$5=Table6[[#This Row],[categoryname]])</f>
        <v>1</v>
      </c>
      <c r="H269" t="b">
        <f>OR(Worksheet!$D$7="",Worksheet!$D$7=Table6[[#This Row],[Manufacturer]])</f>
        <v>1</v>
      </c>
      <c r="I269" t="b">
        <f>OR(Worksheet!$G$7="",Worksheet!$G$7=Table6[[#This Row],[Model No.]])</f>
        <v>1</v>
      </c>
      <c r="J269" t="b">
        <f>OR(Worksheet!$D$8="",Worksheet!$D$8=Table6[[#This Row],[Serial No.]])</f>
        <v>1</v>
      </c>
      <c r="K269" t="b">
        <f>AND(Table6[[#This Row],[categoryname2]:[SN2]])</f>
        <v>1</v>
      </c>
      <c r="L269" t="b">
        <f>AND(Table6[[#This Row],[companyid2]],Table6[[#This Row],[Manufacturer2]:[SN2]])</f>
        <v>1</v>
      </c>
      <c r="M269" t="b">
        <f>AND(Table6[[#This Row],[companyid2]:[categoryname2]],Table6[[#This Row],[Model2]:[SN2]])</f>
        <v>1</v>
      </c>
      <c r="N269" t="b">
        <f>AND(Table6[[#This Row],[companyid2]:[Manufacturer2]],Table6[[#This Row],[SN2]])</f>
        <v>1</v>
      </c>
      <c r="O269" t="b">
        <f>AND(Table6[[#This Row],[companyid2]:[Model2]])</f>
        <v>1</v>
      </c>
    </row>
    <row r="270" spans="1:15" x14ac:dyDescent="0.25">
      <c r="A270">
        <v>58071</v>
      </c>
      <c r="B270" t="s">
        <v>568</v>
      </c>
      <c r="C270" t="s">
        <v>571</v>
      </c>
      <c r="D270" s="46" t="s">
        <v>625</v>
      </c>
      <c r="E270" s="122" t="s">
        <v>1122</v>
      </c>
      <c r="F270" t="b">
        <f>IFERROR(Table6[[#This Row],[companyid]]=Sheet3!$N$20,TRUE)</f>
        <v>1</v>
      </c>
      <c r="G270" t="b">
        <f>OR(Worksheet!$D$5="",Worksheet!$D$5=Table6[[#This Row],[categoryname]])</f>
        <v>1</v>
      </c>
      <c r="H270" t="b">
        <f>OR(Worksheet!$D$7="",Worksheet!$D$7=Table6[[#This Row],[Manufacturer]])</f>
        <v>1</v>
      </c>
      <c r="I270" t="b">
        <f>OR(Worksheet!$G$7="",Worksheet!$G$7=Table6[[#This Row],[Model No.]])</f>
        <v>1</v>
      </c>
      <c r="J270" t="b">
        <f>OR(Worksheet!$D$8="",Worksheet!$D$8=Table6[[#This Row],[Serial No.]])</f>
        <v>1</v>
      </c>
      <c r="K270" t="b">
        <f>AND(Table6[[#This Row],[categoryname2]:[SN2]])</f>
        <v>1</v>
      </c>
      <c r="L270" t="b">
        <f>AND(Table6[[#This Row],[companyid2]],Table6[[#This Row],[Manufacturer2]:[SN2]])</f>
        <v>1</v>
      </c>
      <c r="M270" t="b">
        <f>AND(Table6[[#This Row],[companyid2]:[categoryname2]],Table6[[#This Row],[Model2]:[SN2]])</f>
        <v>1</v>
      </c>
      <c r="N270" t="b">
        <f>AND(Table6[[#This Row],[companyid2]:[Manufacturer2]],Table6[[#This Row],[SN2]])</f>
        <v>1</v>
      </c>
      <c r="O270" t="b">
        <f>AND(Table6[[#This Row],[companyid2]:[Model2]])</f>
        <v>1</v>
      </c>
    </row>
    <row r="271" spans="1:15" x14ac:dyDescent="0.25">
      <c r="A271">
        <v>57332</v>
      </c>
      <c r="B271" t="s">
        <v>568</v>
      </c>
      <c r="C271" t="s">
        <v>571</v>
      </c>
      <c r="D271" s="46" t="s">
        <v>625</v>
      </c>
      <c r="E271" s="122" t="s">
        <v>1074</v>
      </c>
      <c r="F271" t="b">
        <f>IFERROR(Table6[[#This Row],[companyid]]=Sheet3!$N$20,TRUE)</f>
        <v>1</v>
      </c>
      <c r="G271" t="b">
        <f>OR(Worksheet!$D$5="",Worksheet!$D$5=Table6[[#This Row],[categoryname]])</f>
        <v>1</v>
      </c>
      <c r="H271" t="b">
        <f>OR(Worksheet!$D$7="",Worksheet!$D$7=Table6[[#This Row],[Manufacturer]])</f>
        <v>1</v>
      </c>
      <c r="I271" t="b">
        <f>OR(Worksheet!$G$7="",Worksheet!$G$7=Table6[[#This Row],[Model No.]])</f>
        <v>1</v>
      </c>
      <c r="J271" t="b">
        <f>OR(Worksheet!$D$8="",Worksheet!$D$8=Table6[[#This Row],[Serial No.]])</f>
        <v>1</v>
      </c>
      <c r="K271" t="b">
        <f>AND(Table6[[#This Row],[categoryname2]:[SN2]])</f>
        <v>1</v>
      </c>
      <c r="L271" t="b">
        <f>AND(Table6[[#This Row],[companyid2]],Table6[[#This Row],[Manufacturer2]:[SN2]])</f>
        <v>1</v>
      </c>
      <c r="M271" t="b">
        <f>AND(Table6[[#This Row],[companyid2]:[categoryname2]],Table6[[#This Row],[Model2]:[SN2]])</f>
        <v>1</v>
      </c>
      <c r="N271" t="b">
        <f>AND(Table6[[#This Row],[companyid2]:[Manufacturer2]],Table6[[#This Row],[SN2]])</f>
        <v>1</v>
      </c>
      <c r="O271" t="b">
        <f>AND(Table6[[#This Row],[companyid2]:[Model2]])</f>
        <v>1</v>
      </c>
    </row>
    <row r="272" spans="1:15" x14ac:dyDescent="0.25">
      <c r="A272">
        <v>57778</v>
      </c>
      <c r="B272" t="s">
        <v>568</v>
      </c>
      <c r="C272" t="s">
        <v>571</v>
      </c>
      <c r="D272" s="46" t="s">
        <v>625</v>
      </c>
      <c r="E272" s="122" t="s">
        <v>1099</v>
      </c>
      <c r="F272" t="b">
        <f>IFERROR(Table6[[#This Row],[companyid]]=Sheet3!$N$20,TRUE)</f>
        <v>1</v>
      </c>
      <c r="G272" t="b">
        <f>OR(Worksheet!$D$5="",Worksheet!$D$5=Table6[[#This Row],[categoryname]])</f>
        <v>1</v>
      </c>
      <c r="H272" t="b">
        <f>OR(Worksheet!$D$7="",Worksheet!$D$7=Table6[[#This Row],[Manufacturer]])</f>
        <v>1</v>
      </c>
      <c r="I272" t="b">
        <f>OR(Worksheet!$G$7="",Worksheet!$G$7=Table6[[#This Row],[Model No.]])</f>
        <v>1</v>
      </c>
      <c r="J272" t="b">
        <f>OR(Worksheet!$D$8="",Worksheet!$D$8=Table6[[#This Row],[Serial No.]])</f>
        <v>1</v>
      </c>
      <c r="K272" t="b">
        <f>AND(Table6[[#This Row],[categoryname2]:[SN2]])</f>
        <v>1</v>
      </c>
      <c r="L272" t="b">
        <f>AND(Table6[[#This Row],[companyid2]],Table6[[#This Row],[Manufacturer2]:[SN2]])</f>
        <v>1</v>
      </c>
      <c r="M272" t="b">
        <f>AND(Table6[[#This Row],[companyid2]:[categoryname2]],Table6[[#This Row],[Model2]:[SN2]])</f>
        <v>1</v>
      </c>
      <c r="N272" t="b">
        <f>AND(Table6[[#This Row],[companyid2]:[Manufacturer2]],Table6[[#This Row],[SN2]])</f>
        <v>1</v>
      </c>
      <c r="O272" t="b">
        <f>AND(Table6[[#This Row],[companyid2]:[Model2]])</f>
        <v>1</v>
      </c>
    </row>
    <row r="273" spans="1:15" x14ac:dyDescent="0.25">
      <c r="A273">
        <v>57319</v>
      </c>
      <c r="B273" t="s">
        <v>568</v>
      </c>
      <c r="C273" t="s">
        <v>571</v>
      </c>
      <c r="D273" s="46" t="s">
        <v>625</v>
      </c>
      <c r="E273" s="122" t="s">
        <v>1067</v>
      </c>
      <c r="F273" t="b">
        <f>IFERROR(Table6[[#This Row],[companyid]]=Sheet3!$N$20,TRUE)</f>
        <v>1</v>
      </c>
      <c r="G273" t="b">
        <f>OR(Worksheet!$D$5="",Worksheet!$D$5=Table6[[#This Row],[categoryname]])</f>
        <v>1</v>
      </c>
      <c r="H273" t="b">
        <f>OR(Worksheet!$D$7="",Worksheet!$D$7=Table6[[#This Row],[Manufacturer]])</f>
        <v>1</v>
      </c>
      <c r="I273" t="b">
        <f>OR(Worksheet!$G$7="",Worksheet!$G$7=Table6[[#This Row],[Model No.]])</f>
        <v>1</v>
      </c>
      <c r="J273" t="b">
        <f>OR(Worksheet!$D$8="",Worksheet!$D$8=Table6[[#This Row],[Serial No.]])</f>
        <v>1</v>
      </c>
      <c r="K273" t="b">
        <f>AND(Table6[[#This Row],[categoryname2]:[SN2]])</f>
        <v>1</v>
      </c>
      <c r="L273" t="b">
        <f>AND(Table6[[#This Row],[companyid2]],Table6[[#This Row],[Manufacturer2]:[SN2]])</f>
        <v>1</v>
      </c>
      <c r="M273" t="b">
        <f>AND(Table6[[#This Row],[companyid2]:[categoryname2]],Table6[[#This Row],[Model2]:[SN2]])</f>
        <v>1</v>
      </c>
      <c r="N273" t="b">
        <f>AND(Table6[[#This Row],[companyid2]:[Manufacturer2]],Table6[[#This Row],[SN2]])</f>
        <v>1</v>
      </c>
      <c r="O273" t="b">
        <f>AND(Table6[[#This Row],[companyid2]:[Model2]])</f>
        <v>1</v>
      </c>
    </row>
    <row r="274" spans="1:15" x14ac:dyDescent="0.25">
      <c r="A274">
        <v>57760</v>
      </c>
      <c r="B274" t="s">
        <v>568</v>
      </c>
      <c r="C274" t="s">
        <v>571</v>
      </c>
      <c r="D274" s="46" t="s">
        <v>1190</v>
      </c>
      <c r="E274" s="122">
        <v>7710</v>
      </c>
      <c r="F274" t="b">
        <f>IFERROR(Table6[[#This Row],[companyid]]=Sheet3!$N$20,TRUE)</f>
        <v>1</v>
      </c>
      <c r="G274" t="b">
        <f>OR(Worksheet!$D$5="",Worksheet!$D$5=Table6[[#This Row],[categoryname]])</f>
        <v>1</v>
      </c>
      <c r="H274" t="b">
        <f>OR(Worksheet!$D$7="",Worksheet!$D$7=Table6[[#This Row],[Manufacturer]])</f>
        <v>1</v>
      </c>
      <c r="I274" t="b">
        <f>OR(Worksheet!$G$7="",Worksheet!$G$7=Table6[[#This Row],[Model No.]])</f>
        <v>1</v>
      </c>
      <c r="J274" t="b">
        <f>OR(Worksheet!$D$8="",Worksheet!$D$8=Table6[[#This Row],[Serial No.]])</f>
        <v>1</v>
      </c>
      <c r="K274" t="b">
        <f>AND(Table6[[#This Row],[categoryname2]:[SN2]])</f>
        <v>1</v>
      </c>
      <c r="L274" t="b">
        <f>AND(Table6[[#This Row],[companyid2]],Table6[[#This Row],[Manufacturer2]:[SN2]])</f>
        <v>1</v>
      </c>
      <c r="M274" t="b">
        <f>AND(Table6[[#This Row],[companyid2]:[categoryname2]],Table6[[#This Row],[Model2]:[SN2]])</f>
        <v>1</v>
      </c>
      <c r="N274" t="b">
        <f>AND(Table6[[#This Row],[companyid2]:[Manufacturer2]],Table6[[#This Row],[SN2]])</f>
        <v>1</v>
      </c>
      <c r="O274" t="b">
        <f>AND(Table6[[#This Row],[companyid2]:[Model2]])</f>
        <v>1</v>
      </c>
    </row>
    <row r="275" spans="1:15" x14ac:dyDescent="0.25">
      <c r="A275">
        <v>57524</v>
      </c>
      <c r="B275" t="s">
        <v>568</v>
      </c>
      <c r="C275" t="s">
        <v>571</v>
      </c>
      <c r="D275" s="46" t="s">
        <v>1179</v>
      </c>
      <c r="E275" s="122">
        <v>1323</v>
      </c>
      <c r="F275" t="b">
        <f>IFERROR(Table6[[#This Row],[companyid]]=Sheet3!$N$20,TRUE)</f>
        <v>1</v>
      </c>
      <c r="G275" t="b">
        <f>OR(Worksheet!$D$5="",Worksheet!$D$5=Table6[[#This Row],[categoryname]])</f>
        <v>1</v>
      </c>
      <c r="H275" t="b">
        <f>OR(Worksheet!$D$7="",Worksheet!$D$7=Table6[[#This Row],[Manufacturer]])</f>
        <v>1</v>
      </c>
      <c r="I275" t="b">
        <f>OR(Worksheet!$G$7="",Worksheet!$G$7=Table6[[#This Row],[Model No.]])</f>
        <v>1</v>
      </c>
      <c r="J275" t="b">
        <f>OR(Worksheet!$D$8="",Worksheet!$D$8=Table6[[#This Row],[Serial No.]])</f>
        <v>1</v>
      </c>
      <c r="K275" t="b">
        <f>AND(Table6[[#This Row],[categoryname2]:[SN2]])</f>
        <v>1</v>
      </c>
      <c r="L275" t="b">
        <f>AND(Table6[[#This Row],[companyid2]],Table6[[#This Row],[Manufacturer2]:[SN2]])</f>
        <v>1</v>
      </c>
      <c r="M275" t="b">
        <f>AND(Table6[[#This Row],[companyid2]:[categoryname2]],Table6[[#This Row],[Model2]:[SN2]])</f>
        <v>1</v>
      </c>
      <c r="N275" t="b">
        <f>AND(Table6[[#This Row],[companyid2]:[Manufacturer2]],Table6[[#This Row],[SN2]])</f>
        <v>1</v>
      </c>
      <c r="O275" t="b">
        <f>AND(Table6[[#This Row],[companyid2]:[Model2]])</f>
        <v>1</v>
      </c>
    </row>
    <row r="276" spans="1:15" x14ac:dyDescent="0.25">
      <c r="A276">
        <v>57543</v>
      </c>
      <c r="B276" t="s">
        <v>568</v>
      </c>
      <c r="C276" t="s">
        <v>571</v>
      </c>
      <c r="D276" s="46" t="s">
        <v>1179</v>
      </c>
      <c r="E276" s="122">
        <v>1414</v>
      </c>
      <c r="F276" t="b">
        <f>IFERROR(Table6[[#This Row],[companyid]]=Sheet3!$N$20,TRUE)</f>
        <v>1</v>
      </c>
      <c r="G276" t="b">
        <f>OR(Worksheet!$D$5="",Worksheet!$D$5=Table6[[#This Row],[categoryname]])</f>
        <v>1</v>
      </c>
      <c r="H276" t="b">
        <f>OR(Worksheet!$D$7="",Worksheet!$D$7=Table6[[#This Row],[Manufacturer]])</f>
        <v>1</v>
      </c>
      <c r="I276" t="b">
        <f>OR(Worksheet!$G$7="",Worksheet!$G$7=Table6[[#This Row],[Model No.]])</f>
        <v>1</v>
      </c>
      <c r="J276" t="b">
        <f>OR(Worksheet!$D$8="",Worksheet!$D$8=Table6[[#This Row],[Serial No.]])</f>
        <v>1</v>
      </c>
      <c r="K276" t="b">
        <f>AND(Table6[[#This Row],[categoryname2]:[SN2]])</f>
        <v>1</v>
      </c>
      <c r="L276" t="b">
        <f>AND(Table6[[#This Row],[companyid2]],Table6[[#This Row],[Manufacturer2]:[SN2]])</f>
        <v>1</v>
      </c>
      <c r="M276" t="b">
        <f>AND(Table6[[#This Row],[companyid2]:[categoryname2]],Table6[[#This Row],[Model2]:[SN2]])</f>
        <v>1</v>
      </c>
      <c r="N276" t="b">
        <f>AND(Table6[[#This Row],[companyid2]:[Manufacturer2]],Table6[[#This Row],[SN2]])</f>
        <v>1</v>
      </c>
      <c r="O276" t="b">
        <f>AND(Table6[[#This Row],[companyid2]:[Model2]])</f>
        <v>1</v>
      </c>
    </row>
    <row r="277" spans="1:15" x14ac:dyDescent="0.25">
      <c r="A277">
        <v>57076</v>
      </c>
      <c r="B277" t="s">
        <v>568</v>
      </c>
      <c r="C277" t="s">
        <v>571</v>
      </c>
      <c r="D277" s="46" t="s">
        <v>1152</v>
      </c>
      <c r="E277" s="122">
        <v>1447</v>
      </c>
      <c r="F277" t="b">
        <f>IFERROR(Table6[[#This Row],[companyid]]=Sheet3!$N$20,TRUE)</f>
        <v>1</v>
      </c>
      <c r="G277" t="b">
        <f>OR(Worksheet!$D$5="",Worksheet!$D$5=Table6[[#This Row],[categoryname]])</f>
        <v>1</v>
      </c>
      <c r="H277" t="b">
        <f>OR(Worksheet!$D$7="",Worksheet!$D$7=Table6[[#This Row],[Manufacturer]])</f>
        <v>1</v>
      </c>
      <c r="I277" t="b">
        <f>OR(Worksheet!$G$7="",Worksheet!$G$7=Table6[[#This Row],[Model No.]])</f>
        <v>1</v>
      </c>
      <c r="J277" t="b">
        <f>OR(Worksheet!$D$8="",Worksheet!$D$8=Table6[[#This Row],[Serial No.]])</f>
        <v>1</v>
      </c>
      <c r="K277" t="b">
        <f>AND(Table6[[#This Row],[categoryname2]:[SN2]])</f>
        <v>1</v>
      </c>
      <c r="L277" t="b">
        <f>AND(Table6[[#This Row],[companyid2]],Table6[[#This Row],[Manufacturer2]:[SN2]])</f>
        <v>1</v>
      </c>
      <c r="M277" t="b">
        <f>AND(Table6[[#This Row],[companyid2]:[categoryname2]],Table6[[#This Row],[Model2]:[SN2]])</f>
        <v>1</v>
      </c>
      <c r="N277" t="b">
        <f>AND(Table6[[#This Row],[companyid2]:[Manufacturer2]],Table6[[#This Row],[SN2]])</f>
        <v>1</v>
      </c>
      <c r="O277" t="b">
        <f>AND(Table6[[#This Row],[companyid2]:[Model2]])</f>
        <v>1</v>
      </c>
    </row>
    <row r="278" spans="1:15" x14ac:dyDescent="0.25">
      <c r="A278">
        <v>57076</v>
      </c>
      <c r="B278" t="s">
        <v>568</v>
      </c>
      <c r="C278" t="s">
        <v>571</v>
      </c>
      <c r="D278" s="46" t="s">
        <v>1152</v>
      </c>
      <c r="E278" s="122">
        <v>7692</v>
      </c>
      <c r="F278" t="b">
        <f>IFERROR(Table6[[#This Row],[companyid]]=Sheet3!$N$20,TRUE)</f>
        <v>1</v>
      </c>
      <c r="G278" t="b">
        <f>OR(Worksheet!$D$5="",Worksheet!$D$5=Table6[[#This Row],[categoryname]])</f>
        <v>1</v>
      </c>
      <c r="H278" t="b">
        <f>OR(Worksheet!$D$7="",Worksheet!$D$7=Table6[[#This Row],[Manufacturer]])</f>
        <v>1</v>
      </c>
      <c r="I278" t="b">
        <f>OR(Worksheet!$G$7="",Worksheet!$G$7=Table6[[#This Row],[Model No.]])</f>
        <v>1</v>
      </c>
      <c r="J278" t="b">
        <f>OR(Worksheet!$D$8="",Worksheet!$D$8=Table6[[#This Row],[Serial No.]])</f>
        <v>1</v>
      </c>
      <c r="K278" t="b">
        <f>AND(Table6[[#This Row],[categoryname2]:[SN2]])</f>
        <v>1</v>
      </c>
      <c r="L278" t="b">
        <f>AND(Table6[[#This Row],[companyid2]],Table6[[#This Row],[Manufacturer2]:[SN2]])</f>
        <v>1</v>
      </c>
      <c r="M278" t="b">
        <f>AND(Table6[[#This Row],[companyid2]:[categoryname2]],Table6[[#This Row],[Model2]:[SN2]])</f>
        <v>1</v>
      </c>
      <c r="N278" t="b">
        <f>AND(Table6[[#This Row],[companyid2]:[Manufacturer2]],Table6[[#This Row],[SN2]])</f>
        <v>1</v>
      </c>
      <c r="O278" t="b">
        <f>AND(Table6[[#This Row],[companyid2]:[Model2]])</f>
        <v>1</v>
      </c>
    </row>
    <row r="279" spans="1:15" x14ac:dyDescent="0.25">
      <c r="A279">
        <v>57305</v>
      </c>
      <c r="B279" t="s">
        <v>568</v>
      </c>
      <c r="C279" t="s">
        <v>571</v>
      </c>
      <c r="D279" s="46" t="s">
        <v>595</v>
      </c>
      <c r="E279" s="122" t="s">
        <v>596</v>
      </c>
      <c r="F279" t="b">
        <f>IFERROR(Table6[[#This Row],[companyid]]=Sheet3!$N$20,TRUE)</f>
        <v>1</v>
      </c>
      <c r="G279" t="b">
        <f>OR(Worksheet!$D$5="",Worksheet!$D$5=Table6[[#This Row],[categoryname]])</f>
        <v>1</v>
      </c>
      <c r="H279" t="b">
        <f>OR(Worksheet!$D$7="",Worksheet!$D$7=Table6[[#This Row],[Manufacturer]])</f>
        <v>1</v>
      </c>
      <c r="I279" t="b">
        <f>OR(Worksheet!$G$7="",Worksheet!$G$7=Table6[[#This Row],[Model No.]])</f>
        <v>1</v>
      </c>
      <c r="J279" t="b">
        <f>OR(Worksheet!$D$8="",Worksheet!$D$8=Table6[[#This Row],[Serial No.]])</f>
        <v>1</v>
      </c>
      <c r="K279" t="b">
        <f>AND(Table6[[#This Row],[categoryname2]:[SN2]])</f>
        <v>1</v>
      </c>
      <c r="L279" t="b">
        <f>AND(Table6[[#This Row],[companyid2]],Table6[[#This Row],[Manufacturer2]:[SN2]])</f>
        <v>1</v>
      </c>
      <c r="M279" t="b">
        <f>AND(Table6[[#This Row],[companyid2]:[categoryname2]],Table6[[#This Row],[Model2]:[SN2]])</f>
        <v>1</v>
      </c>
      <c r="N279" t="b">
        <f>AND(Table6[[#This Row],[companyid2]:[Manufacturer2]],Table6[[#This Row],[SN2]])</f>
        <v>1</v>
      </c>
      <c r="O279" t="b">
        <f>AND(Table6[[#This Row],[companyid2]:[Model2]])</f>
        <v>1</v>
      </c>
    </row>
    <row r="280" spans="1:15" x14ac:dyDescent="0.25">
      <c r="A280">
        <v>57777</v>
      </c>
      <c r="B280" t="s">
        <v>568</v>
      </c>
      <c r="C280" t="s">
        <v>571</v>
      </c>
      <c r="D280" s="46" t="s">
        <v>1191</v>
      </c>
      <c r="E280" s="122">
        <v>919</v>
      </c>
      <c r="F280" t="b">
        <f>IFERROR(Table6[[#This Row],[companyid]]=Sheet3!$N$20,TRUE)</f>
        <v>1</v>
      </c>
      <c r="G280" t="b">
        <f>OR(Worksheet!$D$5="",Worksheet!$D$5=Table6[[#This Row],[categoryname]])</f>
        <v>1</v>
      </c>
      <c r="H280" t="b">
        <f>OR(Worksheet!$D$7="",Worksheet!$D$7=Table6[[#This Row],[Manufacturer]])</f>
        <v>1</v>
      </c>
      <c r="I280" t="b">
        <f>OR(Worksheet!$G$7="",Worksheet!$G$7=Table6[[#This Row],[Model No.]])</f>
        <v>1</v>
      </c>
      <c r="J280" t="b">
        <f>OR(Worksheet!$D$8="",Worksheet!$D$8=Table6[[#This Row],[Serial No.]])</f>
        <v>1</v>
      </c>
      <c r="K280" t="b">
        <f>AND(Table6[[#This Row],[categoryname2]:[SN2]])</f>
        <v>1</v>
      </c>
      <c r="L280" t="b">
        <f>AND(Table6[[#This Row],[companyid2]],Table6[[#This Row],[Manufacturer2]:[SN2]])</f>
        <v>1</v>
      </c>
      <c r="M280" t="b">
        <f>AND(Table6[[#This Row],[companyid2]:[categoryname2]],Table6[[#This Row],[Model2]:[SN2]])</f>
        <v>1</v>
      </c>
      <c r="N280" t="b">
        <f>AND(Table6[[#This Row],[companyid2]:[Manufacturer2]],Table6[[#This Row],[SN2]])</f>
        <v>1</v>
      </c>
      <c r="O280" t="b">
        <f>AND(Table6[[#This Row],[companyid2]:[Model2]])</f>
        <v>1</v>
      </c>
    </row>
    <row r="281" spans="1:15" x14ac:dyDescent="0.25">
      <c r="A281">
        <v>58202</v>
      </c>
      <c r="B281" t="s">
        <v>568</v>
      </c>
      <c r="C281" t="s">
        <v>571</v>
      </c>
      <c r="D281" s="46" t="s">
        <v>1191</v>
      </c>
      <c r="E281" s="122">
        <v>92418012</v>
      </c>
      <c r="F281" t="b">
        <f>IFERROR(Table6[[#This Row],[companyid]]=Sheet3!$N$20,TRUE)</f>
        <v>1</v>
      </c>
      <c r="G281" t="b">
        <f>OR(Worksheet!$D$5="",Worksheet!$D$5=Table6[[#This Row],[categoryname]])</f>
        <v>1</v>
      </c>
      <c r="H281" t="b">
        <f>OR(Worksheet!$D$7="",Worksheet!$D$7=Table6[[#This Row],[Manufacturer]])</f>
        <v>1</v>
      </c>
      <c r="I281" t="b">
        <f>OR(Worksheet!$G$7="",Worksheet!$G$7=Table6[[#This Row],[Model No.]])</f>
        <v>1</v>
      </c>
      <c r="J281" t="b">
        <f>OR(Worksheet!$D$8="",Worksheet!$D$8=Table6[[#This Row],[Serial No.]])</f>
        <v>1</v>
      </c>
      <c r="K281" t="b">
        <f>AND(Table6[[#This Row],[categoryname2]:[SN2]])</f>
        <v>1</v>
      </c>
      <c r="L281" t="b">
        <f>AND(Table6[[#This Row],[companyid2]],Table6[[#This Row],[Manufacturer2]:[SN2]])</f>
        <v>1</v>
      </c>
      <c r="M281" t="b">
        <f>AND(Table6[[#This Row],[companyid2]:[categoryname2]],Table6[[#This Row],[Model2]:[SN2]])</f>
        <v>1</v>
      </c>
      <c r="N281" t="b">
        <f>AND(Table6[[#This Row],[companyid2]:[Manufacturer2]],Table6[[#This Row],[SN2]])</f>
        <v>1</v>
      </c>
      <c r="O281" t="b">
        <f>AND(Table6[[#This Row],[companyid2]:[Model2]])</f>
        <v>1</v>
      </c>
    </row>
    <row r="282" spans="1:15" x14ac:dyDescent="0.25">
      <c r="A282">
        <v>58215</v>
      </c>
      <c r="B282" t="s">
        <v>568</v>
      </c>
      <c r="C282" t="s">
        <v>571</v>
      </c>
      <c r="D282" s="46" t="s">
        <v>593</v>
      </c>
      <c r="E282" s="122">
        <v>910</v>
      </c>
      <c r="F282" t="b">
        <f>IFERROR(Table6[[#This Row],[companyid]]=Sheet3!$N$20,TRUE)</f>
        <v>1</v>
      </c>
      <c r="G282" t="b">
        <f>OR(Worksheet!$D$5="",Worksheet!$D$5=Table6[[#This Row],[categoryname]])</f>
        <v>1</v>
      </c>
      <c r="H282" t="b">
        <f>OR(Worksheet!$D$7="",Worksheet!$D$7=Table6[[#This Row],[Manufacturer]])</f>
        <v>1</v>
      </c>
      <c r="I282" t="b">
        <f>OR(Worksheet!$G$7="",Worksheet!$G$7=Table6[[#This Row],[Model No.]])</f>
        <v>1</v>
      </c>
      <c r="J282" t="b">
        <f>OR(Worksheet!$D$8="",Worksheet!$D$8=Table6[[#This Row],[Serial No.]])</f>
        <v>1</v>
      </c>
      <c r="K282" t="b">
        <f>AND(Table6[[#This Row],[categoryname2]:[SN2]])</f>
        <v>1</v>
      </c>
      <c r="L282" t="b">
        <f>AND(Table6[[#This Row],[companyid2]],Table6[[#This Row],[Manufacturer2]:[SN2]])</f>
        <v>1</v>
      </c>
      <c r="M282" t="b">
        <f>AND(Table6[[#This Row],[companyid2]:[categoryname2]],Table6[[#This Row],[Model2]:[SN2]])</f>
        <v>1</v>
      </c>
      <c r="N282" t="b">
        <f>AND(Table6[[#This Row],[companyid2]:[Manufacturer2]],Table6[[#This Row],[SN2]])</f>
        <v>1</v>
      </c>
      <c r="O282" t="b">
        <f>AND(Table6[[#This Row],[companyid2]:[Model2]])</f>
        <v>1</v>
      </c>
    </row>
    <row r="283" spans="1:15" x14ac:dyDescent="0.25">
      <c r="A283">
        <v>57961</v>
      </c>
      <c r="B283" t="s">
        <v>568</v>
      </c>
      <c r="C283" t="s">
        <v>571</v>
      </c>
      <c r="D283" s="46" t="s">
        <v>593</v>
      </c>
      <c r="E283" s="122">
        <v>1948</v>
      </c>
      <c r="F283" t="b">
        <f>IFERROR(Table6[[#This Row],[companyid]]=Sheet3!$N$20,TRUE)</f>
        <v>1</v>
      </c>
      <c r="G283" t="b">
        <f>OR(Worksheet!$D$5="",Worksheet!$D$5=Table6[[#This Row],[categoryname]])</f>
        <v>1</v>
      </c>
      <c r="H283" t="b">
        <f>OR(Worksheet!$D$7="",Worksheet!$D$7=Table6[[#This Row],[Manufacturer]])</f>
        <v>1</v>
      </c>
      <c r="I283" t="b">
        <f>OR(Worksheet!$G$7="",Worksheet!$G$7=Table6[[#This Row],[Model No.]])</f>
        <v>1</v>
      </c>
      <c r="J283" t="b">
        <f>OR(Worksheet!$D$8="",Worksheet!$D$8=Table6[[#This Row],[Serial No.]])</f>
        <v>1</v>
      </c>
      <c r="K283" t="b">
        <f>AND(Table6[[#This Row],[categoryname2]:[SN2]])</f>
        <v>1</v>
      </c>
      <c r="L283" t="b">
        <f>AND(Table6[[#This Row],[companyid2]],Table6[[#This Row],[Manufacturer2]:[SN2]])</f>
        <v>1</v>
      </c>
      <c r="M283" t="b">
        <f>AND(Table6[[#This Row],[companyid2]:[categoryname2]],Table6[[#This Row],[Model2]:[SN2]])</f>
        <v>1</v>
      </c>
      <c r="N283" t="b">
        <f>AND(Table6[[#This Row],[companyid2]:[Manufacturer2]],Table6[[#This Row],[SN2]])</f>
        <v>1</v>
      </c>
      <c r="O283" t="b">
        <f>AND(Table6[[#This Row],[companyid2]:[Model2]])</f>
        <v>1</v>
      </c>
    </row>
    <row r="284" spans="1:15" x14ac:dyDescent="0.25">
      <c r="A284">
        <v>57844</v>
      </c>
      <c r="B284" t="s">
        <v>568</v>
      </c>
      <c r="C284" t="s">
        <v>571</v>
      </c>
      <c r="D284" s="46" t="s">
        <v>593</v>
      </c>
      <c r="E284" s="122" t="s">
        <v>645</v>
      </c>
      <c r="F284" t="b">
        <f>IFERROR(Table6[[#This Row],[companyid]]=Sheet3!$N$20,TRUE)</f>
        <v>1</v>
      </c>
      <c r="G284" t="b">
        <f>OR(Worksheet!$D$5="",Worksheet!$D$5=Table6[[#This Row],[categoryname]])</f>
        <v>1</v>
      </c>
      <c r="H284" t="b">
        <f>OR(Worksheet!$D$7="",Worksheet!$D$7=Table6[[#This Row],[Manufacturer]])</f>
        <v>1</v>
      </c>
      <c r="I284" t="b">
        <f>OR(Worksheet!$G$7="",Worksheet!$G$7=Table6[[#This Row],[Model No.]])</f>
        <v>1</v>
      </c>
      <c r="J284" t="b">
        <f>OR(Worksheet!$D$8="",Worksheet!$D$8=Table6[[#This Row],[Serial No.]])</f>
        <v>1</v>
      </c>
      <c r="K284" t="b">
        <f>AND(Table6[[#This Row],[categoryname2]:[SN2]])</f>
        <v>1</v>
      </c>
      <c r="L284" t="b">
        <f>AND(Table6[[#This Row],[companyid2]],Table6[[#This Row],[Manufacturer2]:[SN2]])</f>
        <v>1</v>
      </c>
      <c r="M284" t="b">
        <f>AND(Table6[[#This Row],[companyid2]:[categoryname2]],Table6[[#This Row],[Model2]:[SN2]])</f>
        <v>1</v>
      </c>
      <c r="N284" t="b">
        <f>AND(Table6[[#This Row],[companyid2]:[Manufacturer2]],Table6[[#This Row],[SN2]])</f>
        <v>1</v>
      </c>
      <c r="O284" t="b">
        <f>AND(Table6[[#This Row],[companyid2]:[Model2]])</f>
        <v>1</v>
      </c>
    </row>
    <row r="285" spans="1:15" x14ac:dyDescent="0.25">
      <c r="A285">
        <v>58115</v>
      </c>
      <c r="B285" t="s">
        <v>568</v>
      </c>
      <c r="C285" t="s">
        <v>571</v>
      </c>
      <c r="D285" s="46" t="s">
        <v>1219</v>
      </c>
      <c r="E285" s="122" t="s">
        <v>1140</v>
      </c>
      <c r="F285" t="b">
        <f>IFERROR(Table6[[#This Row],[companyid]]=Sheet3!$N$20,TRUE)</f>
        <v>1</v>
      </c>
      <c r="G285" t="b">
        <f>OR(Worksheet!$D$5="",Worksheet!$D$5=Table6[[#This Row],[categoryname]])</f>
        <v>1</v>
      </c>
      <c r="H285" t="b">
        <f>OR(Worksheet!$D$7="",Worksheet!$D$7=Table6[[#This Row],[Manufacturer]])</f>
        <v>1</v>
      </c>
      <c r="I285" t="b">
        <f>OR(Worksheet!$G$7="",Worksheet!$G$7=Table6[[#This Row],[Model No.]])</f>
        <v>1</v>
      </c>
      <c r="J285" t="b">
        <f>OR(Worksheet!$D$8="",Worksheet!$D$8=Table6[[#This Row],[Serial No.]])</f>
        <v>1</v>
      </c>
      <c r="K285" t="b">
        <f>AND(Table6[[#This Row],[categoryname2]:[SN2]])</f>
        <v>1</v>
      </c>
      <c r="L285" t="b">
        <f>AND(Table6[[#This Row],[companyid2]],Table6[[#This Row],[Manufacturer2]:[SN2]])</f>
        <v>1</v>
      </c>
      <c r="M285" t="b">
        <f>AND(Table6[[#This Row],[companyid2]:[categoryname2]],Table6[[#This Row],[Model2]:[SN2]])</f>
        <v>1</v>
      </c>
      <c r="N285" t="b">
        <f>AND(Table6[[#This Row],[companyid2]:[Manufacturer2]],Table6[[#This Row],[SN2]])</f>
        <v>1</v>
      </c>
      <c r="O285" t="b">
        <f>AND(Table6[[#This Row],[companyid2]:[Model2]])</f>
        <v>1</v>
      </c>
    </row>
    <row r="286" spans="1:15" x14ac:dyDescent="0.25">
      <c r="A286">
        <v>57881</v>
      </c>
      <c r="B286" t="s">
        <v>568</v>
      </c>
      <c r="C286" t="s">
        <v>571</v>
      </c>
      <c r="D286" s="46" t="s">
        <v>1193</v>
      </c>
      <c r="E286" s="122">
        <v>97394803</v>
      </c>
      <c r="F286" t="b">
        <f>IFERROR(Table6[[#This Row],[companyid]]=Sheet3!$N$20,TRUE)</f>
        <v>1</v>
      </c>
      <c r="G286" t="b">
        <f>OR(Worksheet!$D$5="",Worksheet!$D$5=Table6[[#This Row],[categoryname]])</f>
        <v>1</v>
      </c>
      <c r="H286" t="b">
        <f>OR(Worksheet!$D$7="",Worksheet!$D$7=Table6[[#This Row],[Manufacturer]])</f>
        <v>1</v>
      </c>
      <c r="I286" t="b">
        <f>OR(Worksheet!$G$7="",Worksheet!$G$7=Table6[[#This Row],[Model No.]])</f>
        <v>1</v>
      </c>
      <c r="J286" t="b">
        <f>OR(Worksheet!$D$8="",Worksheet!$D$8=Table6[[#This Row],[Serial No.]])</f>
        <v>1</v>
      </c>
      <c r="K286" t="b">
        <f>AND(Table6[[#This Row],[categoryname2]:[SN2]])</f>
        <v>1</v>
      </c>
      <c r="L286" t="b">
        <f>AND(Table6[[#This Row],[companyid2]],Table6[[#This Row],[Manufacturer2]:[SN2]])</f>
        <v>1</v>
      </c>
      <c r="M286" t="b">
        <f>AND(Table6[[#This Row],[companyid2]:[categoryname2]],Table6[[#This Row],[Model2]:[SN2]])</f>
        <v>1</v>
      </c>
      <c r="N286" t="b">
        <f>AND(Table6[[#This Row],[companyid2]:[Manufacturer2]],Table6[[#This Row],[SN2]])</f>
        <v>1</v>
      </c>
      <c r="O286" t="b">
        <f>AND(Table6[[#This Row],[companyid2]:[Model2]])</f>
        <v>1</v>
      </c>
    </row>
    <row r="287" spans="1:15" x14ac:dyDescent="0.25">
      <c r="A287">
        <v>58115</v>
      </c>
      <c r="B287" t="s">
        <v>568</v>
      </c>
      <c r="C287" t="s">
        <v>571</v>
      </c>
      <c r="D287" s="46" t="s">
        <v>1208</v>
      </c>
      <c r="E287" s="122" t="s">
        <v>1138</v>
      </c>
      <c r="F287" t="b">
        <f>IFERROR(Table6[[#This Row],[companyid]]=Sheet3!$N$20,TRUE)</f>
        <v>1</v>
      </c>
      <c r="G287" t="b">
        <f>OR(Worksheet!$D$5="",Worksheet!$D$5=Table6[[#This Row],[categoryname]])</f>
        <v>1</v>
      </c>
      <c r="H287" t="b">
        <f>OR(Worksheet!$D$7="",Worksheet!$D$7=Table6[[#This Row],[Manufacturer]])</f>
        <v>1</v>
      </c>
      <c r="I287" t="b">
        <f>OR(Worksheet!$G$7="",Worksheet!$G$7=Table6[[#This Row],[Model No.]])</f>
        <v>1</v>
      </c>
      <c r="J287" t="b">
        <f>OR(Worksheet!$D$8="",Worksheet!$D$8=Table6[[#This Row],[Serial No.]])</f>
        <v>1</v>
      </c>
      <c r="K287" t="b">
        <f>AND(Table6[[#This Row],[categoryname2]:[SN2]])</f>
        <v>1</v>
      </c>
      <c r="L287" t="b">
        <f>AND(Table6[[#This Row],[companyid2]],Table6[[#This Row],[Manufacturer2]:[SN2]])</f>
        <v>1</v>
      </c>
      <c r="M287" t="b">
        <f>AND(Table6[[#This Row],[companyid2]:[categoryname2]],Table6[[#This Row],[Model2]:[SN2]])</f>
        <v>1</v>
      </c>
      <c r="N287" t="b">
        <f>AND(Table6[[#This Row],[companyid2]:[Manufacturer2]],Table6[[#This Row],[SN2]])</f>
        <v>1</v>
      </c>
      <c r="O287" t="b">
        <f>AND(Table6[[#This Row],[companyid2]:[Model2]])</f>
        <v>1</v>
      </c>
    </row>
    <row r="288" spans="1:15" x14ac:dyDescent="0.25">
      <c r="A288">
        <v>57319</v>
      </c>
      <c r="B288" t="s">
        <v>568</v>
      </c>
      <c r="C288" t="s">
        <v>571</v>
      </c>
      <c r="D288" s="46" t="s">
        <v>1168</v>
      </c>
      <c r="E288" s="122" t="s">
        <v>1070</v>
      </c>
      <c r="F288" t="b">
        <f>IFERROR(Table6[[#This Row],[companyid]]=Sheet3!$N$20,TRUE)</f>
        <v>1</v>
      </c>
      <c r="G288" t="b">
        <f>OR(Worksheet!$D$5="",Worksheet!$D$5=Table6[[#This Row],[categoryname]])</f>
        <v>1</v>
      </c>
      <c r="H288" t="b">
        <f>OR(Worksheet!$D$7="",Worksheet!$D$7=Table6[[#This Row],[Manufacturer]])</f>
        <v>1</v>
      </c>
      <c r="I288" t="b">
        <f>OR(Worksheet!$G$7="",Worksheet!$G$7=Table6[[#This Row],[Model No.]])</f>
        <v>1</v>
      </c>
      <c r="J288" t="b">
        <f>OR(Worksheet!$D$8="",Worksheet!$D$8=Table6[[#This Row],[Serial No.]])</f>
        <v>1</v>
      </c>
      <c r="K288" t="b">
        <f>AND(Table6[[#This Row],[categoryname2]:[SN2]])</f>
        <v>1</v>
      </c>
      <c r="L288" t="b">
        <f>AND(Table6[[#This Row],[companyid2]],Table6[[#This Row],[Manufacturer2]:[SN2]])</f>
        <v>1</v>
      </c>
      <c r="M288" t="b">
        <f>AND(Table6[[#This Row],[companyid2]:[categoryname2]],Table6[[#This Row],[Model2]:[SN2]])</f>
        <v>1</v>
      </c>
      <c r="N288" t="b">
        <f>AND(Table6[[#This Row],[companyid2]:[Manufacturer2]],Table6[[#This Row],[SN2]])</f>
        <v>1</v>
      </c>
      <c r="O288" t="b">
        <f>AND(Table6[[#This Row],[companyid2]:[Model2]])</f>
        <v>1</v>
      </c>
    </row>
    <row r="289" spans="1:15" x14ac:dyDescent="0.25">
      <c r="A289">
        <v>58115</v>
      </c>
      <c r="B289" t="s">
        <v>568</v>
      </c>
      <c r="C289" t="s">
        <v>571</v>
      </c>
      <c r="D289" s="46" t="s">
        <v>1207</v>
      </c>
      <c r="E289" s="122">
        <v>97351607</v>
      </c>
      <c r="F289" t="b">
        <f>IFERROR(Table6[[#This Row],[companyid]]=Sheet3!$N$20,TRUE)</f>
        <v>1</v>
      </c>
      <c r="G289" t="b">
        <f>OR(Worksheet!$D$5="",Worksheet!$D$5=Table6[[#This Row],[categoryname]])</f>
        <v>1</v>
      </c>
      <c r="H289" t="b">
        <f>OR(Worksheet!$D$7="",Worksheet!$D$7=Table6[[#This Row],[Manufacturer]])</f>
        <v>1</v>
      </c>
      <c r="I289" t="b">
        <f>OR(Worksheet!$G$7="",Worksheet!$G$7=Table6[[#This Row],[Model No.]])</f>
        <v>1</v>
      </c>
      <c r="J289" t="b">
        <f>OR(Worksheet!$D$8="",Worksheet!$D$8=Table6[[#This Row],[Serial No.]])</f>
        <v>1</v>
      </c>
      <c r="K289" t="b">
        <f>AND(Table6[[#This Row],[categoryname2]:[SN2]])</f>
        <v>1</v>
      </c>
      <c r="L289" t="b">
        <f>AND(Table6[[#This Row],[companyid2]],Table6[[#This Row],[Manufacturer2]:[SN2]])</f>
        <v>1</v>
      </c>
      <c r="M289" t="b">
        <f>AND(Table6[[#This Row],[companyid2]:[categoryname2]],Table6[[#This Row],[Model2]:[SN2]])</f>
        <v>1</v>
      </c>
      <c r="N289" t="b">
        <f>AND(Table6[[#This Row],[companyid2]:[Manufacturer2]],Table6[[#This Row],[SN2]])</f>
        <v>1</v>
      </c>
      <c r="O289" t="b">
        <f>AND(Table6[[#This Row],[companyid2]:[Model2]])</f>
        <v>1</v>
      </c>
    </row>
    <row r="290" spans="1:15" x14ac:dyDescent="0.25">
      <c r="A290">
        <v>58115</v>
      </c>
      <c r="B290" t="s">
        <v>568</v>
      </c>
      <c r="C290" t="s">
        <v>571</v>
      </c>
      <c r="D290" s="46" t="s">
        <v>1206</v>
      </c>
      <c r="E290" s="122">
        <v>97325508</v>
      </c>
      <c r="F290" t="b">
        <f>IFERROR(Table6[[#This Row],[companyid]]=Sheet3!$N$20,TRUE)</f>
        <v>1</v>
      </c>
      <c r="G290" t="b">
        <f>OR(Worksheet!$D$5="",Worksheet!$D$5=Table6[[#This Row],[categoryname]])</f>
        <v>1</v>
      </c>
      <c r="H290" t="b">
        <f>OR(Worksheet!$D$7="",Worksheet!$D$7=Table6[[#This Row],[Manufacturer]])</f>
        <v>1</v>
      </c>
      <c r="I290" t="b">
        <f>OR(Worksheet!$G$7="",Worksheet!$G$7=Table6[[#This Row],[Model No.]])</f>
        <v>1</v>
      </c>
      <c r="J290" t="b">
        <f>OR(Worksheet!$D$8="",Worksheet!$D$8=Table6[[#This Row],[Serial No.]])</f>
        <v>1</v>
      </c>
      <c r="K290" t="b">
        <f>AND(Table6[[#This Row],[categoryname2]:[SN2]])</f>
        <v>1</v>
      </c>
      <c r="L290" t="b">
        <f>AND(Table6[[#This Row],[companyid2]],Table6[[#This Row],[Manufacturer2]:[SN2]])</f>
        <v>1</v>
      </c>
      <c r="M290" t="b">
        <f>AND(Table6[[#This Row],[companyid2]:[categoryname2]],Table6[[#This Row],[Model2]:[SN2]])</f>
        <v>1</v>
      </c>
      <c r="N290" t="b">
        <f>AND(Table6[[#This Row],[companyid2]:[Manufacturer2]],Table6[[#This Row],[SN2]])</f>
        <v>1</v>
      </c>
      <c r="O290" t="b">
        <f>AND(Table6[[#This Row],[companyid2]:[Model2]])</f>
        <v>1</v>
      </c>
    </row>
    <row r="291" spans="1:15" x14ac:dyDescent="0.25">
      <c r="A291">
        <v>58246</v>
      </c>
      <c r="B291" t="s">
        <v>568</v>
      </c>
      <c r="C291" t="s">
        <v>571</v>
      </c>
      <c r="D291" s="46" t="s">
        <v>1217</v>
      </c>
      <c r="E291" s="122">
        <v>94265110</v>
      </c>
      <c r="F291" t="b">
        <f>IFERROR(Table6[[#This Row],[companyid]]=Sheet3!$N$20,TRUE)</f>
        <v>1</v>
      </c>
      <c r="G291" t="b">
        <f>OR(Worksheet!$D$5="",Worksheet!$D$5=Table6[[#This Row],[categoryname]])</f>
        <v>1</v>
      </c>
      <c r="H291" t="b">
        <f>OR(Worksheet!$D$7="",Worksheet!$D$7=Table6[[#This Row],[Manufacturer]])</f>
        <v>1</v>
      </c>
      <c r="I291" t="b">
        <f>OR(Worksheet!$G$7="",Worksheet!$G$7=Table6[[#This Row],[Model No.]])</f>
        <v>1</v>
      </c>
      <c r="J291" t="b">
        <f>OR(Worksheet!$D$8="",Worksheet!$D$8=Table6[[#This Row],[Serial No.]])</f>
        <v>1</v>
      </c>
      <c r="K291" t="b">
        <f>AND(Table6[[#This Row],[categoryname2]:[SN2]])</f>
        <v>1</v>
      </c>
      <c r="L291" t="b">
        <f>AND(Table6[[#This Row],[companyid2]],Table6[[#This Row],[Manufacturer2]:[SN2]])</f>
        <v>1</v>
      </c>
      <c r="M291" t="b">
        <f>AND(Table6[[#This Row],[companyid2]:[categoryname2]],Table6[[#This Row],[Model2]:[SN2]])</f>
        <v>1</v>
      </c>
      <c r="N291" t="b">
        <f>AND(Table6[[#This Row],[companyid2]:[Manufacturer2]],Table6[[#This Row],[SN2]])</f>
        <v>1</v>
      </c>
      <c r="O291" t="b">
        <f>AND(Table6[[#This Row],[companyid2]:[Model2]])</f>
        <v>1</v>
      </c>
    </row>
    <row r="292" spans="1:15" x14ac:dyDescent="0.25">
      <c r="A292">
        <v>58246</v>
      </c>
      <c r="B292" t="s">
        <v>568</v>
      </c>
      <c r="C292" t="s">
        <v>571</v>
      </c>
      <c r="D292" s="46" t="s">
        <v>1217</v>
      </c>
      <c r="E292" s="122">
        <v>94282110</v>
      </c>
      <c r="F292" t="b">
        <f>IFERROR(Table6[[#This Row],[companyid]]=Sheet3!$N$20,TRUE)</f>
        <v>1</v>
      </c>
      <c r="G292" t="b">
        <f>OR(Worksheet!$D$5="",Worksheet!$D$5=Table6[[#This Row],[categoryname]])</f>
        <v>1</v>
      </c>
      <c r="H292" t="b">
        <f>OR(Worksheet!$D$7="",Worksheet!$D$7=Table6[[#This Row],[Manufacturer]])</f>
        <v>1</v>
      </c>
      <c r="I292" t="b">
        <f>OR(Worksheet!$G$7="",Worksheet!$G$7=Table6[[#This Row],[Model No.]])</f>
        <v>1</v>
      </c>
      <c r="J292" t="b">
        <f>OR(Worksheet!$D$8="",Worksheet!$D$8=Table6[[#This Row],[Serial No.]])</f>
        <v>1</v>
      </c>
      <c r="K292" t="b">
        <f>AND(Table6[[#This Row],[categoryname2]:[SN2]])</f>
        <v>1</v>
      </c>
      <c r="L292" t="b">
        <f>AND(Table6[[#This Row],[companyid2]],Table6[[#This Row],[Manufacturer2]:[SN2]])</f>
        <v>1</v>
      </c>
      <c r="M292" t="b">
        <f>AND(Table6[[#This Row],[companyid2]:[categoryname2]],Table6[[#This Row],[Model2]:[SN2]])</f>
        <v>1</v>
      </c>
      <c r="N292" t="b">
        <f>AND(Table6[[#This Row],[companyid2]:[Manufacturer2]],Table6[[#This Row],[SN2]])</f>
        <v>1</v>
      </c>
      <c r="O292" t="b">
        <f>AND(Table6[[#This Row],[companyid2]:[Model2]])</f>
        <v>1</v>
      </c>
    </row>
    <row r="293" spans="1:15" x14ac:dyDescent="0.25">
      <c r="A293">
        <v>58121</v>
      </c>
      <c r="B293" t="s">
        <v>568</v>
      </c>
      <c r="C293" t="s">
        <v>571</v>
      </c>
      <c r="D293" s="46" t="s">
        <v>1144</v>
      </c>
      <c r="E293" s="122">
        <v>94019101</v>
      </c>
      <c r="F293" t="b">
        <f>IFERROR(Table6[[#This Row],[companyid]]=Sheet3!$N$20,TRUE)</f>
        <v>1</v>
      </c>
      <c r="G293" t="b">
        <f>OR(Worksheet!$D$5="",Worksheet!$D$5=Table6[[#This Row],[categoryname]])</f>
        <v>1</v>
      </c>
      <c r="H293" t="b">
        <f>OR(Worksheet!$D$7="",Worksheet!$D$7=Table6[[#This Row],[Manufacturer]])</f>
        <v>1</v>
      </c>
      <c r="I293" t="b">
        <f>OR(Worksheet!$G$7="",Worksheet!$G$7=Table6[[#This Row],[Model No.]])</f>
        <v>1</v>
      </c>
      <c r="J293" t="b">
        <f>OR(Worksheet!$D$8="",Worksheet!$D$8=Table6[[#This Row],[Serial No.]])</f>
        <v>1</v>
      </c>
      <c r="K293" t="b">
        <f>AND(Table6[[#This Row],[categoryname2]:[SN2]])</f>
        <v>1</v>
      </c>
      <c r="L293" t="b">
        <f>AND(Table6[[#This Row],[companyid2]],Table6[[#This Row],[Manufacturer2]:[SN2]])</f>
        <v>1</v>
      </c>
      <c r="M293" t="b">
        <f>AND(Table6[[#This Row],[companyid2]:[categoryname2]],Table6[[#This Row],[Model2]:[SN2]])</f>
        <v>1</v>
      </c>
      <c r="N293" t="b">
        <f>AND(Table6[[#This Row],[companyid2]:[Manufacturer2]],Table6[[#This Row],[SN2]])</f>
        <v>1</v>
      </c>
      <c r="O293" t="b">
        <f>AND(Table6[[#This Row],[companyid2]:[Model2]])</f>
        <v>1</v>
      </c>
    </row>
    <row r="294" spans="1:15" x14ac:dyDescent="0.25">
      <c r="A294">
        <v>57433</v>
      </c>
      <c r="B294" t="s">
        <v>568</v>
      </c>
      <c r="C294" t="s">
        <v>571</v>
      </c>
      <c r="D294" s="46" t="s">
        <v>1173</v>
      </c>
      <c r="E294" s="122">
        <v>97352503</v>
      </c>
      <c r="F294" t="b">
        <f>IFERROR(Table6[[#This Row],[companyid]]=Sheet3!$N$20,TRUE)</f>
        <v>1</v>
      </c>
      <c r="G294" t="b">
        <f>OR(Worksheet!$D$5="",Worksheet!$D$5=Table6[[#This Row],[categoryname]])</f>
        <v>1</v>
      </c>
      <c r="H294" t="b">
        <f>OR(Worksheet!$D$7="",Worksheet!$D$7=Table6[[#This Row],[Manufacturer]])</f>
        <v>1</v>
      </c>
      <c r="I294" t="b">
        <f>OR(Worksheet!$G$7="",Worksheet!$G$7=Table6[[#This Row],[Model No.]])</f>
        <v>1</v>
      </c>
      <c r="J294" t="b">
        <f>OR(Worksheet!$D$8="",Worksheet!$D$8=Table6[[#This Row],[Serial No.]])</f>
        <v>1</v>
      </c>
      <c r="K294" t="b">
        <f>AND(Table6[[#This Row],[categoryname2]:[SN2]])</f>
        <v>1</v>
      </c>
      <c r="L294" t="b">
        <f>AND(Table6[[#This Row],[companyid2]],Table6[[#This Row],[Manufacturer2]:[SN2]])</f>
        <v>1</v>
      </c>
      <c r="M294" t="b">
        <f>AND(Table6[[#This Row],[companyid2]:[categoryname2]],Table6[[#This Row],[Model2]:[SN2]])</f>
        <v>1</v>
      </c>
      <c r="N294" t="b">
        <f>AND(Table6[[#This Row],[companyid2]:[Manufacturer2]],Table6[[#This Row],[SN2]])</f>
        <v>1</v>
      </c>
      <c r="O294" t="b">
        <f>AND(Table6[[#This Row],[companyid2]:[Model2]])</f>
        <v>1</v>
      </c>
    </row>
    <row r="295" spans="1:15" x14ac:dyDescent="0.25">
      <c r="A295">
        <v>58079</v>
      </c>
      <c r="B295" t="s">
        <v>568</v>
      </c>
      <c r="C295" t="s">
        <v>571</v>
      </c>
      <c r="D295" s="46" t="s">
        <v>1173</v>
      </c>
      <c r="E295" s="122" t="s">
        <v>1124</v>
      </c>
      <c r="F295" t="b">
        <f>IFERROR(Table6[[#This Row],[companyid]]=Sheet3!$N$20,TRUE)</f>
        <v>1</v>
      </c>
      <c r="G295" t="b">
        <f>OR(Worksheet!$D$5="",Worksheet!$D$5=Table6[[#This Row],[categoryname]])</f>
        <v>1</v>
      </c>
      <c r="H295" t="b">
        <f>OR(Worksheet!$D$7="",Worksheet!$D$7=Table6[[#This Row],[Manufacturer]])</f>
        <v>1</v>
      </c>
      <c r="I295" t="b">
        <f>OR(Worksheet!$G$7="",Worksheet!$G$7=Table6[[#This Row],[Model No.]])</f>
        <v>1</v>
      </c>
      <c r="J295" t="b">
        <f>OR(Worksheet!$D$8="",Worksheet!$D$8=Table6[[#This Row],[Serial No.]])</f>
        <v>1</v>
      </c>
      <c r="K295" t="b">
        <f>AND(Table6[[#This Row],[categoryname2]:[SN2]])</f>
        <v>1</v>
      </c>
      <c r="L295" t="b">
        <f>AND(Table6[[#This Row],[companyid2]],Table6[[#This Row],[Manufacturer2]:[SN2]])</f>
        <v>1</v>
      </c>
      <c r="M295" t="b">
        <f>AND(Table6[[#This Row],[companyid2]:[categoryname2]],Table6[[#This Row],[Model2]:[SN2]])</f>
        <v>1</v>
      </c>
      <c r="N295" t="b">
        <f>AND(Table6[[#This Row],[companyid2]:[Manufacturer2]],Table6[[#This Row],[SN2]])</f>
        <v>1</v>
      </c>
      <c r="O295" t="b">
        <f>AND(Table6[[#This Row],[companyid2]:[Model2]])</f>
        <v>1</v>
      </c>
    </row>
    <row r="296" spans="1:15" x14ac:dyDescent="0.25">
      <c r="A296">
        <v>58215</v>
      </c>
      <c r="B296" t="s">
        <v>568</v>
      </c>
      <c r="C296" t="s">
        <v>571</v>
      </c>
      <c r="D296" s="46" t="s">
        <v>1213</v>
      </c>
      <c r="E296" s="122">
        <v>97383408</v>
      </c>
      <c r="F296" t="b">
        <f>IFERROR(Table6[[#This Row],[companyid]]=Sheet3!$N$20,TRUE)</f>
        <v>1</v>
      </c>
      <c r="G296" t="b">
        <f>OR(Worksheet!$D$5="",Worksheet!$D$5=Table6[[#This Row],[categoryname]])</f>
        <v>1</v>
      </c>
      <c r="H296" t="b">
        <f>OR(Worksheet!$D$7="",Worksheet!$D$7=Table6[[#This Row],[Manufacturer]])</f>
        <v>1</v>
      </c>
      <c r="I296" t="b">
        <f>OR(Worksheet!$G$7="",Worksheet!$G$7=Table6[[#This Row],[Model No.]])</f>
        <v>1</v>
      </c>
      <c r="J296" t="b">
        <f>OR(Worksheet!$D$8="",Worksheet!$D$8=Table6[[#This Row],[Serial No.]])</f>
        <v>1</v>
      </c>
      <c r="K296" t="b">
        <f>AND(Table6[[#This Row],[categoryname2]:[SN2]])</f>
        <v>1</v>
      </c>
      <c r="L296" t="b">
        <f>AND(Table6[[#This Row],[companyid2]],Table6[[#This Row],[Manufacturer2]:[SN2]])</f>
        <v>1</v>
      </c>
      <c r="M296" t="b">
        <f>AND(Table6[[#This Row],[companyid2]:[categoryname2]],Table6[[#This Row],[Model2]:[SN2]])</f>
        <v>1</v>
      </c>
      <c r="N296" t="b">
        <f>AND(Table6[[#This Row],[companyid2]:[Manufacturer2]],Table6[[#This Row],[SN2]])</f>
        <v>1</v>
      </c>
      <c r="O296" t="b">
        <f>AND(Table6[[#This Row],[companyid2]:[Model2]])</f>
        <v>1</v>
      </c>
    </row>
    <row r="297" spans="1:15" x14ac:dyDescent="0.25">
      <c r="A297">
        <v>57897</v>
      </c>
      <c r="B297" t="s">
        <v>568</v>
      </c>
      <c r="C297" t="s">
        <v>571</v>
      </c>
      <c r="D297" s="46" t="s">
        <v>1044</v>
      </c>
      <c r="E297" s="122">
        <v>6761</v>
      </c>
      <c r="F297" t="b">
        <f>IFERROR(Table6[[#This Row],[companyid]]=Sheet3!$N$20,TRUE)</f>
        <v>1</v>
      </c>
      <c r="G297" t="b">
        <f>OR(Worksheet!$D$5="",Worksheet!$D$5=Table6[[#This Row],[categoryname]])</f>
        <v>1</v>
      </c>
      <c r="H297" t="b">
        <f>OR(Worksheet!$D$7="",Worksheet!$D$7=Table6[[#This Row],[Manufacturer]])</f>
        <v>1</v>
      </c>
      <c r="I297" t="b">
        <f>OR(Worksheet!$G$7="",Worksheet!$G$7=Table6[[#This Row],[Model No.]])</f>
        <v>1</v>
      </c>
      <c r="J297" t="b">
        <f>OR(Worksheet!$D$8="",Worksheet!$D$8=Table6[[#This Row],[Serial No.]])</f>
        <v>1</v>
      </c>
      <c r="K297" t="b">
        <f>AND(Table6[[#This Row],[categoryname2]:[SN2]])</f>
        <v>1</v>
      </c>
      <c r="L297" t="b">
        <f>AND(Table6[[#This Row],[companyid2]],Table6[[#This Row],[Manufacturer2]:[SN2]])</f>
        <v>1</v>
      </c>
      <c r="M297" t="b">
        <f>AND(Table6[[#This Row],[companyid2]:[categoryname2]],Table6[[#This Row],[Model2]:[SN2]])</f>
        <v>1</v>
      </c>
      <c r="N297" t="b">
        <f>AND(Table6[[#This Row],[companyid2]:[Manufacturer2]],Table6[[#This Row],[SN2]])</f>
        <v>1</v>
      </c>
      <c r="O297" t="b">
        <f>AND(Table6[[#This Row],[companyid2]:[Model2]])</f>
        <v>1</v>
      </c>
    </row>
    <row r="298" spans="1:15" x14ac:dyDescent="0.25">
      <c r="A298">
        <v>57512</v>
      </c>
      <c r="B298" t="s">
        <v>568</v>
      </c>
      <c r="C298" t="s">
        <v>571</v>
      </c>
      <c r="D298" s="46" t="s">
        <v>1044</v>
      </c>
      <c r="E298" s="122">
        <v>97487903</v>
      </c>
      <c r="F298" t="b">
        <f>IFERROR(Table6[[#This Row],[companyid]]=Sheet3!$N$20,TRUE)</f>
        <v>1</v>
      </c>
      <c r="G298" t="b">
        <f>OR(Worksheet!$D$5="",Worksheet!$D$5=Table6[[#This Row],[categoryname]])</f>
        <v>1</v>
      </c>
      <c r="H298" t="b">
        <f>OR(Worksheet!$D$7="",Worksheet!$D$7=Table6[[#This Row],[Manufacturer]])</f>
        <v>1</v>
      </c>
      <c r="I298" t="b">
        <f>OR(Worksheet!$G$7="",Worksheet!$G$7=Table6[[#This Row],[Model No.]])</f>
        <v>1</v>
      </c>
      <c r="J298" t="b">
        <f>OR(Worksheet!$D$8="",Worksheet!$D$8=Table6[[#This Row],[Serial No.]])</f>
        <v>1</v>
      </c>
      <c r="K298" t="b">
        <f>AND(Table6[[#This Row],[categoryname2]:[SN2]])</f>
        <v>1</v>
      </c>
      <c r="L298" t="b">
        <f>AND(Table6[[#This Row],[companyid2]],Table6[[#This Row],[Manufacturer2]:[SN2]])</f>
        <v>1</v>
      </c>
      <c r="M298" t="b">
        <f>AND(Table6[[#This Row],[companyid2]:[categoryname2]],Table6[[#This Row],[Model2]:[SN2]])</f>
        <v>1</v>
      </c>
      <c r="N298" t="b">
        <f>AND(Table6[[#This Row],[companyid2]:[Manufacturer2]],Table6[[#This Row],[SN2]])</f>
        <v>1</v>
      </c>
      <c r="O298" t="b">
        <f>AND(Table6[[#This Row],[companyid2]:[Model2]])</f>
        <v>1</v>
      </c>
    </row>
    <row r="299" spans="1:15" x14ac:dyDescent="0.25">
      <c r="A299">
        <v>57182</v>
      </c>
      <c r="B299" t="s">
        <v>568</v>
      </c>
      <c r="C299" t="s">
        <v>571</v>
      </c>
      <c r="D299" s="46" t="s">
        <v>1044</v>
      </c>
      <c r="E299" s="122" t="s">
        <v>1058</v>
      </c>
      <c r="F299" t="b">
        <f>IFERROR(Table6[[#This Row],[companyid]]=Sheet3!$N$20,TRUE)</f>
        <v>1</v>
      </c>
      <c r="G299" t="b">
        <f>OR(Worksheet!$D$5="",Worksheet!$D$5=Table6[[#This Row],[categoryname]])</f>
        <v>1</v>
      </c>
      <c r="H299" t="b">
        <f>OR(Worksheet!$D$7="",Worksheet!$D$7=Table6[[#This Row],[Manufacturer]])</f>
        <v>1</v>
      </c>
      <c r="I299" t="b">
        <f>OR(Worksheet!$G$7="",Worksheet!$G$7=Table6[[#This Row],[Model No.]])</f>
        <v>1</v>
      </c>
      <c r="J299" t="b">
        <f>OR(Worksheet!$D$8="",Worksheet!$D$8=Table6[[#This Row],[Serial No.]])</f>
        <v>1</v>
      </c>
      <c r="K299" t="b">
        <f>AND(Table6[[#This Row],[categoryname2]:[SN2]])</f>
        <v>1</v>
      </c>
      <c r="L299" t="b">
        <f>AND(Table6[[#This Row],[companyid2]],Table6[[#This Row],[Manufacturer2]:[SN2]])</f>
        <v>1</v>
      </c>
      <c r="M299" t="b">
        <f>AND(Table6[[#This Row],[companyid2]:[categoryname2]],Table6[[#This Row],[Model2]:[SN2]])</f>
        <v>1</v>
      </c>
      <c r="N299" t="b">
        <f>AND(Table6[[#This Row],[companyid2]:[Manufacturer2]],Table6[[#This Row],[SN2]])</f>
        <v>1</v>
      </c>
      <c r="O299" t="b">
        <f>AND(Table6[[#This Row],[companyid2]:[Model2]])</f>
        <v>1</v>
      </c>
    </row>
    <row r="300" spans="1:15" x14ac:dyDescent="0.25">
      <c r="A300">
        <v>57075</v>
      </c>
      <c r="B300" t="s">
        <v>568</v>
      </c>
      <c r="C300" t="s">
        <v>571</v>
      </c>
      <c r="D300" s="46" t="s">
        <v>1044</v>
      </c>
      <c r="E300" s="122" t="s">
        <v>1046</v>
      </c>
      <c r="F300" t="b">
        <f>IFERROR(Table6[[#This Row],[companyid]]=Sheet3!$N$20,TRUE)</f>
        <v>1</v>
      </c>
      <c r="G300" t="b">
        <f>OR(Worksheet!$D$5="",Worksheet!$D$5=Table6[[#This Row],[categoryname]])</f>
        <v>1</v>
      </c>
      <c r="H300" t="b">
        <f>OR(Worksheet!$D$7="",Worksheet!$D$7=Table6[[#This Row],[Manufacturer]])</f>
        <v>1</v>
      </c>
      <c r="I300" t="b">
        <f>OR(Worksheet!$G$7="",Worksheet!$G$7=Table6[[#This Row],[Model No.]])</f>
        <v>1</v>
      </c>
      <c r="J300" t="b">
        <f>OR(Worksheet!$D$8="",Worksheet!$D$8=Table6[[#This Row],[Serial No.]])</f>
        <v>1</v>
      </c>
      <c r="K300" t="b">
        <f>AND(Table6[[#This Row],[categoryname2]:[SN2]])</f>
        <v>1</v>
      </c>
      <c r="L300" t="b">
        <f>AND(Table6[[#This Row],[companyid2]],Table6[[#This Row],[Manufacturer2]:[SN2]])</f>
        <v>1</v>
      </c>
      <c r="M300" t="b">
        <f>AND(Table6[[#This Row],[companyid2]:[categoryname2]],Table6[[#This Row],[Model2]:[SN2]])</f>
        <v>1</v>
      </c>
      <c r="N300" t="b">
        <f>AND(Table6[[#This Row],[companyid2]:[Manufacturer2]],Table6[[#This Row],[SN2]])</f>
        <v>1</v>
      </c>
      <c r="O300" t="b">
        <f>AND(Table6[[#This Row],[companyid2]:[Model2]])</f>
        <v>1</v>
      </c>
    </row>
    <row r="301" spans="1:15" x14ac:dyDescent="0.25">
      <c r="A301">
        <v>57431</v>
      </c>
      <c r="B301" t="s">
        <v>568</v>
      </c>
      <c r="C301" t="s">
        <v>571</v>
      </c>
      <c r="D301" s="46" t="s">
        <v>1044</v>
      </c>
      <c r="E301" s="122" t="s">
        <v>1085</v>
      </c>
      <c r="F301" t="b">
        <f>IFERROR(Table6[[#This Row],[companyid]]=Sheet3!$N$20,TRUE)</f>
        <v>1</v>
      </c>
      <c r="G301" t="b">
        <f>OR(Worksheet!$D$5="",Worksheet!$D$5=Table6[[#This Row],[categoryname]])</f>
        <v>1</v>
      </c>
      <c r="H301" t="b">
        <f>OR(Worksheet!$D$7="",Worksheet!$D$7=Table6[[#This Row],[Manufacturer]])</f>
        <v>1</v>
      </c>
      <c r="I301" t="b">
        <f>OR(Worksheet!$G$7="",Worksheet!$G$7=Table6[[#This Row],[Model No.]])</f>
        <v>1</v>
      </c>
      <c r="J301" t="b">
        <f>OR(Worksheet!$D$8="",Worksheet!$D$8=Table6[[#This Row],[Serial No.]])</f>
        <v>1</v>
      </c>
      <c r="K301" t="b">
        <f>AND(Table6[[#This Row],[categoryname2]:[SN2]])</f>
        <v>1</v>
      </c>
      <c r="L301" t="b">
        <f>AND(Table6[[#This Row],[companyid2]],Table6[[#This Row],[Manufacturer2]:[SN2]])</f>
        <v>1</v>
      </c>
      <c r="M301" t="b">
        <f>AND(Table6[[#This Row],[companyid2]:[categoryname2]],Table6[[#This Row],[Model2]:[SN2]])</f>
        <v>1</v>
      </c>
      <c r="N301" t="b">
        <f>AND(Table6[[#This Row],[companyid2]:[Manufacturer2]],Table6[[#This Row],[SN2]])</f>
        <v>1</v>
      </c>
      <c r="O301" t="b">
        <f>AND(Table6[[#This Row],[companyid2]:[Model2]])</f>
        <v>1</v>
      </c>
    </row>
    <row r="302" spans="1:15" x14ac:dyDescent="0.25">
      <c r="A302">
        <v>57146</v>
      </c>
      <c r="B302" t="s">
        <v>568</v>
      </c>
      <c r="C302" t="s">
        <v>571</v>
      </c>
      <c r="D302" s="46" t="s">
        <v>1044</v>
      </c>
      <c r="E302" s="122" t="s">
        <v>1054</v>
      </c>
      <c r="F302" t="b">
        <f>IFERROR(Table6[[#This Row],[companyid]]=Sheet3!$N$20,TRUE)</f>
        <v>1</v>
      </c>
      <c r="G302" t="b">
        <f>OR(Worksheet!$D$5="",Worksheet!$D$5=Table6[[#This Row],[categoryname]])</f>
        <v>1</v>
      </c>
      <c r="H302" t="b">
        <f>OR(Worksheet!$D$7="",Worksheet!$D$7=Table6[[#This Row],[Manufacturer]])</f>
        <v>1</v>
      </c>
      <c r="I302" t="b">
        <f>OR(Worksheet!$G$7="",Worksheet!$G$7=Table6[[#This Row],[Model No.]])</f>
        <v>1</v>
      </c>
      <c r="J302" t="b">
        <f>OR(Worksheet!$D$8="",Worksheet!$D$8=Table6[[#This Row],[Serial No.]])</f>
        <v>1</v>
      </c>
      <c r="K302" t="b">
        <f>AND(Table6[[#This Row],[categoryname2]:[SN2]])</f>
        <v>1</v>
      </c>
      <c r="L302" t="b">
        <f>AND(Table6[[#This Row],[companyid2]],Table6[[#This Row],[Manufacturer2]:[SN2]])</f>
        <v>1</v>
      </c>
      <c r="M302" t="b">
        <f>AND(Table6[[#This Row],[companyid2]:[categoryname2]],Table6[[#This Row],[Model2]:[SN2]])</f>
        <v>1</v>
      </c>
      <c r="N302" t="b">
        <f>AND(Table6[[#This Row],[companyid2]:[Manufacturer2]],Table6[[#This Row],[SN2]])</f>
        <v>1</v>
      </c>
      <c r="O302" t="b">
        <f>AND(Table6[[#This Row],[companyid2]:[Model2]])</f>
        <v>1</v>
      </c>
    </row>
    <row r="303" spans="1:15" x14ac:dyDescent="0.25">
      <c r="A303">
        <v>57961</v>
      </c>
      <c r="B303" t="s">
        <v>568</v>
      </c>
      <c r="C303" t="s">
        <v>571</v>
      </c>
      <c r="D303" s="46" t="s">
        <v>1197</v>
      </c>
      <c r="E303" s="122">
        <v>9120251</v>
      </c>
      <c r="F303" t="b">
        <f>IFERROR(Table6[[#This Row],[companyid]]=Sheet3!$N$20,TRUE)</f>
        <v>1</v>
      </c>
      <c r="G303" t="b">
        <f>OR(Worksheet!$D$5="",Worksheet!$D$5=Table6[[#This Row],[categoryname]])</f>
        <v>1</v>
      </c>
      <c r="H303" t="b">
        <f>OR(Worksheet!$D$7="",Worksheet!$D$7=Table6[[#This Row],[Manufacturer]])</f>
        <v>1</v>
      </c>
      <c r="I303" t="b">
        <f>OR(Worksheet!$G$7="",Worksheet!$G$7=Table6[[#This Row],[Model No.]])</f>
        <v>1</v>
      </c>
      <c r="J303" t="b">
        <f>OR(Worksheet!$D$8="",Worksheet!$D$8=Table6[[#This Row],[Serial No.]])</f>
        <v>1</v>
      </c>
      <c r="K303" t="b">
        <f>AND(Table6[[#This Row],[categoryname2]:[SN2]])</f>
        <v>1</v>
      </c>
      <c r="L303" t="b">
        <f>AND(Table6[[#This Row],[companyid2]],Table6[[#This Row],[Manufacturer2]:[SN2]])</f>
        <v>1</v>
      </c>
      <c r="M303" t="b">
        <f>AND(Table6[[#This Row],[companyid2]:[categoryname2]],Table6[[#This Row],[Model2]:[SN2]])</f>
        <v>1</v>
      </c>
      <c r="N303" t="b">
        <f>AND(Table6[[#This Row],[companyid2]:[Manufacturer2]],Table6[[#This Row],[SN2]])</f>
        <v>1</v>
      </c>
      <c r="O303" t="b">
        <f>AND(Table6[[#This Row],[companyid2]:[Model2]])</f>
        <v>1</v>
      </c>
    </row>
    <row r="304" spans="1:15" x14ac:dyDescent="0.25">
      <c r="A304">
        <v>57358</v>
      </c>
      <c r="B304" t="s">
        <v>568</v>
      </c>
      <c r="C304" t="s">
        <v>571</v>
      </c>
      <c r="D304" s="46" t="s">
        <v>1170</v>
      </c>
      <c r="E304" s="122" t="s">
        <v>1076</v>
      </c>
      <c r="F304" t="b">
        <f>IFERROR(Table6[[#This Row],[companyid]]=Sheet3!$N$20,TRUE)</f>
        <v>1</v>
      </c>
      <c r="G304" t="b">
        <f>OR(Worksheet!$D$5="",Worksheet!$D$5=Table6[[#This Row],[categoryname]])</f>
        <v>1</v>
      </c>
      <c r="H304" t="b">
        <f>OR(Worksheet!$D$7="",Worksheet!$D$7=Table6[[#This Row],[Manufacturer]])</f>
        <v>1</v>
      </c>
      <c r="I304" t="b">
        <f>OR(Worksheet!$G$7="",Worksheet!$G$7=Table6[[#This Row],[Model No.]])</f>
        <v>1</v>
      </c>
      <c r="J304" t="b">
        <f>OR(Worksheet!$D$8="",Worksheet!$D$8=Table6[[#This Row],[Serial No.]])</f>
        <v>1</v>
      </c>
      <c r="K304" t="b">
        <f>AND(Table6[[#This Row],[categoryname2]:[SN2]])</f>
        <v>1</v>
      </c>
      <c r="L304" t="b">
        <f>AND(Table6[[#This Row],[companyid2]],Table6[[#This Row],[Manufacturer2]:[SN2]])</f>
        <v>1</v>
      </c>
      <c r="M304" t="b">
        <f>AND(Table6[[#This Row],[companyid2]:[categoryname2]],Table6[[#This Row],[Model2]:[SN2]])</f>
        <v>1</v>
      </c>
      <c r="N304" t="b">
        <f>AND(Table6[[#This Row],[companyid2]:[Manufacturer2]],Table6[[#This Row],[SN2]])</f>
        <v>1</v>
      </c>
      <c r="O304" t="b">
        <f>AND(Table6[[#This Row],[companyid2]:[Model2]])</f>
        <v>1</v>
      </c>
    </row>
    <row r="305" spans="1:15" x14ac:dyDescent="0.25">
      <c r="A305">
        <v>57460</v>
      </c>
      <c r="B305" t="s">
        <v>568</v>
      </c>
      <c r="C305" t="s">
        <v>571</v>
      </c>
      <c r="D305" s="46" t="s">
        <v>650</v>
      </c>
      <c r="E305" s="122" t="s">
        <v>651</v>
      </c>
      <c r="F305" t="b">
        <f>IFERROR(Table6[[#This Row],[companyid]]=Sheet3!$N$20,TRUE)</f>
        <v>1</v>
      </c>
      <c r="G305" t="b">
        <f>OR(Worksheet!$D$5="",Worksheet!$D$5=Table6[[#This Row],[categoryname]])</f>
        <v>1</v>
      </c>
      <c r="H305" t="b">
        <f>OR(Worksheet!$D$7="",Worksheet!$D$7=Table6[[#This Row],[Manufacturer]])</f>
        <v>1</v>
      </c>
      <c r="I305" t="b">
        <f>OR(Worksheet!$G$7="",Worksheet!$G$7=Table6[[#This Row],[Model No.]])</f>
        <v>1</v>
      </c>
      <c r="J305" t="b">
        <f>OR(Worksheet!$D$8="",Worksheet!$D$8=Table6[[#This Row],[Serial No.]])</f>
        <v>1</v>
      </c>
      <c r="K305" t="b">
        <f>AND(Table6[[#This Row],[categoryname2]:[SN2]])</f>
        <v>1</v>
      </c>
      <c r="L305" t="b">
        <f>AND(Table6[[#This Row],[companyid2]],Table6[[#This Row],[Manufacturer2]:[SN2]])</f>
        <v>1</v>
      </c>
      <c r="M305" t="b">
        <f>AND(Table6[[#This Row],[companyid2]:[categoryname2]],Table6[[#This Row],[Model2]:[SN2]])</f>
        <v>1</v>
      </c>
      <c r="N305" t="b">
        <f>AND(Table6[[#This Row],[companyid2]:[Manufacturer2]],Table6[[#This Row],[SN2]])</f>
        <v>1</v>
      </c>
      <c r="O305" t="b">
        <f>AND(Table6[[#This Row],[companyid2]:[Model2]])</f>
        <v>1</v>
      </c>
    </row>
    <row r="306" spans="1:15" x14ac:dyDescent="0.25">
      <c r="A306">
        <v>57298</v>
      </c>
      <c r="B306" t="s">
        <v>568</v>
      </c>
      <c r="C306" t="s">
        <v>571</v>
      </c>
      <c r="D306" s="46" t="s">
        <v>605</v>
      </c>
      <c r="E306" s="122" t="s">
        <v>648</v>
      </c>
      <c r="F306" t="b">
        <f>IFERROR(Table6[[#This Row],[companyid]]=Sheet3!$N$20,TRUE)</f>
        <v>1</v>
      </c>
      <c r="G306" t="b">
        <f>OR(Worksheet!$D$5="",Worksheet!$D$5=Table6[[#This Row],[categoryname]])</f>
        <v>1</v>
      </c>
      <c r="H306" t="b">
        <f>OR(Worksheet!$D$7="",Worksheet!$D$7=Table6[[#This Row],[Manufacturer]])</f>
        <v>1</v>
      </c>
      <c r="I306" t="b">
        <f>OR(Worksheet!$G$7="",Worksheet!$G$7=Table6[[#This Row],[Model No.]])</f>
        <v>1</v>
      </c>
      <c r="J306" t="b">
        <f>OR(Worksheet!$D$8="",Worksheet!$D$8=Table6[[#This Row],[Serial No.]])</f>
        <v>1</v>
      </c>
      <c r="K306" t="b">
        <f>AND(Table6[[#This Row],[categoryname2]:[SN2]])</f>
        <v>1</v>
      </c>
      <c r="L306" t="b">
        <f>AND(Table6[[#This Row],[companyid2]],Table6[[#This Row],[Manufacturer2]:[SN2]])</f>
        <v>1</v>
      </c>
      <c r="M306" t="b">
        <f>AND(Table6[[#This Row],[companyid2]:[categoryname2]],Table6[[#This Row],[Model2]:[SN2]])</f>
        <v>1</v>
      </c>
      <c r="N306" t="b">
        <f>AND(Table6[[#This Row],[companyid2]:[Manufacturer2]],Table6[[#This Row],[SN2]])</f>
        <v>1</v>
      </c>
      <c r="O306" t="b">
        <f>AND(Table6[[#This Row],[companyid2]:[Model2]])</f>
        <v>1</v>
      </c>
    </row>
    <row r="307" spans="1:15" x14ac:dyDescent="0.25">
      <c r="A307">
        <v>57410</v>
      </c>
      <c r="B307" t="s">
        <v>568</v>
      </c>
      <c r="C307" t="s">
        <v>571</v>
      </c>
      <c r="D307" s="46" t="s">
        <v>605</v>
      </c>
      <c r="E307" s="122" t="s">
        <v>1078</v>
      </c>
      <c r="F307" t="b">
        <f>IFERROR(Table6[[#This Row],[companyid]]=Sheet3!$N$20,TRUE)</f>
        <v>1</v>
      </c>
      <c r="G307" t="b">
        <f>OR(Worksheet!$D$5="",Worksheet!$D$5=Table6[[#This Row],[categoryname]])</f>
        <v>1</v>
      </c>
      <c r="H307" t="b">
        <f>OR(Worksheet!$D$7="",Worksheet!$D$7=Table6[[#This Row],[Manufacturer]])</f>
        <v>1</v>
      </c>
      <c r="I307" t="b">
        <f>OR(Worksheet!$G$7="",Worksheet!$G$7=Table6[[#This Row],[Model No.]])</f>
        <v>1</v>
      </c>
      <c r="J307" t="b">
        <f>OR(Worksheet!$D$8="",Worksheet!$D$8=Table6[[#This Row],[Serial No.]])</f>
        <v>1</v>
      </c>
      <c r="K307" t="b">
        <f>AND(Table6[[#This Row],[categoryname2]:[SN2]])</f>
        <v>1</v>
      </c>
      <c r="L307" t="b">
        <f>AND(Table6[[#This Row],[companyid2]],Table6[[#This Row],[Manufacturer2]:[SN2]])</f>
        <v>1</v>
      </c>
      <c r="M307" t="b">
        <f>AND(Table6[[#This Row],[companyid2]:[categoryname2]],Table6[[#This Row],[Model2]:[SN2]])</f>
        <v>1</v>
      </c>
      <c r="N307" t="b">
        <f>AND(Table6[[#This Row],[companyid2]:[Manufacturer2]],Table6[[#This Row],[SN2]])</f>
        <v>1</v>
      </c>
      <c r="O307" t="b">
        <f>AND(Table6[[#This Row],[companyid2]:[Model2]])</f>
        <v>1</v>
      </c>
    </row>
    <row r="308" spans="1:15" x14ac:dyDescent="0.25">
      <c r="A308">
        <v>57273</v>
      </c>
      <c r="B308" t="s">
        <v>568</v>
      </c>
      <c r="C308" t="s">
        <v>571</v>
      </c>
      <c r="D308" s="46" t="s">
        <v>1164</v>
      </c>
      <c r="E308" s="122" t="s">
        <v>1064</v>
      </c>
      <c r="F308" t="b">
        <f>IFERROR(Table6[[#This Row],[companyid]]=Sheet3!$N$20,TRUE)</f>
        <v>1</v>
      </c>
      <c r="G308" t="b">
        <f>OR(Worksheet!$D$5="",Worksheet!$D$5=Table6[[#This Row],[categoryname]])</f>
        <v>1</v>
      </c>
      <c r="H308" t="b">
        <f>OR(Worksheet!$D$7="",Worksheet!$D$7=Table6[[#This Row],[Manufacturer]])</f>
        <v>1</v>
      </c>
      <c r="I308" t="b">
        <f>OR(Worksheet!$G$7="",Worksheet!$G$7=Table6[[#This Row],[Model No.]])</f>
        <v>1</v>
      </c>
      <c r="J308" t="b">
        <f>OR(Worksheet!$D$8="",Worksheet!$D$8=Table6[[#This Row],[Serial No.]])</f>
        <v>1</v>
      </c>
      <c r="K308" t="b">
        <f>AND(Table6[[#This Row],[categoryname2]:[SN2]])</f>
        <v>1</v>
      </c>
      <c r="L308" t="b">
        <f>AND(Table6[[#This Row],[companyid2]],Table6[[#This Row],[Manufacturer2]:[SN2]])</f>
        <v>1</v>
      </c>
      <c r="M308" t="b">
        <f>AND(Table6[[#This Row],[companyid2]:[categoryname2]],Table6[[#This Row],[Model2]:[SN2]])</f>
        <v>1</v>
      </c>
      <c r="N308" t="b">
        <f>AND(Table6[[#This Row],[companyid2]:[Manufacturer2]],Table6[[#This Row],[SN2]])</f>
        <v>1</v>
      </c>
      <c r="O308" t="b">
        <f>AND(Table6[[#This Row],[companyid2]:[Model2]])</f>
        <v>1</v>
      </c>
    </row>
    <row r="309" spans="1:15" x14ac:dyDescent="0.25">
      <c r="A309">
        <v>58078</v>
      </c>
      <c r="B309" t="s">
        <v>568</v>
      </c>
      <c r="C309" t="s">
        <v>1123</v>
      </c>
      <c r="D309" s="46">
        <v>500</v>
      </c>
      <c r="E309" s="122">
        <v>222</v>
      </c>
      <c r="F309" t="b">
        <f>IFERROR(Table6[[#This Row],[companyid]]=Sheet3!$N$20,TRUE)</f>
        <v>1</v>
      </c>
      <c r="G309" t="b">
        <f>OR(Worksheet!$D$5="",Worksheet!$D$5=Table6[[#This Row],[categoryname]])</f>
        <v>1</v>
      </c>
      <c r="H309" t="b">
        <f>OR(Worksheet!$D$7="",Worksheet!$D$7=Table6[[#This Row],[Manufacturer]])</f>
        <v>1</v>
      </c>
      <c r="I309" t="b">
        <f>OR(Worksheet!$G$7="",Worksheet!$G$7=Table6[[#This Row],[Model No.]])</f>
        <v>1</v>
      </c>
      <c r="J309" t="b">
        <f>OR(Worksheet!$D$8="",Worksheet!$D$8=Table6[[#This Row],[Serial No.]])</f>
        <v>1</v>
      </c>
      <c r="K309" t="b">
        <f>AND(Table6[[#This Row],[categoryname2]:[SN2]])</f>
        <v>1</v>
      </c>
      <c r="L309" t="b">
        <f>AND(Table6[[#This Row],[companyid2]],Table6[[#This Row],[Manufacturer2]:[SN2]])</f>
        <v>1</v>
      </c>
      <c r="M309" t="b">
        <f>AND(Table6[[#This Row],[companyid2]:[categoryname2]],Table6[[#This Row],[Model2]:[SN2]])</f>
        <v>1</v>
      </c>
      <c r="N309" t="b">
        <f>AND(Table6[[#This Row],[companyid2]:[Manufacturer2]],Table6[[#This Row],[SN2]])</f>
        <v>1</v>
      </c>
      <c r="O309" t="b">
        <f>AND(Table6[[#This Row],[companyid2]:[Model2]])</f>
        <v>1</v>
      </c>
    </row>
    <row r="310" spans="1:15" x14ac:dyDescent="0.25">
      <c r="A310">
        <v>57952</v>
      </c>
      <c r="B310" t="s">
        <v>568</v>
      </c>
      <c r="C310" t="s">
        <v>1123</v>
      </c>
      <c r="D310" s="46" t="s">
        <v>619</v>
      </c>
      <c r="E310" s="122" t="s">
        <v>620</v>
      </c>
      <c r="F310" t="b">
        <f>IFERROR(Table6[[#This Row],[companyid]]=Sheet3!$N$20,TRUE)</f>
        <v>1</v>
      </c>
      <c r="G310" t="b">
        <f>OR(Worksheet!$D$5="",Worksheet!$D$5=Table6[[#This Row],[categoryname]])</f>
        <v>1</v>
      </c>
      <c r="H310" t="b">
        <f>OR(Worksheet!$D$7="",Worksheet!$D$7=Table6[[#This Row],[Manufacturer]])</f>
        <v>1</v>
      </c>
      <c r="I310" t="b">
        <f>OR(Worksheet!$G$7="",Worksheet!$G$7=Table6[[#This Row],[Model No.]])</f>
        <v>1</v>
      </c>
      <c r="J310" t="b">
        <f>OR(Worksheet!$D$8="",Worksheet!$D$8=Table6[[#This Row],[Serial No.]])</f>
        <v>1</v>
      </c>
      <c r="K310" t="b">
        <f>AND(Table6[[#This Row],[categoryname2]:[SN2]])</f>
        <v>1</v>
      </c>
      <c r="L310" t="b">
        <f>AND(Table6[[#This Row],[companyid2]],Table6[[#This Row],[Manufacturer2]:[SN2]])</f>
        <v>1</v>
      </c>
      <c r="M310" t="b">
        <f>AND(Table6[[#This Row],[companyid2]:[categoryname2]],Table6[[#This Row],[Model2]:[SN2]])</f>
        <v>1</v>
      </c>
      <c r="N310" t="b">
        <f>AND(Table6[[#This Row],[companyid2]:[Manufacturer2]],Table6[[#This Row],[SN2]])</f>
        <v>1</v>
      </c>
      <c r="O310" t="b">
        <f>AND(Table6[[#This Row],[companyid2]:[Model2]])</f>
        <v>1</v>
      </c>
    </row>
    <row r="311" spans="1:15" x14ac:dyDescent="0.25">
      <c r="A311">
        <v>58261</v>
      </c>
      <c r="B311" t="s">
        <v>568</v>
      </c>
      <c r="C311" t="s">
        <v>1123</v>
      </c>
      <c r="D311" s="46" t="s">
        <v>572</v>
      </c>
      <c r="E311" s="122">
        <v>1263</v>
      </c>
      <c r="F311" t="b">
        <f>IFERROR(Table6[[#This Row],[companyid]]=Sheet3!$N$20,TRUE)</f>
        <v>1</v>
      </c>
      <c r="G311" t="b">
        <f>OR(Worksheet!$D$5="",Worksheet!$D$5=Table6[[#This Row],[categoryname]])</f>
        <v>1</v>
      </c>
      <c r="H311" t="b">
        <f>OR(Worksheet!$D$7="",Worksheet!$D$7=Table6[[#This Row],[Manufacturer]])</f>
        <v>1</v>
      </c>
      <c r="I311" t="b">
        <f>OR(Worksheet!$G$7="",Worksheet!$G$7=Table6[[#This Row],[Model No.]])</f>
        <v>1</v>
      </c>
      <c r="J311" t="b">
        <f>OR(Worksheet!$D$8="",Worksheet!$D$8=Table6[[#This Row],[Serial No.]])</f>
        <v>1</v>
      </c>
      <c r="K311" t="b">
        <f>AND(Table6[[#This Row],[categoryname2]:[SN2]])</f>
        <v>1</v>
      </c>
      <c r="L311" t="b">
        <f>AND(Table6[[#This Row],[companyid2]],Table6[[#This Row],[Manufacturer2]:[SN2]])</f>
        <v>1</v>
      </c>
      <c r="M311" t="b">
        <f>AND(Table6[[#This Row],[companyid2]:[categoryname2]],Table6[[#This Row],[Model2]:[SN2]])</f>
        <v>1</v>
      </c>
      <c r="N311" t="b">
        <f>AND(Table6[[#This Row],[companyid2]:[Manufacturer2]],Table6[[#This Row],[SN2]])</f>
        <v>1</v>
      </c>
      <c r="O311" t="b">
        <f>AND(Table6[[#This Row],[companyid2]:[Model2]])</f>
        <v>1</v>
      </c>
    </row>
    <row r="312" spans="1:15" x14ac:dyDescent="0.25">
      <c r="A312">
        <v>57843</v>
      </c>
      <c r="B312" t="s">
        <v>568</v>
      </c>
      <c r="C312" t="s">
        <v>1123</v>
      </c>
      <c r="D312" s="46" t="s">
        <v>1107</v>
      </c>
      <c r="E312" s="122">
        <v>1247</v>
      </c>
      <c r="F312" t="b">
        <f>IFERROR(Table6[[#This Row],[companyid]]=Sheet3!$N$20,TRUE)</f>
        <v>1</v>
      </c>
      <c r="G312" t="b">
        <f>OR(Worksheet!$D$5="",Worksheet!$D$5=Table6[[#This Row],[categoryname]])</f>
        <v>1</v>
      </c>
      <c r="H312" t="b">
        <f>OR(Worksheet!$D$7="",Worksheet!$D$7=Table6[[#This Row],[Manufacturer]])</f>
        <v>1</v>
      </c>
      <c r="I312" t="b">
        <f>OR(Worksheet!$G$7="",Worksheet!$G$7=Table6[[#This Row],[Model No.]])</f>
        <v>1</v>
      </c>
      <c r="J312" t="b">
        <f>OR(Worksheet!$D$8="",Worksheet!$D$8=Table6[[#This Row],[Serial No.]])</f>
        <v>1</v>
      </c>
      <c r="K312" t="b">
        <f>AND(Table6[[#This Row],[categoryname2]:[SN2]])</f>
        <v>1</v>
      </c>
      <c r="L312" t="b">
        <f>AND(Table6[[#This Row],[companyid2]],Table6[[#This Row],[Manufacturer2]:[SN2]])</f>
        <v>1</v>
      </c>
      <c r="M312" t="b">
        <f>AND(Table6[[#This Row],[companyid2]:[categoryname2]],Table6[[#This Row],[Model2]:[SN2]])</f>
        <v>1</v>
      </c>
      <c r="N312" t="b">
        <f>AND(Table6[[#This Row],[companyid2]:[Manufacturer2]],Table6[[#This Row],[SN2]])</f>
        <v>1</v>
      </c>
      <c r="O312" t="b">
        <f>AND(Table6[[#This Row],[companyid2]:[Model2]])</f>
        <v>1</v>
      </c>
    </row>
    <row r="313" spans="1:15" x14ac:dyDescent="0.25">
      <c r="A313">
        <v>57598</v>
      </c>
      <c r="B313" t="s">
        <v>568</v>
      </c>
      <c r="C313" t="s">
        <v>1123</v>
      </c>
      <c r="D313" s="46" t="s">
        <v>594</v>
      </c>
      <c r="E313" s="122">
        <v>7960</v>
      </c>
      <c r="F313" t="b">
        <f>IFERROR(Table6[[#This Row],[companyid]]=Sheet3!$N$20,TRUE)</f>
        <v>1</v>
      </c>
      <c r="G313" t="b">
        <f>OR(Worksheet!$D$5="",Worksheet!$D$5=Table6[[#This Row],[categoryname]])</f>
        <v>1</v>
      </c>
      <c r="H313" t="b">
        <f>OR(Worksheet!$D$7="",Worksheet!$D$7=Table6[[#This Row],[Manufacturer]])</f>
        <v>1</v>
      </c>
      <c r="I313" t="b">
        <f>OR(Worksheet!$G$7="",Worksheet!$G$7=Table6[[#This Row],[Model No.]])</f>
        <v>1</v>
      </c>
      <c r="J313" t="b">
        <f>OR(Worksheet!$D$8="",Worksheet!$D$8=Table6[[#This Row],[Serial No.]])</f>
        <v>1</v>
      </c>
      <c r="K313" t="b">
        <f>AND(Table6[[#This Row],[categoryname2]:[SN2]])</f>
        <v>1</v>
      </c>
      <c r="L313" t="b">
        <f>AND(Table6[[#This Row],[companyid2]],Table6[[#This Row],[Manufacturer2]:[SN2]])</f>
        <v>1</v>
      </c>
      <c r="M313" t="b">
        <f>AND(Table6[[#This Row],[companyid2]:[categoryname2]],Table6[[#This Row],[Model2]:[SN2]])</f>
        <v>1</v>
      </c>
      <c r="N313" t="b">
        <f>AND(Table6[[#This Row],[companyid2]:[Manufacturer2]],Table6[[#This Row],[SN2]])</f>
        <v>1</v>
      </c>
      <c r="O313" t="b">
        <f>AND(Table6[[#This Row],[companyid2]:[Model2]])</f>
        <v>1</v>
      </c>
    </row>
    <row r="314" spans="1:15" x14ac:dyDescent="0.25">
      <c r="A314">
        <v>58115</v>
      </c>
      <c r="B314" t="s">
        <v>568</v>
      </c>
      <c r="C314" t="s">
        <v>1143</v>
      </c>
      <c r="D314" s="46" t="s">
        <v>1210</v>
      </c>
      <c r="E314" s="122" t="s">
        <v>1142</v>
      </c>
      <c r="F314" t="b">
        <f>IFERROR(Table6[[#This Row],[companyid]]=Sheet3!$N$20,TRUE)</f>
        <v>1</v>
      </c>
      <c r="G314" t="b">
        <f>OR(Worksheet!$D$5="",Worksheet!$D$5=Table6[[#This Row],[categoryname]])</f>
        <v>1</v>
      </c>
      <c r="H314" t="b">
        <f>OR(Worksheet!$D$7="",Worksheet!$D$7=Table6[[#This Row],[Manufacturer]])</f>
        <v>1</v>
      </c>
      <c r="I314" t="b">
        <f>OR(Worksheet!$G$7="",Worksheet!$G$7=Table6[[#This Row],[Model No.]])</f>
        <v>1</v>
      </c>
      <c r="J314" t="b">
        <f>OR(Worksheet!$D$8="",Worksheet!$D$8=Table6[[#This Row],[Serial No.]])</f>
        <v>1</v>
      </c>
      <c r="K314" t="b">
        <f>AND(Table6[[#This Row],[categoryname2]:[SN2]])</f>
        <v>1</v>
      </c>
      <c r="L314" t="b">
        <f>AND(Table6[[#This Row],[companyid2]],Table6[[#This Row],[Manufacturer2]:[SN2]])</f>
        <v>1</v>
      </c>
      <c r="M314" t="b">
        <f>AND(Table6[[#This Row],[companyid2]:[categoryname2]],Table6[[#This Row],[Model2]:[SN2]])</f>
        <v>1</v>
      </c>
      <c r="N314" t="b">
        <f>AND(Table6[[#This Row],[companyid2]:[Manufacturer2]],Table6[[#This Row],[SN2]])</f>
        <v>1</v>
      </c>
      <c r="O314" t="b">
        <f>AND(Table6[[#This Row],[companyid2]:[Model2]])</f>
        <v>1</v>
      </c>
    </row>
    <row r="315" spans="1:15" x14ac:dyDescent="0.25">
      <c r="A315">
        <v>57762</v>
      </c>
      <c r="B315" t="s">
        <v>568</v>
      </c>
      <c r="D315" s="46" t="s">
        <v>1159</v>
      </c>
      <c r="E315" s="122" t="s">
        <v>592</v>
      </c>
      <c r="F315" t="b">
        <f>IFERROR(Table6[[#This Row],[companyid]]=Sheet3!$N$20,TRUE)</f>
        <v>1</v>
      </c>
      <c r="G315" t="b">
        <f>OR(Worksheet!$D$5="",Worksheet!$D$5=Table6[[#This Row],[categoryname]])</f>
        <v>1</v>
      </c>
      <c r="H315" t="b">
        <f>OR(Worksheet!$D$7="",Worksheet!$D$7=Table6[[#This Row],[Manufacturer]])</f>
        <v>1</v>
      </c>
      <c r="I315" t="b">
        <f>OR(Worksheet!$G$7="",Worksheet!$G$7=Table6[[#This Row],[Model No.]])</f>
        <v>1</v>
      </c>
      <c r="J315" t="b">
        <f>OR(Worksheet!$D$8="",Worksheet!$D$8=Table6[[#This Row],[Serial No.]])</f>
        <v>1</v>
      </c>
      <c r="K315" t="b">
        <f>AND(Table6[[#This Row],[categoryname2]:[SN2]])</f>
        <v>1</v>
      </c>
      <c r="L315" t="b">
        <f>AND(Table6[[#This Row],[companyid2]],Table6[[#This Row],[Manufacturer2]:[SN2]])</f>
        <v>1</v>
      </c>
      <c r="M315" t="b">
        <f>AND(Table6[[#This Row],[companyid2]:[categoryname2]],Table6[[#This Row],[Model2]:[SN2]])</f>
        <v>1</v>
      </c>
      <c r="N315" t="b">
        <f>AND(Table6[[#This Row],[companyid2]:[Manufacturer2]],Table6[[#This Row],[SN2]])</f>
        <v>1</v>
      </c>
      <c r="O315" t="b">
        <f>AND(Table6[[#This Row],[companyid2]:[Model2]])</f>
        <v>1</v>
      </c>
    </row>
  </sheetData>
  <phoneticPr fontId="31" type="noConversion"/>
  <conditionalFormatting sqref="A2:E315">
    <cfRule type="expression" dxfId="14" priority="6">
      <formula>$K2=TRUE</formula>
    </cfRule>
    <cfRule type="expression" dxfId="13" priority="7">
      <formula>F2=TRUE</formula>
    </cfRule>
  </conditionalFormatting>
  <pageMargins left="0.7" right="0.7" top="0.75" bottom="0.75" header="0.3" footer="0.3"/>
  <pageSetup orientation="portrait" horizontalDpi="4294967295" verticalDpi="4294967295" r:id="rId1"/>
  <ignoredErrors>
    <ignoredError sqref="E35:E47 E61 D64:E64 E66 E207 E211 E214" numberStoredAsText="1"/>
  </ignoredErrors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C15"/>
  <sheetViews>
    <sheetView tabSelected="1" workbookViewId="0">
      <selection activeCell="B22" sqref="B22"/>
    </sheetView>
  </sheetViews>
  <sheetFormatPr defaultRowHeight="15" x14ac:dyDescent="0.25"/>
  <cols>
    <col min="1" max="1" width="14.42578125" customWidth="1"/>
    <col min="2" max="2" width="165.5703125" customWidth="1"/>
  </cols>
  <sheetData>
    <row r="1" spans="1:3" x14ac:dyDescent="0.25">
      <c r="A1" t="s">
        <v>426</v>
      </c>
      <c r="B1" t="s">
        <v>427</v>
      </c>
      <c r="C1" t="s">
        <v>428</v>
      </c>
    </row>
    <row r="2" spans="1:3" x14ac:dyDescent="0.25">
      <c r="A2" s="33">
        <v>42956</v>
      </c>
      <c r="B2" t="s">
        <v>429</v>
      </c>
      <c r="C2" t="s">
        <v>430</v>
      </c>
    </row>
    <row r="3" spans="1:3" x14ac:dyDescent="0.25">
      <c r="A3" s="33">
        <v>42965</v>
      </c>
      <c r="B3" t="s">
        <v>429</v>
      </c>
      <c r="C3" t="s">
        <v>430</v>
      </c>
    </row>
    <row r="4" spans="1:3" x14ac:dyDescent="0.25">
      <c r="A4" s="33">
        <v>42989</v>
      </c>
      <c r="B4" t="s">
        <v>429</v>
      </c>
      <c r="C4" t="s">
        <v>430</v>
      </c>
    </row>
    <row r="5" spans="1:3" x14ac:dyDescent="0.25">
      <c r="A5" s="33">
        <v>42993</v>
      </c>
      <c r="B5" t="s">
        <v>429</v>
      </c>
      <c r="C5" t="s">
        <v>430</v>
      </c>
    </row>
    <row r="6" spans="1:3" x14ac:dyDescent="0.25">
      <c r="A6" s="33">
        <v>42996</v>
      </c>
      <c r="B6" t="s">
        <v>429</v>
      </c>
      <c r="C6" t="s">
        <v>430</v>
      </c>
    </row>
    <row r="7" spans="1:3" x14ac:dyDescent="0.25">
      <c r="A7" s="33">
        <v>42999</v>
      </c>
      <c r="B7" t="s">
        <v>429</v>
      </c>
      <c r="C7" t="s">
        <v>430</v>
      </c>
    </row>
    <row r="8" spans="1:3" x14ac:dyDescent="0.25">
      <c r="A8" s="33">
        <v>43007</v>
      </c>
      <c r="B8" t="s">
        <v>429</v>
      </c>
      <c r="C8" t="s">
        <v>430</v>
      </c>
    </row>
    <row r="9" spans="1:3" x14ac:dyDescent="0.25">
      <c r="A9" s="33">
        <v>43644</v>
      </c>
      <c r="B9" t="s">
        <v>429</v>
      </c>
      <c r="C9" t="s">
        <v>430</v>
      </c>
    </row>
    <row r="10" spans="1:3" x14ac:dyDescent="0.25">
      <c r="A10" s="33">
        <v>44208</v>
      </c>
      <c r="B10" t="s">
        <v>429</v>
      </c>
      <c r="C10" t="s">
        <v>430</v>
      </c>
    </row>
    <row r="11" spans="1:3" x14ac:dyDescent="0.25">
      <c r="A11" s="33">
        <v>45509</v>
      </c>
      <c r="B11" t="s">
        <v>656</v>
      </c>
      <c r="C11" t="s">
        <v>655</v>
      </c>
    </row>
    <row r="12" spans="1:3" x14ac:dyDescent="0.25">
      <c r="A12" s="33">
        <v>45519</v>
      </c>
      <c r="B12" t="s">
        <v>672</v>
      </c>
      <c r="C12" t="s">
        <v>655</v>
      </c>
    </row>
    <row r="13" spans="1:3" x14ac:dyDescent="0.25">
      <c r="A13" s="33">
        <v>45531</v>
      </c>
      <c r="B13" t="s">
        <v>1223</v>
      </c>
      <c r="C13" t="s">
        <v>655</v>
      </c>
    </row>
    <row r="14" spans="1:3" x14ac:dyDescent="0.25">
      <c r="A14" s="33">
        <v>45540</v>
      </c>
      <c r="B14" t="s">
        <v>1325</v>
      </c>
      <c r="C14" t="s">
        <v>655</v>
      </c>
    </row>
    <row r="15" spans="1:3" x14ac:dyDescent="0.25">
      <c r="A15" s="33">
        <v>45574</v>
      </c>
      <c r="B15" t="s">
        <v>1327</v>
      </c>
      <c r="C15" t="s">
        <v>655</v>
      </c>
    </row>
  </sheetData>
  <pageMargins left="0.7" right="0.7" top="0.75" bottom="0.75" header="0.3" footer="0.3"/>
  <pageSetup orientation="portrait" horizontalDpi="4294967295" verticalDpi="4294967295" r:id="rId1"/>
  <customProperties>
    <customPr name="%locator_row%" r:id="rId2"/>
    <customPr name="%startcell%" r:id="rId3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14</vt:i4>
      </vt:variant>
    </vt:vector>
  </HeadingPairs>
  <TitlesOfParts>
    <vt:vector size="23" baseType="lpstr">
      <vt:lpstr>Worksheet</vt:lpstr>
      <vt:lpstr>CERT AL</vt:lpstr>
      <vt:lpstr>CERT AF</vt:lpstr>
      <vt:lpstr>Sheet3</vt:lpstr>
      <vt:lpstr>MUG Table</vt:lpstr>
      <vt:lpstr>Logo Page</vt:lpstr>
      <vt:lpstr>Client Addresses</vt:lpstr>
      <vt:lpstr>UUTs</vt:lpstr>
      <vt:lpstr>Software Validation</vt:lpstr>
      <vt:lpstr>A2LA</vt:lpstr>
      <vt:lpstr>Blank</vt:lpstr>
      <vt:lpstr>Comments</vt:lpstr>
      <vt:lpstr>CommentsAF</vt:lpstr>
      <vt:lpstr>Condition</vt:lpstr>
      <vt:lpstr>Locator</vt:lpstr>
      <vt:lpstr>'CERT AF'!Print_Area</vt:lpstr>
      <vt:lpstr>'CERT AL'!Print_Area</vt:lpstr>
      <vt:lpstr>Worksheet!Print_Area</vt:lpstr>
      <vt:lpstr>Results</vt:lpstr>
      <vt:lpstr>ResultsAF</vt:lpstr>
      <vt:lpstr>Scales</vt:lpstr>
      <vt:lpstr>yesno</vt:lpstr>
      <vt:lpstr>yesno2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Ed</dc:creator>
  <cp:keywords/>
  <dc:description/>
  <cp:lastModifiedBy>Jeff Hall</cp:lastModifiedBy>
  <cp:revision/>
  <cp:lastPrinted>2024-10-09T19:16:09Z</cp:lastPrinted>
  <dcterms:created xsi:type="dcterms:W3CDTF">2014-01-02T17:50:22Z</dcterms:created>
  <dcterms:modified xsi:type="dcterms:W3CDTF">2024-11-27T21:23:45Z</dcterms:modified>
  <cp:category/>
  <cp:contentStatus/>
</cp:coreProperties>
</file>