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kso\Downloads\"/>
    </mc:Choice>
  </mc:AlternateContent>
  <xr:revisionPtr revIDLastSave="0" documentId="13_ncr:1_{41F632E8-72B5-40E0-B27A-DAA145D4EE09}" xr6:coauthVersionLast="47" xr6:coauthVersionMax="47" xr10:uidLastSave="{00000000-0000-0000-0000-000000000000}"/>
  <bookViews>
    <workbookView xWindow="-38520" yWindow="-3435" windowWidth="38640" windowHeight="21120" tabRatio="1000" activeTab="2" xr2:uid="{A3D98D75-DE0B-41F5-9F54-A0FC7E615FB3}"/>
  </bookViews>
  <sheets>
    <sheet name="Cover" sheetId="14" r:id="rId1"/>
    <sheet name="Scenarios" sheetId="11" r:id="rId2"/>
    <sheet name="Assumptions" sheetId="12" r:id="rId3"/>
    <sheet name="Forecast&gt;" sheetId="15" r:id="rId4"/>
    <sheet name="Financial Statements" sheetId="3" r:id="rId5"/>
    <sheet name="Schedules&gt;" sheetId="16" r:id="rId6"/>
    <sheet name="Revenue" sheetId="1" r:id="rId7"/>
    <sheet name="Costs" sheetId="2" r:id="rId8"/>
    <sheet name="Depreciation" sheetId="6" r:id="rId9"/>
    <sheet name="Taxes" sheetId="7" r:id="rId10"/>
    <sheet name="Working Capital" sheetId="8" r:id="rId11"/>
    <sheet name="Debt and Interest" sheetId="9" r:id="rId12"/>
    <sheet name="Equity" sheetId="10" r:id="rId13"/>
  </sheets>
  <definedNames>
    <definedName name="err_tol">Assumptions!$J$14</definedName>
    <definedName name="err_toll">Assumptions!$I$14</definedName>
    <definedName name="Forecast.start">Assumptions!$I$12</definedName>
    <definedName name="j14\">Assumptions!$J$14</definedName>
    <definedName name="scn_cell">Scenarios!$R$1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3" l="1" a="1"/>
  <c r="K19" i="3" s="1"/>
  <c r="N22" i="2"/>
  <c r="O22" i="2" s="1"/>
  <c r="P22" i="2" s="1"/>
  <c r="Q22" i="2" s="1"/>
  <c r="R22" i="2" s="1"/>
  <c r="N21" i="2"/>
  <c r="O21" i="2" s="1"/>
  <c r="P21" i="2" s="1"/>
  <c r="Q21" i="2" s="1"/>
  <c r="R21" i="2" s="1"/>
  <c r="N20" i="2"/>
  <c r="O20" i="2" s="1"/>
  <c r="P20" i="2" s="1"/>
  <c r="Q20" i="2" s="1"/>
  <c r="R20" i="2" s="1"/>
  <c r="O27" i="1"/>
  <c r="P27" i="1"/>
  <c r="Q27" i="1"/>
  <c r="R27" i="1" s="1"/>
  <c r="N27" i="1"/>
  <c r="R26" i="1"/>
  <c r="L70" i="3" l="1"/>
  <c r="M70" i="3"/>
  <c r="N70" i="3" s="1"/>
  <c r="O70" i="3" s="1"/>
  <c r="P70" i="3" s="1"/>
  <c r="Q70" i="3" s="1"/>
  <c r="R70" i="3" s="1"/>
  <c r="K70" i="3"/>
  <c r="K18" i="10" a="1"/>
  <c r="K18" i="10" s="1"/>
  <c r="K25" i="9" a="1"/>
  <c r="K25" i="9" s="1"/>
  <c r="K24" i="9" a="1"/>
  <c r="K24" i="9" s="1"/>
  <c r="K23" i="9" a="1"/>
  <c r="K23" i="9" s="1"/>
  <c r="R18" i="6"/>
  <c r="N17" i="6"/>
  <c r="K20" i="6" a="1"/>
  <c r="K20" i="6" s="1"/>
  <c r="K13" i="1" a="1"/>
  <c r="K13" i="1" s="1"/>
  <c r="N23" i="9" l="1" a="1"/>
  <c r="N23" i="9" s="1"/>
  <c r="N38" i="9" l="1" a="1"/>
  <c r="N38" i="9" s="1"/>
  <c r="N28" i="9"/>
  <c r="R87" i="3"/>
  <c r="L122" i="12" l="1"/>
  <c r="M122" i="12"/>
  <c r="N122" i="12"/>
  <c r="O122" i="12"/>
  <c r="P122" i="12"/>
  <c r="Q122" i="12"/>
  <c r="R122" i="12"/>
  <c r="K122" i="12"/>
  <c r="R1" i="3" l="1"/>
  <c r="K5" i="12"/>
  <c r="K25" i="10" l="1" a="1"/>
  <c r="K25" i="10" s="1"/>
  <c r="K24" i="10" a="1"/>
  <c r="K24" i="10" s="1"/>
  <c r="I16" i="10"/>
  <c r="N13" i="10" a="1"/>
  <c r="N13" i="10" s="1"/>
  <c r="K51" i="3" s="1" a="1"/>
  <c r="K51" i="3" s="1"/>
  <c r="K14" i="10" a="1"/>
  <c r="K13" i="10" a="1"/>
  <c r="K13" i="10" s="1"/>
  <c r="K45" i="9" a="1"/>
  <c r="K45" i="9" s="1"/>
  <c r="N37" i="9"/>
  <c r="N39" i="9" s="1"/>
  <c r="O37" i="9" s="1"/>
  <c r="O39" i="9" s="1"/>
  <c r="P37" i="9" s="1"/>
  <c r="P39" i="9" s="1"/>
  <c r="Q37" i="9" s="1"/>
  <c r="Q39" i="9" s="1"/>
  <c r="R37" i="9" s="1"/>
  <c r="R39" i="9" s="1"/>
  <c r="K39" i="9" a="1"/>
  <c r="K39" i="9" s="1"/>
  <c r="K38" i="9" a="1"/>
  <c r="K38" i="9" s="1"/>
  <c r="K50" i="3" s="1" a="1"/>
  <c r="K50" i="3" s="1"/>
  <c r="I41" i="9"/>
  <c r="I32" i="9"/>
  <c r="K30" i="9" a="1"/>
  <c r="K29" i="9" a="1"/>
  <c r="K29" i="9" s="1"/>
  <c r="N24" i="9" a="1"/>
  <c r="N24" i="9" s="1"/>
  <c r="I16" i="9"/>
  <c r="K34" i="8" a="1"/>
  <c r="K34" i="8" s="1"/>
  <c r="K30" i="8" a="1"/>
  <c r="K30" i="8" s="1"/>
  <c r="K26" i="8" a="1"/>
  <c r="K26" i="8" s="1"/>
  <c r="K32" i="8" s="1"/>
  <c r="N18" i="8" a="1"/>
  <c r="N18" i="8" s="1"/>
  <c r="K18" i="7" a="1"/>
  <c r="K18" i="7" s="1"/>
  <c r="K20" i="7" s="1"/>
  <c r="I17" i="7"/>
  <c r="R19" i="7" s="1"/>
  <c r="N13" i="7" a="1"/>
  <c r="N13" i="7" s="1"/>
  <c r="K19" i="6" a="1"/>
  <c r="K19" i="6" s="1"/>
  <c r="K30" i="2" a="1"/>
  <c r="K30" i="2" s="1"/>
  <c r="K26" i="2" a="1"/>
  <c r="K26" i="2" s="1"/>
  <c r="K27" i="1" a="1"/>
  <c r="R1" i="7"/>
  <c r="R1" i="6"/>
  <c r="R1" i="2"/>
  <c r="R1" i="1"/>
  <c r="N14" i="6" a="1"/>
  <c r="N14" i="6" s="1"/>
  <c r="I12" i="6"/>
  <c r="M30" i="2"/>
  <c r="N29" i="2" a="1"/>
  <c r="N29" i="2" s="1"/>
  <c r="K20" i="2" a="1"/>
  <c r="K20" i="2" s="1"/>
  <c r="M20" i="2" a="1"/>
  <c r="M20" i="2" s="1"/>
  <c r="P42" i="9" l="1"/>
  <c r="L20" i="7"/>
  <c r="M20" i="7"/>
  <c r="N19" i="6"/>
  <c r="K82" i="3" a="1"/>
  <c r="K82" i="3" s="1"/>
  <c r="R42" i="9"/>
  <c r="Q42" i="9"/>
  <c r="Q19" i="7"/>
  <c r="K14" i="10"/>
  <c r="K87" i="3" s="1"/>
  <c r="L87" i="3"/>
  <c r="M87" i="3"/>
  <c r="N18" i="6"/>
  <c r="N20" i="6" s="1"/>
  <c r="O17" i="6" s="1"/>
  <c r="O19" i="7"/>
  <c r="P19" i="7"/>
  <c r="K30" i="9"/>
  <c r="N12" i="10"/>
  <c r="N14" i="10" s="1"/>
  <c r="K27" i="1"/>
  <c r="M32" i="8"/>
  <c r="N42" i="9"/>
  <c r="L32" i="8"/>
  <c r="O42" i="9"/>
  <c r="N22" i="10"/>
  <c r="N19" i="7"/>
  <c r="K14" i="2" a="1"/>
  <c r="K26" i="1" a="1"/>
  <c r="I22" i="1"/>
  <c r="K19" i="1" a="1"/>
  <c r="K19" i="1" s="1"/>
  <c r="R6" i="10" a="1"/>
  <c r="R6" i="10" s="1"/>
  <c r="R7" i="10" s="1"/>
  <c r="Q6" i="10" a="1"/>
  <c r="Q6" i="10" s="1"/>
  <c r="Q7" i="10" s="1"/>
  <c r="P6" i="10" a="1"/>
  <c r="P6" i="10" s="1"/>
  <c r="P7" i="10" s="1"/>
  <c r="O6" i="10"/>
  <c r="O7" i="10" s="1"/>
  <c r="O6" i="10" a="1"/>
  <c r="N6" i="10" a="1"/>
  <c r="N6" i="10" s="1"/>
  <c r="N7" i="10" s="1"/>
  <c r="M6" i="10" a="1"/>
  <c r="M6" i="10" s="1"/>
  <c r="M7" i="10" s="1"/>
  <c r="L6" i="10" a="1"/>
  <c r="L6" i="10" s="1"/>
  <c r="L7" i="10" s="1"/>
  <c r="K6" i="10" a="1"/>
  <c r="K6" i="10" s="1"/>
  <c r="K7" i="10" s="1"/>
  <c r="R6" i="9" a="1"/>
  <c r="R6" i="9" s="1"/>
  <c r="R7" i="9" s="1"/>
  <c r="Q6" i="9" a="1"/>
  <c r="Q6" i="9" s="1"/>
  <c r="Q7" i="9" s="1"/>
  <c r="P6" i="9" a="1"/>
  <c r="P6" i="9" s="1"/>
  <c r="P7" i="9" s="1"/>
  <c r="O6" i="9" a="1"/>
  <c r="O6" i="9" s="1"/>
  <c r="O7" i="9" s="1"/>
  <c r="N6" i="9" a="1"/>
  <c r="N6" i="9" s="1"/>
  <c r="N7" i="9" s="1"/>
  <c r="M6" i="9" a="1"/>
  <c r="M6" i="9" s="1"/>
  <c r="M7" i="9" s="1"/>
  <c r="L6" i="9" a="1"/>
  <c r="L6" i="9" s="1"/>
  <c r="L7" i="9" s="1"/>
  <c r="K6" i="9" a="1"/>
  <c r="K6" i="9" s="1"/>
  <c r="K7" i="9" s="1"/>
  <c r="R6" i="8" a="1"/>
  <c r="R6" i="8" s="1"/>
  <c r="R7" i="8" s="1"/>
  <c r="Q6" i="8" a="1"/>
  <c r="Q6" i="8" s="1"/>
  <c r="Q7" i="8" s="1"/>
  <c r="P6" i="8" a="1"/>
  <c r="P6" i="8" s="1"/>
  <c r="P7" i="8" s="1"/>
  <c r="O6" i="8" a="1"/>
  <c r="O6" i="8" s="1"/>
  <c r="O7" i="8" s="1"/>
  <c r="N6" i="8" a="1"/>
  <c r="N6" i="8" s="1"/>
  <c r="N7" i="8" s="1"/>
  <c r="M6" i="8" a="1"/>
  <c r="M6" i="8" s="1"/>
  <c r="M7" i="8" s="1"/>
  <c r="L6" i="8" a="1"/>
  <c r="L6" i="8" s="1"/>
  <c r="L7" i="8" s="1"/>
  <c r="K6" i="8" a="1"/>
  <c r="K6" i="8" s="1"/>
  <c r="K7" i="8" s="1"/>
  <c r="R6" i="7" a="1"/>
  <c r="R6" i="7" s="1"/>
  <c r="R7" i="7" s="1"/>
  <c r="Q6" i="7" a="1"/>
  <c r="Q6" i="7" s="1"/>
  <c r="Q7" i="7" s="1"/>
  <c r="P6" i="7" a="1"/>
  <c r="P6" i="7" s="1"/>
  <c r="P7" i="7" s="1"/>
  <c r="O6" i="7" a="1"/>
  <c r="O6" i="7" s="1"/>
  <c r="O7" i="7" s="1"/>
  <c r="N6" i="7" a="1"/>
  <c r="N6" i="7" s="1"/>
  <c r="N7" i="7" s="1"/>
  <c r="M6" i="7" a="1"/>
  <c r="M6" i="7" s="1"/>
  <c r="M7" i="7" s="1"/>
  <c r="L6" i="7" a="1"/>
  <c r="L6" i="7" s="1"/>
  <c r="L7" i="7" s="1"/>
  <c r="K6" i="7" a="1"/>
  <c r="K6" i="7" s="1"/>
  <c r="K7" i="7" s="1"/>
  <c r="R6" i="6" a="1"/>
  <c r="R6" i="6" s="1"/>
  <c r="R7" i="6" s="1"/>
  <c r="Q6" i="6" a="1"/>
  <c r="Q6" i="6" s="1"/>
  <c r="Q7" i="6" s="1"/>
  <c r="P6" i="6" a="1"/>
  <c r="P6" i="6" s="1"/>
  <c r="P7" i="6" s="1"/>
  <c r="O6" i="6" a="1"/>
  <c r="O6" i="6" s="1"/>
  <c r="O7" i="6" s="1"/>
  <c r="N6" i="6" a="1"/>
  <c r="N6" i="6" s="1"/>
  <c r="N7" i="6" s="1"/>
  <c r="M6" i="6" a="1"/>
  <c r="M6" i="6" s="1"/>
  <c r="M7" i="6" s="1"/>
  <c r="L6" i="6" a="1"/>
  <c r="L6" i="6" s="1"/>
  <c r="L7" i="6" s="1"/>
  <c r="K6" i="6" a="1"/>
  <c r="K6" i="6" s="1"/>
  <c r="K7" i="6" s="1"/>
  <c r="R6" i="2" a="1"/>
  <c r="R6" i="2" s="1"/>
  <c r="R7" i="2" s="1"/>
  <c r="Q6" i="2" a="1"/>
  <c r="Q6" i="2" s="1"/>
  <c r="Q7" i="2" s="1"/>
  <c r="P6" i="2" a="1"/>
  <c r="P6" i="2" s="1"/>
  <c r="P7" i="2" s="1"/>
  <c r="O6" i="2" a="1"/>
  <c r="O6" i="2" s="1"/>
  <c r="O7" i="2" s="1"/>
  <c r="N6" i="2" a="1"/>
  <c r="N6" i="2" s="1"/>
  <c r="N7" i="2" s="1"/>
  <c r="M6" i="2" a="1"/>
  <c r="M6" i="2" s="1"/>
  <c r="M7" i="2" s="1"/>
  <c r="L6" i="2" a="1"/>
  <c r="L6" i="2" s="1"/>
  <c r="L7" i="2" s="1"/>
  <c r="K6" i="2" a="1"/>
  <c r="K6" i="2" s="1"/>
  <c r="K7" i="2" s="1"/>
  <c r="R6" i="1" a="1"/>
  <c r="R6" i="1" s="1"/>
  <c r="R7" i="1" s="1"/>
  <c r="Q6" i="1" a="1"/>
  <c r="Q6" i="1" s="1"/>
  <c r="Q7" i="1" s="1"/>
  <c r="P6" i="1" a="1"/>
  <c r="P6" i="1" s="1"/>
  <c r="P7" i="1" s="1"/>
  <c r="O6" i="1" a="1"/>
  <c r="O6" i="1" s="1"/>
  <c r="O7" i="1" s="1"/>
  <c r="N6" i="1" a="1"/>
  <c r="N6" i="1" s="1"/>
  <c r="N7" i="1" s="1"/>
  <c r="M6" i="1" a="1"/>
  <c r="M6" i="1" s="1"/>
  <c r="M7" i="1" s="1"/>
  <c r="L6" i="1" a="1"/>
  <c r="L6" i="1" s="1"/>
  <c r="L7" i="1" s="1"/>
  <c r="K6" i="1" a="1"/>
  <c r="K6" i="1" s="1"/>
  <c r="K7" i="1" s="1"/>
  <c r="R5" i="3" a="1"/>
  <c r="R5" i="3" s="1"/>
  <c r="R6" i="3" s="1"/>
  <c r="Q5" i="3" a="1"/>
  <c r="Q5" i="3" s="1"/>
  <c r="Q6" i="3" s="1"/>
  <c r="P5" i="3" a="1"/>
  <c r="P5" i="3" s="1"/>
  <c r="P6" i="3" s="1"/>
  <c r="O5" i="3" a="1"/>
  <c r="O5" i="3" s="1"/>
  <c r="N5" i="3" a="1"/>
  <c r="N5" i="3" s="1"/>
  <c r="M5" i="3" a="1"/>
  <c r="M5" i="3" s="1"/>
  <c r="L5" i="3" a="1"/>
  <c r="L5" i="3" s="1"/>
  <c r="K5" i="3" a="1"/>
  <c r="K5" i="3" s="1"/>
  <c r="R5" i="12" a="1"/>
  <c r="R5" i="12" s="1"/>
  <c r="R6" i="12" s="1"/>
  <c r="Q5" i="12" a="1"/>
  <c r="Q5" i="12" s="1"/>
  <c r="Q6" i="12" s="1"/>
  <c r="P5" i="12" a="1"/>
  <c r="P5" i="12" s="1"/>
  <c r="P6" i="12" s="1"/>
  <c r="O5" i="12"/>
  <c r="O6" i="12" s="1"/>
  <c r="O5" i="12" a="1"/>
  <c r="N5" i="12" a="1"/>
  <c r="N5" i="12" s="1"/>
  <c r="N6" i="12" s="1"/>
  <c r="M5" i="12" a="1"/>
  <c r="M5" i="12" s="1"/>
  <c r="M6" i="12" s="1"/>
  <c r="L5" i="12" a="1"/>
  <c r="L5" i="12" s="1"/>
  <c r="L6" i="12" s="1"/>
  <c r="K6" i="12"/>
  <c r="L6" i="11" a="1"/>
  <c r="L6" i="11" s="1"/>
  <c r="L7" i="11" s="1"/>
  <c r="M6" i="11" a="1"/>
  <c r="M6" i="11" s="1"/>
  <c r="M7" i="11" s="1"/>
  <c r="N6" i="11" a="1"/>
  <c r="N6" i="11" s="1"/>
  <c r="N7" i="11" s="1"/>
  <c r="O6" i="11" a="1"/>
  <c r="O6" i="11" s="1"/>
  <c r="O7" i="11" s="1"/>
  <c r="P6" i="11" a="1"/>
  <c r="P6" i="11" s="1"/>
  <c r="P7" i="11" s="1"/>
  <c r="Q6" i="11" a="1"/>
  <c r="Q6" i="11" s="1"/>
  <c r="Q7" i="11" s="1"/>
  <c r="R6" i="11" a="1"/>
  <c r="R6" i="11" s="1"/>
  <c r="R7" i="11" s="1"/>
  <c r="K6" i="11" a="1"/>
  <c r="K6" i="11" s="1"/>
  <c r="K7" i="11" s="1"/>
  <c r="J29" i="11"/>
  <c r="B3" i="11"/>
  <c r="O12" i="10" l="1"/>
  <c r="O14" i="10" s="1"/>
  <c r="N87" i="3"/>
  <c r="K44" i="3" a="1"/>
  <c r="K44" i="3" s="1"/>
  <c r="K26" i="1"/>
  <c r="K28" i="1" s="1"/>
  <c r="M28" i="1"/>
  <c r="L28" i="1"/>
  <c r="M56" i="3"/>
  <c r="M69" i="3"/>
  <c r="K69" i="3"/>
  <c r="K56" i="3"/>
  <c r="L69" i="3"/>
  <c r="O6" i="3"/>
  <c r="N6" i="3"/>
  <c r="K6" i="3"/>
  <c r="M6" i="3"/>
  <c r="L6" i="3"/>
  <c r="L56" i="3"/>
  <c r="O18" i="6"/>
  <c r="O19" i="6"/>
  <c r="K14" i="2"/>
  <c r="K16" i="2" s="1"/>
  <c r="L16" i="2"/>
  <c r="M16" i="2"/>
  <c r="P12" i="10" l="1"/>
  <c r="P14" i="10" s="1"/>
  <c r="O87" i="3"/>
  <c r="O20" i="6"/>
  <c r="P17" i="6" s="1"/>
  <c r="P19" i="6" s="1"/>
  <c r="K71" i="3"/>
  <c r="L71" i="3"/>
  <c r="M71" i="3"/>
  <c r="P18" i="6" l="1"/>
  <c r="P20" i="6"/>
  <c r="Q17" i="6" s="1"/>
  <c r="Q12" i="10"/>
  <c r="Q14" i="10" s="1"/>
  <c r="P87" i="3"/>
  <c r="Q18" i="6"/>
  <c r="Q19" i="6"/>
  <c r="Q20" i="6" l="1"/>
  <c r="R17" i="6" s="1"/>
  <c r="R12" i="10"/>
  <c r="R14" i="10" s="1"/>
  <c r="Q87" i="3"/>
  <c r="K43" i="3" l="1" a="1"/>
  <c r="R19" i="6"/>
  <c r="K22" i="3" s="1" a="1"/>
  <c r="K22" i="3" s="1"/>
  <c r="K37" i="3" s="1" a="1"/>
  <c r="K37" i="3" s="1"/>
  <c r="R20" i="6" l="1"/>
  <c r="K43" i="3"/>
  <c r="K45" i="3" s="1"/>
  <c r="Q45" i="3"/>
  <c r="O45" i="3"/>
  <c r="R45" i="3"/>
  <c r="M45" i="3"/>
  <c r="P45" i="3"/>
  <c r="L45" i="3"/>
  <c r="N45" i="3"/>
  <c r="R10" i="11"/>
  <c r="O10" i="11"/>
  <c r="P10" i="11"/>
  <c r="Q10" i="11"/>
  <c r="N10" i="11"/>
  <c r="K22" i="9" l="1" a="1"/>
  <c r="K22" i="9" s="1"/>
  <c r="N12" i="2" a="1"/>
  <c r="N12" i="2" s="1"/>
  <c r="N69" i="3"/>
  <c r="N14" i="1" a="1"/>
  <c r="N14" i="1" s="1"/>
  <c r="N15" i="1" s="1"/>
  <c r="M28" i="11"/>
  <c r="N15" i="2" l="1"/>
  <c r="O15" i="2" s="1"/>
  <c r="P15" i="2" s="1"/>
  <c r="Q15" i="2" s="1"/>
  <c r="R15" i="2" s="1"/>
  <c r="N14" i="2"/>
  <c r="O14" i="2" s="1"/>
  <c r="P14" i="2" s="1"/>
  <c r="Q14" i="2" s="1"/>
  <c r="R14" i="2" s="1"/>
  <c r="O69" i="3"/>
  <c r="N71" i="3"/>
  <c r="O15" i="1"/>
  <c r="H91" i="12"/>
  <c r="H92" i="12"/>
  <c r="H90" i="12"/>
  <c r="N12" i="11" s="1" a="1"/>
  <c r="N12" i="11" s="1"/>
  <c r="N20" i="1" s="1" a="1"/>
  <c r="N20" i="1" s="1"/>
  <c r="H82" i="12"/>
  <c r="H83" i="12"/>
  <c r="H81" i="12"/>
  <c r="N11" i="11" s="1" a="1"/>
  <c r="N11" i="11" s="1"/>
  <c r="N12" i="1" s="1" a="1"/>
  <c r="N12" i="1" s="1"/>
  <c r="A2" i="12"/>
  <c r="N13" i="1" l="1"/>
  <c r="O13" i="1" s="1"/>
  <c r="P13" i="1" s="1"/>
  <c r="Q13" i="1" s="1"/>
  <c r="R13" i="1" s="1"/>
  <c r="N21" i="1"/>
  <c r="N22" i="1" s="1"/>
  <c r="O21" i="1"/>
  <c r="P69" i="3"/>
  <c r="O71" i="3"/>
  <c r="P15" i="1"/>
  <c r="N23" i="2" l="1"/>
  <c r="N16" i="2"/>
  <c r="N26" i="1"/>
  <c r="O22" i="1"/>
  <c r="P21" i="1"/>
  <c r="N13" i="2"/>
  <c r="N18" i="2" s="1"/>
  <c r="N23" i="1"/>
  <c r="Q69" i="3"/>
  <c r="P71" i="3"/>
  <c r="Q15" i="1"/>
  <c r="O16" i="2" l="1"/>
  <c r="P22" i="1"/>
  <c r="N26" i="2"/>
  <c r="O23" i="2"/>
  <c r="N28" i="1"/>
  <c r="N30" i="2"/>
  <c r="O13" i="2"/>
  <c r="O23" i="1"/>
  <c r="O26" i="1"/>
  <c r="P16" i="2"/>
  <c r="Q21" i="1"/>
  <c r="R69" i="3"/>
  <c r="R71" i="3" s="1"/>
  <c r="Q71" i="3"/>
  <c r="R15" i="1"/>
  <c r="O18" i="2" l="1"/>
  <c r="O26" i="2" s="1"/>
  <c r="Q16" i="2"/>
  <c r="Q22" i="1"/>
  <c r="P23" i="2"/>
  <c r="O28" i="1"/>
  <c r="O30" i="2"/>
  <c r="P13" i="2"/>
  <c r="P18" i="2" s="1"/>
  <c r="P23" i="1"/>
  <c r="P26" i="1"/>
  <c r="R21" i="1"/>
  <c r="R16" i="2"/>
  <c r="Q23" i="2"/>
  <c r="A2" i="10"/>
  <c r="A2" i="9"/>
  <c r="A2" i="8"/>
  <c r="A2" i="7"/>
  <c r="A2" i="6"/>
  <c r="A2" i="3"/>
  <c r="A2" i="2"/>
  <c r="A2" i="1"/>
  <c r="P26" i="2" l="1"/>
  <c r="R22" i="1"/>
  <c r="R28" i="1" s="1"/>
  <c r="P28" i="1"/>
  <c r="P30" i="2"/>
  <c r="R23" i="1"/>
  <c r="Q13" i="2"/>
  <c r="Q18" i="2" s="1"/>
  <c r="Q26" i="2" s="1"/>
  <c r="Q23" i="1"/>
  <c r="Q26" i="1"/>
  <c r="K11" i="3" s="1" a="1"/>
  <c r="K11" i="3" s="1"/>
  <c r="R23" i="2"/>
  <c r="K11" i="8" a="1"/>
  <c r="K11" i="8" s="1"/>
  <c r="C22" i="2"/>
  <c r="C21" i="2"/>
  <c r="C15" i="2"/>
  <c r="C14" i="2"/>
  <c r="R13" i="2" l="1"/>
  <c r="R18" i="2" s="1"/>
  <c r="R26" i="2" s="1"/>
  <c r="R30" i="2"/>
  <c r="Q28" i="1"/>
  <c r="K12" i="3" s="1" a="1"/>
  <c r="Q30" i="2"/>
  <c r="K16" i="3" s="1" a="1"/>
  <c r="K15" i="3" a="1"/>
  <c r="K15" i="3" s="1"/>
  <c r="K15" i="8" l="1" a="1"/>
  <c r="K16" i="3"/>
  <c r="K17" i="3" s="1"/>
  <c r="K20" i="3" s="1"/>
  <c r="L17" i="3"/>
  <c r="L20" i="3" s="1"/>
  <c r="L23" i="3" s="1"/>
  <c r="R17" i="3"/>
  <c r="R20" i="3" s="1"/>
  <c r="R23" i="3" s="1"/>
  <c r="Q17" i="3"/>
  <c r="Q20" i="3" s="1"/>
  <c r="Q23" i="3" s="1"/>
  <c r="P17" i="3"/>
  <c r="P20" i="3" s="1"/>
  <c r="P23" i="3" s="1"/>
  <c r="N17" i="3"/>
  <c r="N20" i="3" s="1"/>
  <c r="N23" i="3" s="1"/>
  <c r="O17" i="3"/>
  <c r="O20" i="3" s="1"/>
  <c r="O23" i="3" s="1"/>
  <c r="M17" i="3"/>
  <c r="M20" i="3" s="1"/>
  <c r="M23" i="3" s="1"/>
  <c r="K14" i="8" a="1"/>
  <c r="K12" i="3"/>
  <c r="K15" i="11" a="1"/>
  <c r="O30" i="8" l="1"/>
  <c r="L20" i="8"/>
  <c r="M19" i="8"/>
  <c r="L21" i="8"/>
  <c r="L19" i="8"/>
  <c r="M21" i="8"/>
  <c r="M23" i="8"/>
  <c r="M22" i="8"/>
  <c r="L23" i="8"/>
  <c r="L22" i="8"/>
  <c r="M20" i="8"/>
  <c r="K14" i="8"/>
  <c r="K18" i="8" s="1"/>
  <c r="M18" i="8"/>
  <c r="L18" i="8"/>
  <c r="O31" i="8"/>
  <c r="Q27" i="8"/>
  <c r="N27" i="8"/>
  <c r="Q28" i="8"/>
  <c r="R30" i="8"/>
  <c r="N28" i="8"/>
  <c r="R27" i="8"/>
  <c r="O27" i="8"/>
  <c r="R28" i="8"/>
  <c r="N31" i="8"/>
  <c r="P29" i="8"/>
  <c r="N29" i="8"/>
  <c r="P31" i="8"/>
  <c r="N30" i="8"/>
  <c r="Q29" i="8"/>
  <c r="R29" i="8"/>
  <c r="P27" i="8"/>
  <c r="Q31" i="8"/>
  <c r="O29" i="8"/>
  <c r="Q30" i="8"/>
  <c r="P28" i="8"/>
  <c r="P30" i="8"/>
  <c r="O28" i="8"/>
  <c r="K15" i="8"/>
  <c r="R31" i="8"/>
  <c r="Q26" i="8"/>
  <c r="P26" i="8"/>
  <c r="O26" i="8"/>
  <c r="R26" i="8"/>
  <c r="N26" i="8"/>
  <c r="K15" i="11"/>
  <c r="L16" i="11" s="1"/>
  <c r="M16" i="11"/>
  <c r="P16" i="11"/>
  <c r="Q16" i="11"/>
  <c r="R16" i="11"/>
  <c r="O16" i="11"/>
  <c r="N16" i="11"/>
  <c r="K18" i="11" a="1"/>
  <c r="K23" i="3"/>
  <c r="K19" i="8" l="1"/>
  <c r="K23" i="8"/>
  <c r="K22" i="8"/>
  <c r="K20" i="8"/>
  <c r="K21" i="8"/>
  <c r="K77" i="3" a="1"/>
  <c r="K77" i="3" s="1"/>
  <c r="N32" i="8"/>
  <c r="N34" i="8" s="1"/>
  <c r="K78" i="3" a="1"/>
  <c r="K78" i="3" s="1"/>
  <c r="R32" i="8"/>
  <c r="P32" i="8"/>
  <c r="O32" i="8"/>
  <c r="Q32" i="8"/>
  <c r="K63" i="3" a="1"/>
  <c r="K63" i="3" s="1"/>
  <c r="K18" i="11"/>
  <c r="K19" i="11" s="1"/>
  <c r="R20" i="11"/>
  <c r="Q20" i="11"/>
  <c r="L19" i="11"/>
  <c r="M19" i="11"/>
  <c r="N19" i="11"/>
  <c r="M20" i="11"/>
  <c r="Q19" i="11"/>
  <c r="N20" i="11"/>
  <c r="R19" i="11"/>
  <c r="O20" i="11"/>
  <c r="P20" i="11"/>
  <c r="O19" i="11"/>
  <c r="P19" i="11"/>
  <c r="P34" i="8" l="1"/>
  <c r="O34" i="8"/>
  <c r="R34" i="8"/>
  <c r="Q34" i="8"/>
  <c r="L20" i="11"/>
  <c r="K39" i="3" l="1" a="1"/>
  <c r="K39" i="3" s="1"/>
  <c r="K81" i="3" l="1"/>
  <c r="L81" i="3"/>
  <c r="M81" i="3"/>
  <c r="K83" i="3"/>
  <c r="L83" i="3"/>
  <c r="M83" i="3"/>
  <c r="K12" i="9" a="1"/>
  <c r="K12" i="9"/>
  <c r="K17" i="9"/>
  <c r="L17" i="9"/>
  <c r="M17" i="9"/>
  <c r="N17" i="9"/>
  <c r="O17" i="9"/>
  <c r="P17" i="9"/>
  <c r="Q17" i="9"/>
  <c r="R17" i="9"/>
  <c r="K21" i="9" a="1"/>
  <c r="K21" i="9"/>
  <c r="N25" i="9" a="1"/>
  <c r="N25" i="9"/>
  <c r="K26" i="9"/>
  <c r="L26" i="9"/>
  <c r="M26" i="9"/>
  <c r="N26" i="9"/>
  <c r="O26" i="9"/>
  <c r="P26" i="9"/>
  <c r="Q26" i="9"/>
  <c r="R26" i="9"/>
  <c r="O28" i="9"/>
  <c r="P28" i="9"/>
  <c r="Q28" i="9"/>
  <c r="R28" i="9"/>
  <c r="N29" i="9"/>
  <c r="O29" i="9"/>
  <c r="P29" i="9"/>
  <c r="Q29" i="9"/>
  <c r="R29" i="9"/>
  <c r="N30" i="9"/>
  <c r="O30" i="9"/>
  <c r="P30" i="9"/>
  <c r="Q30" i="9"/>
  <c r="R30" i="9"/>
  <c r="N33" i="9"/>
  <c r="O33" i="9"/>
  <c r="P33" i="9"/>
  <c r="Q33" i="9"/>
  <c r="R33" i="9"/>
  <c r="N45" i="9"/>
  <c r="O45" i="9"/>
  <c r="P45" i="9"/>
  <c r="Q45" i="9"/>
  <c r="R45" i="9"/>
  <c r="N17" i="10" a="1"/>
  <c r="N17" i="10"/>
  <c r="N18" i="10"/>
  <c r="O18" i="10"/>
  <c r="P18" i="10"/>
  <c r="Q18" i="10"/>
  <c r="R18" i="10"/>
  <c r="O22" i="10"/>
  <c r="P22" i="10"/>
  <c r="Q22" i="10"/>
  <c r="R22" i="10"/>
  <c r="N23" i="10" a="1"/>
  <c r="N23" i="10"/>
  <c r="N24" i="10"/>
  <c r="O24" i="10"/>
  <c r="P24" i="10"/>
  <c r="Q24" i="10"/>
  <c r="R24" i="10"/>
  <c r="N25" i="10"/>
  <c r="O25" i="10"/>
  <c r="P25" i="10"/>
  <c r="Q25" i="10"/>
  <c r="R25" i="10"/>
  <c r="K25" i="3" a="1"/>
  <c r="K25" i="3"/>
  <c r="K26" i="3"/>
  <c r="L26" i="3"/>
  <c r="M26" i="3"/>
  <c r="N26" i="3"/>
  <c r="O26" i="3"/>
  <c r="P26" i="3"/>
  <c r="Q26" i="3"/>
  <c r="R26" i="3"/>
  <c r="K28" i="3" a="1"/>
  <c r="K28" i="3"/>
  <c r="K30" i="3"/>
  <c r="L30" i="3"/>
  <c r="M30" i="3"/>
  <c r="N30" i="3"/>
  <c r="O30" i="3"/>
  <c r="P30" i="3"/>
  <c r="Q30" i="3"/>
  <c r="R30" i="3"/>
  <c r="K32" i="3"/>
  <c r="L32" i="3"/>
  <c r="M32" i="3"/>
  <c r="N32" i="3"/>
  <c r="O32" i="3"/>
  <c r="P32" i="3"/>
  <c r="Q32" i="3"/>
  <c r="R32" i="3"/>
  <c r="K36" i="3" a="1"/>
  <c r="K36" i="3"/>
  <c r="K38" i="3" a="1"/>
  <c r="K38" i="3"/>
  <c r="K40" i="3"/>
  <c r="L40" i="3"/>
  <c r="M40" i="3"/>
  <c r="N40" i="3"/>
  <c r="O40" i="3"/>
  <c r="P40" i="3"/>
  <c r="Q40" i="3"/>
  <c r="R40" i="3"/>
  <c r="K49" i="3" a="1"/>
  <c r="K49" i="3"/>
  <c r="K52" i="3" a="1"/>
  <c r="K52" i="3"/>
  <c r="K53" i="3"/>
  <c r="L53" i="3"/>
  <c r="M53" i="3"/>
  <c r="N53" i="3"/>
  <c r="O53" i="3"/>
  <c r="P53" i="3"/>
  <c r="Q53" i="3"/>
  <c r="R53" i="3"/>
  <c r="N56" i="3"/>
  <c r="O56" i="3"/>
  <c r="P56" i="3"/>
  <c r="Q56" i="3"/>
  <c r="R56" i="3"/>
  <c r="K57" i="3"/>
  <c r="L57" i="3"/>
  <c r="M57" i="3"/>
  <c r="N57" i="3"/>
  <c r="O57" i="3"/>
  <c r="P57" i="3"/>
  <c r="Q57" i="3"/>
  <c r="R57" i="3"/>
  <c r="K58" i="3"/>
  <c r="L58" i="3"/>
  <c r="M58" i="3"/>
  <c r="N58" i="3"/>
  <c r="O58" i="3"/>
  <c r="P58" i="3"/>
  <c r="Q58" i="3"/>
  <c r="R58" i="3"/>
  <c r="K62" i="3"/>
  <c r="L62" i="3"/>
  <c r="M62" i="3"/>
  <c r="N62" i="3"/>
  <c r="O62" i="3"/>
  <c r="P62" i="3"/>
  <c r="Q62" i="3"/>
  <c r="R62" i="3"/>
  <c r="K67" i="3"/>
  <c r="L67" i="3"/>
  <c r="M67" i="3"/>
  <c r="N67" i="3"/>
  <c r="O67" i="3"/>
  <c r="P67" i="3"/>
  <c r="Q67" i="3"/>
  <c r="R67" i="3"/>
  <c r="K73" i="3"/>
  <c r="L73" i="3"/>
  <c r="M73" i="3"/>
  <c r="N73" i="3"/>
  <c r="O73" i="3"/>
  <c r="P73" i="3"/>
  <c r="Q73" i="3"/>
  <c r="R73" i="3"/>
  <c r="K76" i="3" a="1"/>
  <c r="K76" i="3"/>
  <c r="K79" i="3"/>
  <c r="L79" i="3"/>
  <c r="M79" i="3"/>
  <c r="N79" i="3"/>
  <c r="O79" i="3"/>
  <c r="P79" i="3"/>
  <c r="Q79" i="3"/>
  <c r="R79" i="3"/>
  <c r="N81" i="3"/>
  <c r="O81" i="3"/>
  <c r="P81" i="3"/>
  <c r="Q81" i="3"/>
  <c r="R81" i="3"/>
  <c r="N83" i="3"/>
  <c r="O83" i="3"/>
  <c r="P83" i="3"/>
  <c r="Q83" i="3"/>
  <c r="R83" i="3"/>
  <c r="K85" i="3"/>
  <c r="L85" i="3"/>
  <c r="M85" i="3"/>
  <c r="N85" i="3"/>
  <c r="O85" i="3"/>
  <c r="P85" i="3"/>
  <c r="Q85" i="3"/>
  <c r="R85" i="3"/>
  <c r="K88" i="3" a="1"/>
  <c r="K88" i="3"/>
  <c r="K89" i="3"/>
  <c r="L89" i="3"/>
  <c r="M89" i="3"/>
  <c r="N89" i="3"/>
  <c r="O89" i="3"/>
  <c r="P89" i="3"/>
  <c r="Q89" i="3"/>
  <c r="R89" i="3"/>
  <c r="K91" i="3"/>
  <c r="L91" i="3"/>
  <c r="M91" i="3"/>
  <c r="N91" i="3"/>
  <c r="O91" i="3"/>
  <c r="P91" i="3"/>
  <c r="Q91" i="3"/>
  <c r="R91" i="3"/>
  <c r="K93" i="3"/>
  <c r="L93" i="3"/>
  <c r="M93" i="3"/>
  <c r="N93" i="3"/>
  <c r="O93" i="3"/>
  <c r="P93" i="3"/>
  <c r="Q93" i="3"/>
  <c r="R93" i="3"/>
  <c r="K22" i="11" a="1"/>
  <c r="K22" i="11"/>
  <c r="K23" i="11"/>
  <c r="L23" i="11"/>
  <c r="M23" i="11"/>
  <c r="N23" i="11"/>
  <c r="O23" i="11"/>
  <c r="P23" i="11"/>
  <c r="Q23" i="11"/>
  <c r="R23" i="11"/>
  <c r="L24" i="11"/>
  <c r="M24" i="11"/>
  <c r="N24" i="11"/>
  <c r="O24" i="11"/>
  <c r="P24" i="11"/>
  <c r="Q24" i="11"/>
  <c r="R24" i="11"/>
  <c r="N12" i="7" a="1"/>
  <c r="N12" i="7"/>
  <c r="N14" i="7"/>
  <c r="O14" i="7"/>
  <c r="P14" i="7"/>
  <c r="Q14" i="7"/>
  <c r="R14" i="7"/>
  <c r="N18" i="7"/>
  <c r="O18" i="7"/>
  <c r="P18" i="7"/>
  <c r="Q18" i="7"/>
  <c r="R18" i="7"/>
  <c r="N20" i="7"/>
  <c r="O20" i="7"/>
  <c r="P20" i="7"/>
  <c r="Q20" i="7"/>
  <c r="R20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<sst xmlns="http://schemas.openxmlformats.org/spreadsheetml/2006/main" count="561" uniqueCount="184">
  <si>
    <t>Income Statement Items</t>
  </si>
  <si>
    <t>Net Revenue</t>
  </si>
  <si>
    <t>EBITDA</t>
  </si>
  <si>
    <t>Net Income</t>
  </si>
  <si>
    <t>Sales Volume Growth</t>
  </si>
  <si>
    <t>First year of forecast in financial model:</t>
  </si>
  <si>
    <t>Base Case</t>
  </si>
  <si>
    <t>Best Case</t>
  </si>
  <si>
    <t>Worst Case</t>
  </si>
  <si>
    <t>Raw Materials</t>
  </si>
  <si>
    <t>Utilities</t>
  </si>
  <si>
    <t>Rent</t>
  </si>
  <si>
    <t>Operating Labour</t>
  </si>
  <si>
    <t>Other</t>
  </si>
  <si>
    <t>SG&amp;A</t>
  </si>
  <si>
    <t>Income Statement</t>
  </si>
  <si>
    <t>Cost Adjustments - Gain/(Loss)</t>
  </si>
  <si>
    <t>Cash Flow Statement</t>
  </si>
  <si>
    <t>Investing Activities - Other</t>
  </si>
  <si>
    <t>Reduction in EBT for timing differences</t>
  </si>
  <si>
    <t>Working Capital Days</t>
  </si>
  <si>
    <t>Accounts Receivable</t>
  </si>
  <si>
    <t>days</t>
  </si>
  <si>
    <t>Inventories</t>
  </si>
  <si>
    <t>Prepaid Expenses</t>
  </si>
  <si>
    <t>Other Assets</t>
  </si>
  <si>
    <t>Accounts Payable</t>
  </si>
  <si>
    <t>Other Liabilities</t>
  </si>
  <si>
    <t>Common Stock Issuance / (Buy-back)</t>
  </si>
  <si>
    <t>Sales Volume</t>
  </si>
  <si>
    <t>Revenue</t>
  </si>
  <si>
    <t>Gross Revenue</t>
  </si>
  <si>
    <t>Freight &amp; Warehousing</t>
  </si>
  <si>
    <t>Cost of Sales</t>
  </si>
  <si>
    <t>S,G &amp; A</t>
  </si>
  <si>
    <t>Total Costs</t>
  </si>
  <si>
    <t>Depreciation</t>
  </si>
  <si>
    <t>EBIT</t>
  </si>
  <si>
    <t>Interest Expense</t>
  </si>
  <si>
    <t>EBT</t>
  </si>
  <si>
    <t>Current Income Taxes</t>
  </si>
  <si>
    <t>Deferred Income Taxes</t>
  </si>
  <si>
    <t>Total Income Taxes</t>
  </si>
  <si>
    <t>Operating Activities</t>
  </si>
  <si>
    <t>Depreciation &amp; Amortization</t>
  </si>
  <si>
    <t>Changes in working capital</t>
  </si>
  <si>
    <t>Operating Cash Flow</t>
  </si>
  <si>
    <t>Investing Activities</t>
  </si>
  <si>
    <t>CAPEX</t>
  </si>
  <si>
    <t>Investing Cash Flow</t>
  </si>
  <si>
    <t>Financing Activities</t>
  </si>
  <si>
    <t>Revolver Issuance / (Repayment)</t>
  </si>
  <si>
    <t>Term Debt Issuance / (Repayment)</t>
  </si>
  <si>
    <t>Common Shares Issuance/ (Buy-Back)</t>
  </si>
  <si>
    <t>Common Dividends</t>
  </si>
  <si>
    <t>Financing Cash Flow</t>
  </si>
  <si>
    <t>Beginning Cash</t>
  </si>
  <si>
    <t>Ending Cash</t>
  </si>
  <si>
    <t>Balance Sheet</t>
  </si>
  <si>
    <t>Cash</t>
  </si>
  <si>
    <t>Inventory</t>
  </si>
  <si>
    <t>Total Current Assets</t>
  </si>
  <si>
    <t>Net PP&amp;E</t>
  </si>
  <si>
    <t>Total Long Term Assets</t>
  </si>
  <si>
    <t>Total Assets</t>
  </si>
  <si>
    <t>Bank Debt - Revolver</t>
  </si>
  <si>
    <t>Total Current Liabilities</t>
  </si>
  <si>
    <t>Senior Secured Term Debt</t>
  </si>
  <si>
    <t>Total Long Term Liabilities</t>
  </si>
  <si>
    <t>Total Liabilities</t>
  </si>
  <si>
    <t>Common Shares</t>
  </si>
  <si>
    <t>Retained Earnings</t>
  </si>
  <si>
    <t>Shareholder's Equity</t>
  </si>
  <si>
    <t>Total Liabilities and Equity</t>
  </si>
  <si>
    <t>Pricing</t>
  </si>
  <si>
    <t>Annual Factory Capacity</t>
  </si>
  <si>
    <t>Annual Sales Volume</t>
  </si>
  <si>
    <t>Implied Operating Rate</t>
  </si>
  <si>
    <t>Variable Costs</t>
  </si>
  <si>
    <t>Total Variable Costs</t>
  </si>
  <si>
    <t>Fixed Costs</t>
  </si>
  <si>
    <t>Total Fixed Costs</t>
  </si>
  <si>
    <t>Tax Rate</t>
  </si>
  <si>
    <t>Government EBT</t>
  </si>
  <si>
    <t>Increase (Decrease) in Deferred Income Taxes</t>
  </si>
  <si>
    <t>Days In</t>
  </si>
  <si>
    <t>Account Balances</t>
  </si>
  <si>
    <t>Net Working Capital</t>
  </si>
  <si>
    <t>Change in Working Capital</t>
  </si>
  <si>
    <t>Amount Outstanding - Beginning</t>
  </si>
  <si>
    <t>Change in Cash</t>
  </si>
  <si>
    <t>Amount Outstanding - Ending</t>
  </si>
  <si>
    <t>Interest Rate</t>
  </si>
  <si>
    <t>Annual Interest Income</t>
  </si>
  <si>
    <t>Revolver</t>
  </si>
  <si>
    <t>Dividends</t>
  </si>
  <si>
    <t>FCF After Mandatory Debt Repayment and Dividend</t>
  </si>
  <si>
    <t>Revolver Outstanding - Beginning</t>
  </si>
  <si>
    <t>Additions / (Repayments)</t>
  </si>
  <si>
    <t>Revolver Outstanding - Ending</t>
  </si>
  <si>
    <t>Annual Interest Expense</t>
  </si>
  <si>
    <t>Net Interest Expense</t>
  </si>
  <si>
    <t>New Issuance / (Buy-Back)</t>
  </si>
  <si>
    <t>Dividend Payout Rate</t>
  </si>
  <si>
    <t>Common Dividend</t>
  </si>
  <si>
    <t>Values in $ millions</t>
  </si>
  <si>
    <t>Units</t>
  </si>
  <si>
    <t>Notes</t>
  </si>
  <si>
    <t>Income Statement - Actuals</t>
  </si>
  <si>
    <t>Cash Flow Statement - Actuals</t>
  </si>
  <si>
    <t>Balance Sheet - Actuals</t>
  </si>
  <si>
    <t>Assets</t>
  </si>
  <si>
    <t>Liabilities and Equity</t>
  </si>
  <si>
    <t>General Inputs</t>
  </si>
  <si>
    <t>Sales</t>
  </si>
  <si>
    <t>Inflation</t>
  </si>
  <si>
    <t>Inflation Index</t>
  </si>
  <si>
    <t>Price</t>
  </si>
  <si>
    <t xml:space="preserve">Gross Price </t>
  </si>
  <si>
    <t>$/unit</t>
  </si>
  <si>
    <t>Volume</t>
  </si>
  <si>
    <t>Factory Capacity</t>
  </si>
  <si>
    <t>Constant</t>
  </si>
  <si>
    <t>%</t>
  </si>
  <si>
    <t>Operating Cost</t>
  </si>
  <si>
    <t>$/Unit</t>
  </si>
  <si>
    <t>$</t>
  </si>
  <si>
    <t>Not in Millions</t>
  </si>
  <si>
    <t>Capital Expenditure and Depreciation</t>
  </si>
  <si>
    <t>Working Capital</t>
  </si>
  <si>
    <t>Days in a Year</t>
  </si>
  <si>
    <t>Tax</t>
  </si>
  <si>
    <t>Rate</t>
  </si>
  <si>
    <t>Reduction in EBT for Timing Difference</t>
  </si>
  <si>
    <t>Debt</t>
  </si>
  <si>
    <t>Equity</t>
  </si>
  <si>
    <t>New Shares</t>
  </si>
  <si>
    <t>Bank Revolver</t>
  </si>
  <si>
    <t>Cash Balances</t>
  </si>
  <si>
    <t>Interest Income</t>
  </si>
  <si>
    <t>Current Taxes</t>
  </si>
  <si>
    <t>Changes in Working Capital</t>
  </si>
  <si>
    <t>Total Term Debt Issuance / (Repayment)</t>
  </si>
  <si>
    <t>Change in Cash Position</t>
  </si>
  <si>
    <t>Cash and Equivalents</t>
  </si>
  <si>
    <t>units</t>
  </si>
  <si>
    <t>X</t>
  </si>
  <si>
    <t>Total Cost of Sale</t>
  </si>
  <si>
    <t>Operating Costs</t>
  </si>
  <si>
    <t>End</t>
  </si>
  <si>
    <t>Accounting EBT</t>
  </si>
  <si>
    <t>Current Tax</t>
  </si>
  <si>
    <t>Total Income Taxes (Accounting Taxes)</t>
  </si>
  <si>
    <t>Days in a year</t>
  </si>
  <si>
    <t>Error tolerance</t>
  </si>
  <si>
    <t>Gross Price Growth</t>
  </si>
  <si>
    <t>SG&amp;A/Gross Revenue</t>
  </si>
  <si>
    <t xml:space="preserve">Depreciation </t>
  </si>
  <si>
    <r>
      <t>Depreciation</t>
    </r>
    <r>
      <rPr>
        <vertAlign val="subscript"/>
        <sz val="10"/>
        <rFont val="Calibri"/>
        <family val="2"/>
      </rPr>
      <t>n</t>
    </r>
    <r>
      <rPr>
        <sz val="10"/>
        <rFont val="Calibri"/>
        <family val="2"/>
      </rPr>
      <t>/Net PP&amp;E</t>
    </r>
    <r>
      <rPr>
        <vertAlign val="subscript"/>
        <sz val="10"/>
        <rFont val="Calibri"/>
        <family val="2"/>
      </rPr>
      <t>n-1</t>
    </r>
  </si>
  <si>
    <t>Capital Expenditures</t>
  </si>
  <si>
    <r>
      <t>CAPEX</t>
    </r>
    <r>
      <rPr>
        <vertAlign val="subscript"/>
        <sz val="10"/>
        <rFont val="Calibri"/>
        <family val="2"/>
      </rPr>
      <t>n</t>
    </r>
    <r>
      <rPr>
        <sz val="10"/>
        <rFont val="Calibri"/>
        <family val="2"/>
      </rPr>
      <t>/Net PP&amp;E</t>
    </r>
    <r>
      <rPr>
        <vertAlign val="subscript"/>
        <sz val="10"/>
        <rFont val="Calibri"/>
        <family val="2"/>
      </rPr>
      <t>n-1</t>
    </r>
  </si>
  <si>
    <t>Net PP&amp;E, Capital Expenditure and Depreciation</t>
  </si>
  <si>
    <t>Depreciation and CAPEX</t>
  </si>
  <si>
    <t>Net Property, Plant and Equipment</t>
  </si>
  <si>
    <t>Net PP&amp;E - Beginning</t>
  </si>
  <si>
    <t>Net PP&amp;E - Ending</t>
  </si>
  <si>
    <t>Debt Issue/(Repayments)</t>
  </si>
  <si>
    <t>Business Case</t>
  </si>
  <si>
    <t>v</t>
  </si>
  <si>
    <t>scenario switch</t>
  </si>
  <si>
    <t>inflation</t>
  </si>
  <si>
    <t>Gross price growth</t>
  </si>
  <si>
    <t xml:space="preserve">Sales Volume growth </t>
  </si>
  <si>
    <t>Net Revnue</t>
  </si>
  <si>
    <t>Growth</t>
  </si>
  <si>
    <t>Margin</t>
  </si>
  <si>
    <t>Year</t>
  </si>
  <si>
    <t>Actual</t>
  </si>
  <si>
    <t>Forecast</t>
  </si>
  <si>
    <t>2024 to be inflated</t>
  </si>
  <si>
    <t>Check</t>
  </si>
  <si>
    <t>Sales Volume Index</t>
  </si>
  <si>
    <t>Financial Modeling</t>
  </si>
  <si>
    <t>XYZ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</si>
</sst>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%"/>
    <numFmt numFmtId="166" formatCode="_(* #,##0.0_);_(* \(#,##0.0\);_(* &quot;-&quot;??_);_(@_)"/>
    <numFmt numFmtId="167" formatCode="_(* #,##0_);_(* \(#,##0\);_(* &quot;-&quot;??_);_(@_)"/>
    <numFmt numFmtId="168" formatCode="#,##0.0_);\(#,##0.0\)"/>
    <numFmt numFmtId="169" formatCode="#,##0.000_);\(#,##0.000\)"/>
    <numFmt numFmtId="170" formatCode="0_);\(0\)"/>
    <numFmt numFmtId="171" formatCode="#,##0.0"/>
    <numFmt numFmtId="172" formatCode="#,##0_);\(#,##0\);\-_)"/>
    <numFmt numFmtId="173" formatCode="#,##0.00_);\(#,##0.00\);\-_)"/>
    <numFmt numFmtId="174" formatCode="_-* #,##0.0_-;\-* #,##0.0_-;_-* &quot;-&quot;?_-;_-@_-"/>
    <numFmt numFmtId="175" formatCode="0.0"/>
    <numFmt numFmtId="176" formatCode="0.000"/>
    <numFmt numFmtId="177" formatCode="#,##0.0000000"/>
  </numFmts>
  <fonts count="68" x14ac:knownFonts="1">
    <font>
      <sz val="10"/>
      <color theme="1"/>
      <name val="Calibri"/>
      <family val="2"/>
    </font>
    <font>
      <sz val="10"/>
      <color rgb="FFFF0000"/>
      <name val="Calibri"/>
      <family val="2"/>
      <scheme val="minor"/>
    </font>
    <font>
      <sz val="10"/>
      <color rgb="FF0000FF"/>
      <name val="Calibri"/>
      <family val="2"/>
    </font>
    <font>
      <sz val="10"/>
      <color theme="1" tint="0.24994659260841701"/>
      <name val="Calibri"/>
      <family val="2"/>
    </font>
    <font>
      <sz val="10"/>
      <color theme="1"/>
      <name val="Calibri"/>
      <family val="2"/>
    </font>
    <font>
      <sz val="10"/>
      <name val="Times New Roman"/>
      <family val="1"/>
    </font>
    <font>
      <sz val="9"/>
      <name val="Times New Roman"/>
      <family val="1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Calibri"/>
      <family val="2"/>
    </font>
    <font>
      <b/>
      <sz val="18"/>
      <color indexed="8"/>
      <name val="Calibri"/>
      <family val="2"/>
    </font>
    <font>
      <b/>
      <sz val="16"/>
      <color indexed="8"/>
      <name val="Calibri"/>
      <family val="2"/>
    </font>
    <font>
      <b/>
      <sz val="9"/>
      <color indexed="12"/>
      <name val="Calibri"/>
      <family val="2"/>
    </font>
    <font>
      <b/>
      <sz val="20"/>
      <name val="Calibri"/>
      <family val="2"/>
    </font>
    <font>
      <b/>
      <sz val="8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i/>
      <sz val="10"/>
      <name val="Calibri"/>
      <family val="2"/>
    </font>
    <font>
      <b/>
      <sz val="10"/>
      <name val="Calibri"/>
      <family val="2"/>
    </font>
    <font>
      <b/>
      <u/>
      <sz val="10"/>
      <name val="Calibri"/>
      <family val="2"/>
    </font>
    <font>
      <sz val="10"/>
      <color indexed="8"/>
      <name val="Calibri"/>
      <family val="2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b/>
      <sz val="18"/>
      <name val="Calibri"/>
      <family val="2"/>
    </font>
    <font>
      <sz val="8"/>
      <name val="Calibri"/>
      <family val="2"/>
    </font>
    <font>
      <sz val="8"/>
      <color indexed="12"/>
      <name val="Calibri"/>
      <family val="2"/>
    </font>
    <font>
      <b/>
      <sz val="18"/>
      <color indexed="12"/>
      <name val="Calibri"/>
      <family val="2"/>
    </font>
    <font>
      <sz val="10"/>
      <color indexed="9"/>
      <name val="Calibri"/>
      <family val="2"/>
    </font>
    <font>
      <sz val="12"/>
      <name val="Calibri"/>
      <family val="2"/>
    </font>
    <font>
      <b/>
      <sz val="12"/>
      <color rgb="FF002060"/>
      <name val="Calibri"/>
      <family val="2"/>
    </font>
    <font>
      <b/>
      <sz val="10"/>
      <color theme="8" tint="-0.249977111117893"/>
      <name val="Calibri"/>
      <family val="2"/>
    </font>
    <font>
      <i/>
      <sz val="8"/>
      <color theme="0" tint="-0.499984740745262"/>
      <name val="Arial"/>
      <family val="2"/>
    </font>
    <font>
      <i/>
      <sz val="8"/>
      <color indexed="23"/>
      <name val="Arial"/>
      <family val="2"/>
    </font>
    <font>
      <i/>
      <sz val="8"/>
      <color theme="0" tint="-0.249977111117893"/>
      <name val="Calibri"/>
      <family val="2"/>
    </font>
    <font>
      <b/>
      <sz val="10"/>
      <color rgb="FF002060"/>
      <name val="Calibri"/>
      <family val="2"/>
    </font>
    <font>
      <b/>
      <sz val="12"/>
      <color rgb="FF00457C"/>
      <name val="Arial"/>
      <family val="2"/>
    </font>
    <font>
      <b/>
      <sz val="12"/>
      <color theme="8" tint="-0.249977111117893"/>
      <name val="Calibri"/>
      <family val="2"/>
    </font>
    <font>
      <b/>
      <sz val="11"/>
      <color theme="8" tint="-0.249977111117893"/>
      <name val="Calibri"/>
      <family val="2"/>
    </font>
    <font>
      <sz val="11"/>
      <name val="Calibri"/>
      <family val="2"/>
    </font>
    <font>
      <b/>
      <sz val="11"/>
      <color rgb="FF002060"/>
      <name val="Calibri"/>
      <family val="2"/>
    </font>
    <font>
      <b/>
      <i/>
      <sz val="8"/>
      <color indexed="23"/>
      <name val="Arial"/>
      <family val="2"/>
    </font>
    <font>
      <b/>
      <sz val="11"/>
      <color rgb="FF3DA8D5"/>
      <name val="Arial"/>
      <family val="2"/>
    </font>
    <font>
      <b/>
      <sz val="10"/>
      <color theme="1"/>
      <name val="Calibri"/>
      <family val="2"/>
    </font>
    <font>
      <sz val="10"/>
      <color theme="1" tint="0.499984740745262"/>
      <name val="Calibri"/>
      <family val="2"/>
    </font>
    <font>
      <b/>
      <sz val="8"/>
      <color theme="1" tint="0.499984740745262"/>
      <name val="Calibri"/>
      <family val="2"/>
    </font>
    <font>
      <b/>
      <i/>
      <sz val="8"/>
      <color theme="0" tint="-0.499984740745262"/>
      <name val="Arial"/>
      <family val="2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8"/>
      <color rgb="FF808080"/>
      <name val="Calibri Light"/>
      <family val="2"/>
      <scheme val="major"/>
    </font>
    <font>
      <sz val="10"/>
      <color indexed="12"/>
      <name val="Calibri Light"/>
      <family val="2"/>
      <scheme val="major"/>
    </font>
    <font>
      <sz val="8"/>
      <name val="Calibri Light"/>
      <family val="2"/>
      <scheme val="major"/>
    </font>
    <font>
      <sz val="8"/>
      <color theme="1" tint="0.499984740745262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8"/>
      <color indexed="23"/>
      <name val="Calibri Light"/>
      <family val="2"/>
      <scheme val="major"/>
    </font>
    <font>
      <sz val="12"/>
      <color theme="0" tint="-0.499984740745262"/>
      <name val="Calibri Light"/>
      <family val="2"/>
      <scheme val="major"/>
    </font>
    <font>
      <sz val="8"/>
      <color theme="0" tint="-0.499984740745262"/>
      <name val="Calibri Light"/>
      <family val="2"/>
      <scheme val="major"/>
    </font>
    <font>
      <sz val="8"/>
      <color rgb="FF002060"/>
      <name val="Calibri Light"/>
      <family val="2"/>
      <scheme val="major"/>
    </font>
    <font>
      <sz val="8"/>
      <color rgb="FF808080"/>
      <name val="Calibri"/>
      <family val="2"/>
    </font>
    <font>
      <sz val="8"/>
      <color indexed="8"/>
      <name val="Calibri Light"/>
      <family val="2"/>
      <scheme val="major"/>
    </font>
    <font>
      <vertAlign val="subscript"/>
      <sz val="10"/>
      <name val="Calibri"/>
      <family val="2"/>
    </font>
    <font>
      <b/>
      <sz val="8"/>
      <color indexed="23"/>
      <name val="Calibri Light"/>
      <family val="2"/>
      <scheme val="major"/>
    </font>
    <font>
      <sz val="28"/>
      <color theme="1"/>
      <name val="Calibri"/>
      <family val="2"/>
    </font>
    <font>
      <sz val="48"/>
      <color theme="1"/>
      <name val="Calibri"/>
      <family val="2"/>
    </font>
    <font>
      <sz val="22"/>
      <color theme="1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8F9FC"/>
        <bgColor indexed="64"/>
      </patternFill>
    </fill>
    <fill>
      <patternFill patternType="solid">
        <fgColor rgb="FFFFFFE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/>
      <top/>
      <bottom style="thick">
        <color rgb="FF00457C"/>
      </bottom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0" fontId="1" fillId="2" borderId="1" applyNumberFormat="0" applyFill="0" applyBorder="0" applyAlignment="0" applyProtection="0"/>
    <xf numFmtId="0" fontId="2" fillId="2" borderId="1" applyNumberFormat="0" applyFill="0" applyBorder="0" applyAlignment="0" applyProtection="0"/>
    <xf numFmtId="0" fontId="3" fillId="2" borderId="1" applyNumberFormat="0" applyAlignment="0" applyProtection="0"/>
    <xf numFmtId="0" fontId="3" fillId="3" borderId="1" applyNumberFormat="0" applyAlignment="0" applyProtection="0"/>
    <xf numFmtId="0" fontId="3" fillId="0" borderId="0" applyNumberFormat="0" applyProtection="0"/>
    <xf numFmtId="0" fontId="3" fillId="4" borderId="1" applyAlignment="0" applyProtection="0"/>
    <xf numFmtId="164" fontId="4" fillId="0" borderId="0" applyFont="0" applyFill="0" applyBorder="0" applyAlignment="0" applyProtection="0"/>
    <xf numFmtId="0" fontId="7" fillId="0" borderId="0"/>
    <xf numFmtId="0" fontId="5" fillId="0" borderId="0"/>
    <xf numFmtId="0" fontId="8" fillId="0" borderId="0"/>
    <xf numFmtId="0" fontId="35" fillId="0" borderId="5" applyNumberFormat="0" applyAlignment="0" applyProtection="0"/>
    <xf numFmtId="0" fontId="41" fillId="0" borderId="0" applyNumberFormat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6" fillId="5" borderId="0" applyNumberFormat="0" applyBorder="0" applyAlignment="0" applyProtection="0"/>
  </cellStyleXfs>
  <cellXfs count="202">
    <xf numFmtId="0" fontId="0" fillId="0" borderId="0" xfId="0"/>
    <xf numFmtId="0" fontId="5" fillId="0" borderId="0" xfId="0" applyFont="1"/>
    <xf numFmtId="0" fontId="6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 applyAlignment="1">
      <alignment horizontal="centerContinuous"/>
    </xf>
    <xf numFmtId="0" fontId="11" fillId="0" borderId="0" xfId="0" applyFont="1" applyAlignment="1">
      <alignment horizontal="centerContinuous"/>
    </xf>
    <xf numFmtId="0" fontId="12" fillId="0" borderId="0" xfId="0" applyFont="1" applyAlignment="1">
      <alignment horizontal="centerContinuous"/>
    </xf>
    <xf numFmtId="0" fontId="13" fillId="0" borderId="0" xfId="0" applyFont="1" applyAlignment="1">
      <alignment horizontal="centerContinuous"/>
    </xf>
    <xf numFmtId="0" fontId="14" fillId="0" borderId="0" xfId="0" applyFont="1" applyAlignment="1">
      <alignment horizontal="right" vertical="center"/>
    </xf>
    <xf numFmtId="0" fontId="17" fillId="0" borderId="0" xfId="0" quotePrefix="1" applyFont="1"/>
    <xf numFmtId="0" fontId="16" fillId="0" borderId="0" xfId="0" applyFont="1"/>
    <xf numFmtId="0" fontId="18" fillId="0" borderId="0" xfId="0" applyFont="1"/>
    <xf numFmtId="0" fontId="15" fillId="0" borderId="0" xfId="0" applyFont="1"/>
    <xf numFmtId="0" fontId="9" fillId="0" borderId="2" xfId="0" applyFont="1" applyBorder="1"/>
    <xf numFmtId="0" fontId="23" fillId="0" borderId="0" xfId="0" applyFont="1" applyAlignment="1">
      <alignment horizontal="centerContinuous"/>
    </xf>
    <xf numFmtId="0" fontId="9" fillId="0" borderId="0" xfId="0" applyFont="1" applyAlignment="1">
      <alignment horizontal="centerContinuous"/>
    </xf>
    <xf numFmtId="0" fontId="9" fillId="0" borderId="0" xfId="0" applyFont="1" applyAlignment="1">
      <alignment horizontal="left"/>
    </xf>
    <xf numFmtId="0" fontId="24" fillId="0" borderId="0" xfId="0" applyFont="1"/>
    <xf numFmtId="37" fontId="21" fillId="0" borderId="0" xfId="7" applyNumberFormat="1" applyFont="1" applyBorder="1" applyProtection="1"/>
    <xf numFmtId="37" fontId="21" fillId="0" borderId="0" xfId="7" applyNumberFormat="1" applyFont="1" applyFill="1" applyBorder="1" applyProtection="1"/>
    <xf numFmtId="37" fontId="9" fillId="0" borderId="0" xfId="7" applyNumberFormat="1" applyFont="1" applyBorder="1" applyProtection="1"/>
    <xf numFmtId="37" fontId="9" fillId="0" borderId="0" xfId="7" applyNumberFormat="1" applyFont="1" applyProtection="1"/>
    <xf numFmtId="0" fontId="18" fillId="0" borderId="0" xfId="0" applyFont="1" applyAlignment="1">
      <alignment horizontal="left"/>
    </xf>
    <xf numFmtId="37" fontId="18" fillId="0" borderId="0" xfId="7" applyNumberFormat="1" applyFont="1" applyBorder="1" applyProtection="1"/>
    <xf numFmtId="169" fontId="25" fillId="0" borderId="0" xfId="7" applyNumberFormat="1" applyFont="1" applyBorder="1" applyProtection="1"/>
    <xf numFmtId="37" fontId="9" fillId="0" borderId="0" xfId="7" applyNumberFormat="1" applyFont="1" applyFill="1" applyBorder="1" applyProtection="1"/>
    <xf numFmtId="37" fontId="9" fillId="0" borderId="0" xfId="7" applyNumberFormat="1" applyFont="1" applyFill="1" applyProtection="1"/>
    <xf numFmtId="0" fontId="9" fillId="0" borderId="0" xfId="0" quotePrefix="1" applyFont="1" applyAlignment="1">
      <alignment horizontal="left"/>
    </xf>
    <xf numFmtId="0" fontId="23" fillId="0" borderId="0" xfId="0" applyFont="1" applyAlignment="1">
      <alignment horizontal="left"/>
    </xf>
    <xf numFmtId="0" fontId="16" fillId="0" borderId="0" xfId="0" applyFont="1" applyAlignment="1">
      <alignment horizontal="centerContinuous"/>
    </xf>
    <xf numFmtId="0" fontId="18" fillId="0" borderId="0" xfId="0" applyFont="1" applyAlignment="1">
      <alignment horizontal="centerContinuous"/>
    </xf>
    <xf numFmtId="0" fontId="19" fillId="0" borderId="0" xfId="0" applyFont="1"/>
    <xf numFmtId="165" fontId="9" fillId="0" borderId="0" xfId="0" applyNumberFormat="1" applyFont="1"/>
    <xf numFmtId="37" fontId="21" fillId="0" borderId="0" xfId="0" applyNumberFormat="1" applyFont="1"/>
    <xf numFmtId="0" fontId="21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centerContinuous"/>
    </xf>
    <xf numFmtId="0" fontId="27" fillId="0" borderId="0" xfId="0" applyFont="1"/>
    <xf numFmtId="37" fontId="21" fillId="0" borderId="0" xfId="0" applyNumberFormat="1" applyFont="1" applyAlignment="1">
      <alignment horizontal="right"/>
    </xf>
    <xf numFmtId="0" fontId="9" fillId="0" borderId="0" xfId="8" applyFont="1"/>
    <xf numFmtId="0" fontId="9" fillId="0" borderId="0" xfId="9" applyFont="1"/>
    <xf numFmtId="0" fontId="17" fillId="0" borderId="0" xfId="9" quotePrefix="1" applyFont="1" applyAlignment="1">
      <alignment horizontal="left"/>
    </xf>
    <xf numFmtId="0" fontId="17" fillId="0" borderId="0" xfId="9" quotePrefix="1" applyFont="1" applyAlignment="1">
      <alignment horizontal="center"/>
    </xf>
    <xf numFmtId="0" fontId="18" fillId="0" borderId="0" xfId="9" applyFont="1"/>
    <xf numFmtId="168" fontId="4" fillId="0" borderId="0" xfId="0" applyNumberFormat="1" applyFont="1"/>
    <xf numFmtId="165" fontId="3" fillId="3" borderId="1" xfId="4" quotePrefix="1" applyNumberFormat="1" applyAlignment="1">
      <alignment horizontal="right"/>
    </xf>
    <xf numFmtId="0" fontId="3" fillId="3" borderId="1" xfId="4" applyAlignment="1">
      <alignment horizontal="center"/>
    </xf>
    <xf numFmtId="37" fontId="22" fillId="0" borderId="0" xfId="0" applyNumberFormat="1" applyFont="1"/>
    <xf numFmtId="4" fontId="9" fillId="0" borderId="0" xfId="7" applyNumberFormat="1" applyFont="1" applyFill="1" applyBorder="1" applyProtection="1"/>
    <xf numFmtId="4" fontId="9" fillId="0" borderId="0" xfId="0" applyNumberFormat="1" applyFont="1"/>
    <xf numFmtId="4" fontId="9" fillId="0" borderId="0" xfId="7" applyNumberFormat="1" applyFont="1" applyFill="1" applyBorder="1" applyAlignment="1" applyProtection="1">
      <alignment horizontal="left"/>
    </xf>
    <xf numFmtId="4" fontId="18" fillId="0" borderId="0" xfId="7" applyNumberFormat="1" applyFont="1" applyFill="1" applyBorder="1" applyProtection="1"/>
    <xf numFmtId="165" fontId="3" fillId="3" borderId="1" xfId="4" applyNumberFormat="1"/>
    <xf numFmtId="0" fontId="18" fillId="0" borderId="0" xfId="9" applyFont="1" applyAlignment="1">
      <alignment horizontal="centerContinuous"/>
    </xf>
    <xf numFmtId="0" fontId="30" fillId="0" borderId="0" xfId="9" applyFont="1" applyAlignment="1">
      <alignment horizontal="left"/>
    </xf>
    <xf numFmtId="39" fontId="21" fillId="0" borderId="0" xfId="0" applyNumberFormat="1" applyFont="1" applyAlignment="1">
      <alignment horizontal="right"/>
    </xf>
    <xf numFmtId="0" fontId="9" fillId="0" borderId="3" xfId="9" applyFont="1" applyBorder="1"/>
    <xf numFmtId="0" fontId="29" fillId="0" borderId="3" xfId="9" applyFont="1" applyBorder="1" applyAlignment="1">
      <alignment horizontal="left"/>
    </xf>
    <xf numFmtId="0" fontId="18" fillId="0" borderId="3" xfId="9" applyFont="1" applyBorder="1" applyAlignment="1">
      <alignment horizontal="centerContinuous"/>
    </xf>
    <xf numFmtId="0" fontId="9" fillId="0" borderId="3" xfId="0" applyFont="1" applyBorder="1"/>
    <xf numFmtId="0" fontId="18" fillId="0" borderId="3" xfId="0" applyFont="1" applyBorder="1" applyAlignment="1">
      <alignment horizontal="centerContinuous"/>
    </xf>
    <xf numFmtId="0" fontId="4" fillId="0" borderId="3" xfId="0" applyFont="1" applyBorder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4" xfId="0" applyFont="1" applyBorder="1"/>
    <xf numFmtId="37" fontId="34" fillId="0" borderId="4" xfId="0" applyNumberFormat="1" applyFont="1" applyBorder="1" applyAlignment="1">
      <alignment horizontal="right"/>
    </xf>
    <xf numFmtId="39" fontId="34" fillId="0" borderId="4" xfId="0" applyNumberFormat="1" applyFont="1" applyBorder="1" applyAlignment="1">
      <alignment horizontal="right"/>
    </xf>
    <xf numFmtId="37" fontId="3" fillId="3" borderId="1" xfId="4" applyNumberFormat="1" applyProtection="1">
      <protection locked="0"/>
    </xf>
    <xf numFmtId="173" fontId="0" fillId="0" borderId="0" xfId="0" applyNumberFormat="1"/>
    <xf numFmtId="173" fontId="35" fillId="0" borderId="5" xfId="11" applyNumberFormat="1"/>
    <xf numFmtId="0" fontId="36" fillId="0" borderId="0" xfId="9" applyFont="1" applyAlignment="1">
      <alignment horizontal="left"/>
    </xf>
    <xf numFmtId="0" fontId="28" fillId="0" borderId="0" xfId="0" applyFont="1"/>
    <xf numFmtId="0" fontId="29" fillId="0" borderId="4" xfId="0" applyFont="1" applyBorder="1"/>
    <xf numFmtId="0" fontId="37" fillId="0" borderId="0" xfId="9" applyFont="1" applyAlignment="1">
      <alignment horizontal="left"/>
    </xf>
    <xf numFmtId="0" fontId="38" fillId="0" borderId="0" xfId="0" applyFont="1"/>
    <xf numFmtId="0" fontId="39" fillId="0" borderId="4" xfId="0" applyFont="1" applyBorder="1"/>
    <xf numFmtId="173" fontId="32" fillId="0" borderId="0" xfId="0" applyNumberFormat="1" applyFont="1"/>
    <xf numFmtId="171" fontId="3" fillId="3" borderId="1" xfId="4" applyNumberFormat="1"/>
    <xf numFmtId="173" fontId="40" fillId="0" borderId="5" xfId="11" applyNumberFormat="1" applyFont="1"/>
    <xf numFmtId="172" fontId="0" fillId="0" borderId="0" xfId="0" applyNumberFormat="1"/>
    <xf numFmtId="170" fontId="3" fillId="0" borderId="0" xfId="5" applyNumberFormat="1" applyProtection="1"/>
    <xf numFmtId="0" fontId="42" fillId="0" borderId="0" xfId="0" applyFont="1"/>
    <xf numFmtId="0" fontId="18" fillId="0" borderId="0" xfId="0" quotePrefix="1" applyFont="1" applyAlignment="1">
      <alignment horizontal="left"/>
    </xf>
    <xf numFmtId="0" fontId="43" fillId="0" borderId="0" xfId="0" applyFont="1"/>
    <xf numFmtId="0" fontId="44" fillId="0" borderId="0" xfId="0" applyFont="1"/>
    <xf numFmtId="4" fontId="4" fillId="0" borderId="0" xfId="0" applyNumberFormat="1" applyFont="1"/>
    <xf numFmtId="173" fontId="0" fillId="0" borderId="6" xfId="0" applyNumberFormat="1" applyBorder="1"/>
    <xf numFmtId="0" fontId="32" fillId="0" borderId="6" xfId="0" applyFont="1" applyBorder="1"/>
    <xf numFmtId="0" fontId="9" fillId="0" borderId="6" xfId="0" applyFont="1" applyBorder="1"/>
    <xf numFmtId="0" fontId="16" fillId="0" borderId="6" xfId="0" applyFont="1" applyBorder="1"/>
    <xf numFmtId="0" fontId="31" fillId="0" borderId="6" xfId="0" applyFont="1" applyBorder="1"/>
    <xf numFmtId="0" fontId="0" fillId="0" borderId="6" xfId="0" applyBorder="1"/>
    <xf numFmtId="0" fontId="18" fillId="0" borderId="6" xfId="0" applyFont="1" applyBorder="1"/>
    <xf numFmtId="0" fontId="15" fillId="0" borderId="6" xfId="0" applyFont="1" applyBorder="1"/>
    <xf numFmtId="4" fontId="18" fillId="0" borderId="6" xfId="7" applyNumberFormat="1" applyFont="1" applyFill="1" applyBorder="1" applyProtection="1"/>
    <xf numFmtId="0" fontId="14" fillId="0" borderId="6" xfId="0" applyFont="1" applyBorder="1"/>
    <xf numFmtId="173" fontId="40" fillId="0" borderId="6" xfId="0" applyNumberFormat="1" applyFont="1" applyBorder="1"/>
    <xf numFmtId="0" fontId="45" fillId="0" borderId="6" xfId="0" applyFont="1" applyBorder="1"/>
    <xf numFmtId="37" fontId="21" fillId="0" borderId="6" xfId="0" applyNumberFormat="1" applyFont="1" applyBorder="1"/>
    <xf numFmtId="37" fontId="22" fillId="0" borderId="6" xfId="0" applyNumberFormat="1" applyFont="1" applyBorder="1"/>
    <xf numFmtId="164" fontId="20" fillId="0" borderId="0" xfId="7" applyFont="1" applyBorder="1" applyProtection="1"/>
    <xf numFmtId="164" fontId="20" fillId="0" borderId="0" xfId="7" applyFont="1" applyFill="1" applyBorder="1" applyProtection="1"/>
    <xf numFmtId="166" fontId="9" fillId="0" borderId="0" xfId="7" applyNumberFormat="1" applyFont="1" applyBorder="1" applyProtection="1"/>
    <xf numFmtId="4" fontId="0" fillId="0" borderId="0" xfId="0" applyNumberFormat="1"/>
    <xf numFmtId="0" fontId="42" fillId="0" borderId="6" xfId="0" applyFont="1" applyBorder="1"/>
    <xf numFmtId="0" fontId="42" fillId="0" borderId="7" xfId="0" applyFont="1" applyBorder="1"/>
    <xf numFmtId="0" fontId="0" fillId="0" borderId="7" xfId="0" applyBorder="1"/>
    <xf numFmtId="4" fontId="3" fillId="3" borderId="1" xfId="4" applyNumberFormat="1" applyProtection="1"/>
    <xf numFmtId="4" fontId="3" fillId="3" borderId="1" xfId="4" applyNumberFormat="1" applyAlignment="1" applyProtection="1">
      <alignment horizontal="right"/>
      <protection locked="0"/>
    </xf>
    <xf numFmtId="4" fontId="3" fillId="3" borderId="1" xfId="4" applyNumberFormat="1" applyAlignment="1" applyProtection="1">
      <alignment horizontal="right"/>
    </xf>
    <xf numFmtId="4" fontId="3" fillId="3" borderId="1" xfId="4" applyNumberFormat="1" applyProtection="1">
      <protection locked="0"/>
    </xf>
    <xf numFmtId="4" fontId="3" fillId="3" borderId="1" xfId="4" applyNumberFormat="1"/>
    <xf numFmtId="0" fontId="46" fillId="0" borderId="0" xfId="0" applyFont="1"/>
    <xf numFmtId="0" fontId="47" fillId="0" borderId="0" xfId="0" applyFont="1"/>
    <xf numFmtId="173" fontId="48" fillId="0" borderId="0" xfId="0" applyNumberFormat="1" applyFont="1"/>
    <xf numFmtId="37" fontId="49" fillId="0" borderId="0" xfId="0" applyNumberFormat="1" applyFont="1" applyAlignment="1">
      <alignment horizontal="right"/>
    </xf>
    <xf numFmtId="39" fontId="49" fillId="0" borderId="0" xfId="0" applyNumberFormat="1" applyFont="1" applyAlignment="1">
      <alignment horizontal="right"/>
    </xf>
    <xf numFmtId="0" fontId="50" fillId="0" borderId="0" xfId="0" applyFont="1"/>
    <xf numFmtId="0" fontId="50" fillId="0" borderId="0" xfId="0" applyFont="1" applyAlignment="1">
      <alignment horizontal="centerContinuous"/>
    </xf>
    <xf numFmtId="0" fontId="50" fillId="0" borderId="0" xfId="9" applyFont="1" applyAlignment="1">
      <alignment horizontal="centerContinuous"/>
    </xf>
    <xf numFmtId="0" fontId="51" fillId="0" borderId="0" xfId="0" applyFont="1"/>
    <xf numFmtId="0" fontId="52" fillId="0" borderId="0" xfId="0" applyFont="1"/>
    <xf numFmtId="0" fontId="53" fillId="0" borderId="0" xfId="0" applyFont="1"/>
    <xf numFmtId="0" fontId="53" fillId="0" borderId="6" xfId="0" applyFont="1" applyBorder="1"/>
    <xf numFmtId="0" fontId="48" fillId="0" borderId="0" xfId="0" applyFont="1"/>
    <xf numFmtId="0" fontId="48" fillId="0" borderId="6" xfId="0" applyFont="1" applyBorder="1"/>
    <xf numFmtId="173" fontId="53" fillId="0" borderId="0" xfId="0" applyNumberFormat="1" applyFont="1"/>
    <xf numFmtId="173" fontId="53" fillId="0" borderId="6" xfId="0" applyNumberFormat="1" applyFont="1" applyBorder="1"/>
    <xf numFmtId="0" fontId="54" fillId="0" borderId="0" xfId="0" applyFont="1"/>
    <xf numFmtId="0" fontId="55" fillId="0" borderId="0" xfId="0" applyFont="1"/>
    <xf numFmtId="172" fontId="53" fillId="0" borderId="0" xfId="0" applyNumberFormat="1" applyFont="1"/>
    <xf numFmtId="0" fontId="50" fillId="0" borderId="3" xfId="9" applyFont="1" applyBorder="1" applyAlignment="1">
      <alignment horizontal="centerContinuous"/>
    </xf>
    <xf numFmtId="0" fontId="56" fillId="0" borderId="4" xfId="0" applyFont="1" applyBorder="1"/>
    <xf numFmtId="173" fontId="53" fillId="0" borderId="5" xfId="11" applyNumberFormat="1" applyFont="1"/>
    <xf numFmtId="0" fontId="50" fillId="0" borderId="0" xfId="9" quotePrefix="1" applyFont="1" applyAlignment="1">
      <alignment horizontal="center"/>
    </xf>
    <xf numFmtId="0" fontId="50" fillId="0" borderId="0" xfId="8" applyFont="1"/>
    <xf numFmtId="0" fontId="57" fillId="0" borderId="0" xfId="0" applyFont="1" applyAlignment="1">
      <alignment horizontal="centerContinuous"/>
    </xf>
    <xf numFmtId="0" fontId="57" fillId="0" borderId="0" xfId="9" applyFont="1" applyAlignment="1">
      <alignment horizontal="centerContinuous"/>
    </xf>
    <xf numFmtId="0" fontId="57" fillId="0" borderId="0" xfId="0" applyFont="1"/>
    <xf numFmtId="0" fontId="57" fillId="0" borderId="6" xfId="0" applyFont="1" applyBorder="1"/>
    <xf numFmtId="0" fontId="57" fillId="0" borderId="7" xfId="0" applyFont="1" applyBorder="1"/>
    <xf numFmtId="0" fontId="57" fillId="0" borderId="3" xfId="9" applyFont="1" applyBorder="1" applyAlignment="1">
      <alignment horizontal="centerContinuous"/>
    </xf>
    <xf numFmtId="0" fontId="57" fillId="0" borderId="4" xfId="0" applyFont="1" applyBorder="1"/>
    <xf numFmtId="0" fontId="48" fillId="0" borderId="4" xfId="0" applyFont="1" applyBorder="1"/>
    <xf numFmtId="0" fontId="58" fillId="0" borderId="0" xfId="0" applyFont="1" applyAlignment="1">
      <alignment horizontal="centerContinuous"/>
    </xf>
    <xf numFmtId="4" fontId="34" fillId="0" borderId="4" xfId="0" applyNumberFormat="1" applyFont="1" applyBorder="1"/>
    <xf numFmtId="4" fontId="34" fillId="0" borderId="4" xfId="0" applyNumberFormat="1" applyFont="1" applyBorder="1" applyAlignment="1">
      <alignment horizontal="right"/>
    </xf>
    <xf numFmtId="0" fontId="3" fillId="3" borderId="1" xfId="4"/>
    <xf numFmtId="10" fontId="0" fillId="0" borderId="0" xfId="0" applyNumberFormat="1"/>
    <xf numFmtId="167" fontId="3" fillId="3" borderId="1" xfId="4" applyNumberFormat="1" applyProtection="1"/>
    <xf numFmtId="9" fontId="9" fillId="0" borderId="0" xfId="0" applyNumberFormat="1" applyFont="1"/>
    <xf numFmtId="10" fontId="9" fillId="0" borderId="0" xfId="0" applyNumberFormat="1" applyFont="1"/>
    <xf numFmtId="174" fontId="0" fillId="0" borderId="0" xfId="0" applyNumberFormat="1"/>
    <xf numFmtId="174" fontId="9" fillId="0" borderId="0" xfId="0" applyNumberFormat="1" applyFont="1"/>
    <xf numFmtId="10" fontId="3" fillId="3" borderId="1" xfId="4" applyNumberFormat="1" applyProtection="1"/>
    <xf numFmtId="165" fontId="3" fillId="3" borderId="1" xfId="4" applyNumberFormat="1" applyAlignment="1">
      <alignment horizontal="center"/>
    </xf>
    <xf numFmtId="9" fontId="21" fillId="0" borderId="0" xfId="0" applyNumberFormat="1" applyFont="1" applyAlignment="1">
      <alignment horizontal="right"/>
    </xf>
    <xf numFmtId="173" fontId="60" fillId="0" borderId="6" xfId="0" applyNumberFormat="1" applyFont="1" applyBorder="1"/>
    <xf numFmtId="0" fontId="61" fillId="0" borderId="0" xfId="0" applyFont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3" fillId="0" borderId="0" xfId="0" applyFont="1" applyAlignment="1">
      <alignment horizontal="center"/>
    </xf>
    <xf numFmtId="165" fontId="0" fillId="0" borderId="0" xfId="14" applyNumberFormat="1" applyFont="1"/>
    <xf numFmtId="165" fontId="64" fillId="0" borderId="0" xfId="14" applyNumberFormat="1" applyFont="1"/>
    <xf numFmtId="165" fontId="65" fillId="0" borderId="0" xfId="14" applyNumberFormat="1" applyFont="1"/>
    <xf numFmtId="0" fontId="9" fillId="0" borderId="0" xfId="9" applyFont="1" applyAlignment="1">
      <alignment horizontal="left"/>
    </xf>
    <xf numFmtId="175" fontId="4" fillId="0" borderId="0" xfId="0" applyNumberFormat="1" applyFont="1"/>
    <xf numFmtId="2" fontId="4" fillId="0" borderId="0" xfId="0" applyNumberFormat="1" applyFont="1"/>
    <xf numFmtId="2" fontId="0" fillId="0" borderId="0" xfId="0" applyNumberFormat="1"/>
    <xf numFmtId="9" fontId="43" fillId="0" borderId="0" xfId="14" applyFont="1"/>
    <xf numFmtId="43" fontId="0" fillId="0" borderId="0" xfId="0" applyNumberFormat="1"/>
    <xf numFmtId="4" fontId="42" fillId="0" borderId="0" xfId="0" applyNumberFormat="1" applyFont="1"/>
    <xf numFmtId="2" fontId="42" fillId="0" borderId="0" xfId="0" applyNumberFormat="1" applyFont="1"/>
    <xf numFmtId="10" fontId="9" fillId="0" borderId="0" xfId="14" applyNumberFormat="1" applyFont="1"/>
    <xf numFmtId="44" fontId="0" fillId="0" borderId="0" xfId="13" applyFont="1"/>
    <xf numFmtId="171" fontId="66" fillId="5" borderId="0" xfId="15" applyNumberFormat="1"/>
    <xf numFmtId="4" fontId="66" fillId="5" borderId="0" xfId="15" applyNumberFormat="1"/>
    <xf numFmtId="2" fontId="66" fillId="5" borderId="0" xfId="15" applyNumberFormat="1"/>
    <xf numFmtId="176" fontId="42" fillId="0" borderId="0" xfId="0" applyNumberFormat="1" applyFont="1"/>
    <xf numFmtId="9" fontId="0" fillId="0" borderId="0" xfId="14" applyFont="1"/>
    <xf numFmtId="4" fontId="2" fillId="0" borderId="0" xfId="2" applyNumberFormat="1" applyFill="1" applyBorder="1"/>
    <xf numFmtId="165" fontId="2" fillId="0" borderId="1" xfId="2" applyNumberFormat="1" applyFill="1"/>
    <xf numFmtId="4" fontId="2" fillId="0" borderId="1" xfId="2" applyNumberFormat="1" applyFill="1"/>
    <xf numFmtId="10" fontId="2" fillId="0" borderId="1" xfId="2" applyNumberFormat="1" applyFill="1"/>
    <xf numFmtId="0" fontId="2" fillId="0" borderId="0" xfId="2" applyFill="1" applyBorder="1"/>
    <xf numFmtId="3" fontId="2" fillId="0" borderId="1" xfId="2" applyNumberFormat="1" applyFill="1"/>
    <xf numFmtId="175" fontId="2" fillId="0" borderId="1" xfId="2" applyNumberFormat="1" applyFill="1"/>
    <xf numFmtId="2" fontId="2" fillId="0" borderId="0" xfId="2" applyNumberFormat="1" applyFill="1" applyBorder="1"/>
    <xf numFmtId="177" fontId="9" fillId="0" borderId="0" xfId="0" applyNumberFormat="1" applyFont="1"/>
    <xf numFmtId="9" fontId="2" fillId="0" borderId="0" xfId="2" applyNumberFormat="1" applyFill="1" applyBorder="1"/>
    <xf numFmtId="0" fontId="67" fillId="0" borderId="0" xfId="0" applyFont="1"/>
    <xf numFmtId="4" fontId="0" fillId="0" borderId="0" xfId="14" applyNumberFormat="1" applyFont="1"/>
    <xf numFmtId="2" fontId="66" fillId="5" borderId="1" xfId="15" applyNumberFormat="1" applyBorder="1"/>
    <xf numFmtId="4" fontId="42" fillId="6" borderId="0" xfId="0" applyNumberFormat="1" applyFont="1" applyFill="1"/>
    <xf numFmtId="0" fontId="8" fillId="0" borderId="0" xfId="10"/>
    <xf numFmtId="176" fontId="34" fillId="0" borderId="4" xfId="0" applyNumberFormat="1" applyFont="1" applyBorder="1"/>
    <xf numFmtId="0" fontId="9" fillId="6" borderId="0" xfId="0" applyFont="1" applyFill="1"/>
    <xf numFmtId="171" fontId="2" fillId="0" borderId="0" xfId="2" applyNumberFormat="1" applyFill="1" applyBorder="1"/>
    <xf numFmtId="10" fontId="0" fillId="0" borderId="0" xfId="14" applyNumberFormat="1" applyFont="1"/>
    <xf numFmtId="9" fontId="2" fillId="0" borderId="9" xfId="2" applyNumberFormat="1" applyFill="1" applyBorder="1"/>
    <xf numFmtId="0" fontId="18" fillId="0" borderId="8" xfId="9" applyFont="1" applyBorder="1" applyAlignment="1">
      <alignment horizontal="center"/>
    </xf>
  </cellXfs>
  <cellStyles count="16">
    <cellStyle name="BM Header Main" xfId="11" xr:uid="{63BE4E13-C428-4182-AF46-A9A11DFDAA8F}"/>
    <cellStyle name="BM Header Secondary" xfId="12" xr:uid="{0E566989-8211-4996-9493-E7DE9298A6E5}"/>
    <cellStyle name="Comma" xfId="7" builtinId="3"/>
    <cellStyle name="Currency" xfId="13" builtinId="4"/>
    <cellStyle name="Export" xfId="1" xr:uid="{43B37FCD-22F2-4602-902A-1C2CE5823852}"/>
    <cellStyle name="Import" xfId="2" xr:uid="{BBB76A64-C79B-49CA-AD21-DF8FC21EC0F2}"/>
    <cellStyle name="Mod Calculation" xfId="3" xr:uid="{BC18302A-1583-48DE-9BFF-E49D984D64EB}"/>
    <cellStyle name="Mod Input" xfId="4" xr:uid="{D375BEC9-D176-40B7-AC13-DE8AA594152C}"/>
    <cellStyle name="Mod Normal" xfId="5" xr:uid="{515153AF-89FA-472D-8D77-01BD7B0E7049}"/>
    <cellStyle name="Mod Output" xfId="6" xr:uid="{8C194197-BFDB-4DCC-BE92-48BBC5D47867}"/>
    <cellStyle name="Neutral" xfId="15" builtinId="28"/>
    <cellStyle name="Normal" xfId="0" builtinId="0"/>
    <cellStyle name="Normal 2" xfId="10" xr:uid="{B58C6473-E467-4860-9EFE-ADD75B5B88A9}"/>
    <cellStyle name="Normal_DrydenNewDCF3" xfId="8" xr:uid="{CA416BB4-44B1-410F-85BF-B3FE5E628550}"/>
    <cellStyle name="Normal_TrainingDCF1" xfId="9" xr:uid="{5ECB4FAE-31D0-4D72-A2DE-4C7904ED5881}"/>
    <cellStyle name="Percent" xfId="14" builtinId="5"/>
  </cellStyles>
  <dxfs count="60">
    <dxf>
      <font>
        <color theme="0"/>
      </font>
      <fill>
        <patternFill>
          <bgColor theme="4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  <dxf>
      <font>
        <color theme="0"/>
      </font>
      <fill>
        <patternFill>
          <bgColor theme="4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  <dxf>
      <font>
        <color theme="0"/>
      </font>
      <fill>
        <patternFill>
          <bgColor theme="4"/>
        </patternFill>
      </fill>
    </dxf>
    <dxf>
      <font>
        <color theme="0"/>
      </font>
      <fill>
        <patternFill>
          <bgColor theme="4"/>
        </patternFill>
      </fill>
    </dxf>
    <dxf>
      <fill>
        <patternFill patternType="lightGray">
          <fgColor theme="1" tint="0.499984740745262"/>
        </patternFill>
      </fill>
    </dxf>
    <dxf>
      <font>
        <color theme="0"/>
      </font>
      <fill>
        <patternFill>
          <bgColor theme="4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  <dxf>
      <font>
        <color theme="0"/>
      </font>
      <fill>
        <patternFill>
          <bgColor theme="4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  <dxf>
      <font>
        <color theme="0"/>
      </font>
      <fill>
        <patternFill>
          <bgColor theme="4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  <dxf>
      <font>
        <color theme="1"/>
      </font>
      <fill>
        <patternFill>
          <bgColor theme="9"/>
        </patternFill>
      </fill>
    </dxf>
    <dxf>
      <font>
        <color theme="0"/>
      </font>
      <fill>
        <patternFill>
          <bgColor theme="4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  <dxf>
      <font>
        <color theme="0"/>
      </font>
      <fill>
        <patternFill>
          <bgColor theme="4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  <dxf>
      <font>
        <color theme="0"/>
      </font>
      <fill>
        <patternFill>
          <bgColor theme="4"/>
        </patternFill>
      </fill>
    </dxf>
    <dxf>
      <fill>
        <patternFill patternType="lightGray">
          <fgColor theme="1" tint="0.499984740745262"/>
        </patternFill>
      </fill>
    </dxf>
    <dxf>
      <fill>
        <patternFill patternType="lightGray">
          <fgColor theme="1" tint="0.499984740745262"/>
        </patternFill>
      </fill>
    </dxf>
  </dxfs>
  <tableStyles count="0" defaultTableStyle="TableStyleMedium2" defaultPivotStyle="PivotStyleLight16"/>
  <colors>
    <mruColors>
      <color rgb="FFE0E0E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Scenarios!$J$29</c:f>
          <c:strCache>
            <c:ptCount val="1"/>
            <c:pt idx="0">
              <c:v>XYZ Manufacturing - Base Case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891568889857142E-2"/>
          <c:y val="0.13652329749103945"/>
          <c:w val="0.89936930067536025"/>
          <c:h val="0.701923348291141"/>
        </c:manualLayout>
      </c:layout>
      <c:lineChart>
        <c:grouping val="standard"/>
        <c:varyColors val="0"/>
        <c:ser>
          <c:idx val="0"/>
          <c:order val="0"/>
          <c:tx>
            <c:strRef>
              <c:f>Scenarios!$C$18</c:f>
              <c:strCache>
                <c:ptCount val="1"/>
                <c:pt idx="0">
                  <c:v>EBITDA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Scenarios!$K$5:$R$5</c:f>
              <c:numCache>
                <c:formatCode>General</c:formatCode>
                <c:ptCount val="8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</c:numCache>
            </c:numRef>
          </c:cat>
          <c:val>
            <c:numRef>
              <c:f>Scenarios!$K$18:$R$18</c:f>
              <c:numCache>
                <c:formatCode>#,##0.00</c:formatCode>
                <c:ptCount val="8"/>
                <c:pt idx="0">
                  <c:v>86.447537256543512</c:v>
                </c:pt>
                <c:pt idx="1">
                  <c:v>76.700988145183345</c:v>
                </c:pt>
                <c:pt idx="2">
                  <c:v>54.34209590399999</c:v>
                </c:pt>
                <c:pt idx="3">
                  <c:v>64.78870939907145</c:v>
                </c:pt>
                <c:pt idx="4">
                  <c:v>78.024441710091565</c:v>
                </c:pt>
                <c:pt idx="5">
                  <c:v>96.110385585978392</c:v>
                </c:pt>
                <c:pt idx="6">
                  <c:v>107.41961122824655</c:v>
                </c:pt>
                <c:pt idx="7">
                  <c:v>127.84878114978088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88-4B2F-A802-F07EAA0EDD85}"/>
            </c:ext>
          </c:extLst>
        </c:ser>
        <c:ser>
          <c:idx val="1"/>
          <c:order val="1"/>
          <c:tx>
            <c:strRef>
              <c:f>Scenarios!$C$15</c:f>
              <c:strCache>
                <c:ptCount val="1"/>
                <c:pt idx="0">
                  <c:v>Net Revnue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Scenarios!$K$5:$R$5</c:f>
              <c:numCache>
                <c:formatCode>General</c:formatCode>
                <c:ptCount val="8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</c:numCache>
            </c:numRef>
          </c:cat>
          <c:val>
            <c:numRef>
              <c:f>Scenarios!$K$15:$R$15</c:f>
              <c:numCache>
                <c:formatCode>#,##0.00</c:formatCode>
                <c:ptCount val="8"/>
                <c:pt idx="0">
                  <c:v>281.2149095408605</c:v>
                </c:pt>
                <c:pt idx="1">
                  <c:v>281.21335544026533</c:v>
                </c:pt>
                <c:pt idx="2">
                  <c:v>268.17287048999998</c:v>
                </c:pt>
                <c:pt idx="3">
                  <c:v>289.10240234567999</c:v>
                </c:pt>
                <c:pt idx="4">
                  <c:v>315.9183088183961</c:v>
                </c:pt>
                <c:pt idx="5">
                  <c:v>347.86867208294791</c:v>
                </c:pt>
                <c:pt idx="6">
                  <c:v>370.41695463727046</c:v>
                </c:pt>
                <c:pt idx="7">
                  <c:v>409.0349548598823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88-4B2F-A802-F07EAA0EDD85}"/>
            </c:ext>
          </c:extLst>
        </c:ser>
        <c:ser>
          <c:idx val="2"/>
          <c:order val="2"/>
          <c:tx>
            <c:strRef>
              <c:f>Scenarios!$C$22</c:f>
              <c:strCache>
                <c:ptCount val="1"/>
                <c:pt idx="0">
                  <c:v>Net Income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Scenarios!$K$5:$R$5</c:f>
              <c:numCache>
                <c:formatCode>General</c:formatCode>
                <c:ptCount val="8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</c:numCache>
            </c:numRef>
          </c:cat>
          <c:val>
            <c:numRef>
              <c:f>Scenarios!$K$22:$R$22</c:f>
              <c:numCache>
                <c:formatCode>#,##0.00</c:formatCode>
                <c:ptCount val="8"/>
                <c:pt idx="0">
                  <c:v>39.496686049131554</c:v>
                </c:pt>
                <c:pt idx="1">
                  <c:v>33.858995921143148</c:v>
                </c:pt>
                <c:pt idx="2">
                  <c:v>19.909056523469744</c:v>
                </c:pt>
                <c:pt idx="3">
                  <c:v>29.950314448870291</c:v>
                </c:pt>
                <c:pt idx="4">
                  <c:v>38.694216773055132</c:v>
                </c:pt>
                <c:pt idx="5">
                  <c:v>51.343859310650103</c:v>
                </c:pt>
                <c:pt idx="6">
                  <c:v>59.33411258591628</c:v>
                </c:pt>
                <c:pt idx="7">
                  <c:v>74.016710152508821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88-4B2F-A802-F07EAA0EDD8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80573008"/>
        <c:axId val="580571208"/>
      </c:lineChart>
      <c:catAx>
        <c:axId val="58057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571208"/>
        <c:crosses val="autoZero"/>
        <c:auto val="1"/>
        <c:lblAlgn val="ctr"/>
        <c:lblOffset val="100"/>
        <c:noMultiLvlLbl val="0"/>
      </c:catAx>
      <c:valAx>
        <c:axId val="58057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57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26147</xdr:colOff>
      <xdr:row>24</xdr:row>
      <xdr:rowOff>123265</xdr:rowOff>
    </xdr:from>
    <xdr:to>
      <xdr:col>16</xdr:col>
      <xdr:colOff>280147</xdr:colOff>
      <xdr:row>57</xdr:row>
      <xdr:rowOff>0</xdr:rowOff>
    </xdr:to>
    <xdr:graphicFrame macro="">
      <xdr:nvGraphicFramePr>
        <xdr:cNvPr id="15" name="Chart 2">
          <a:extLst>
            <a:ext uri="{FF2B5EF4-FFF2-40B4-BE49-F238E27FC236}">
              <a16:creationId xmlns:a16="http://schemas.microsoft.com/office/drawing/2014/main" id="{E47F96AF-0DCC-68A4-BE72-C81EE1504B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6A2E-2ACC-46EB-BB22-98EB80B8582A}">
  <sheetPr>
    <pageSetUpPr fitToPage="1"/>
  </sheetPr>
  <dimension ref="A1:K24"/>
  <sheetViews>
    <sheetView showGridLines="0" zoomScaleNormal="100" workbookViewId="0">
      <selection activeCell="E20" sqref="E20"/>
    </sheetView>
  </sheetViews>
  <sheetFormatPr defaultColWidth="0" defaultRowHeight="24.95" customHeight="1" zeroHeight="1" x14ac:dyDescent="0.2"/>
  <cols>
    <col min="1" max="10" width="25.7109375" customWidth="1"/>
    <col min="11" max="16384" width="10.7109375" hidden="1"/>
  </cols>
  <sheetData>
    <row r="1" spans="5:11" ht="24.95" customHeight="1" x14ac:dyDescent="0.2"/>
    <row r="2" spans="5:11" ht="24.95" customHeight="1" x14ac:dyDescent="0.2"/>
    <row r="3" spans="5:11" ht="24.95" customHeight="1" x14ac:dyDescent="0.2"/>
    <row r="4" spans="5:11" ht="24.95" customHeight="1" x14ac:dyDescent="0.2"/>
    <row r="5" spans="5:11" ht="24.95" customHeight="1" x14ac:dyDescent="0.2">
      <c r="K5" t="s">
        <v>168</v>
      </c>
    </row>
    <row r="6" spans="5:11" ht="24.95" customHeight="1" x14ac:dyDescent="0.2"/>
    <row r="7" spans="5:11" ht="24.95" customHeight="1" x14ac:dyDescent="0.2"/>
    <row r="8" spans="5:11" ht="24.95" customHeight="1" x14ac:dyDescent="0.2"/>
    <row r="9" spans="5:11" ht="61.5" x14ac:dyDescent="0.2">
      <c r="E9" s="161" t="s">
        <v>167</v>
      </c>
    </row>
    <row r="10" spans="5:11" ht="36" x14ac:dyDescent="0.2">
      <c r="E10" s="160" t="s">
        <v>182</v>
      </c>
    </row>
    <row r="11" spans="5:11" ht="28.5" x14ac:dyDescent="0.45">
      <c r="E11" s="162"/>
    </row>
    <row r="12" spans="5:11" ht="24.95" customHeight="1" x14ac:dyDescent="0.2"/>
    <row r="13" spans="5:11" ht="24.95" customHeight="1" x14ac:dyDescent="0.2"/>
    <row r="14" spans="5:11" ht="24.95" customHeight="1" x14ac:dyDescent="0.2"/>
    <row r="15" spans="5:11" ht="24.95" customHeight="1" x14ac:dyDescent="0.2"/>
    <row r="16" spans="5:11" ht="24.95" customHeight="1" x14ac:dyDescent="0.2"/>
    <row r="17" ht="24.95" customHeight="1" x14ac:dyDescent="0.2"/>
    <row r="18" ht="24.95" customHeight="1" x14ac:dyDescent="0.2"/>
    <row r="19" ht="24.95" customHeight="1" x14ac:dyDescent="0.2"/>
    <row r="20" ht="24.95" customHeight="1" x14ac:dyDescent="0.2"/>
    <row r="21" ht="24.95" customHeight="1" x14ac:dyDescent="0.2"/>
    <row r="22" ht="24.95" customHeight="1" x14ac:dyDescent="0.2"/>
    <row r="23" ht="24.95" customHeight="1" x14ac:dyDescent="0.2"/>
    <row r="24" ht="24.95" customHeight="1" x14ac:dyDescent="0.2"/>
  </sheetData>
  <pageMargins left="0.7" right="0.7" top="0.75" bottom="0.75" header="0.3" footer="0.3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B8A1-8058-426A-B29F-BAF11B9225D2}">
  <dimension ref="A1:T57"/>
  <sheetViews>
    <sheetView showGridLines="0" zoomScale="85" zoomScaleNormal="100" workbookViewId="0">
      <pane xSplit="1" topLeftCell="B1" activePane="topRight" state="frozen"/>
      <selection activeCell="K87" sqref="K87"/>
      <selection pane="topRight" activeCell="K87" sqref="K87"/>
    </sheetView>
  </sheetViews>
  <sheetFormatPr defaultColWidth="0" defaultRowHeight="12.75" zeroHeight="1" x14ac:dyDescent="0.2"/>
  <cols>
    <col min="1" max="1" width="1.42578125" style="3" customWidth="1"/>
    <col min="2" max="2" width="1.85546875" style="3" customWidth="1"/>
    <col min="3" max="3" width="45.5703125" style="3" customWidth="1"/>
    <col min="4" max="4" width="5.42578125" style="123" bestFit="1" customWidth="1"/>
    <col min="5" max="5" width="1.5703125" style="3" customWidth="1"/>
    <col min="6" max="6" width="1.140625" style="3" customWidth="1"/>
    <col min="7" max="7" width="1.42578125" style="3" customWidth="1"/>
    <col min="8" max="8" width="12.85546875" style="3" customWidth="1"/>
    <col min="9" max="10" width="8.7109375" style="3" customWidth="1"/>
    <col min="11" max="16" width="10" style="3" customWidth="1"/>
    <col min="17" max="17" width="12.140625" style="3" customWidth="1"/>
    <col min="18" max="18" width="10" style="3" customWidth="1"/>
    <col min="19" max="19" width="2.7109375" style="3" customWidth="1"/>
    <col min="20" max="20" width="2" style="3" customWidth="1"/>
    <col min="21" max="16384" width="9.140625" style="3" hidden="1"/>
  </cols>
  <sheetData>
    <row r="1" spans="1:20" x14ac:dyDescent="0.2">
      <c r="Q1" t="s">
        <v>169</v>
      </c>
      <c r="R1" t="s">
        <v>6</v>
      </c>
    </row>
    <row r="2" spans="1:20" s="62" customFormat="1" ht="16.5" thickBot="1" x14ac:dyDescent="0.3">
      <c r="A2" s="57"/>
      <c r="B2" s="58" t="s">
        <v>183</v>
      </c>
      <c r="C2" s="59"/>
      <c r="D2" s="133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  <c r="T2" s="61"/>
    </row>
    <row r="3" spans="1:20" ht="13.5" thickTop="1" x14ac:dyDescent="0.2">
      <c r="A3" s="41"/>
      <c r="B3" s="55" t="str">
        <f>"Scenarios - "&amp;R1</f>
        <v>Scenarios - Base Case</v>
      </c>
      <c r="C3" s="54"/>
      <c r="D3" s="121"/>
      <c r="E3" s="54"/>
      <c r="F3" s="54"/>
      <c r="G3" s="54"/>
      <c r="H3" s="54"/>
      <c r="I3" s="54"/>
      <c r="J3" s="54"/>
      <c r="K3" s="54"/>
      <c r="L3" s="54"/>
      <c r="M3" s="54"/>
      <c r="O3" s="44"/>
    </row>
    <row r="4" spans="1:20" x14ac:dyDescent="0.2">
      <c r="A4" s="41"/>
      <c r="B4" s="41"/>
      <c r="D4" s="136"/>
      <c r="E4" s="43"/>
      <c r="F4" s="43"/>
      <c r="G4" s="43"/>
      <c r="H4" s="43"/>
      <c r="I4" s="43"/>
      <c r="J4" s="43"/>
      <c r="K4" s="43"/>
      <c r="L4" s="43"/>
      <c r="M4" s="42"/>
      <c r="N4" s="41"/>
      <c r="O4" s="41"/>
      <c r="P4" s="41"/>
    </row>
    <row r="5" spans="1:20" customFormat="1" x14ac:dyDescent="0.2">
      <c r="C5" s="166" t="s">
        <v>176</v>
      </c>
      <c r="K5" s="4">
        <v>2022</v>
      </c>
      <c r="L5" s="4">
        <v>2023</v>
      </c>
      <c r="M5" s="4">
        <v>2024</v>
      </c>
      <c r="N5" s="4">
        <v>2025</v>
      </c>
      <c r="O5" s="4">
        <v>2026</v>
      </c>
      <c r="P5" s="4">
        <v>2027</v>
      </c>
      <c r="Q5" s="4">
        <v>2028</v>
      </c>
      <c r="R5" s="4">
        <v>2029</v>
      </c>
    </row>
    <row r="6" spans="1:20" customFormat="1" x14ac:dyDescent="0.2">
      <c r="C6" s="4" t="s">
        <v>177</v>
      </c>
      <c r="K6" s="3" t="b" cm="1">
        <f t="array" ref="K6">K5&lt;Forecast.start</f>
        <v>1</v>
      </c>
      <c r="L6" s="3" t="b" cm="1">
        <f t="array" ref="L6">L5&lt;Forecast.start</f>
        <v>1</v>
      </c>
      <c r="M6" s="3" t="b" cm="1">
        <f t="array" ref="M6">M5&lt;Forecast.start</f>
        <v>1</v>
      </c>
      <c r="N6" s="3" t="b" cm="1">
        <f t="array" ref="N6">N5&lt;Forecast.start</f>
        <v>0</v>
      </c>
      <c r="O6" s="3" t="b" cm="1">
        <f t="array" ref="O6">O5&lt;Forecast.start</f>
        <v>0</v>
      </c>
      <c r="P6" s="3" t="b" cm="1">
        <f t="array" ref="P6">P5&lt;Forecast.start</f>
        <v>0</v>
      </c>
      <c r="Q6" s="3" t="b" cm="1">
        <f t="array" ref="Q6">Q5&lt;Forecast.start</f>
        <v>0</v>
      </c>
      <c r="R6" s="3" t="b" cm="1">
        <f t="array" ref="R6">R5&lt;Forecast.start</f>
        <v>0</v>
      </c>
    </row>
    <row r="7" spans="1:20" customFormat="1" x14ac:dyDescent="0.2">
      <c r="C7" s="4" t="s">
        <v>178</v>
      </c>
      <c r="K7" t="b">
        <f>NOT(K6)</f>
        <v>0</v>
      </c>
      <c r="L7" t="b">
        <f t="shared" ref="L7:R7" si="0">NOT(L6)</f>
        <v>0</v>
      </c>
      <c r="M7" t="b">
        <f t="shared" si="0"/>
        <v>0</v>
      </c>
      <c r="N7" t="b">
        <f t="shared" si="0"/>
        <v>1</v>
      </c>
      <c r="O7" t="b">
        <f t="shared" si="0"/>
        <v>1</v>
      </c>
      <c r="P7" t="b">
        <f t="shared" si="0"/>
        <v>1</v>
      </c>
      <c r="Q7" t="b">
        <f t="shared" si="0"/>
        <v>1</v>
      </c>
      <c r="R7" t="b">
        <f t="shared" si="0"/>
        <v>1</v>
      </c>
    </row>
    <row r="8" spans="1:20" x14ac:dyDescent="0.2">
      <c r="A8" s="41"/>
      <c r="B8" s="44"/>
      <c r="D8" s="137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</row>
    <row r="9" spans="1:20" s="114" customFormat="1" ht="15.75" x14ac:dyDescent="0.25">
      <c r="A9" s="124" t="s">
        <v>105</v>
      </c>
      <c r="B9" s="130"/>
      <c r="C9" s="131"/>
      <c r="D9" s="124" t="s">
        <v>106</v>
      </c>
      <c r="E9" s="131"/>
      <c r="F9" s="131"/>
      <c r="G9" s="131"/>
      <c r="H9" s="124" t="s">
        <v>107</v>
      </c>
      <c r="I9" s="132" t="s">
        <v>122</v>
      </c>
      <c r="J9" s="115"/>
      <c r="Q9" s="118"/>
      <c r="R9" s="115"/>
    </row>
    <row r="10" spans="1:20" customFormat="1" x14ac:dyDescent="0.2">
      <c r="C10" t="s">
        <v>170</v>
      </c>
      <c r="D10" s="124" t="s">
        <v>123</v>
      </c>
      <c r="K10" s="4"/>
      <c r="L10" s="4"/>
      <c r="M10" s="4"/>
      <c r="N10" s="164">
        <f>_xlfn.XLOOKUP(scn_cell,Assumptions!$H75:$H77,Assumptions!N75:N77)</f>
        <v>3.2000000000000001E-2</v>
      </c>
      <c r="O10" s="164">
        <f>_xlfn.XLOOKUP(scn_cell,Assumptions!$H75:$H77,Assumptions!O75:O77)</f>
        <v>3.1E-2</v>
      </c>
      <c r="P10" s="164">
        <f>_xlfn.XLOOKUP(scn_cell,Assumptions!$H75:$H77,Assumptions!P75:P77)</f>
        <v>0.03</v>
      </c>
      <c r="Q10" s="164">
        <f>_xlfn.XLOOKUP(scn_cell,Assumptions!$H75:$H77,Assumptions!Q75:Q77)</f>
        <v>2.8000000000000001E-2</v>
      </c>
      <c r="R10" s="164">
        <f>_xlfn.XLOOKUP(scn_cell,Assumptions!$H75:$H77,Assumptions!R75:R77)</f>
        <v>2.5000000000000001E-2</v>
      </c>
    </row>
    <row r="11" spans="1:20" customFormat="1" x14ac:dyDescent="0.2">
      <c r="C11" t="s">
        <v>171</v>
      </c>
      <c r="D11" s="124" t="s">
        <v>123</v>
      </c>
      <c r="K11" s="4"/>
      <c r="L11" s="4"/>
      <c r="M11" s="4"/>
      <c r="N11" s="164" cm="1">
        <f t="array" ref="N11:R11">_xlfn.XLOOKUP(scn_cell,Assumptions!$H81:$H83,Assumptions!N81:R83)</f>
        <v>0.04</v>
      </c>
      <c r="O11" s="165">
        <v>4.2000000000000003E-2</v>
      </c>
      <c r="P11" s="165">
        <v>4.4999999999999998E-2</v>
      </c>
      <c r="Q11" s="165">
        <v>3.7999999999999999E-2</v>
      </c>
      <c r="R11" s="165">
        <v>0.03</v>
      </c>
    </row>
    <row r="12" spans="1:20" customFormat="1" x14ac:dyDescent="0.2">
      <c r="C12" t="s">
        <v>172</v>
      </c>
      <c r="D12" s="124" t="s">
        <v>123</v>
      </c>
      <c r="K12" s="4"/>
      <c r="L12" s="4"/>
      <c r="M12" s="4"/>
      <c r="N12" s="164" cm="1">
        <f t="array" ref="N12:R12">_xlfn.XLOOKUP(scn_cell,Assumptions!H90:H92,Assumptions!N90:R92)</f>
        <v>0.03</v>
      </c>
      <c r="O12" s="165">
        <v>0.03</v>
      </c>
      <c r="P12" s="165">
        <v>0.04</v>
      </c>
      <c r="Q12" s="165">
        <v>0.05</v>
      </c>
      <c r="R12" s="165">
        <v>0.05</v>
      </c>
    </row>
    <row r="13" spans="1:20" customFormat="1" x14ac:dyDescent="0.2"/>
    <row r="14" spans="1:20" customFormat="1" x14ac:dyDescent="0.2">
      <c r="C14" t="s">
        <v>0</v>
      </c>
    </row>
    <row r="15" spans="1:20" customFormat="1" x14ac:dyDescent="0.2">
      <c r="C15" t="s">
        <v>173</v>
      </c>
      <c r="D15" s="124" t="s">
        <v>126</v>
      </c>
      <c r="K15" s="181" cm="1">
        <f t="array" ref="K15:R15">'Financial Statements'!K13:R13</f>
        <v>281.2149095408605</v>
      </c>
      <c r="L15" s="181">
        <v>281.21335544026533</v>
      </c>
      <c r="M15" s="181">
        <v>268.17287048999998</v>
      </c>
      <c r="N15" s="181">
        <v>289.10240234567999</v>
      </c>
      <c r="O15" s="181">
        <v>315.9183088183961</v>
      </c>
      <c r="P15" s="181">
        <v>347.86867208294791</v>
      </c>
      <c r="Q15" s="181">
        <v>370.41695463727046</v>
      </c>
      <c r="R15" s="181">
        <v>409.0349548598823</v>
      </c>
    </row>
    <row r="16" spans="1:20" customFormat="1" x14ac:dyDescent="0.2">
      <c r="C16" t="s">
        <v>174</v>
      </c>
      <c r="D16" s="124" t="s">
        <v>123</v>
      </c>
      <c r="K16" s="105"/>
      <c r="L16" s="192">
        <f>L15/K15-1</f>
        <v>-5.5263805098793028E-6</v>
      </c>
      <c r="M16" s="192">
        <f t="shared" ref="M16:R16" si="1">M15/L15-1</f>
        <v>-4.6372210629361033E-2</v>
      </c>
      <c r="N16" s="192">
        <f t="shared" si="1"/>
        <v>7.8044926086065392E-2</v>
      </c>
      <c r="O16" s="192">
        <f t="shared" si="1"/>
        <v>9.2755737258289228E-2</v>
      </c>
      <c r="P16" s="192">
        <f t="shared" si="1"/>
        <v>0.10113488953537764</v>
      </c>
      <c r="Q16" s="192">
        <f t="shared" si="1"/>
        <v>6.4818376484750084E-2</v>
      </c>
      <c r="R16" s="192">
        <f t="shared" si="1"/>
        <v>0.10425548760430892</v>
      </c>
    </row>
    <row r="17" spans="3:18" customFormat="1" x14ac:dyDescent="0.2">
      <c r="D17" s="124"/>
    </row>
    <row r="18" spans="3:18" customFormat="1" x14ac:dyDescent="0.2">
      <c r="C18" t="s">
        <v>2</v>
      </c>
      <c r="D18" s="124" t="s">
        <v>126</v>
      </c>
      <c r="K18" s="181" cm="1">
        <f t="array" ref="K18:R18">'Financial Statements'!K20:R20</f>
        <v>86.447537256543512</v>
      </c>
      <c r="L18" s="181">
        <v>76.700988145183345</v>
      </c>
      <c r="M18" s="181">
        <v>54.34209590399999</v>
      </c>
      <c r="N18" s="181">
        <v>64.78870939907145</v>
      </c>
      <c r="O18" s="181">
        <v>78.024441710091565</v>
      </c>
      <c r="P18" s="181">
        <v>96.110385585978392</v>
      </c>
      <c r="Q18" s="181">
        <v>107.41961122824655</v>
      </c>
      <c r="R18" s="181">
        <v>127.84878114978088</v>
      </c>
    </row>
    <row r="19" spans="3:18" customFormat="1" x14ac:dyDescent="0.2">
      <c r="C19" t="s">
        <v>175</v>
      </c>
      <c r="D19" s="124" t="s">
        <v>123</v>
      </c>
      <c r="K19" s="105">
        <f>K18/K15</f>
        <v>0.30740737536884649</v>
      </c>
      <c r="L19" s="105">
        <f t="shared" ref="L19:R19" si="2">L18/L15</f>
        <v>0.27275016161697196</v>
      </c>
      <c r="M19" s="105">
        <f t="shared" si="2"/>
        <v>0.20263830492885884</v>
      </c>
      <c r="N19" s="105">
        <f t="shared" si="2"/>
        <v>0.22410297829903031</v>
      </c>
      <c r="O19" s="105">
        <f t="shared" si="2"/>
        <v>0.24697663773245723</v>
      </c>
      <c r="P19" s="105">
        <f t="shared" si="2"/>
        <v>0.27628353254834415</v>
      </c>
      <c r="Q19" s="105">
        <f t="shared" si="2"/>
        <v>0.28999647527861361</v>
      </c>
      <c r="R19" s="105">
        <f t="shared" si="2"/>
        <v>0.31256199410531149</v>
      </c>
    </row>
    <row r="20" spans="3:18" customFormat="1" x14ac:dyDescent="0.2">
      <c r="C20" t="s">
        <v>174</v>
      </c>
      <c r="D20" s="124" t="s">
        <v>123</v>
      </c>
      <c r="K20" s="105"/>
      <c r="L20" s="105">
        <f>L18/K18-1</f>
        <v>-0.11274524897610561</v>
      </c>
      <c r="M20" s="105">
        <f t="shared" ref="M20:R20" si="3">M18/L18-1</f>
        <v>-0.29150722542011276</v>
      </c>
      <c r="N20" s="105">
        <f t="shared" si="3"/>
        <v>0.19223795698874602</v>
      </c>
      <c r="O20" s="105">
        <f t="shared" si="3"/>
        <v>0.20429072339585463</v>
      </c>
      <c r="P20" s="105">
        <f t="shared" si="3"/>
        <v>0.23179844007198613</v>
      </c>
      <c r="Q20" s="105">
        <f t="shared" si="3"/>
        <v>0.11766913193945272</v>
      </c>
      <c r="R20" s="105">
        <f t="shared" si="3"/>
        <v>0.19018100780616454</v>
      </c>
    </row>
    <row r="21" spans="3:18" customFormat="1" x14ac:dyDescent="0.2">
      <c r="D21" s="124"/>
      <c r="K21" s="105"/>
      <c r="L21" s="105"/>
      <c r="M21" s="105"/>
      <c r="N21" s="105"/>
      <c r="O21" s="105"/>
      <c r="P21" s="105"/>
      <c r="Q21" s="105"/>
      <c r="R21" s="105"/>
    </row>
    <row r="22" spans="3:18" customFormat="1" x14ac:dyDescent="0.2">
      <c r="C22" t="s">
        <v>3</v>
      </c>
      <c r="D22" s="124" t="s">
        <v>126</v>
      </c>
      <c r="K22" s="181" cm="1">
        <f t="array" aca="1" ref="K22:R22" ca="1">'Financial Statements'!K32:R32</f>
        <v>39.496686049131554</v>
      </c>
      <c r="L22" s="181">
        <f ca="1"/>
        <v>33.858995921143148</v>
      </c>
      <c r="M22" s="181">
        <f ca="1"/>
        <v>19.909056523469744</v>
      </c>
      <c r="N22" s="181">
        <f ca="1"/>
        <v>29.950314448870291</v>
      </c>
      <c r="O22" s="181">
        <f ca="1"/>
        <v>38.694216773055132</v>
      </c>
      <c r="P22" s="181">
        <f ca="1"/>
        <v>51.343859310650103</v>
      </c>
      <c r="Q22" s="181">
        <f ca="1"/>
        <v>59.33411258591628</v>
      </c>
      <c r="R22" s="181">
        <f ca="1"/>
        <v>74.016710152508821</v>
      </c>
    </row>
    <row r="23" spans="3:18" customFormat="1" x14ac:dyDescent="0.2">
      <c r="C23" t="s">
        <v>175</v>
      </c>
      <c r="D23" s="124" t="s">
        <v>123</v>
      </c>
      <c r="K23" s="199">
        <f ca="1">K22/K15</f>
        <v>0.14045018492660216</v>
      </c>
      <c r="L23" s="199">
        <f t="shared" ref="L23:Q23" ca="1" si="4">L22/L15</f>
        <v>0.12040322860247438</v>
      </c>
      <c r="M23" s="199">
        <f t="shared" ca="1" si="4"/>
        <v>7.4239636869651737E-2</v>
      </c>
      <c r="N23" s="199">
        <f t="shared" ca="1" si="4"/>
        <v>0.1035975979648162</v>
      </c>
      <c r="O23" s="199">
        <f t="shared" ca="1" si="4"/>
        <v>0.12248171661142403</v>
      </c>
      <c r="P23" s="199">
        <f t="shared" ca="1" si="4"/>
        <v>0.1475955250675961</v>
      </c>
      <c r="Q23" s="199">
        <f t="shared" ca="1" si="4"/>
        <v>0.16018195669261145</v>
      </c>
      <c r="R23" s="199">
        <f ca="1">R22/R15</f>
        <v>0.18095448634179381</v>
      </c>
    </row>
    <row r="24" spans="3:18" customFormat="1" x14ac:dyDescent="0.2">
      <c r="C24" t="s">
        <v>174</v>
      </c>
      <c r="D24" s="124" t="s">
        <v>123</v>
      </c>
      <c r="K24" s="4"/>
      <c r="L24" s="105">
        <f ca="1">L22/K22-1</f>
        <v>-0.14273830773993168</v>
      </c>
      <c r="M24" s="105">
        <f t="shared" ref="M24:R24" ca="1" si="5">M22/L22-1</f>
        <v>-0.41200097693866955</v>
      </c>
      <c r="N24" s="105">
        <f t="shared" ca="1" si="5"/>
        <v>0.50435629200024801</v>
      </c>
      <c r="O24" s="105">
        <f t="shared" ca="1" si="5"/>
        <v>0.29194692894166452</v>
      </c>
      <c r="P24" s="105">
        <f t="shared" ca="1" si="5"/>
        <v>0.32691300128353018</v>
      </c>
      <c r="Q24" s="105">
        <f t="shared" ca="1" si="5"/>
        <v>0.1556223739809286</v>
      </c>
      <c r="R24" s="105">
        <f t="shared" ca="1" si="5"/>
        <v>0.24745625958982731</v>
      </c>
    </row>
    <row r="25" spans="3:18" customFormat="1" x14ac:dyDescent="0.2">
      <c r="D25" s="123"/>
    </row>
    <row r="26" spans="3:18" customFormat="1" ht="3" customHeight="1" x14ac:dyDescent="0.2">
      <c r="D26" s="123"/>
    </row>
    <row r="27" spans="3:18" customFormat="1" x14ac:dyDescent="0.2">
      <c r="D27" s="123"/>
    </row>
    <row r="28" spans="3:18" customFormat="1" ht="3" customHeight="1" x14ac:dyDescent="0.2">
      <c r="D28" s="123"/>
      <c r="M28" t="e">
        <f>B2&amp;" - "&amp;scn_sel</f>
        <v>#NAME?</v>
      </c>
    </row>
    <row r="29" spans="3:18" customFormat="1" x14ac:dyDescent="0.2">
      <c r="D29" s="123"/>
      <c r="J29" t="str">
        <f>B2&amp;" - "&amp;scn_cell</f>
        <v>XYZ Manufacturing - Base Case</v>
      </c>
    </row>
    <row r="30" spans="3:18" customFormat="1" ht="3" customHeight="1" x14ac:dyDescent="0.2">
      <c r="D30" s="123"/>
    </row>
    <row r="31" spans="3:18" customFormat="1" x14ac:dyDescent="0.2">
      <c r="D31" s="123"/>
    </row>
    <row r="32" spans="3:18" customFormat="1" x14ac:dyDescent="0.2">
      <c r="D32" s="123"/>
    </row>
    <row r="33" spans="4:4" customFormat="1" x14ac:dyDescent="0.2">
      <c r="D33" s="123"/>
    </row>
    <row r="34" spans="4:4" customFormat="1" ht="3" customHeight="1" x14ac:dyDescent="0.2">
      <c r="D34" s="123"/>
    </row>
    <row r="35" spans="4:4" customFormat="1" ht="3" customHeight="1" x14ac:dyDescent="0.2">
      <c r="D35" s="123"/>
    </row>
    <row r="36" spans="4:4" customFormat="1" x14ac:dyDescent="0.2">
      <c r="D36" s="123"/>
    </row>
    <row r="37" spans="4:4" customFormat="1" ht="3" customHeight="1" x14ac:dyDescent="0.2">
      <c r="D37" s="123"/>
    </row>
    <row r="38" spans="4:4" customFormat="1" x14ac:dyDescent="0.2">
      <c r="D38" s="123"/>
    </row>
    <row r="39" spans="4:4" customFormat="1" ht="3" customHeight="1" x14ac:dyDescent="0.2">
      <c r="D39" s="123"/>
    </row>
    <row r="40" spans="4:4" customFormat="1" x14ac:dyDescent="0.2">
      <c r="D40" s="123"/>
    </row>
    <row r="41" spans="4:4" customFormat="1" x14ac:dyDescent="0.2">
      <c r="D41" s="123"/>
    </row>
    <row r="42" spans="4:4" customFormat="1" x14ac:dyDescent="0.2">
      <c r="D42" s="123"/>
    </row>
    <row r="43" spans="4:4" customFormat="1" ht="3" customHeight="1" x14ac:dyDescent="0.2">
      <c r="D43" s="123"/>
    </row>
    <row r="44" spans="4:4" customFormat="1" x14ac:dyDescent="0.2">
      <c r="D44" s="123"/>
    </row>
    <row r="45" spans="4:4" customFormat="1" x14ac:dyDescent="0.2">
      <c r="D45" s="123"/>
    </row>
    <row r="46" spans="4:4" customFormat="1" ht="3" customHeight="1" x14ac:dyDescent="0.2">
      <c r="D46" s="123"/>
    </row>
    <row r="47" spans="4:4" customFormat="1" x14ac:dyDescent="0.2">
      <c r="D47" s="123"/>
    </row>
    <row r="48" spans="4:4" customFormat="1" x14ac:dyDescent="0.2">
      <c r="D48" s="123"/>
    </row>
    <row r="49" spans="4:4" customFormat="1" x14ac:dyDescent="0.2">
      <c r="D49" s="123"/>
    </row>
    <row r="50" spans="4:4" customFormat="1" ht="3" customHeight="1" x14ac:dyDescent="0.2">
      <c r="D50" s="123"/>
    </row>
    <row r="51" spans="4:4" customFormat="1" x14ac:dyDescent="0.2">
      <c r="D51" s="123"/>
    </row>
    <row r="52" spans="4:4" x14ac:dyDescent="0.2"/>
    <row r="53" spans="4:4" x14ac:dyDescent="0.2"/>
    <row r="54" spans="4:4" x14ac:dyDescent="0.2"/>
    <row r="55" spans="4:4" x14ac:dyDescent="0.2"/>
    <row r="56" spans="4:4" x14ac:dyDescent="0.2"/>
    <row r="57" spans="4:4" x14ac:dyDescent="0.2"/>
  </sheetData>
  <conditionalFormatting sqref="K24">
    <cfRule type="containsBlanks" dxfId="59" priority="1">
      <formula>LEN(TRIM(K24))=0</formula>
    </cfRule>
  </conditionalFormatting>
  <conditionalFormatting sqref="K10:M12">
    <cfRule type="containsBlanks" dxfId="58" priority="2">
      <formula>LEN(TRIM(K10))=0</formula>
    </cfRule>
  </conditionalFormatting>
  <conditionalFormatting sqref="K6:R7">
    <cfRule type="cellIs" dxfId="57" priority="3" operator="equal">
      <formula>TRUE</formula>
    </cfRule>
  </conditionalFormatting>
  <pageMargins left="0.7" right="0.7" top="0.75" bottom="0.75" header="0.3" footer="0.3"/>
  <pageSetup paperSize="9" scale="73" orientation="portrait" r:id="rId1"/>
  <headerFooter>
    <oddHeader>&amp;LFinancial Metrics for Decision Making 25624</oddHeader>
    <oddFooter>&amp;L&amp;F&amp;R&amp;A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D23E849-4B68-46A8-998F-063D0DCA2753}">
          <x14:formula1>
            <xm:f>Assumptions!$H$81:$H$83</xm:f>
          </x14:formula1>
          <xm:sqref>R1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928CF-AF35-486C-AA41-F90D5A3B5739}">
  <sheetPr>
    <pageSetUpPr fitToPage="1"/>
  </sheetPr>
  <dimension ref="A1:T235"/>
  <sheetViews>
    <sheetView showGridLines="0" tabSelected="1" zoomScale="80" zoomScaleNormal="100" workbookViewId="0">
      <pane xSplit="10" ySplit="9" topLeftCell="K17" activePane="bottomRight" state="frozen"/>
      <selection activeCell="K87" sqref="K87"/>
      <selection pane="topRight" activeCell="K87" sqref="K87"/>
      <selection pane="bottomLeft" activeCell="K87" sqref="K87"/>
      <selection pane="bottomRight" activeCell="K87" sqref="K87"/>
    </sheetView>
  </sheetViews>
  <sheetFormatPr defaultColWidth="0" defaultRowHeight="12.75" zeroHeight="1" x14ac:dyDescent="0.2"/>
  <cols>
    <col min="1" max="1" width="1.42578125" style="3" customWidth="1"/>
    <col min="2" max="2" width="1.85546875" style="3" customWidth="1"/>
    <col min="3" max="3" width="45.5703125" style="3" customWidth="1"/>
    <col min="4" max="4" width="4.7109375" style="123" customWidth="1"/>
    <col min="5" max="5" width="1.5703125" style="3" customWidth="1"/>
    <col min="6" max="6" width="1.140625" style="3" customWidth="1"/>
    <col min="7" max="7" width="1.42578125" style="3" customWidth="1"/>
    <col min="8" max="8" width="12.85546875" style="3" customWidth="1"/>
    <col min="9" max="10" width="8.7109375" style="3" customWidth="1"/>
    <col min="11" max="20" width="11" style="3" customWidth="1"/>
    <col min="21" max="16384" width="9.140625" style="3" hidden="1"/>
  </cols>
  <sheetData>
    <row r="1" spans="1:20" ht="12.75" customHeight="1" x14ac:dyDescent="0.2"/>
    <row r="2" spans="1:20" s="62" customFormat="1" ht="16.5" thickBot="1" x14ac:dyDescent="0.3">
      <c r="A2" s="58">
        <f>Cover!B12</f>
        <v>0</v>
      </c>
      <c r="B2" s="58"/>
      <c r="C2" s="59"/>
      <c r="D2" s="133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  <c r="T2" s="61"/>
    </row>
    <row r="3" spans="1:20" ht="16.5" thickTop="1" x14ac:dyDescent="0.25">
      <c r="A3" s="72"/>
      <c r="B3" s="72"/>
      <c r="C3" s="54"/>
      <c r="D3" s="121"/>
      <c r="E3" s="54"/>
      <c r="F3" s="54"/>
      <c r="G3" s="54"/>
      <c r="H3" s="54"/>
      <c r="I3" s="54"/>
      <c r="J3" s="54"/>
      <c r="K3" s="201"/>
      <c r="L3" s="201"/>
      <c r="M3" s="201"/>
      <c r="N3" s="201"/>
      <c r="O3" s="201"/>
      <c r="P3" s="201"/>
      <c r="Q3" s="201"/>
      <c r="R3" s="201"/>
    </row>
    <row r="4" spans="1:20" ht="15.75" x14ac:dyDescent="0.25">
      <c r="A4" s="73"/>
      <c r="B4" s="73"/>
      <c r="C4" s="166" t="s">
        <v>176</v>
      </c>
      <c r="D4"/>
      <c r="E4"/>
      <c r="F4"/>
      <c r="G4"/>
      <c r="H4"/>
      <c r="I4"/>
      <c r="J4"/>
      <c r="K4" s="4">
        <v>2022</v>
      </c>
      <c r="L4" s="4">
        <v>2023</v>
      </c>
      <c r="M4" s="4">
        <v>2024</v>
      </c>
      <c r="N4" s="4">
        <v>2025</v>
      </c>
      <c r="O4" s="4">
        <v>2026</v>
      </c>
      <c r="P4" s="4">
        <v>2027</v>
      </c>
      <c r="Q4" s="4">
        <v>2028</v>
      </c>
      <c r="R4" s="4">
        <v>2029</v>
      </c>
    </row>
    <row r="5" spans="1:20" customFormat="1" x14ac:dyDescent="0.2">
      <c r="C5" s="4" t="s">
        <v>177</v>
      </c>
      <c r="K5" s="3" t="b">
        <f>K4&lt;Forecast.start</f>
        <v>1</v>
      </c>
      <c r="L5" s="3" t="b" cm="1">
        <f t="array" ref="L5">L4&lt;Forecast.start</f>
        <v>1</v>
      </c>
      <c r="M5" s="3" t="b" cm="1">
        <f t="array" ref="M5">M4&lt;Forecast.start</f>
        <v>1</v>
      </c>
      <c r="N5" s="3" t="b" cm="1">
        <f t="array" ref="N5">N4&lt;Forecast.start</f>
        <v>0</v>
      </c>
      <c r="O5" s="3" t="b" cm="1">
        <f t="array" ref="O5">O4&lt;Forecast.start</f>
        <v>0</v>
      </c>
      <c r="P5" s="3" t="b" cm="1">
        <f t="array" ref="P5">P4&lt;Forecast.start</f>
        <v>0</v>
      </c>
      <c r="Q5" s="3" t="b" cm="1">
        <f t="array" ref="Q5">Q4&lt;Forecast.start</f>
        <v>0</v>
      </c>
      <c r="R5" s="3" t="b" cm="1">
        <f t="array" ref="R5">R4&lt;Forecast.start</f>
        <v>0</v>
      </c>
    </row>
    <row r="6" spans="1:20" customFormat="1" x14ac:dyDescent="0.2">
      <c r="C6" s="4" t="s">
        <v>178</v>
      </c>
      <c r="K6" t="b">
        <f>NOT(K5)</f>
        <v>0</v>
      </c>
      <c r="L6" t="b">
        <f t="shared" ref="L6:R6" si="0">NOT(L5)</f>
        <v>0</v>
      </c>
      <c r="M6" t="b">
        <f t="shared" si="0"/>
        <v>0</v>
      </c>
      <c r="N6" t="b">
        <f t="shared" si="0"/>
        <v>1</v>
      </c>
      <c r="O6" t="b">
        <f t="shared" si="0"/>
        <v>1</v>
      </c>
      <c r="P6" t="b">
        <f t="shared" si="0"/>
        <v>1</v>
      </c>
      <c r="Q6" t="b">
        <f t="shared" si="0"/>
        <v>1</v>
      </c>
      <c r="R6" t="b">
        <f t="shared" si="0"/>
        <v>1</v>
      </c>
    </row>
    <row r="7" spans="1:20" customFormat="1" x14ac:dyDescent="0.2"/>
    <row r="8" spans="1:20" ht="15.75" x14ac:dyDescent="0.25">
      <c r="A8" s="73"/>
      <c r="B8" s="73"/>
      <c r="C8" s="4"/>
      <c r="D8" s="11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39"/>
      <c r="Q8" s="56"/>
      <c r="R8" s="4"/>
    </row>
    <row r="9" spans="1:20" s="114" customFormat="1" ht="15.75" x14ac:dyDescent="0.25">
      <c r="A9" s="124" t="s">
        <v>105</v>
      </c>
      <c r="B9" s="130"/>
      <c r="C9" s="131"/>
      <c r="D9" s="124" t="s">
        <v>106</v>
      </c>
      <c r="E9" s="131"/>
      <c r="F9" s="131"/>
      <c r="G9" s="131"/>
      <c r="H9" s="124" t="s">
        <v>107</v>
      </c>
      <c r="I9" s="132" t="s">
        <v>122</v>
      </c>
      <c r="J9" s="115"/>
      <c r="K9" s="115"/>
      <c r="L9" s="115"/>
      <c r="M9" s="115"/>
      <c r="N9" s="115"/>
      <c r="O9" s="115"/>
      <c r="P9" s="117"/>
      <c r="Q9" s="118"/>
      <c r="R9" s="115"/>
    </row>
    <row r="10" spans="1:20" s="66" customFormat="1" ht="16.5" thickBot="1" x14ac:dyDescent="0.3">
      <c r="A10" s="74" t="s">
        <v>113</v>
      </c>
      <c r="B10" s="74"/>
      <c r="D10" s="134"/>
      <c r="P10" s="67"/>
      <c r="Q10" s="68"/>
    </row>
    <row r="11" spans="1:20" ht="15.75" x14ac:dyDescent="0.25">
      <c r="A11" s="73"/>
      <c r="B11" s="73"/>
      <c r="C11" s="4"/>
      <c r="D11" s="119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39"/>
      <c r="Q11" s="56"/>
      <c r="R11" s="4"/>
    </row>
    <row r="12" spans="1:20" ht="15.75" x14ac:dyDescent="0.25">
      <c r="A12" s="73"/>
      <c r="B12" s="73"/>
      <c r="C12" s="4" t="s">
        <v>5</v>
      </c>
      <c r="D12" s="119"/>
      <c r="E12" s="4"/>
      <c r="F12" s="4"/>
      <c r="G12" s="4"/>
      <c r="H12" s="4"/>
      <c r="I12" s="47">
        <v>2025</v>
      </c>
      <c r="J12" s="65"/>
      <c r="K12" s="4"/>
      <c r="L12" s="4"/>
      <c r="M12" s="4"/>
      <c r="N12" s="4"/>
      <c r="O12" s="4"/>
      <c r="P12" s="39"/>
      <c r="Q12" s="56"/>
      <c r="R12" s="4"/>
    </row>
    <row r="13" spans="1:20" ht="15.75" x14ac:dyDescent="0.25">
      <c r="A13" s="73"/>
      <c r="B13" s="73"/>
      <c r="C13" s="4"/>
      <c r="D13" s="119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39"/>
      <c r="Q13" s="56"/>
      <c r="R13" s="4"/>
    </row>
    <row r="14" spans="1:20" ht="15.75" x14ac:dyDescent="0.25">
      <c r="A14" s="73"/>
      <c r="B14" s="73"/>
      <c r="C14" s="4" t="s">
        <v>154</v>
      </c>
      <c r="D14" s="119"/>
      <c r="E14" s="4"/>
      <c r="F14" s="4"/>
      <c r="G14" s="4"/>
      <c r="H14" s="4"/>
      <c r="I14" s="149">
        <v>0.01</v>
      </c>
      <c r="J14" s="65"/>
      <c r="K14" s="4"/>
      <c r="L14" s="4"/>
      <c r="M14" s="4"/>
      <c r="N14" s="4"/>
      <c r="O14" s="4"/>
      <c r="P14" s="39"/>
      <c r="Q14" s="56"/>
      <c r="R14" s="4"/>
    </row>
    <row r="15" spans="1:20" ht="15.75" x14ac:dyDescent="0.25">
      <c r="A15" s="73"/>
      <c r="B15" s="73"/>
      <c r="C15" s="4"/>
      <c r="D15" s="11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39"/>
      <c r="Q15" s="56"/>
      <c r="R15" s="4"/>
    </row>
    <row r="16" spans="1:20" s="66" customFormat="1" ht="16.5" thickBot="1" x14ac:dyDescent="0.3">
      <c r="A16" s="74" t="s">
        <v>108</v>
      </c>
      <c r="B16" s="74"/>
      <c r="D16" s="134"/>
      <c r="P16" s="67"/>
      <c r="Q16" s="68"/>
    </row>
    <row r="17" spans="1:18" ht="15.75" x14ac:dyDescent="0.25">
      <c r="A17" s="73"/>
      <c r="B17" s="73"/>
      <c r="C17" s="4" t="s">
        <v>31</v>
      </c>
      <c r="D17" s="128" t="s">
        <v>126</v>
      </c>
      <c r="E17" s="4"/>
      <c r="F17" s="18"/>
      <c r="G17" s="32"/>
      <c r="H17" s="32"/>
      <c r="I17" s="32"/>
      <c r="J17" s="32"/>
      <c r="K17" s="109">
        <v>322.72779678589939</v>
      </c>
      <c r="L17" s="109">
        <v>325.46609324347673</v>
      </c>
      <c r="M17" s="109">
        <v>315</v>
      </c>
      <c r="N17" s="4"/>
      <c r="O17" s="4"/>
      <c r="P17" s="4"/>
      <c r="Q17" s="4"/>
      <c r="R17" s="4"/>
    </row>
    <row r="18" spans="1:18" ht="15.75" x14ac:dyDescent="0.25">
      <c r="A18" s="73"/>
      <c r="B18" s="73"/>
      <c r="C18" s="17" t="s">
        <v>32</v>
      </c>
      <c r="D18" s="128" t="s">
        <v>126</v>
      </c>
      <c r="E18" s="4"/>
      <c r="F18" s="18"/>
      <c r="G18" s="32"/>
      <c r="H18" s="32"/>
      <c r="I18" s="32"/>
      <c r="J18" s="32"/>
      <c r="K18" s="109">
        <v>41.512887245038897</v>
      </c>
      <c r="L18" s="109">
        <v>44.252737803211403</v>
      </c>
      <c r="M18" s="109">
        <v>46.827129509999999</v>
      </c>
      <c r="N18" s="4"/>
      <c r="O18" s="4"/>
      <c r="P18" s="4"/>
      <c r="Q18" s="4"/>
      <c r="R18" s="4"/>
    </row>
    <row r="19" spans="1:18" ht="15.75" x14ac:dyDescent="0.25">
      <c r="A19" s="73"/>
      <c r="B19" s="73"/>
      <c r="C19" s="4"/>
      <c r="D19" s="119"/>
      <c r="E19" s="4"/>
      <c r="F19" s="4"/>
      <c r="G19" s="4"/>
      <c r="H19" s="4"/>
      <c r="I19" s="4"/>
      <c r="J19" s="4"/>
      <c r="K19" s="50"/>
      <c r="L19" s="50"/>
      <c r="M19" s="50"/>
      <c r="N19" s="174"/>
      <c r="O19" s="174"/>
      <c r="P19" s="39"/>
      <c r="Q19" s="56"/>
      <c r="R19" s="4"/>
    </row>
    <row r="20" spans="1:18" ht="15.75" x14ac:dyDescent="0.25">
      <c r="A20" s="73"/>
      <c r="B20" s="73"/>
      <c r="C20" s="4" t="s">
        <v>33</v>
      </c>
      <c r="D20" s="128" t="s">
        <v>126</v>
      </c>
      <c r="E20" s="4"/>
      <c r="F20" s="18"/>
      <c r="G20" s="32"/>
      <c r="H20" s="32"/>
      <c r="I20" s="32"/>
      <c r="J20" s="32"/>
      <c r="K20" s="110">
        <v>190.709812284317</v>
      </c>
      <c r="L20" s="110">
        <v>200.35336829508199</v>
      </c>
      <c r="M20" s="110">
        <v>209.567800611</v>
      </c>
      <c r="N20" s="4"/>
      <c r="O20" s="4"/>
      <c r="P20" s="4"/>
      <c r="Q20" s="4"/>
      <c r="R20" s="4"/>
    </row>
    <row r="21" spans="1:18" ht="15.75" x14ac:dyDescent="0.25">
      <c r="A21" s="73"/>
      <c r="B21" s="73"/>
      <c r="C21" s="28" t="s">
        <v>34</v>
      </c>
      <c r="D21" s="128" t="s">
        <v>126</v>
      </c>
      <c r="E21" s="4"/>
      <c r="F21" s="18"/>
      <c r="G21" s="32"/>
      <c r="H21" s="32"/>
      <c r="I21" s="32"/>
      <c r="J21" s="32"/>
      <c r="K21" s="111">
        <v>4.0575599999999996</v>
      </c>
      <c r="L21" s="111">
        <v>4.1589989999999997</v>
      </c>
      <c r="M21" s="111">
        <v>4.2629739750000004</v>
      </c>
      <c r="N21" s="4"/>
      <c r="O21" s="4"/>
      <c r="P21" s="4"/>
      <c r="Q21" s="4"/>
      <c r="R21" s="4"/>
    </row>
    <row r="22" spans="1:18" ht="15.75" x14ac:dyDescent="0.25">
      <c r="A22" s="73"/>
      <c r="B22" s="73"/>
      <c r="C22" s="4"/>
      <c r="D22" s="119"/>
      <c r="E22" s="4"/>
      <c r="F22" s="4"/>
      <c r="G22" s="4"/>
      <c r="H22" s="4"/>
      <c r="I22" s="4"/>
      <c r="J22" s="4"/>
      <c r="K22" s="153"/>
      <c r="L22" s="153"/>
      <c r="M22" s="153"/>
      <c r="N22" s="4"/>
      <c r="O22" s="4"/>
      <c r="P22" s="39"/>
      <c r="Q22" s="56"/>
      <c r="R22" s="4"/>
    </row>
    <row r="23" spans="1:18" ht="15.75" x14ac:dyDescent="0.25">
      <c r="A23" s="73"/>
      <c r="B23" s="73"/>
      <c r="C23" s="28" t="s">
        <v>16</v>
      </c>
      <c r="D23" s="128" t="s">
        <v>126</v>
      </c>
      <c r="E23" s="4"/>
      <c r="F23" s="18"/>
      <c r="G23" s="32"/>
      <c r="H23" s="32"/>
      <c r="I23" s="32"/>
      <c r="J23" s="32"/>
      <c r="K23" s="111">
        <v>0</v>
      </c>
      <c r="L23" s="111">
        <v>0</v>
      </c>
      <c r="M23" s="111">
        <v>0</v>
      </c>
      <c r="N23" s="4"/>
      <c r="O23" s="4"/>
      <c r="P23" s="4"/>
      <c r="Q23" s="4"/>
      <c r="R23" s="4"/>
    </row>
    <row r="24" spans="1:18" ht="15.75" x14ac:dyDescent="0.25">
      <c r="A24" s="73"/>
      <c r="B24" s="73"/>
      <c r="C24" s="4"/>
      <c r="D24" s="119"/>
      <c r="E24" s="4"/>
      <c r="F24" s="4"/>
      <c r="G24" s="4"/>
      <c r="H24" s="4"/>
      <c r="I24" s="4"/>
      <c r="J24" s="4"/>
      <c r="K24" s="50"/>
      <c r="L24" s="50"/>
      <c r="M24" s="50"/>
      <c r="N24" s="4"/>
      <c r="O24" s="4"/>
      <c r="P24" s="39"/>
      <c r="Q24" s="56"/>
      <c r="R24" s="4"/>
    </row>
    <row r="25" spans="1:18" ht="15.75" x14ac:dyDescent="0.25">
      <c r="A25" s="73"/>
      <c r="B25" s="73"/>
      <c r="C25" s="4" t="s">
        <v>36</v>
      </c>
      <c r="D25" s="128" t="s">
        <v>126</v>
      </c>
      <c r="E25" s="4"/>
      <c r="F25" s="18"/>
      <c r="G25" s="4"/>
      <c r="H25" s="4"/>
      <c r="I25" s="4"/>
      <c r="J25" s="4"/>
      <c r="K25" s="112">
        <v>17.296333333333301</v>
      </c>
      <c r="L25" s="112">
        <v>17.876333333333299</v>
      </c>
      <c r="M25" s="112">
        <v>18.468</v>
      </c>
      <c r="N25" s="4"/>
      <c r="O25" s="4"/>
      <c r="P25" s="4"/>
      <c r="Q25" s="4"/>
      <c r="R25" s="4"/>
    </row>
    <row r="26" spans="1:18" ht="15.75" x14ac:dyDescent="0.25">
      <c r="A26" s="73"/>
      <c r="B26" s="73"/>
      <c r="C26" s="4"/>
      <c r="D26" s="119"/>
      <c r="E26" s="4"/>
      <c r="F26" s="4"/>
      <c r="G26" s="4"/>
      <c r="H26" s="4"/>
      <c r="I26" s="4"/>
      <c r="J26" s="4"/>
      <c r="K26" s="50"/>
      <c r="L26" s="50"/>
      <c r="M26" s="50"/>
      <c r="N26" s="4"/>
      <c r="O26" s="4"/>
      <c r="P26" s="39"/>
      <c r="Q26" s="56"/>
      <c r="R26" s="4"/>
    </row>
    <row r="27" spans="1:18" ht="15.75" x14ac:dyDescent="0.25">
      <c r="A27" s="73"/>
      <c r="B27" s="73"/>
      <c r="C27" s="17" t="s">
        <v>38</v>
      </c>
      <c r="D27" s="128" t="s">
        <v>126</v>
      </c>
      <c r="E27" s="4"/>
      <c r="F27" s="18"/>
      <c r="G27" s="4"/>
      <c r="H27" s="4"/>
      <c r="I27" s="4"/>
      <c r="J27" s="4"/>
      <c r="K27" s="109">
        <v>8.3870715399310498</v>
      </c>
      <c r="L27" s="109">
        <v>6.73389185624539</v>
      </c>
      <c r="M27" s="109">
        <v>5.2447781755849503</v>
      </c>
      <c r="N27" s="4"/>
      <c r="O27" s="4"/>
      <c r="P27" s="4"/>
      <c r="Q27" s="4"/>
      <c r="R27" s="4"/>
    </row>
    <row r="28" spans="1:18" ht="15.75" x14ac:dyDescent="0.25">
      <c r="A28" s="73"/>
      <c r="B28" s="73"/>
      <c r="C28" s="4"/>
      <c r="D28" s="119"/>
      <c r="E28" s="4"/>
      <c r="F28" s="4"/>
      <c r="G28" s="4"/>
      <c r="H28" s="4"/>
      <c r="I28" s="4"/>
      <c r="J28" s="4"/>
      <c r="K28" s="50"/>
      <c r="L28" s="50"/>
      <c r="M28" s="50"/>
      <c r="N28" s="4"/>
      <c r="O28" s="4"/>
      <c r="P28" s="39"/>
      <c r="Q28" s="56"/>
      <c r="R28" s="4"/>
    </row>
    <row r="29" spans="1:18" ht="15.75" x14ac:dyDescent="0.25">
      <c r="A29" s="73"/>
      <c r="B29" s="73"/>
      <c r="C29" s="4" t="s">
        <v>40</v>
      </c>
      <c r="D29" s="128" t="s">
        <v>126</v>
      </c>
      <c r="E29" s="4"/>
      <c r="F29" s="18"/>
      <c r="G29" s="4"/>
      <c r="H29" s="4"/>
      <c r="I29" s="4"/>
      <c r="J29" s="4"/>
      <c r="K29" s="109">
        <v>19.5174463341476</v>
      </c>
      <c r="L29" s="109">
        <v>16.481767034461502</v>
      </c>
      <c r="M29" s="109">
        <v>8.9702612049452899</v>
      </c>
      <c r="N29" s="4"/>
      <c r="O29" s="4"/>
      <c r="P29" s="4"/>
      <c r="Q29" s="4"/>
      <c r="R29" s="4"/>
    </row>
    <row r="30" spans="1:18" ht="15.75" x14ac:dyDescent="0.25">
      <c r="A30" s="73"/>
      <c r="B30" s="73"/>
      <c r="C30" s="4" t="s">
        <v>41</v>
      </c>
      <c r="D30" s="128" t="s">
        <v>126</v>
      </c>
      <c r="E30" s="4"/>
      <c r="F30" s="18"/>
      <c r="G30" s="4"/>
      <c r="H30" s="4"/>
      <c r="I30" s="4"/>
      <c r="J30" s="4"/>
      <c r="K30" s="109">
        <v>1.75</v>
      </c>
      <c r="L30" s="109">
        <v>1.75</v>
      </c>
      <c r="M30" s="109">
        <v>1.75</v>
      </c>
      <c r="N30" s="4"/>
      <c r="O30" s="4"/>
      <c r="P30" s="4"/>
      <c r="Q30" s="4"/>
      <c r="R30" s="4"/>
    </row>
    <row r="31" spans="1:18" ht="15.75" x14ac:dyDescent="0.25">
      <c r="A31" s="73"/>
      <c r="B31" s="73"/>
      <c r="C31" s="4"/>
      <c r="D31" s="119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39"/>
      <c r="Q31" s="56"/>
      <c r="R31" s="4"/>
    </row>
    <row r="32" spans="1:18" s="66" customFormat="1" ht="16.5" thickBot="1" x14ac:dyDescent="0.3">
      <c r="A32" s="74" t="s">
        <v>109</v>
      </c>
      <c r="B32" s="74"/>
      <c r="D32" s="134"/>
      <c r="P32" s="67"/>
      <c r="Q32" s="68"/>
    </row>
    <row r="33" spans="1:18" ht="15.75" x14ac:dyDescent="0.25">
      <c r="A33" s="73"/>
      <c r="B33" s="75" t="s">
        <v>43</v>
      </c>
      <c r="C33" s="4"/>
      <c r="D33" s="119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39"/>
      <c r="Q33" s="56"/>
      <c r="R33" s="4"/>
    </row>
    <row r="34" spans="1:18" ht="15.75" x14ac:dyDescent="0.25">
      <c r="A34" s="73"/>
      <c r="B34" s="76"/>
      <c r="C34" s="4" t="s">
        <v>3</v>
      </c>
      <c r="D34" s="128" t="s">
        <v>126</v>
      </c>
      <c r="E34" s="4"/>
      <c r="F34" s="4"/>
      <c r="G34" s="22"/>
      <c r="H34" s="22"/>
      <c r="I34" s="22"/>
      <c r="J34" s="22"/>
      <c r="K34" s="112">
        <v>39.49668604913127</v>
      </c>
      <c r="L34" s="112">
        <v>33.858995921142842</v>
      </c>
      <c r="M34" s="112">
        <v>19.909056523469829</v>
      </c>
      <c r="N34" s="4"/>
      <c r="O34" s="4"/>
      <c r="P34" s="4"/>
      <c r="Q34" s="4"/>
      <c r="R34" s="4"/>
    </row>
    <row r="35" spans="1:18" ht="15.75" x14ac:dyDescent="0.25">
      <c r="A35" s="73"/>
      <c r="B35" s="76"/>
      <c r="C35" s="4" t="s">
        <v>44</v>
      </c>
      <c r="D35" s="128" t="s">
        <v>126</v>
      </c>
      <c r="E35" s="4"/>
      <c r="F35" s="4"/>
      <c r="G35" s="22"/>
      <c r="H35" s="22"/>
      <c r="I35" s="22"/>
      <c r="J35" s="22"/>
      <c r="K35" s="112">
        <v>17.296333333333333</v>
      </c>
      <c r="L35" s="112">
        <v>17.876333333333331</v>
      </c>
      <c r="M35" s="112">
        <v>18.468</v>
      </c>
      <c r="N35" s="4"/>
      <c r="O35" s="4"/>
      <c r="P35" s="4"/>
      <c r="Q35" s="4"/>
      <c r="R35" s="4"/>
    </row>
    <row r="36" spans="1:18" ht="15.75" x14ac:dyDescent="0.25">
      <c r="A36" s="73"/>
      <c r="B36" s="76"/>
      <c r="C36" s="4" t="s">
        <v>41</v>
      </c>
      <c r="D36" s="128" t="s">
        <v>126</v>
      </c>
      <c r="E36" s="4"/>
      <c r="F36" s="4"/>
      <c r="G36" s="27"/>
      <c r="H36" s="27"/>
      <c r="I36" s="27"/>
      <c r="J36" s="27"/>
      <c r="K36" s="112">
        <v>1.75</v>
      </c>
      <c r="L36" s="112">
        <v>1.75</v>
      </c>
      <c r="M36" s="112">
        <v>1.75</v>
      </c>
      <c r="N36" s="4"/>
      <c r="O36" s="4"/>
      <c r="P36" s="4"/>
      <c r="Q36" s="4"/>
      <c r="R36" s="4"/>
    </row>
    <row r="37" spans="1:18" ht="15.75" x14ac:dyDescent="0.25">
      <c r="A37" s="73"/>
      <c r="B37" s="76"/>
      <c r="C37" s="4" t="s">
        <v>45</v>
      </c>
      <c r="D37" s="128" t="s">
        <v>126</v>
      </c>
      <c r="E37" s="4"/>
      <c r="F37" s="4"/>
      <c r="G37" s="19"/>
      <c r="H37" s="19"/>
      <c r="I37" s="19"/>
      <c r="J37" s="19"/>
      <c r="K37" s="110">
        <v>-3.6906200333388668</v>
      </c>
      <c r="L37" s="110">
        <v>-1.1359198477783039</v>
      </c>
      <c r="M37" s="110">
        <v>3.3542595272469313</v>
      </c>
      <c r="N37" s="4"/>
      <c r="O37" s="4"/>
      <c r="P37" s="4"/>
      <c r="Q37" s="4"/>
      <c r="R37" s="4"/>
    </row>
    <row r="38" spans="1:18" ht="15.75" x14ac:dyDescent="0.25">
      <c r="A38" s="73"/>
      <c r="B38" s="76"/>
      <c r="C38" s="4"/>
      <c r="D38" s="119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39"/>
      <c r="Q38" s="56"/>
      <c r="R38" s="4"/>
    </row>
    <row r="39" spans="1:18" ht="15.75" x14ac:dyDescent="0.25">
      <c r="A39" s="73"/>
      <c r="B39" s="75" t="s">
        <v>47</v>
      </c>
      <c r="C39" s="4"/>
      <c r="D39" s="119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39"/>
      <c r="Q39" s="56"/>
      <c r="R39" s="4"/>
    </row>
    <row r="40" spans="1:18" ht="15.75" x14ac:dyDescent="0.25">
      <c r="A40" s="73"/>
      <c r="B40" s="76"/>
      <c r="C40" s="4" t="s">
        <v>48</v>
      </c>
      <c r="D40" s="128" t="s">
        <v>126</v>
      </c>
      <c r="E40" s="4"/>
      <c r="F40" s="11"/>
      <c r="G40" s="4"/>
      <c r="H40" s="4"/>
      <c r="I40" s="4"/>
      <c r="J40" s="4"/>
      <c r="K40" s="112">
        <v>-17.3</v>
      </c>
      <c r="L40" s="112">
        <v>-17.5</v>
      </c>
      <c r="M40" s="112">
        <v>-18</v>
      </c>
      <c r="N40" s="4"/>
      <c r="O40" s="4"/>
      <c r="P40" s="4"/>
      <c r="Q40" s="4"/>
      <c r="R40" s="4"/>
    </row>
    <row r="41" spans="1:18" ht="15.75" x14ac:dyDescent="0.25">
      <c r="A41" s="73"/>
      <c r="B41" s="76"/>
      <c r="C41" s="4" t="s">
        <v>13</v>
      </c>
      <c r="D41" s="128" t="s">
        <v>126</v>
      </c>
      <c r="E41" s="4"/>
      <c r="F41" s="11"/>
      <c r="G41" s="4"/>
      <c r="H41" s="4"/>
      <c r="I41" s="4"/>
      <c r="J41" s="4"/>
      <c r="K41" s="112">
        <v>0</v>
      </c>
      <c r="L41" s="112">
        <v>0</v>
      </c>
      <c r="M41" s="112">
        <v>0</v>
      </c>
      <c r="N41" s="4"/>
      <c r="O41" s="4"/>
      <c r="P41" s="4"/>
      <c r="Q41" s="4"/>
      <c r="R41" s="4"/>
    </row>
    <row r="42" spans="1:18" ht="15.75" x14ac:dyDescent="0.25">
      <c r="A42" s="73"/>
      <c r="B42" s="76"/>
      <c r="C42" s="4"/>
      <c r="D42" s="119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39"/>
      <c r="Q42" s="56"/>
      <c r="R42" s="4"/>
    </row>
    <row r="43" spans="1:18" ht="15.75" x14ac:dyDescent="0.25">
      <c r="A43" s="73"/>
      <c r="B43" s="75" t="s">
        <v>50</v>
      </c>
      <c r="C43" s="4"/>
      <c r="D43" s="119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39"/>
      <c r="Q43" s="56"/>
      <c r="R43" s="4"/>
    </row>
    <row r="44" spans="1:18" ht="15.75" x14ac:dyDescent="0.25">
      <c r="A44" s="73"/>
      <c r="B44" s="76"/>
      <c r="C44" s="4" t="s">
        <v>51</v>
      </c>
      <c r="D44" s="128" t="s">
        <v>126</v>
      </c>
      <c r="E44" s="4"/>
      <c r="F44" s="4"/>
      <c r="G44" s="24"/>
      <c r="H44" s="24"/>
      <c r="I44" s="24"/>
      <c r="J44" s="24"/>
      <c r="K44" s="112">
        <v>-4.5810528750726842</v>
      </c>
      <c r="L44" s="112">
        <v>0</v>
      </c>
      <c r="M44" s="112">
        <v>0.35087576728110959</v>
      </c>
      <c r="N44" s="4"/>
      <c r="O44" s="4"/>
      <c r="P44" s="4"/>
      <c r="Q44" s="4"/>
      <c r="R44" s="4"/>
    </row>
    <row r="45" spans="1:18" ht="15.75" x14ac:dyDescent="0.25">
      <c r="A45" s="73"/>
      <c r="B45" s="76"/>
      <c r="C45" s="4" t="s">
        <v>52</v>
      </c>
      <c r="D45" s="128" t="s">
        <v>126</v>
      </c>
      <c r="E45" s="4"/>
      <c r="F45" s="4"/>
      <c r="G45" s="24"/>
      <c r="H45" s="24"/>
      <c r="I45" s="24"/>
      <c r="J45" s="24"/>
      <c r="K45" s="112">
        <v>-25</v>
      </c>
      <c r="L45" s="112">
        <v>-25</v>
      </c>
      <c r="M45" s="112">
        <v>-25</v>
      </c>
      <c r="N45" s="4"/>
      <c r="O45" s="4"/>
      <c r="P45" s="4"/>
      <c r="Q45" s="4"/>
      <c r="R45" s="4"/>
    </row>
    <row r="46" spans="1:18" ht="15.75" x14ac:dyDescent="0.25">
      <c r="A46" s="73"/>
      <c r="B46" s="76"/>
      <c r="C46" s="4" t="s">
        <v>53</v>
      </c>
      <c r="D46" s="128" t="s">
        <v>126</v>
      </c>
      <c r="E46" s="4"/>
      <c r="F46" s="4"/>
      <c r="G46" s="24"/>
      <c r="H46" s="24"/>
      <c r="I46" s="24"/>
      <c r="J46" s="24"/>
      <c r="K46" s="112">
        <v>0</v>
      </c>
      <c r="L46" s="112">
        <v>0</v>
      </c>
      <c r="M46" s="112">
        <v>0</v>
      </c>
      <c r="N46" s="4"/>
      <c r="O46" s="4"/>
      <c r="P46" s="4"/>
      <c r="Q46" s="4"/>
      <c r="R46" s="4"/>
    </row>
    <row r="47" spans="1:18" ht="15.75" x14ac:dyDescent="0.25">
      <c r="A47" s="73"/>
      <c r="B47" s="76"/>
      <c r="C47" s="4" t="s">
        <v>54</v>
      </c>
      <c r="D47" s="128" t="s">
        <v>126</v>
      </c>
      <c r="E47" s="4"/>
      <c r="F47" s="4"/>
      <c r="G47" s="24"/>
      <c r="H47" s="24"/>
      <c r="I47" s="24"/>
      <c r="J47" s="24"/>
      <c r="K47" s="112">
        <v>-7.8993372098262542</v>
      </c>
      <c r="L47" s="112">
        <v>-6.771799184228569</v>
      </c>
      <c r="M47" s="112">
        <v>-3.981811304693966</v>
      </c>
      <c r="N47" s="4"/>
      <c r="O47" s="4"/>
      <c r="P47" s="4"/>
      <c r="Q47" s="4"/>
      <c r="R47" s="4"/>
    </row>
    <row r="48" spans="1:18" ht="15.75" x14ac:dyDescent="0.25">
      <c r="A48" s="73"/>
      <c r="B48" s="76"/>
      <c r="C48" s="4"/>
      <c r="D48" s="119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39"/>
      <c r="Q48" s="56"/>
      <c r="R48" s="4"/>
    </row>
    <row r="49" spans="1:18" ht="15.75" x14ac:dyDescent="0.25">
      <c r="A49" s="73"/>
      <c r="B49" s="76"/>
      <c r="C49" s="4" t="s">
        <v>56</v>
      </c>
      <c r="D49" s="128" t="s">
        <v>126</v>
      </c>
      <c r="E49" s="4"/>
      <c r="F49" s="4"/>
      <c r="G49" s="4"/>
      <c r="H49" s="4"/>
      <c r="I49" s="4"/>
      <c r="J49" s="4"/>
      <c r="K49" s="112">
        <v>3.5527136788005009E-15</v>
      </c>
      <c r="L49" s="112">
        <v>7.2009264226796432E-2</v>
      </c>
      <c r="M49" s="112">
        <v>3.1496194866960927</v>
      </c>
      <c r="N49" s="4"/>
      <c r="O49" s="4"/>
      <c r="P49" s="4"/>
      <c r="Q49" s="4"/>
      <c r="R49" s="4"/>
    </row>
    <row r="50" spans="1:18" ht="15.75" x14ac:dyDescent="0.25">
      <c r="A50" s="73"/>
      <c r="B50" s="76"/>
      <c r="C50" s="4"/>
      <c r="D50" s="119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39"/>
      <c r="Q50" s="56"/>
      <c r="R50" s="4"/>
    </row>
    <row r="51" spans="1:18" s="66" customFormat="1" ht="16.5" thickBot="1" x14ac:dyDescent="0.3">
      <c r="A51" s="74" t="s">
        <v>110</v>
      </c>
      <c r="B51" s="77"/>
      <c r="D51" s="134"/>
      <c r="P51" s="67"/>
      <c r="Q51" s="68"/>
    </row>
    <row r="52" spans="1:18" ht="15.75" x14ac:dyDescent="0.25">
      <c r="A52" s="73"/>
      <c r="B52" s="75" t="s">
        <v>111</v>
      </c>
      <c r="C52" s="4"/>
      <c r="D52" s="119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39"/>
      <c r="Q52" s="56"/>
      <c r="R52" s="4"/>
    </row>
    <row r="53" spans="1:18" ht="15.75" x14ac:dyDescent="0.25">
      <c r="A53" s="73"/>
      <c r="B53" s="76"/>
      <c r="C53" s="4" t="s">
        <v>59</v>
      </c>
      <c r="D53" s="128" t="s">
        <v>126</v>
      </c>
      <c r="E53" s="4"/>
      <c r="F53" s="18"/>
      <c r="G53" s="19"/>
      <c r="H53" s="19"/>
      <c r="I53" s="19"/>
      <c r="J53" s="19"/>
      <c r="K53" s="112">
        <v>7.2009264226796432E-2</v>
      </c>
      <c r="L53" s="112">
        <v>3.1496194866960927</v>
      </c>
      <c r="M53" s="112">
        <v>0</v>
      </c>
      <c r="N53" s="4"/>
      <c r="O53" s="4"/>
      <c r="P53" s="4"/>
      <c r="Q53" s="4"/>
      <c r="R53" s="4"/>
    </row>
    <row r="54" spans="1:18" ht="15.75" x14ac:dyDescent="0.25">
      <c r="A54" s="73"/>
      <c r="B54" s="76"/>
      <c r="C54" s="4" t="s">
        <v>21</v>
      </c>
      <c r="D54" s="128" t="s">
        <v>126</v>
      </c>
      <c r="E54" s="4"/>
      <c r="F54" s="18"/>
      <c r="G54" s="19"/>
      <c r="H54" s="19"/>
      <c r="I54" s="19"/>
      <c r="J54" s="19"/>
      <c r="K54" s="112">
        <v>30.818072278450469</v>
      </c>
      <c r="L54" s="112">
        <v>30.817901966056468</v>
      </c>
      <c r="M54" s="112">
        <v>29.308510436065575</v>
      </c>
      <c r="N54" s="4"/>
      <c r="O54" s="4"/>
      <c r="P54" s="4"/>
      <c r="Q54" s="4"/>
      <c r="R54" s="4"/>
    </row>
    <row r="55" spans="1:18" ht="15.75" x14ac:dyDescent="0.25">
      <c r="A55" s="73"/>
      <c r="B55" s="76"/>
      <c r="C55" s="4" t="s">
        <v>60</v>
      </c>
      <c r="D55" s="128" t="s">
        <v>126</v>
      </c>
      <c r="E55" s="4"/>
      <c r="F55" s="18"/>
      <c r="G55" s="19"/>
      <c r="H55" s="19"/>
      <c r="I55" s="19"/>
      <c r="J55" s="19"/>
      <c r="K55" s="112">
        <v>31.349558183723381</v>
      </c>
      <c r="L55" s="112">
        <v>32.934800267684743</v>
      </c>
      <c r="M55" s="112">
        <v>31.492429053565566</v>
      </c>
      <c r="N55" s="4"/>
      <c r="O55" s="4"/>
      <c r="P55" s="4"/>
      <c r="Q55" s="4"/>
      <c r="R55" s="4"/>
    </row>
    <row r="56" spans="1:18" ht="15.75" x14ac:dyDescent="0.25">
      <c r="A56" s="73"/>
      <c r="B56" s="76"/>
      <c r="C56" s="4" t="s">
        <v>24</v>
      </c>
      <c r="D56" s="128" t="s">
        <v>126</v>
      </c>
      <c r="E56" s="4"/>
      <c r="F56" s="18"/>
      <c r="G56" s="20"/>
      <c r="H56" s="20"/>
      <c r="I56" s="20"/>
      <c r="J56" s="20"/>
      <c r="K56" s="112">
        <v>15.674779091861691</v>
      </c>
      <c r="L56" s="112">
        <v>16.467400133842371</v>
      </c>
      <c r="M56" s="112">
        <v>17.177688574672128</v>
      </c>
      <c r="N56" s="4"/>
      <c r="O56" s="4"/>
      <c r="P56" s="4"/>
      <c r="Q56" s="4"/>
      <c r="R56" s="4"/>
    </row>
    <row r="57" spans="1:18" ht="15.75" x14ac:dyDescent="0.25">
      <c r="A57" s="73"/>
      <c r="B57" s="76"/>
      <c r="C57" s="17" t="s">
        <v>13</v>
      </c>
      <c r="D57" s="128" t="s">
        <v>126</v>
      </c>
      <c r="E57" s="4"/>
      <c r="F57" s="18"/>
      <c r="G57" s="20"/>
      <c r="H57" s="20"/>
      <c r="I57" s="20"/>
      <c r="J57" s="20"/>
      <c r="K57" s="112">
        <v>1.567477909186169</v>
      </c>
      <c r="L57" s="112">
        <v>1.6467400133842371</v>
      </c>
      <c r="M57" s="112">
        <v>1.7177688574672128</v>
      </c>
      <c r="N57" s="4"/>
      <c r="O57" s="4"/>
      <c r="P57" s="4"/>
      <c r="Q57" s="4"/>
      <c r="R57" s="4"/>
    </row>
    <row r="58" spans="1:18" ht="15.75" x14ac:dyDescent="0.25">
      <c r="A58" s="73"/>
      <c r="B58" s="76"/>
      <c r="C58" s="4"/>
      <c r="D58" s="119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39"/>
      <c r="Q58" s="56"/>
      <c r="R58" s="4"/>
    </row>
    <row r="59" spans="1:18" ht="15.75" x14ac:dyDescent="0.25">
      <c r="A59" s="73"/>
      <c r="B59" s="76"/>
      <c r="C59" s="4" t="s">
        <v>62</v>
      </c>
      <c r="D59" s="128" t="s">
        <v>126</v>
      </c>
      <c r="E59" s="4"/>
      <c r="F59" s="18"/>
      <c r="G59" s="20"/>
      <c r="H59" s="20"/>
      <c r="I59" s="20"/>
      <c r="J59" s="20"/>
      <c r="K59" s="112">
        <v>397.80433333333332</v>
      </c>
      <c r="L59" s="112">
        <v>397.428</v>
      </c>
      <c r="M59" s="112">
        <v>396.96</v>
      </c>
      <c r="N59" s="4"/>
      <c r="O59" s="4"/>
      <c r="P59" s="4"/>
      <c r="Q59" s="4"/>
      <c r="R59" s="4"/>
    </row>
    <row r="60" spans="1:18" ht="15.75" x14ac:dyDescent="0.25">
      <c r="A60" s="73"/>
      <c r="B60" s="76"/>
      <c r="C60" s="17" t="s">
        <v>13</v>
      </c>
      <c r="D60" s="128" t="s">
        <v>126</v>
      </c>
      <c r="E60" s="4"/>
      <c r="F60" s="18"/>
      <c r="G60" s="20"/>
      <c r="H60" s="20"/>
      <c r="I60" s="20"/>
      <c r="J60" s="20"/>
      <c r="K60" s="112">
        <v>12</v>
      </c>
      <c r="L60" s="112">
        <v>12</v>
      </c>
      <c r="M60" s="112">
        <v>12</v>
      </c>
      <c r="N60" s="4"/>
      <c r="O60" s="4"/>
      <c r="P60" s="4"/>
      <c r="Q60" s="4"/>
      <c r="R60" s="4"/>
    </row>
    <row r="61" spans="1:18" ht="15.75" x14ac:dyDescent="0.25">
      <c r="A61" s="73"/>
      <c r="B61" s="76"/>
      <c r="C61" s="4"/>
      <c r="D61" s="119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39"/>
      <c r="Q61" s="56"/>
      <c r="R61" s="4"/>
    </row>
    <row r="62" spans="1:18" ht="15.75" x14ac:dyDescent="0.25">
      <c r="A62" s="73"/>
      <c r="B62" s="75" t="s">
        <v>112</v>
      </c>
      <c r="C62" s="4"/>
      <c r="D62" s="119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39"/>
      <c r="Q62" s="56"/>
      <c r="R62" s="4"/>
    </row>
    <row r="63" spans="1:18" ht="15.75" x14ac:dyDescent="0.25">
      <c r="A63" s="73"/>
      <c r="B63" s="76"/>
      <c r="C63" s="17" t="s">
        <v>65</v>
      </c>
      <c r="D63" s="128" t="s">
        <v>126</v>
      </c>
      <c r="E63" s="4"/>
      <c r="F63" s="18"/>
      <c r="G63" s="19"/>
      <c r="H63" s="19"/>
      <c r="I63" s="19"/>
      <c r="J63" s="19"/>
      <c r="K63" s="112">
        <v>0</v>
      </c>
      <c r="L63" s="112">
        <v>0</v>
      </c>
      <c r="M63" s="112">
        <v>0.35087576728110959</v>
      </c>
      <c r="N63" s="4"/>
      <c r="O63" s="4"/>
      <c r="P63" s="4"/>
      <c r="Q63" s="4"/>
      <c r="R63" s="4"/>
    </row>
    <row r="64" spans="1:18" ht="15.75" x14ac:dyDescent="0.25">
      <c r="A64" s="73"/>
      <c r="B64" s="76"/>
      <c r="C64" s="17" t="s">
        <v>26</v>
      </c>
      <c r="D64" s="128" t="s">
        <v>126</v>
      </c>
      <c r="E64" s="4"/>
      <c r="F64" s="18"/>
      <c r="G64" s="19"/>
      <c r="H64" s="19"/>
      <c r="I64" s="19"/>
      <c r="J64" s="19"/>
      <c r="K64" s="112">
        <v>20.899705455815585</v>
      </c>
      <c r="L64" s="112">
        <v>21.956533511789829</v>
      </c>
      <c r="M64" s="112">
        <v>22.903584766229503</v>
      </c>
      <c r="N64" s="4"/>
      <c r="O64" s="4"/>
      <c r="P64" s="4"/>
      <c r="Q64" s="4"/>
      <c r="R64" s="4"/>
    </row>
    <row r="65" spans="1:18" ht="15.75" x14ac:dyDescent="0.25">
      <c r="A65" s="73"/>
      <c r="B65" s="76"/>
      <c r="C65" s="17" t="s">
        <v>13</v>
      </c>
      <c r="D65" s="128" t="s">
        <v>126</v>
      </c>
      <c r="E65" s="4"/>
      <c r="F65" s="18"/>
      <c r="G65" s="20"/>
      <c r="H65" s="20"/>
      <c r="I65" s="20"/>
      <c r="J65" s="20"/>
      <c r="K65" s="112">
        <v>5.2249263639538963</v>
      </c>
      <c r="L65" s="112">
        <v>5.4891333779474571</v>
      </c>
      <c r="M65" s="112">
        <v>5.7258961915573758</v>
      </c>
      <c r="N65" s="4"/>
      <c r="O65" s="4"/>
      <c r="P65" s="4"/>
      <c r="Q65" s="4"/>
      <c r="R65" s="4"/>
    </row>
    <row r="66" spans="1:18" ht="15.75" x14ac:dyDescent="0.25">
      <c r="A66" s="73"/>
      <c r="B66" s="76"/>
      <c r="C66" s="4"/>
      <c r="D66" s="119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39"/>
      <c r="Q66" s="56"/>
      <c r="R66" s="4"/>
    </row>
    <row r="67" spans="1:18" ht="15.75" x14ac:dyDescent="0.25">
      <c r="A67" s="73"/>
      <c r="B67" s="76"/>
      <c r="C67" s="4" t="s">
        <v>41</v>
      </c>
      <c r="D67" s="128" t="s">
        <v>126</v>
      </c>
      <c r="E67" s="4"/>
      <c r="F67" s="18"/>
      <c r="G67" s="22"/>
      <c r="H67" s="22"/>
      <c r="I67" s="22"/>
      <c r="J67" s="22"/>
      <c r="K67" s="112">
        <v>13.25</v>
      </c>
      <c r="L67" s="112">
        <v>15</v>
      </c>
      <c r="M67" s="112">
        <v>16.75</v>
      </c>
      <c r="N67" s="4"/>
      <c r="O67" s="4"/>
      <c r="P67" s="4"/>
      <c r="Q67" s="4"/>
      <c r="R67" s="4"/>
    </row>
    <row r="68" spans="1:18" ht="15.75" x14ac:dyDescent="0.25">
      <c r="A68" s="73"/>
      <c r="B68" s="76"/>
      <c r="C68" s="17" t="s">
        <v>67</v>
      </c>
      <c r="D68" s="128" t="s">
        <v>126</v>
      </c>
      <c r="E68" s="4"/>
      <c r="F68" s="18"/>
      <c r="G68" s="25"/>
      <c r="H68" s="25"/>
      <c r="I68" s="25"/>
      <c r="J68" s="25"/>
      <c r="K68" s="112">
        <v>125</v>
      </c>
      <c r="L68" s="112">
        <v>100</v>
      </c>
      <c r="M68" s="112">
        <v>75</v>
      </c>
      <c r="N68" s="4"/>
      <c r="O68" s="4"/>
      <c r="P68" s="4"/>
      <c r="Q68" s="4"/>
      <c r="R68" s="4"/>
    </row>
    <row r="69" spans="1:18" ht="15.75" x14ac:dyDescent="0.25">
      <c r="A69" s="73"/>
      <c r="B69" s="76"/>
      <c r="C69" s="4"/>
      <c r="D69" s="119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39"/>
      <c r="Q69" s="56"/>
      <c r="R69" s="4"/>
    </row>
    <row r="70" spans="1:18" ht="15.75" x14ac:dyDescent="0.25">
      <c r="A70" s="73"/>
      <c r="B70" s="76"/>
      <c r="C70" s="4" t="s">
        <v>70</v>
      </c>
      <c r="D70" s="128" t="s">
        <v>126</v>
      </c>
      <c r="E70" s="4"/>
      <c r="F70" s="18"/>
      <c r="G70" s="21"/>
      <c r="H70" s="21"/>
      <c r="I70" s="21"/>
      <c r="J70" s="21"/>
      <c r="K70" s="112">
        <v>120</v>
      </c>
      <c r="L70" s="112">
        <v>120</v>
      </c>
      <c r="M70" s="112">
        <v>120</v>
      </c>
      <c r="N70" s="4"/>
      <c r="O70" s="4"/>
      <c r="P70" s="4"/>
      <c r="Q70" s="4"/>
      <c r="R70" s="4"/>
    </row>
    <row r="71" spans="1:18" ht="15.75" x14ac:dyDescent="0.25">
      <c r="A71" s="73"/>
      <c r="B71" s="76"/>
      <c r="C71" s="4" t="s">
        <v>71</v>
      </c>
      <c r="D71" s="128" t="s">
        <v>126</v>
      </c>
      <c r="E71" s="4"/>
      <c r="F71" s="18"/>
      <c r="G71" s="26"/>
      <c r="H71" s="26"/>
      <c r="I71" s="26"/>
      <c r="J71" s="26"/>
      <c r="K71" s="112">
        <v>204.9115982410124</v>
      </c>
      <c r="L71" s="112">
        <v>231.99879497792668</v>
      </c>
      <c r="M71" s="112">
        <v>247.92604019670256</v>
      </c>
      <c r="N71" s="4"/>
      <c r="O71" s="4"/>
      <c r="P71" s="4"/>
      <c r="Q71" s="4"/>
      <c r="R71" s="4"/>
    </row>
    <row r="72" spans="1:18" ht="15.75" x14ac:dyDescent="0.25">
      <c r="A72" s="73"/>
      <c r="B72" s="76"/>
      <c r="C72" s="4"/>
      <c r="D72" s="119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39"/>
      <c r="Q72" s="56"/>
      <c r="R72" s="4"/>
    </row>
    <row r="73" spans="1:18" s="66" customFormat="1" ht="16.5" thickBot="1" x14ac:dyDescent="0.3">
      <c r="A73" s="74" t="s">
        <v>114</v>
      </c>
      <c r="B73" s="77"/>
      <c r="D73" s="134"/>
      <c r="P73" s="67"/>
      <c r="Q73" s="68"/>
    </row>
    <row r="74" spans="1:18" ht="15.75" x14ac:dyDescent="0.25">
      <c r="A74" s="73"/>
      <c r="B74" s="75" t="s">
        <v>117</v>
      </c>
      <c r="C74" s="4"/>
      <c r="D74" s="119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15.75" x14ac:dyDescent="0.25">
      <c r="A75" s="73"/>
      <c r="B75" s="75"/>
      <c r="C75" s="4" t="s">
        <v>115</v>
      </c>
      <c r="D75" s="124" t="s">
        <v>123</v>
      </c>
      <c r="E75" s="4"/>
      <c r="F75" s="4"/>
      <c r="G75" s="4"/>
      <c r="H75" s="64" t="s">
        <v>6</v>
      </c>
      <c r="I75" s="4"/>
      <c r="J75" s="4"/>
      <c r="K75" s="4"/>
      <c r="L75" s="4"/>
      <c r="M75" s="4"/>
      <c r="N75" s="53">
        <v>3.2000000000000001E-2</v>
      </c>
      <c r="O75" s="53">
        <v>3.1E-2</v>
      </c>
      <c r="P75" s="53">
        <v>0.03</v>
      </c>
      <c r="Q75" s="53">
        <v>2.8000000000000001E-2</v>
      </c>
      <c r="R75" s="53">
        <v>2.5000000000000001E-2</v>
      </c>
    </row>
    <row r="76" spans="1:18" ht="15.75" x14ac:dyDescent="0.25">
      <c r="A76" s="73"/>
      <c r="B76" s="75"/>
      <c r="C76" s="4"/>
      <c r="D76" s="119"/>
      <c r="E76" s="4"/>
      <c r="F76" s="4"/>
      <c r="G76" s="4"/>
      <c r="H76" s="64" t="s">
        <v>7</v>
      </c>
      <c r="I76" s="4"/>
      <c r="J76" s="4"/>
      <c r="K76" s="4"/>
      <c r="L76" s="4"/>
      <c r="M76" s="4"/>
      <c r="N76" s="53">
        <v>0.03</v>
      </c>
      <c r="O76" s="53">
        <v>2.8000000000000001E-2</v>
      </c>
      <c r="P76" s="53">
        <v>2.5000000000000001E-2</v>
      </c>
      <c r="Q76" s="53">
        <v>2.5000000000000001E-2</v>
      </c>
      <c r="R76" s="53">
        <v>2.5000000000000001E-2</v>
      </c>
    </row>
    <row r="77" spans="1:18" ht="15.75" x14ac:dyDescent="0.25">
      <c r="A77" s="73"/>
      <c r="B77" s="75"/>
      <c r="C77" s="4"/>
      <c r="D77" s="119"/>
      <c r="E77" s="4"/>
      <c r="F77" s="4"/>
      <c r="G77" s="4"/>
      <c r="H77" s="64" t="s">
        <v>8</v>
      </c>
      <c r="I77" s="4"/>
      <c r="J77" s="4"/>
      <c r="K77" s="4"/>
      <c r="L77" s="4"/>
      <c r="M77" s="4"/>
      <c r="N77" s="53">
        <v>3.3000000000000002E-2</v>
      </c>
      <c r="O77" s="53">
        <v>3.2000000000000001E-2</v>
      </c>
      <c r="P77" s="53">
        <v>3.2000000000000001E-2</v>
      </c>
      <c r="Q77" s="53">
        <v>3.1E-2</v>
      </c>
      <c r="R77" s="53">
        <v>0.03</v>
      </c>
    </row>
    <row r="78" spans="1:18" ht="15.75" x14ac:dyDescent="0.25">
      <c r="A78" s="73"/>
      <c r="B78" s="75"/>
      <c r="C78" s="4"/>
      <c r="D78" s="119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39"/>
      <c r="Q78" s="56"/>
      <c r="R78" s="4"/>
    </row>
    <row r="79" spans="1:18" ht="15.75" x14ac:dyDescent="0.25">
      <c r="A79" s="73"/>
      <c r="B79" s="75"/>
      <c r="C79" s="28" t="s">
        <v>118</v>
      </c>
      <c r="D79" s="124" t="s">
        <v>119</v>
      </c>
      <c r="E79" s="4"/>
      <c r="F79" s="4"/>
      <c r="G79" s="4"/>
      <c r="H79" s="4"/>
      <c r="I79" s="4"/>
      <c r="J79" s="4"/>
      <c r="K79" s="109">
        <v>825</v>
      </c>
      <c r="L79" s="109">
        <v>800</v>
      </c>
      <c r="M79" s="113">
        <v>750</v>
      </c>
      <c r="N79" s="4"/>
      <c r="O79" s="4"/>
      <c r="P79" s="4"/>
      <c r="Q79" s="4"/>
      <c r="R79" s="4"/>
    </row>
    <row r="80" spans="1:18" ht="15.75" x14ac:dyDescent="0.25">
      <c r="A80" s="73"/>
      <c r="B80" s="75"/>
      <c r="C80" s="4"/>
      <c r="D80" s="119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39"/>
      <c r="Q80" s="56"/>
      <c r="R80" s="4"/>
    </row>
    <row r="81" spans="1:20" ht="15.75" x14ac:dyDescent="0.25">
      <c r="A81" s="73"/>
      <c r="B81" s="76"/>
      <c r="C81" s="28" t="s">
        <v>155</v>
      </c>
      <c r="D81" s="124" t="s">
        <v>119</v>
      </c>
      <c r="E81" s="4"/>
      <c r="F81" s="4"/>
      <c r="G81" s="4"/>
      <c r="H81" s="64" t="str">
        <f>H75</f>
        <v>Base Case</v>
      </c>
      <c r="I81" s="4"/>
      <c r="J81" s="4"/>
      <c r="K81" s="4"/>
      <c r="L81" s="4"/>
      <c r="M81" s="4"/>
      <c r="N81" s="53">
        <v>0.04</v>
      </c>
      <c r="O81" s="53">
        <v>4.2000000000000003E-2</v>
      </c>
      <c r="P81" s="53">
        <v>4.4999999999999998E-2</v>
      </c>
      <c r="Q81" s="53">
        <v>3.7999999999999999E-2</v>
      </c>
      <c r="R81" s="53">
        <v>0.03</v>
      </c>
    </row>
    <row r="82" spans="1:20" ht="15.75" x14ac:dyDescent="0.25">
      <c r="A82" s="73"/>
      <c r="B82" s="76"/>
      <c r="C82" s="28"/>
      <c r="D82" s="124"/>
      <c r="E82" s="4"/>
      <c r="F82" s="4"/>
      <c r="G82" s="4"/>
      <c r="H82" s="64" t="str">
        <f>H76</f>
        <v>Best Case</v>
      </c>
      <c r="I82"/>
      <c r="J82" s="4"/>
      <c r="K82" s="4"/>
      <c r="L82" s="4"/>
      <c r="M82" s="4"/>
      <c r="N82" s="53">
        <v>4.1000000000000002E-2</v>
      </c>
      <c r="O82" s="53">
        <v>4.2000000000000003E-2</v>
      </c>
      <c r="P82" s="53">
        <v>4.4999999999999998E-2</v>
      </c>
      <c r="Q82" s="53">
        <v>4.3999999999999997E-2</v>
      </c>
      <c r="R82" s="53">
        <v>4.5999999999999999E-2</v>
      </c>
    </row>
    <row r="83" spans="1:20" ht="15.75" x14ac:dyDescent="0.25">
      <c r="A83" s="73"/>
      <c r="B83" s="76"/>
      <c r="C83" s="28"/>
      <c r="D83" s="124"/>
      <c r="E83" s="4"/>
      <c r="F83" s="4"/>
      <c r="G83" s="4"/>
      <c r="H83" s="64" t="str">
        <f>H77</f>
        <v>Worst Case</v>
      </c>
      <c r="I83"/>
      <c r="J83" s="4"/>
      <c r="L83" s="4"/>
      <c r="M83" s="4"/>
      <c r="N83" s="53">
        <v>0.03</v>
      </c>
      <c r="O83" s="53">
        <v>0.03</v>
      </c>
      <c r="P83" s="53">
        <v>3.2000000000000001E-2</v>
      </c>
      <c r="Q83" s="53">
        <v>2.8000000000000001E-2</v>
      </c>
      <c r="R83" s="53">
        <v>0.03</v>
      </c>
    </row>
    <row r="84" spans="1:20" ht="15.75" x14ac:dyDescent="0.25">
      <c r="A84" s="73"/>
      <c r="B84" s="76"/>
      <c r="C84" s="4"/>
      <c r="D84" s="119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39"/>
      <c r="Q84" s="56"/>
      <c r="R84" s="4"/>
    </row>
    <row r="85" spans="1:20" ht="15.75" x14ac:dyDescent="0.25">
      <c r="A85" s="73"/>
      <c r="B85" s="75" t="s">
        <v>120</v>
      </c>
      <c r="C85" s="4"/>
      <c r="D85" s="119"/>
      <c r="E85" s="4"/>
      <c r="F85" s="4"/>
      <c r="G85" s="4"/>
      <c r="H85" s="4"/>
      <c r="I85" s="4"/>
      <c r="J85" s="4"/>
      <c r="K85" s="4"/>
      <c r="L85" s="4"/>
      <c r="M85" s="4"/>
      <c r="N85" s="153"/>
      <c r="O85" s="153"/>
      <c r="P85" s="153"/>
      <c r="Q85" s="153"/>
      <c r="R85" s="153"/>
    </row>
    <row r="86" spans="1:20" ht="15.75" x14ac:dyDescent="0.25">
      <c r="A86" s="73"/>
      <c r="B86" s="76"/>
      <c r="C86" s="4" t="s">
        <v>121</v>
      </c>
      <c r="D86" s="119"/>
      <c r="E86" s="4"/>
      <c r="F86" s="4"/>
      <c r="G86" s="4"/>
      <c r="H86" s="4"/>
      <c r="I86" s="4"/>
      <c r="J86" s="4"/>
      <c r="K86" s="69">
        <v>420000</v>
      </c>
      <c r="L86" s="69">
        <v>420000</v>
      </c>
      <c r="M86" s="69">
        <v>420000</v>
      </c>
      <c r="N86" s="69">
        <v>435000</v>
      </c>
      <c r="O86" s="69">
        <v>450000</v>
      </c>
      <c r="P86" s="69">
        <v>470000</v>
      </c>
      <c r="Q86" s="69">
        <v>480000</v>
      </c>
      <c r="R86" s="69">
        <v>510000</v>
      </c>
    </row>
    <row r="87" spans="1:20" customFormat="1" x14ac:dyDescent="0.2"/>
    <row r="88" spans="1:20" ht="15.75" x14ac:dyDescent="0.25">
      <c r="A88" s="73"/>
      <c r="B88" s="76"/>
      <c r="C88" s="4" t="s">
        <v>120</v>
      </c>
      <c r="D88" s="119"/>
      <c r="E88" s="4"/>
      <c r="F88" s="4"/>
      <c r="G88" s="4"/>
      <c r="H88" s="4"/>
      <c r="I88" s="4"/>
      <c r="J88" s="4"/>
      <c r="K88" s="151">
        <v>391185.20822533261</v>
      </c>
      <c r="L88" s="151">
        <v>406832.61655434594</v>
      </c>
      <c r="M88" s="151">
        <v>420000</v>
      </c>
      <c r="N88" s="4"/>
      <c r="O88" s="4"/>
      <c r="P88" s="4"/>
      <c r="Q88" s="4"/>
      <c r="R88" s="4"/>
      <c r="S88"/>
      <c r="T88"/>
    </row>
    <row r="89" spans="1:20" customFormat="1" x14ac:dyDescent="0.2">
      <c r="L89" s="171"/>
      <c r="M89" s="171"/>
      <c r="N89" s="171"/>
      <c r="O89" s="154"/>
      <c r="P89" s="154"/>
      <c r="Q89" s="154"/>
      <c r="R89" s="154"/>
    </row>
    <row r="90" spans="1:20" ht="15.75" x14ac:dyDescent="0.25">
      <c r="A90" s="73"/>
      <c r="B90" s="76"/>
      <c r="C90" s="70" t="s">
        <v>4</v>
      </c>
      <c r="D90" s="124" t="s">
        <v>123</v>
      </c>
      <c r="E90" s="4"/>
      <c r="F90" s="4"/>
      <c r="G90" s="4"/>
      <c r="H90" s="64" t="str">
        <f>H75</f>
        <v>Base Case</v>
      </c>
      <c r="I90" s="4"/>
      <c r="J90" s="4"/>
      <c r="K90" s="4"/>
      <c r="L90" s="4"/>
      <c r="M90" s="4"/>
      <c r="N90" s="53">
        <v>0.03</v>
      </c>
      <c r="O90" s="53">
        <v>0.03</v>
      </c>
      <c r="P90" s="53">
        <v>0.04</v>
      </c>
      <c r="Q90" s="53">
        <v>0.05</v>
      </c>
      <c r="R90" s="53">
        <v>0.05</v>
      </c>
    </row>
    <row r="91" spans="1:20" ht="15.75" x14ac:dyDescent="0.25">
      <c r="A91" s="73"/>
      <c r="B91" s="76"/>
      <c r="C91" s="4"/>
      <c r="D91" s="124" t="s">
        <v>123</v>
      </c>
      <c r="E91" s="4"/>
      <c r="F91" s="4"/>
      <c r="G91" s="4"/>
      <c r="H91" s="64" t="str">
        <f>H76</f>
        <v>Best Case</v>
      </c>
      <c r="I91" s="4"/>
      <c r="J91" s="4"/>
      <c r="K91" s="4"/>
      <c r="L91" s="4"/>
      <c r="M91" s="4"/>
      <c r="N91" s="53">
        <v>0.04</v>
      </c>
      <c r="O91" s="53">
        <v>4.2000000000000003E-2</v>
      </c>
      <c r="P91" s="53">
        <v>4.2999999999999997E-2</v>
      </c>
      <c r="Q91" s="53">
        <v>0.04</v>
      </c>
      <c r="R91" s="53">
        <v>4.4999999999999998E-2</v>
      </c>
    </row>
    <row r="92" spans="1:20" ht="15.75" x14ac:dyDescent="0.25">
      <c r="A92" s="73"/>
      <c r="B92" s="76"/>
      <c r="C92" s="4"/>
      <c r="D92" s="124" t="s">
        <v>123</v>
      </c>
      <c r="E92" s="4"/>
      <c r="F92" s="4"/>
      <c r="G92" s="4"/>
      <c r="H92" s="64" t="str">
        <f>H77</f>
        <v>Worst Case</v>
      </c>
      <c r="I92" s="4"/>
      <c r="J92" s="4"/>
      <c r="K92" s="4"/>
      <c r="L92" s="4"/>
      <c r="M92" s="4"/>
      <c r="N92" s="53">
        <v>0.02</v>
      </c>
      <c r="O92" s="53">
        <v>0.03</v>
      </c>
      <c r="P92" s="53">
        <v>0.02</v>
      </c>
      <c r="Q92" s="53">
        <v>0.03</v>
      </c>
      <c r="R92" s="53">
        <v>0.03</v>
      </c>
    </row>
    <row r="93" spans="1:20" ht="15.75" x14ac:dyDescent="0.25">
      <c r="A93" s="73"/>
      <c r="B93" s="76"/>
      <c r="C93" s="4"/>
      <c r="D93" s="119"/>
      <c r="E93" s="4"/>
      <c r="F93" s="4"/>
      <c r="G93" s="4"/>
      <c r="H93" s="4"/>
      <c r="I93" s="4"/>
      <c r="J93" s="4"/>
      <c r="K93" s="4"/>
      <c r="L93" s="4"/>
      <c r="M93" s="4"/>
      <c r="N93" s="155"/>
      <c r="O93" s="155"/>
      <c r="P93" s="155"/>
      <c r="Q93" s="155"/>
      <c r="R93" s="155"/>
    </row>
    <row r="94" spans="1:20" s="66" customFormat="1" ht="16.5" thickBot="1" x14ac:dyDescent="0.3">
      <c r="A94" s="74" t="s">
        <v>124</v>
      </c>
      <c r="B94" s="77"/>
      <c r="D94" s="134"/>
      <c r="P94" s="67"/>
      <c r="Q94" s="68"/>
    </row>
    <row r="95" spans="1:20" ht="15.75" x14ac:dyDescent="0.25">
      <c r="A95" s="73"/>
      <c r="B95" s="75" t="s">
        <v>78</v>
      </c>
      <c r="C95" s="4"/>
      <c r="D95" s="119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39"/>
      <c r="Q95" s="56"/>
      <c r="R95" s="4"/>
    </row>
    <row r="96" spans="1:20" ht="15.75" x14ac:dyDescent="0.25">
      <c r="A96" s="73"/>
      <c r="B96" s="76"/>
      <c r="C96" s="70" t="s">
        <v>9</v>
      </c>
      <c r="D96" s="128" t="s">
        <v>125</v>
      </c>
      <c r="H96" s="78" t="s">
        <v>127</v>
      </c>
      <c r="J96" s="4"/>
      <c r="K96" s="109">
        <v>235.13040000000001</v>
      </c>
      <c r="L96" s="109">
        <v>241.00865999999996</v>
      </c>
      <c r="M96" s="109">
        <v>247.03387649999996</v>
      </c>
      <c r="N96" s="4"/>
      <c r="O96" s="4"/>
      <c r="P96" s="4"/>
      <c r="Q96" s="4"/>
      <c r="R96" s="4"/>
    </row>
    <row r="97" spans="1:18" ht="15.75" x14ac:dyDescent="0.25">
      <c r="A97" s="73"/>
      <c r="B97" s="76"/>
      <c r="C97" s="70" t="s">
        <v>10</v>
      </c>
      <c r="D97" s="128" t="s">
        <v>125</v>
      </c>
      <c r="H97" s="78" t="s">
        <v>127</v>
      </c>
      <c r="J97" s="4"/>
      <c r="K97" s="109">
        <v>68.874480000000005</v>
      </c>
      <c r="L97" s="109">
        <v>70.596341999999993</v>
      </c>
      <c r="M97" s="109">
        <v>72.361250549999994</v>
      </c>
      <c r="N97" s="4"/>
      <c r="O97" s="4"/>
      <c r="P97" s="4"/>
      <c r="Q97" s="4"/>
      <c r="R97" s="4"/>
    </row>
    <row r="98" spans="1:18" ht="15.75" x14ac:dyDescent="0.25">
      <c r="A98" s="73"/>
      <c r="B98" s="76"/>
      <c r="C98" s="4"/>
      <c r="D98" s="128"/>
      <c r="E98" s="4"/>
      <c r="F98" s="4"/>
      <c r="G98" s="4"/>
      <c r="I98" s="4"/>
      <c r="J98" s="4"/>
      <c r="K98" s="4"/>
      <c r="L98" s="4"/>
      <c r="M98" s="4"/>
      <c r="N98" s="4"/>
      <c r="O98" s="4"/>
      <c r="P98" s="39"/>
      <c r="Q98" s="56"/>
      <c r="R98" s="4"/>
    </row>
    <row r="99" spans="1:18" ht="15.75" x14ac:dyDescent="0.25">
      <c r="A99" s="73"/>
      <c r="B99" s="75" t="s">
        <v>80</v>
      </c>
      <c r="C99" s="4"/>
      <c r="D99" s="128"/>
      <c r="E99" s="4"/>
      <c r="F99" s="4"/>
      <c r="G99" s="4"/>
      <c r="I99" s="4"/>
      <c r="J99" s="4"/>
      <c r="K99" s="4"/>
      <c r="L99" s="4"/>
      <c r="M99" s="4"/>
      <c r="N99" s="4"/>
      <c r="O99" s="4"/>
      <c r="P99" s="39"/>
      <c r="Q99" s="56"/>
      <c r="R99" s="4"/>
    </row>
    <row r="100" spans="1:18" ht="15.75" x14ac:dyDescent="0.25">
      <c r="A100" s="73"/>
      <c r="B100" s="76"/>
      <c r="C100" s="70" t="s">
        <v>11</v>
      </c>
      <c r="D100" s="128" t="s">
        <v>126</v>
      </c>
      <c r="J100" s="4"/>
      <c r="K100" s="109">
        <v>24.449400000000001</v>
      </c>
      <c r="L100" s="109">
        <v>25.060634999999998</v>
      </c>
      <c r="M100" s="109">
        <v>25.687150874999997</v>
      </c>
      <c r="N100" s="4"/>
      <c r="O100" s="4"/>
      <c r="P100" s="4"/>
      <c r="Q100" s="4"/>
      <c r="R100" s="4"/>
    </row>
    <row r="101" spans="1:18" ht="15.75" x14ac:dyDescent="0.25">
      <c r="A101" s="73"/>
      <c r="B101" s="76"/>
      <c r="C101" s="70" t="s">
        <v>12</v>
      </c>
      <c r="D101" s="128" t="s">
        <v>126</v>
      </c>
      <c r="J101" s="4"/>
      <c r="K101" s="109">
        <v>45.257399999999997</v>
      </c>
      <c r="L101" s="109">
        <v>46.388834999999993</v>
      </c>
      <c r="M101" s="109">
        <v>47.548555874999991</v>
      </c>
      <c r="N101" s="4"/>
      <c r="O101" s="4"/>
      <c r="P101" s="4"/>
      <c r="Q101" s="4"/>
      <c r="R101" s="4"/>
    </row>
    <row r="102" spans="1:18" ht="15.75" x14ac:dyDescent="0.25">
      <c r="A102" s="73"/>
      <c r="B102" s="76"/>
      <c r="C102" s="70" t="s">
        <v>13</v>
      </c>
      <c r="D102" s="128" t="s">
        <v>126</v>
      </c>
      <c r="J102" s="4"/>
      <c r="K102" s="109">
        <v>2.0808</v>
      </c>
      <c r="L102" s="109">
        <v>2.1328199999999997</v>
      </c>
      <c r="M102" s="109">
        <v>2.1861404999999996</v>
      </c>
      <c r="N102" s="4"/>
      <c r="O102" s="4"/>
      <c r="P102" s="4"/>
      <c r="Q102" s="4"/>
      <c r="R102" s="4"/>
    </row>
    <row r="103" spans="1:18" ht="15.75" x14ac:dyDescent="0.25">
      <c r="A103" s="73"/>
      <c r="B103" s="76"/>
      <c r="C103" s="4"/>
      <c r="D103" s="119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39"/>
      <c r="Q103" s="56"/>
      <c r="R103" s="4"/>
    </row>
    <row r="104" spans="1:18" ht="15.75" x14ac:dyDescent="0.25">
      <c r="A104" s="73"/>
      <c r="B104" s="75" t="s">
        <v>14</v>
      </c>
      <c r="C104" s="4"/>
      <c r="D104" s="119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39"/>
      <c r="Q104" s="56"/>
      <c r="R104" s="4"/>
    </row>
    <row r="105" spans="1:18" ht="15.75" x14ac:dyDescent="0.25">
      <c r="A105" s="73"/>
      <c r="B105" s="76"/>
      <c r="C105" s="70" t="s">
        <v>156</v>
      </c>
      <c r="D105" s="128" t="s">
        <v>123</v>
      </c>
      <c r="E105" s="4"/>
      <c r="F105" s="4"/>
      <c r="G105" s="4"/>
      <c r="H105" s="4"/>
      <c r="I105" s="4"/>
      <c r="J105" s="4"/>
      <c r="K105" s="4"/>
      <c r="L105" s="4"/>
      <c r="M105" s="4"/>
      <c r="N105" s="156">
        <v>1.2999999999999999E-2</v>
      </c>
      <c r="O105" s="156">
        <v>1.4E-2</v>
      </c>
      <c r="P105" s="156">
        <v>1.35E-2</v>
      </c>
      <c r="Q105" s="156">
        <v>1.4200000000000001E-2</v>
      </c>
      <c r="R105" s="156">
        <v>1.38E-2</v>
      </c>
    </row>
    <row r="106" spans="1:18" ht="15.75" x14ac:dyDescent="0.25">
      <c r="A106" s="73"/>
      <c r="B106" s="76"/>
      <c r="C106" s="4"/>
      <c r="D106" s="119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39"/>
      <c r="Q106" s="56"/>
      <c r="R106" s="4"/>
    </row>
    <row r="107" spans="1:18" ht="15.75" x14ac:dyDescent="0.25">
      <c r="A107" s="73"/>
      <c r="B107" s="75" t="s">
        <v>16</v>
      </c>
      <c r="C107" s="4"/>
      <c r="D107" s="119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39"/>
      <c r="Q107" s="56"/>
      <c r="R107" s="4"/>
    </row>
    <row r="108" spans="1:18" ht="15.75" x14ac:dyDescent="0.25">
      <c r="A108" s="73"/>
      <c r="B108" s="76"/>
      <c r="C108" s="70" t="s">
        <v>16</v>
      </c>
      <c r="D108" s="119"/>
      <c r="E108" s="4"/>
      <c r="F108" s="4"/>
      <c r="G108" s="4"/>
      <c r="H108" s="4"/>
      <c r="I108" s="4"/>
      <c r="J108" s="197"/>
      <c r="K108" s="4"/>
      <c r="L108" s="4"/>
      <c r="M108" s="4"/>
      <c r="N108" s="113">
        <v>0.5</v>
      </c>
      <c r="O108" s="113">
        <v>0.4</v>
      </c>
      <c r="P108" s="113">
        <v>0.8</v>
      </c>
      <c r="Q108" s="113">
        <v>0.7</v>
      </c>
      <c r="R108" s="113">
        <v>0.4</v>
      </c>
    </row>
    <row r="109" spans="1:18" ht="15.75" x14ac:dyDescent="0.25">
      <c r="A109" s="73"/>
      <c r="B109" s="76"/>
      <c r="C109" s="4"/>
      <c r="D109" s="119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39"/>
      <c r="Q109" s="56"/>
      <c r="R109" s="4"/>
    </row>
    <row r="110" spans="1:18" s="66" customFormat="1" ht="16.5" thickBot="1" x14ac:dyDescent="0.3">
      <c r="A110" s="74" t="s">
        <v>128</v>
      </c>
      <c r="B110" s="77"/>
      <c r="D110" s="134"/>
      <c r="P110" s="67"/>
      <c r="Q110" s="68"/>
    </row>
    <row r="111" spans="1:18" ht="15.75" x14ac:dyDescent="0.25">
      <c r="A111" s="73"/>
      <c r="B111" s="75" t="s">
        <v>157</v>
      </c>
      <c r="C111" s="4"/>
      <c r="D111" s="119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39"/>
      <c r="Q111" s="56"/>
      <c r="R111" s="4"/>
    </row>
    <row r="112" spans="1:18" ht="15.75" x14ac:dyDescent="0.25">
      <c r="A112" s="73"/>
      <c r="B112" s="76"/>
      <c r="C112" s="4" t="s">
        <v>158</v>
      </c>
      <c r="D112" s="128" t="s">
        <v>123</v>
      </c>
      <c r="E112" s="4"/>
      <c r="F112" s="4"/>
      <c r="G112" s="4"/>
      <c r="H112" s="4"/>
      <c r="I112" s="157">
        <v>4.4999999999999998E-2</v>
      </c>
      <c r="J112" s="4"/>
      <c r="K112" s="4"/>
      <c r="L112" s="4"/>
      <c r="M112" s="4"/>
      <c r="N112" s="4"/>
      <c r="O112" s="4"/>
      <c r="P112" s="39"/>
      <c r="Q112" s="56"/>
      <c r="R112" s="4"/>
    </row>
    <row r="113" spans="1:18" ht="15.75" x14ac:dyDescent="0.25">
      <c r="A113" s="73"/>
      <c r="B113" s="76"/>
      <c r="C113" s="4"/>
      <c r="D113" s="119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39"/>
      <c r="Q113" s="56"/>
      <c r="R113" s="4"/>
    </row>
    <row r="114" spans="1:18" ht="15.75" x14ac:dyDescent="0.25">
      <c r="A114" s="73"/>
      <c r="B114" s="75" t="s">
        <v>159</v>
      </c>
      <c r="C114" s="4"/>
      <c r="D114" s="119"/>
      <c r="E114" s="4"/>
      <c r="F114" s="4"/>
      <c r="G114" s="4"/>
      <c r="H114" s="4"/>
      <c r="I114" s="4"/>
      <c r="J114" s="4"/>
      <c r="K114" s="4"/>
      <c r="L114" s="4"/>
      <c r="M114" s="4"/>
      <c r="N114" s="152"/>
      <c r="O114" s="152"/>
      <c r="P114" s="158"/>
      <c r="Q114" s="158"/>
      <c r="R114" s="152"/>
    </row>
    <row r="115" spans="1:18" ht="15.75" x14ac:dyDescent="0.25">
      <c r="A115" s="73"/>
      <c r="B115" s="75"/>
      <c r="C115" s="4" t="s">
        <v>160</v>
      </c>
      <c r="D115" s="128" t="s">
        <v>123</v>
      </c>
      <c r="E115" s="4"/>
      <c r="F115" s="4"/>
      <c r="G115" s="4"/>
      <c r="H115" s="4"/>
      <c r="I115" s="4"/>
      <c r="J115" s="4"/>
      <c r="K115" s="4"/>
      <c r="L115" s="4"/>
      <c r="M115" s="4"/>
      <c r="N115" s="53">
        <v>8.1000000000000003E-2</v>
      </c>
      <c r="O115" s="53">
        <v>7.9000000000000001E-2</v>
      </c>
      <c r="P115" s="53">
        <v>8.6999999999999994E-2</v>
      </c>
      <c r="Q115" s="53">
        <v>6.8000000000000005E-2</v>
      </c>
      <c r="R115" s="53">
        <v>9.7000000000000003E-2</v>
      </c>
    </row>
    <row r="116" spans="1:18" ht="15.75" x14ac:dyDescent="0.25">
      <c r="A116" s="73"/>
      <c r="B116" s="76"/>
      <c r="C116" s="4"/>
      <c r="D116" s="119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39"/>
      <c r="Q116" s="56"/>
      <c r="R116" s="4"/>
    </row>
    <row r="117" spans="1:18" ht="15.75" x14ac:dyDescent="0.25">
      <c r="A117" s="73"/>
      <c r="B117" s="75" t="s">
        <v>18</v>
      </c>
      <c r="C117" s="4"/>
      <c r="D117" s="119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39"/>
      <c r="Q117" s="56"/>
      <c r="R117" s="4"/>
    </row>
    <row r="118" spans="1:18" ht="15.75" x14ac:dyDescent="0.25">
      <c r="A118" s="73"/>
      <c r="B118" s="76"/>
      <c r="C118" s="4" t="s">
        <v>13</v>
      </c>
      <c r="D118" s="128" t="s">
        <v>126</v>
      </c>
      <c r="E118" s="4"/>
      <c r="F118" s="4"/>
      <c r="G118" s="4"/>
      <c r="H118" s="4"/>
      <c r="I118" s="4"/>
      <c r="J118" s="4"/>
      <c r="K118" s="4"/>
      <c r="L118" s="4"/>
      <c r="M118" s="4"/>
      <c r="N118" s="113">
        <v>-0.4</v>
      </c>
      <c r="O118" s="113">
        <v>-0.4</v>
      </c>
      <c r="P118" s="113">
        <v>-0.4</v>
      </c>
      <c r="Q118" s="113">
        <v>-0.4</v>
      </c>
      <c r="R118" s="113">
        <v>-0.4</v>
      </c>
    </row>
    <row r="119" spans="1:18" ht="15.75" x14ac:dyDescent="0.25">
      <c r="A119" s="73"/>
      <c r="B119" s="76"/>
      <c r="C119" s="4"/>
      <c r="D119" s="119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39"/>
      <c r="Q119" s="56"/>
      <c r="R119" s="4"/>
    </row>
    <row r="120" spans="1:18" s="71" customFormat="1" ht="16.5" thickBot="1" x14ac:dyDescent="0.3">
      <c r="A120" s="74" t="s">
        <v>129</v>
      </c>
      <c r="D120" s="135"/>
      <c r="H120" s="80"/>
    </row>
    <row r="121" spans="1:18" s="70" customFormat="1" ht="15" x14ac:dyDescent="0.25">
      <c r="B121" s="75" t="s">
        <v>130</v>
      </c>
      <c r="D121" s="128"/>
      <c r="H121" s="78"/>
      <c r="K121" s="81"/>
      <c r="L121" s="81"/>
      <c r="M121" s="81"/>
      <c r="N121" s="81"/>
      <c r="O121" s="81"/>
      <c r="P121" s="81"/>
      <c r="Q121" s="81"/>
      <c r="R121" s="81"/>
    </row>
    <row r="122" spans="1:18" ht="15.75" x14ac:dyDescent="0.25">
      <c r="A122" s="73"/>
      <c r="B122" s="76"/>
      <c r="C122" s="4" t="s">
        <v>130</v>
      </c>
      <c r="D122" s="128" t="s">
        <v>22</v>
      </c>
      <c r="E122" s="4"/>
      <c r="F122" s="4"/>
      <c r="G122" s="4"/>
      <c r="H122" s="4"/>
      <c r="I122" s="4"/>
      <c r="J122" s="4"/>
      <c r="K122" s="82">
        <f t="shared" ref="K122:R122" si="1">_xlfn.DAYS(DATE(K4, 12, 31),DATE(K4, 1, 1))+1</f>
        <v>365</v>
      </c>
      <c r="L122" s="82">
        <f t="shared" si="1"/>
        <v>365</v>
      </c>
      <c r="M122" s="82">
        <f t="shared" si="1"/>
        <v>366</v>
      </c>
      <c r="N122" s="82">
        <f t="shared" si="1"/>
        <v>365</v>
      </c>
      <c r="O122" s="82">
        <f t="shared" si="1"/>
        <v>365</v>
      </c>
      <c r="P122" s="82">
        <f t="shared" si="1"/>
        <v>365</v>
      </c>
      <c r="Q122" s="82">
        <f t="shared" si="1"/>
        <v>366</v>
      </c>
      <c r="R122" s="82">
        <f t="shared" si="1"/>
        <v>365</v>
      </c>
    </row>
    <row r="123" spans="1:18" ht="15.75" x14ac:dyDescent="0.25">
      <c r="A123" s="73"/>
      <c r="B123" s="76"/>
      <c r="C123" s="4"/>
      <c r="D123" s="119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39"/>
      <c r="Q123" s="56"/>
      <c r="R123" s="4"/>
    </row>
    <row r="124" spans="1:18" ht="15.75" x14ac:dyDescent="0.25">
      <c r="A124" s="73"/>
      <c r="B124" s="75" t="s">
        <v>20</v>
      </c>
      <c r="C124" s="70"/>
      <c r="D124" s="119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39"/>
      <c r="Q124" s="56"/>
      <c r="R124" s="4"/>
    </row>
    <row r="125" spans="1:18" ht="15.75" x14ac:dyDescent="0.25">
      <c r="A125" s="73"/>
      <c r="B125" s="76"/>
      <c r="C125" s="4" t="s">
        <v>21</v>
      </c>
      <c r="D125" s="128" t="s">
        <v>22</v>
      </c>
      <c r="E125" s="4"/>
      <c r="F125" s="4"/>
      <c r="G125" s="4"/>
      <c r="H125" s="4"/>
      <c r="I125" s="4"/>
      <c r="J125" s="4"/>
      <c r="K125" s="4"/>
      <c r="L125" s="4"/>
      <c r="M125" s="4"/>
      <c r="N125" s="79">
        <v>40</v>
      </c>
      <c r="O125" s="79">
        <v>42</v>
      </c>
      <c r="P125" s="79">
        <v>40</v>
      </c>
      <c r="Q125" s="79">
        <v>39</v>
      </c>
      <c r="R125" s="79">
        <v>38</v>
      </c>
    </row>
    <row r="126" spans="1:18" ht="15.75" x14ac:dyDescent="0.25">
      <c r="A126" s="73"/>
      <c r="B126" s="76"/>
      <c r="C126" s="4" t="s">
        <v>23</v>
      </c>
      <c r="D126" s="128" t="s">
        <v>22</v>
      </c>
      <c r="E126" s="4"/>
      <c r="F126" s="4"/>
      <c r="G126" s="4"/>
      <c r="H126" s="4"/>
      <c r="I126" s="4"/>
      <c r="J126" s="4"/>
      <c r="K126" s="4"/>
      <c r="L126" s="4"/>
      <c r="M126" s="4"/>
      <c r="N126" s="79">
        <v>56</v>
      </c>
      <c r="O126" s="79">
        <v>58</v>
      </c>
      <c r="P126" s="79">
        <v>57</v>
      </c>
      <c r="Q126" s="79">
        <v>55</v>
      </c>
      <c r="R126" s="79">
        <v>56</v>
      </c>
    </row>
    <row r="127" spans="1:18" ht="15.75" x14ac:dyDescent="0.25">
      <c r="A127" s="73"/>
      <c r="B127" s="76"/>
      <c r="C127" s="4" t="s">
        <v>24</v>
      </c>
      <c r="D127" s="128" t="s">
        <v>22</v>
      </c>
      <c r="E127" s="4"/>
      <c r="F127" s="4"/>
      <c r="G127" s="4"/>
      <c r="H127" s="4"/>
      <c r="I127" s="4"/>
      <c r="J127" s="4"/>
      <c r="K127" s="4"/>
      <c r="L127" s="4"/>
      <c r="M127" s="4"/>
      <c r="N127" s="79">
        <v>28</v>
      </c>
      <c r="O127" s="79">
        <v>30</v>
      </c>
      <c r="P127" s="79">
        <v>29</v>
      </c>
      <c r="Q127" s="79">
        <v>28</v>
      </c>
      <c r="R127" s="79">
        <v>28</v>
      </c>
    </row>
    <row r="128" spans="1:18" ht="15.75" x14ac:dyDescent="0.25">
      <c r="A128" s="73"/>
      <c r="B128" s="76"/>
      <c r="C128" s="4" t="s">
        <v>25</v>
      </c>
      <c r="D128" s="128" t="s">
        <v>22</v>
      </c>
      <c r="E128" s="4"/>
      <c r="F128" s="4"/>
      <c r="G128" s="4"/>
      <c r="H128" s="4"/>
      <c r="I128" s="4"/>
      <c r="J128" s="4"/>
      <c r="K128" s="4"/>
      <c r="L128" s="4"/>
      <c r="M128" s="4"/>
      <c r="N128" s="79">
        <v>4</v>
      </c>
      <c r="O128" s="79">
        <v>3</v>
      </c>
      <c r="P128" s="79">
        <v>4</v>
      </c>
      <c r="Q128" s="79">
        <v>3</v>
      </c>
      <c r="R128" s="79">
        <v>3</v>
      </c>
    </row>
    <row r="129" spans="1:18" ht="15.75" x14ac:dyDescent="0.25">
      <c r="A129" s="73"/>
      <c r="B129" s="76"/>
      <c r="C129" s="4" t="s">
        <v>26</v>
      </c>
      <c r="D129" s="128" t="s">
        <v>22</v>
      </c>
      <c r="E129" s="4"/>
      <c r="F129" s="4"/>
      <c r="G129" s="4"/>
      <c r="H129" s="4"/>
      <c r="I129" s="4"/>
      <c r="J129" s="4"/>
      <c r="K129" s="4"/>
      <c r="L129" s="4"/>
      <c r="M129" s="4"/>
      <c r="N129" s="79">
        <v>45</v>
      </c>
      <c r="O129" s="79">
        <v>42</v>
      </c>
      <c r="P129" s="79">
        <v>40</v>
      </c>
      <c r="Q129" s="79">
        <v>43</v>
      </c>
      <c r="R129" s="79">
        <v>41</v>
      </c>
    </row>
    <row r="130" spans="1:18" ht="15.75" x14ac:dyDescent="0.25">
      <c r="A130" s="73"/>
      <c r="B130" s="76"/>
      <c r="C130" s="4" t="s">
        <v>27</v>
      </c>
      <c r="D130" s="128" t="s">
        <v>22</v>
      </c>
      <c r="E130" s="4"/>
      <c r="F130" s="4"/>
      <c r="G130" s="4"/>
      <c r="H130" s="4"/>
      <c r="I130" s="4"/>
      <c r="J130" s="4"/>
      <c r="K130" s="4"/>
      <c r="L130" s="4"/>
      <c r="M130" s="4"/>
      <c r="N130" s="79">
        <v>8</v>
      </c>
      <c r="O130" s="79">
        <v>10</v>
      </c>
      <c r="P130" s="79">
        <v>9</v>
      </c>
      <c r="Q130" s="79">
        <v>8</v>
      </c>
      <c r="R130" s="79">
        <v>9</v>
      </c>
    </row>
    <row r="131" spans="1:18" ht="15.75" x14ac:dyDescent="0.25">
      <c r="A131" s="73"/>
      <c r="B131" s="76"/>
      <c r="C131" s="4"/>
      <c r="D131" s="119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39"/>
      <c r="Q131" s="56"/>
      <c r="R131" s="4"/>
    </row>
    <row r="132" spans="1:18" s="71" customFormat="1" ht="16.5" thickBot="1" x14ac:dyDescent="0.3">
      <c r="A132" s="71" t="s">
        <v>131</v>
      </c>
      <c r="D132" s="135"/>
      <c r="H132" s="80"/>
    </row>
    <row r="133" spans="1:18" s="70" customFormat="1" ht="15.75" thickTop="1" x14ac:dyDescent="0.25">
      <c r="B133" s="75" t="s">
        <v>131</v>
      </c>
      <c r="D133" s="128"/>
      <c r="H133" s="78"/>
      <c r="K133" s="81"/>
      <c r="L133" s="81"/>
      <c r="M133" s="81"/>
      <c r="N133" s="81"/>
      <c r="O133" s="81"/>
      <c r="P133" s="81"/>
      <c r="Q133" s="81"/>
      <c r="R133" s="81"/>
    </row>
    <row r="134" spans="1:18" ht="15.75" x14ac:dyDescent="0.25">
      <c r="A134" s="73"/>
      <c r="B134" s="76"/>
      <c r="C134" s="4" t="s">
        <v>132</v>
      </c>
      <c r="D134" s="128" t="s">
        <v>123</v>
      </c>
      <c r="E134" s="4"/>
      <c r="F134" s="4"/>
      <c r="G134" s="4"/>
      <c r="H134" s="4"/>
      <c r="I134" s="46">
        <v>0.3</v>
      </c>
      <c r="J134" s="4"/>
      <c r="K134" s="4"/>
      <c r="L134" s="4"/>
      <c r="M134" s="4"/>
      <c r="N134" s="4"/>
      <c r="O134" s="4"/>
      <c r="P134" s="39"/>
      <c r="Q134" s="56"/>
      <c r="R134" s="4"/>
    </row>
    <row r="135" spans="1:18" ht="15.75" x14ac:dyDescent="0.25">
      <c r="A135" s="73"/>
      <c r="B135" s="76"/>
      <c r="C135" s="4" t="s">
        <v>133</v>
      </c>
      <c r="D135" s="128" t="s">
        <v>126</v>
      </c>
      <c r="E135" s="4"/>
      <c r="F135" s="4"/>
      <c r="G135" s="4"/>
      <c r="H135" s="4"/>
      <c r="I135" s="4"/>
      <c r="J135" s="4"/>
      <c r="K135" s="4"/>
      <c r="L135" s="4"/>
      <c r="M135" s="4"/>
      <c r="N135" s="113">
        <v>6</v>
      </c>
      <c r="O135" s="113">
        <v>6</v>
      </c>
      <c r="P135" s="113">
        <v>6</v>
      </c>
      <c r="Q135" s="113">
        <v>6</v>
      </c>
      <c r="R135" s="113">
        <v>6</v>
      </c>
    </row>
    <row r="136" spans="1:18" ht="15.75" x14ac:dyDescent="0.25">
      <c r="A136" s="73"/>
      <c r="B136" s="76"/>
      <c r="C136" s="4"/>
      <c r="D136" s="119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39"/>
      <c r="Q136" s="56"/>
      <c r="R136" s="4"/>
    </row>
    <row r="137" spans="1:18" s="71" customFormat="1" ht="16.5" thickBot="1" x14ac:dyDescent="0.3">
      <c r="A137" s="71" t="s">
        <v>138</v>
      </c>
      <c r="D137" s="135"/>
      <c r="H137" s="80"/>
    </row>
    <row r="138" spans="1:18" ht="16.5" thickTop="1" x14ac:dyDescent="0.25">
      <c r="A138" s="73"/>
      <c r="B138" s="75" t="s">
        <v>138</v>
      </c>
      <c r="C138" s="4"/>
      <c r="D138" s="119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39"/>
      <c r="Q138" s="56"/>
      <c r="R138" s="4"/>
    </row>
    <row r="139" spans="1:18" ht="15.75" x14ac:dyDescent="0.25">
      <c r="A139" s="73"/>
      <c r="B139" s="76"/>
      <c r="C139" s="4" t="s">
        <v>139</v>
      </c>
      <c r="D139" s="128" t="s">
        <v>123</v>
      </c>
      <c r="E139" s="4"/>
      <c r="F139" s="4"/>
      <c r="G139" s="4"/>
      <c r="H139" s="4"/>
      <c r="I139" s="46">
        <v>0.02</v>
      </c>
      <c r="J139" s="4"/>
      <c r="K139" s="4"/>
      <c r="L139" s="4"/>
      <c r="M139" s="4"/>
      <c r="N139" s="4"/>
      <c r="O139" s="4"/>
      <c r="P139" s="39"/>
      <c r="Q139" s="56"/>
      <c r="R139" s="4"/>
    </row>
    <row r="140" spans="1:18" ht="15.75" x14ac:dyDescent="0.25">
      <c r="A140" s="73"/>
      <c r="B140" s="76"/>
      <c r="C140" s="4"/>
      <c r="D140" s="119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39"/>
      <c r="Q140" s="56"/>
      <c r="R140" s="4"/>
    </row>
    <row r="141" spans="1:18" s="71" customFormat="1" ht="16.5" thickBot="1" x14ac:dyDescent="0.3">
      <c r="A141" s="71" t="s">
        <v>134</v>
      </c>
      <c r="D141" s="135"/>
      <c r="H141" s="80"/>
    </row>
    <row r="142" spans="1:18" ht="15.75" thickTop="1" x14ac:dyDescent="0.25">
      <c r="A142" s="70"/>
      <c r="B142" s="75" t="s">
        <v>137</v>
      </c>
      <c r="C142" s="70"/>
      <c r="D142" s="128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39"/>
      <c r="Q142" s="56"/>
      <c r="R142" s="4"/>
    </row>
    <row r="143" spans="1:18" x14ac:dyDescent="0.2">
      <c r="A143" s="70"/>
      <c r="B143" s="70"/>
      <c r="C143" t="s">
        <v>92</v>
      </c>
      <c r="D143" s="128" t="s">
        <v>123</v>
      </c>
      <c r="E143" s="4"/>
      <c r="F143" s="4"/>
      <c r="G143" s="4"/>
      <c r="H143" s="4"/>
      <c r="I143" s="46">
        <v>0.08</v>
      </c>
      <c r="J143" s="4"/>
      <c r="K143" s="4"/>
      <c r="L143" s="4"/>
      <c r="M143" s="4"/>
      <c r="N143" s="4"/>
      <c r="O143" s="4"/>
      <c r="P143" s="39"/>
      <c r="Q143" s="56"/>
      <c r="R143" s="4"/>
    </row>
    <row r="144" spans="1:18" x14ac:dyDescent="0.2">
      <c r="A144" s="70"/>
      <c r="B144" s="70"/>
      <c r="C144"/>
      <c r="D144" s="128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39"/>
      <c r="Q144" s="56"/>
      <c r="R144" s="4"/>
    </row>
    <row r="145" spans="1:19" ht="15" x14ac:dyDescent="0.25">
      <c r="A145" s="70"/>
      <c r="B145" s="75" t="s">
        <v>67</v>
      </c>
      <c r="J145" s="4"/>
      <c r="K145" s="4"/>
      <c r="L145" s="4"/>
      <c r="M145" s="4"/>
      <c r="N145" s="4"/>
      <c r="O145" s="4"/>
      <c r="P145" s="39"/>
      <c r="Q145" s="56"/>
      <c r="R145" s="4"/>
    </row>
    <row r="146" spans="1:19" x14ac:dyDescent="0.2">
      <c r="A146" s="70"/>
      <c r="B146" s="70"/>
      <c r="C146" t="s">
        <v>92</v>
      </c>
      <c r="D146" s="128" t="s">
        <v>123</v>
      </c>
      <c r="E146" s="4"/>
      <c r="F146" s="4"/>
      <c r="G146" s="4"/>
      <c r="H146" s="4"/>
      <c r="I146" s="46">
        <v>0.05</v>
      </c>
      <c r="J146" s="4"/>
      <c r="K146" s="4"/>
      <c r="L146" s="4"/>
      <c r="M146" s="4"/>
      <c r="N146" s="4"/>
      <c r="O146" s="4"/>
      <c r="P146" s="39"/>
      <c r="Q146" s="56"/>
      <c r="R146" s="4"/>
    </row>
    <row r="147" spans="1:19" x14ac:dyDescent="0.2">
      <c r="A147" s="70"/>
      <c r="B147" s="70"/>
      <c r="C147"/>
      <c r="D147" s="128"/>
      <c r="E147" s="4"/>
      <c r="F147" s="4"/>
      <c r="G147" s="4"/>
      <c r="H147" s="4"/>
      <c r="I147" s="4"/>
      <c r="J147" s="4"/>
      <c r="K147" s="4"/>
      <c r="L147" s="4"/>
      <c r="M147" s="4"/>
      <c r="N147" s="191"/>
      <c r="O147" s="4"/>
      <c r="P147" s="39"/>
      <c r="Q147" s="56"/>
      <c r="R147" s="4"/>
    </row>
    <row r="148" spans="1:19" x14ac:dyDescent="0.2">
      <c r="A148" s="70"/>
      <c r="B148" s="70"/>
      <c r="C148" t="s">
        <v>142</v>
      </c>
      <c r="D148" s="128" t="s">
        <v>126</v>
      </c>
      <c r="E148" s="4"/>
      <c r="F148" s="4"/>
      <c r="G148" s="4"/>
      <c r="H148" s="4"/>
      <c r="I148" s="4"/>
      <c r="J148" s="4"/>
      <c r="K148" s="4"/>
      <c r="L148" s="4"/>
      <c r="M148" s="4"/>
      <c r="N148" s="113">
        <v>30</v>
      </c>
      <c r="O148" s="113">
        <v>-12</v>
      </c>
      <c r="P148" s="113">
        <v>-12</v>
      </c>
      <c r="Q148" s="113">
        <v>-12</v>
      </c>
      <c r="R148" s="113">
        <v>-12</v>
      </c>
    </row>
    <row r="149" spans="1:19" x14ac:dyDescent="0.2">
      <c r="A149" s="70"/>
      <c r="B149" s="70"/>
      <c r="C149"/>
      <c r="D149" s="128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39"/>
      <c r="Q149" s="56"/>
      <c r="R149" s="4"/>
    </row>
    <row r="150" spans="1:19" s="71" customFormat="1" ht="16.5" thickBot="1" x14ac:dyDescent="0.3">
      <c r="A150" s="71" t="s">
        <v>135</v>
      </c>
      <c r="D150" s="135"/>
      <c r="H150" s="80"/>
    </row>
    <row r="151" spans="1:19" ht="15.75" thickTop="1" x14ac:dyDescent="0.25">
      <c r="A151" s="70"/>
      <c r="B151" s="75" t="s">
        <v>135</v>
      </c>
      <c r="C151" s="70"/>
      <c r="D151" s="128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39"/>
      <c r="Q151" s="56"/>
      <c r="R151" s="4"/>
    </row>
    <row r="152" spans="1:19" x14ac:dyDescent="0.2">
      <c r="A152" s="70"/>
      <c r="B152" s="70"/>
      <c r="C152" t="s">
        <v>103</v>
      </c>
      <c r="D152" s="128" t="s">
        <v>123</v>
      </c>
      <c r="E152" s="4"/>
      <c r="F152" s="4"/>
      <c r="G152" s="4"/>
      <c r="H152" s="4"/>
      <c r="I152"/>
      <c r="J152" s="4"/>
      <c r="K152" s="4"/>
      <c r="L152" s="4"/>
      <c r="M152" s="4"/>
      <c r="N152" s="46">
        <v>0.25</v>
      </c>
      <c r="O152" s="46">
        <v>0.25</v>
      </c>
      <c r="P152" s="46">
        <v>0.25</v>
      </c>
      <c r="Q152" s="46">
        <v>0.25</v>
      </c>
      <c r="R152" s="46">
        <v>0.25</v>
      </c>
    </row>
    <row r="153" spans="1:19" x14ac:dyDescent="0.2">
      <c r="A153" s="70"/>
      <c r="B153" s="70"/>
      <c r="C153" t="s">
        <v>136</v>
      </c>
      <c r="D153" s="116" t="s">
        <v>126</v>
      </c>
      <c r="E153" s="4"/>
      <c r="F153" s="4"/>
      <c r="G153" s="4"/>
      <c r="H153" s="4"/>
      <c r="I153" s="4"/>
      <c r="J153" s="4"/>
      <c r="K153" s="4"/>
      <c r="L153" s="4"/>
      <c r="M153" s="4"/>
      <c r="N153" s="113">
        <v>0</v>
      </c>
      <c r="O153" s="113">
        <v>0</v>
      </c>
      <c r="P153" s="113">
        <v>0</v>
      </c>
      <c r="Q153" s="113">
        <v>0</v>
      </c>
      <c r="R153" s="113">
        <v>0</v>
      </c>
    </row>
    <row r="154" spans="1:19" x14ac:dyDescent="0.2">
      <c r="A154" s="70"/>
      <c r="B154" s="70"/>
      <c r="C154"/>
      <c r="D154" s="128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39"/>
      <c r="Q154" s="56"/>
      <c r="R154" s="4"/>
    </row>
    <row r="155" spans="1:19" s="66" customFormat="1" ht="16.5" thickBot="1" x14ac:dyDescent="0.3">
      <c r="A155" s="74" t="s">
        <v>149</v>
      </c>
      <c r="B155" s="74"/>
      <c r="D155" s="134"/>
      <c r="P155" s="67"/>
      <c r="Q155" s="68"/>
    </row>
    <row r="156" spans="1:19" x14ac:dyDescent="0.2">
      <c r="A156" s="70"/>
      <c r="B156" s="70"/>
      <c r="C156"/>
      <c r="D156" s="128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39"/>
      <c r="Q156" s="56"/>
      <c r="R156" s="4"/>
    </row>
    <row r="157" spans="1:19" x14ac:dyDescent="0.2">
      <c r="A157"/>
      <c r="B157"/>
      <c r="C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ht="6" customHeight="1" x14ac:dyDescent="0.2">
      <c r="A184"/>
      <c r="B184"/>
      <c r="C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ht="6" customHeight="1" x14ac:dyDescent="0.2">
      <c r="A185"/>
      <c r="B185"/>
      <c r="C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ht="6" customHeight="1" x14ac:dyDescent="0.2">
      <c r="A188"/>
      <c r="B188"/>
      <c r="C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/>
    <row r="222" spans="1:19" x14ac:dyDescent="0.2"/>
    <row r="223" spans="1:19" x14ac:dyDescent="0.2"/>
    <row r="224" spans="1:19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</sheetData>
  <mergeCells count="2">
    <mergeCell ref="K3:M3"/>
    <mergeCell ref="N3:R3"/>
  </mergeCells>
  <conditionalFormatting sqref="K81:L82 M81:M83 L83">
    <cfRule type="containsBlanks" dxfId="56" priority="32">
      <formula>LEN(TRIM(K81))=0</formula>
    </cfRule>
  </conditionalFormatting>
  <conditionalFormatting sqref="K75:M77">
    <cfRule type="containsBlanks" dxfId="55" priority="24">
      <formula>LEN(TRIM(K75))=0</formula>
    </cfRule>
  </conditionalFormatting>
  <conditionalFormatting sqref="K90:M92">
    <cfRule type="containsBlanks" dxfId="54" priority="7">
      <formula>LEN(TRIM(K90))=0</formula>
    </cfRule>
  </conditionalFormatting>
  <conditionalFormatting sqref="K101:M102">
    <cfRule type="containsBlanks" dxfId="53" priority="21">
      <formula>LEN(TRIM(K101))=0</formula>
    </cfRule>
  </conditionalFormatting>
  <conditionalFormatting sqref="K105:M105">
    <cfRule type="containsBlanks" dxfId="52" priority="19">
      <formula>LEN(TRIM(K105))=0</formula>
    </cfRule>
  </conditionalFormatting>
  <conditionalFormatting sqref="K108:M108">
    <cfRule type="containsBlanks" dxfId="51" priority="4">
      <formula>LEN(TRIM(K108))=0</formula>
    </cfRule>
  </conditionalFormatting>
  <conditionalFormatting sqref="K115:M115">
    <cfRule type="containsBlanks" dxfId="50" priority="17">
      <formula>LEN(TRIM(K115))=0</formula>
    </cfRule>
  </conditionalFormatting>
  <conditionalFormatting sqref="K118:M118">
    <cfRule type="containsBlanks" dxfId="49" priority="16">
      <formula>LEN(TRIM(K118))=0</formula>
    </cfRule>
  </conditionalFormatting>
  <conditionalFormatting sqref="K125:M130">
    <cfRule type="containsBlanks" dxfId="48" priority="15">
      <formula>LEN(TRIM(K125))=0</formula>
    </cfRule>
  </conditionalFormatting>
  <conditionalFormatting sqref="K135:M135">
    <cfRule type="containsBlanks" dxfId="47" priority="14">
      <formula>LEN(TRIM(K135))=0</formula>
    </cfRule>
  </conditionalFormatting>
  <conditionalFormatting sqref="K148:M148">
    <cfRule type="containsBlanks" dxfId="46" priority="3">
      <formula>LEN(TRIM(K148))=0</formula>
    </cfRule>
  </conditionalFormatting>
  <conditionalFormatting sqref="K152:M153">
    <cfRule type="containsBlanks" dxfId="45" priority="2">
      <formula>LEN(TRIM(K152))=0</formula>
    </cfRule>
  </conditionalFormatting>
  <conditionalFormatting sqref="K5:R6">
    <cfRule type="cellIs" dxfId="44" priority="1" operator="equal">
      <formula>TRUE</formula>
    </cfRule>
  </conditionalFormatting>
  <conditionalFormatting sqref="N17:R18">
    <cfRule type="containsBlanks" dxfId="43" priority="51">
      <formula>LEN(TRIM(N17))=0</formula>
    </cfRule>
  </conditionalFormatting>
  <conditionalFormatting sqref="N20:R21">
    <cfRule type="containsBlanks" dxfId="42" priority="45">
      <formula>LEN(TRIM(N20))=0</formula>
    </cfRule>
  </conditionalFormatting>
  <conditionalFormatting sqref="N23:R23">
    <cfRule type="containsBlanks" dxfId="41" priority="44">
      <formula>LEN(TRIM(N23))=0</formula>
    </cfRule>
  </conditionalFormatting>
  <conditionalFormatting sqref="N25:R25">
    <cfRule type="containsBlanks" dxfId="40" priority="43">
      <formula>LEN(TRIM(N25))=0</formula>
    </cfRule>
  </conditionalFormatting>
  <conditionalFormatting sqref="N27:R27">
    <cfRule type="containsBlanks" dxfId="39" priority="42">
      <formula>LEN(TRIM(N27))=0</formula>
    </cfRule>
  </conditionalFormatting>
  <conditionalFormatting sqref="N29:R30">
    <cfRule type="containsBlanks" dxfId="38" priority="41">
      <formula>LEN(TRIM(N29))=0</formula>
    </cfRule>
  </conditionalFormatting>
  <conditionalFormatting sqref="N34:R37">
    <cfRule type="containsBlanks" dxfId="37" priority="40">
      <formula>LEN(TRIM(N34))=0</formula>
    </cfRule>
  </conditionalFormatting>
  <conditionalFormatting sqref="N40:R41">
    <cfRule type="containsBlanks" dxfId="36" priority="39">
      <formula>LEN(TRIM(N40))=0</formula>
    </cfRule>
  </conditionalFormatting>
  <conditionalFormatting sqref="N44:R47">
    <cfRule type="containsBlanks" dxfId="35" priority="38">
      <formula>LEN(TRIM(N44))=0</formula>
    </cfRule>
  </conditionalFormatting>
  <conditionalFormatting sqref="N49:R49">
    <cfRule type="containsBlanks" dxfId="34" priority="10">
      <formula>LEN(TRIM(N49))=0</formula>
    </cfRule>
  </conditionalFormatting>
  <conditionalFormatting sqref="N53:R57">
    <cfRule type="containsBlanks" dxfId="33" priority="37">
      <formula>LEN(TRIM(N53))=0</formula>
    </cfRule>
  </conditionalFormatting>
  <conditionalFormatting sqref="N59:R60">
    <cfRule type="containsBlanks" dxfId="32" priority="36">
      <formula>LEN(TRIM(N59))=0</formula>
    </cfRule>
  </conditionalFormatting>
  <conditionalFormatting sqref="N63:R65">
    <cfRule type="containsBlanks" dxfId="31" priority="35">
      <formula>LEN(TRIM(N63))=0</formula>
    </cfRule>
  </conditionalFormatting>
  <conditionalFormatting sqref="N67:R68">
    <cfRule type="containsBlanks" dxfId="30" priority="34">
      <formula>LEN(TRIM(N67))=0</formula>
    </cfRule>
  </conditionalFormatting>
  <conditionalFormatting sqref="N70:R71">
    <cfRule type="containsBlanks" dxfId="29" priority="33">
      <formula>LEN(TRIM(N70))=0</formula>
    </cfRule>
  </conditionalFormatting>
  <conditionalFormatting sqref="N79:R79">
    <cfRule type="containsBlanks" dxfId="28" priority="9">
      <formula>LEN(TRIM(N79))=0</formula>
    </cfRule>
  </conditionalFormatting>
  <conditionalFormatting sqref="N88:R88">
    <cfRule type="containsBlanks" dxfId="27" priority="8">
      <formula>LEN(TRIM(N88))=0</formula>
    </cfRule>
  </conditionalFormatting>
  <conditionalFormatting sqref="N96:R97">
    <cfRule type="containsBlanks" dxfId="26" priority="6">
      <formula>LEN(TRIM(N96))=0</formula>
    </cfRule>
  </conditionalFormatting>
  <conditionalFormatting sqref="N100:R102">
    <cfRule type="containsBlanks" dxfId="25" priority="5">
      <formula>LEN(TRIM(N100))=0</formula>
    </cfRule>
  </conditionalFormatting>
  <pageMargins left="0.7" right="0.7" top="0.75" bottom="0.75" header="0.3" footer="0.3"/>
  <pageSetup scale="67" orientation="portrait" r:id="rId1"/>
  <headerFooter>
    <oddHeader>&amp;LFinancial Metrics for Decision Making 25624</oddHeader>
    <oddFooter>&amp;L&amp;F&amp;R&amp;A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3D2C-8997-4D08-B17C-7839F12A1FEA}">
  <dimension ref="A1"/>
  <sheetViews>
    <sheetView showGridLines="0" workbookViewId="0">
      <selection activeCell="K87" sqref="K87"/>
    </sheetView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E48B-46AE-43E2-AA1A-32C6BA4A76D9}">
  <dimension ref="A1:T102"/>
  <sheetViews>
    <sheetView showGridLines="0" zoomScale="85" zoomScaleNormal="85" workbookViewId="0">
      <pane xSplit="10" ySplit="9" topLeftCell="K77" activePane="bottomRight" state="frozen"/>
      <selection activeCell="C14" sqref="C14"/>
      <selection pane="topRight" activeCell="C14" sqref="C14"/>
      <selection pane="bottomLeft" activeCell="C14" sqref="C14"/>
      <selection pane="bottomRight" activeCell="K87" sqref="K87"/>
    </sheetView>
  </sheetViews>
  <sheetFormatPr defaultColWidth="0" defaultRowHeight="12.75" x14ac:dyDescent="0.2"/>
  <cols>
    <col min="1" max="1" width="1.5703125" style="3" customWidth="1"/>
    <col min="2" max="2" width="2" style="3" customWidth="1"/>
    <col min="3" max="3" width="22.42578125" style="3" customWidth="1"/>
    <col min="4" max="4" width="5.140625" style="140" customWidth="1"/>
    <col min="5" max="5" width="1.7109375" style="3" customWidth="1"/>
    <col min="6" max="6" width="1.28515625" style="3" customWidth="1"/>
    <col min="7" max="7" width="1.5703125" style="3" customWidth="1"/>
    <col min="8" max="8" width="14.140625" style="3" customWidth="1"/>
    <col min="9" max="9" width="9.5703125" style="3" customWidth="1"/>
    <col min="10" max="10" width="10.7109375" style="3" customWidth="1"/>
    <col min="11" max="11" width="11.42578125" style="3" bestFit="1" customWidth="1"/>
    <col min="12" max="18" width="10.7109375" style="3" customWidth="1"/>
    <col min="19" max="19" width="11.42578125" style="3" customWidth="1"/>
    <col min="20" max="20" width="2" style="3" customWidth="1"/>
    <col min="21" max="16384" width="8.85546875" style="3" hidden="1"/>
  </cols>
  <sheetData>
    <row r="1" spans="1:20" ht="12.75" customHeight="1" x14ac:dyDescent="0.35">
      <c r="A1" s="29"/>
      <c r="B1" s="15"/>
      <c r="C1" s="16"/>
      <c r="D1" s="138"/>
      <c r="E1" s="16"/>
      <c r="F1" s="30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9" t="str">
        <f>"CURRENTLY RUNNING | "&amp;Scenarios!$R$1</f>
        <v>CURRENTLY RUNNING | Base Case</v>
      </c>
      <c r="S1" s="4"/>
      <c r="T1" s="15"/>
    </row>
    <row r="2" spans="1:20" s="62" customFormat="1" ht="16.5" thickBot="1" x14ac:dyDescent="0.3">
      <c r="A2" s="58">
        <f>Cover!B12</f>
        <v>0</v>
      </c>
      <c r="C2" s="59"/>
      <c r="D2" s="143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  <c r="T2" s="61"/>
    </row>
    <row r="3" spans="1:20" ht="13.5" thickTop="1" x14ac:dyDescent="0.2">
      <c r="A3" s="55"/>
      <c r="C3" s="54"/>
      <c r="D3" s="139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</row>
    <row r="4" spans="1:20" x14ac:dyDescent="0.2">
      <c r="A4" s="41"/>
      <c r="B4" s="55"/>
      <c r="C4" s="166" t="s">
        <v>176</v>
      </c>
      <c r="D4"/>
      <c r="E4"/>
      <c r="F4"/>
      <c r="G4"/>
      <c r="H4"/>
      <c r="I4"/>
      <c r="J4"/>
      <c r="K4" s="4">
        <v>2022</v>
      </c>
      <c r="L4" s="4">
        <v>2023</v>
      </c>
      <c r="M4" s="4">
        <v>2024</v>
      </c>
      <c r="N4" s="4">
        <v>2025</v>
      </c>
      <c r="O4" s="4">
        <v>2026</v>
      </c>
      <c r="P4" s="4">
        <v>2027</v>
      </c>
      <c r="Q4" s="4">
        <v>2028</v>
      </c>
      <c r="R4" s="4">
        <v>2029</v>
      </c>
    </row>
    <row r="5" spans="1:20" customFormat="1" x14ac:dyDescent="0.2">
      <c r="C5" s="4" t="s">
        <v>177</v>
      </c>
      <c r="K5" s="3" t="b" cm="1">
        <f t="array" ref="K5">K4&lt;Forecast.start</f>
        <v>1</v>
      </c>
      <c r="L5" s="3" t="b" cm="1">
        <f t="array" ref="L5">L4&lt;Forecast.start</f>
        <v>1</v>
      </c>
      <c r="M5" s="3" t="b" cm="1">
        <f t="array" ref="M5">M4&lt;Forecast.start</f>
        <v>1</v>
      </c>
      <c r="N5" s="3" t="b" cm="1">
        <f t="array" ref="N5">N4&lt;Forecast.start</f>
        <v>0</v>
      </c>
      <c r="O5" s="3" t="b" cm="1">
        <f t="array" ref="O5">O4&lt;Forecast.start</f>
        <v>0</v>
      </c>
      <c r="P5" s="3" t="b" cm="1">
        <f t="array" ref="P5">P4&lt;Forecast.start</f>
        <v>0</v>
      </c>
      <c r="Q5" s="3" t="b" cm="1">
        <f t="array" ref="Q5">Q4&lt;Forecast.start</f>
        <v>0</v>
      </c>
      <c r="R5" s="3" t="b" cm="1">
        <f t="array" ref="R5">R4&lt;Forecast.start</f>
        <v>0</v>
      </c>
    </row>
    <row r="6" spans="1:20" customFormat="1" x14ac:dyDescent="0.2">
      <c r="C6" s="4" t="s">
        <v>178</v>
      </c>
      <c r="K6" t="b">
        <f>NOT(K5)</f>
        <v>0</v>
      </c>
      <c r="L6" t="b">
        <f t="shared" ref="L6:R6" si="0">NOT(L5)</f>
        <v>0</v>
      </c>
      <c r="M6" t="b">
        <f t="shared" si="0"/>
        <v>0</v>
      </c>
      <c r="N6" t="b">
        <f t="shared" si="0"/>
        <v>1</v>
      </c>
      <c r="O6" t="b">
        <f t="shared" si="0"/>
        <v>1</v>
      </c>
      <c r="P6" t="b">
        <f t="shared" si="0"/>
        <v>1</v>
      </c>
      <c r="Q6" t="b">
        <f t="shared" si="0"/>
        <v>1</v>
      </c>
      <c r="R6" t="b">
        <f t="shared" si="0"/>
        <v>1</v>
      </c>
    </row>
    <row r="7" spans="1:20" customFormat="1" x14ac:dyDescent="0.2"/>
    <row r="8" spans="1:20" x14ac:dyDescent="0.2">
      <c r="A8" s="41"/>
      <c r="B8" s="55"/>
      <c r="C8" s="54"/>
      <c r="D8" s="139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</row>
    <row r="9" spans="1:20" s="131" customFormat="1" ht="15.75" x14ac:dyDescent="0.25">
      <c r="A9" s="124" t="s">
        <v>105</v>
      </c>
      <c r="B9" s="130"/>
      <c r="D9" s="124" t="s">
        <v>106</v>
      </c>
      <c r="H9" s="124" t="s">
        <v>107</v>
      </c>
      <c r="I9" s="132" t="s">
        <v>122</v>
      </c>
    </row>
    <row r="10" spans="1:20" s="66" customFormat="1" ht="16.5" thickBot="1" x14ac:dyDescent="0.3">
      <c r="A10" s="74" t="s">
        <v>15</v>
      </c>
      <c r="B10" s="74"/>
      <c r="D10" s="144"/>
      <c r="P10" s="67"/>
      <c r="Q10" s="68"/>
    </row>
    <row r="11" spans="1:20" x14ac:dyDescent="0.2">
      <c r="A11" s="4"/>
      <c r="B11"/>
      <c r="C11" t="s">
        <v>31</v>
      </c>
      <c r="D11" s="140" t="s">
        <v>126</v>
      </c>
      <c r="E11"/>
      <c r="F11"/>
      <c r="G11"/>
      <c r="H11"/>
      <c r="I11"/>
      <c r="J11"/>
      <c r="K11" s="181" cm="1">
        <f t="array" ref="K11:R11">Revenue!K26:R26</f>
        <v>322.72779678589939</v>
      </c>
      <c r="L11" s="181">
        <v>325.46609324347673</v>
      </c>
      <c r="M11" s="181">
        <v>315</v>
      </c>
      <c r="N11" s="181">
        <v>337.428</v>
      </c>
      <c r="O11" s="181">
        <v>365.74200000000002</v>
      </c>
      <c r="P11" s="181">
        <v>399.18707399999994</v>
      </c>
      <c r="Q11" s="181">
        <v>423.17227180799995</v>
      </c>
      <c r="R11" s="181">
        <v>463.10915495988002</v>
      </c>
    </row>
    <row r="12" spans="1:20" x14ac:dyDescent="0.2">
      <c r="A12" s="4"/>
      <c r="B12"/>
      <c r="C12" t="s">
        <v>32</v>
      </c>
      <c r="D12" s="140" t="s">
        <v>126</v>
      </c>
      <c r="E12"/>
      <c r="F12"/>
      <c r="G12"/>
      <c r="H12"/>
      <c r="I12"/>
      <c r="J12"/>
      <c r="K12" s="181" cm="1">
        <f t="array" ref="K12:R13">Revenue!K27:R28</f>
        <v>-41.512887245038897</v>
      </c>
      <c r="L12" s="181">
        <v>-44.252737803211403</v>
      </c>
      <c r="M12" s="181">
        <v>-46.827129509999999</v>
      </c>
      <c r="N12" s="181">
        <v>-48.325597654319999</v>
      </c>
      <c r="O12" s="181">
        <v>-49.823691181603913</v>
      </c>
      <c r="P12" s="181">
        <v>-51.318401917052029</v>
      </c>
      <c r="Q12" s="181">
        <v>-52.755317170729484</v>
      </c>
      <c r="R12" s="181">
        <v>-54.074200099997718</v>
      </c>
    </row>
    <row r="13" spans="1:20" x14ac:dyDescent="0.2">
      <c r="A13" s="4"/>
      <c r="B13"/>
      <c r="C13" s="106" t="s">
        <v>1</v>
      </c>
      <c r="D13" s="141" t="s">
        <v>126</v>
      </c>
      <c r="E13" s="93"/>
      <c r="F13" s="93"/>
      <c r="G13" s="93"/>
      <c r="H13" s="93"/>
      <c r="I13"/>
      <c r="J13"/>
      <c r="K13" s="172">
        <v>281.2149095408605</v>
      </c>
      <c r="L13" s="172">
        <v>281.21335544026533</v>
      </c>
      <c r="M13" s="172">
        <v>268.17287048999998</v>
      </c>
      <c r="N13" s="172">
        <v>289.10240234567999</v>
      </c>
      <c r="O13" s="172">
        <v>315.9183088183961</v>
      </c>
      <c r="P13" s="172">
        <v>347.86867208294791</v>
      </c>
      <c r="Q13" s="172">
        <v>370.41695463727046</v>
      </c>
      <c r="R13" s="172">
        <v>409.0349548598823</v>
      </c>
    </row>
    <row r="14" spans="1:20" x14ac:dyDescent="0.2">
      <c r="A14" s="4"/>
      <c r="B14"/>
      <c r="C14"/>
      <c r="E14"/>
      <c r="F14"/>
      <c r="G14"/>
      <c r="H14"/>
      <c r="I14"/>
      <c r="J14"/>
      <c r="K14" s="105"/>
      <c r="L14" s="105"/>
      <c r="M14" s="105"/>
      <c r="N14" s="105"/>
      <c r="O14" s="105"/>
      <c r="P14" s="105"/>
      <c r="Q14" s="105"/>
      <c r="R14" s="105"/>
    </row>
    <row r="15" spans="1:20" x14ac:dyDescent="0.2">
      <c r="A15" s="4"/>
      <c r="B15"/>
      <c r="C15" t="s">
        <v>33</v>
      </c>
      <c r="D15" s="140" t="s">
        <v>126</v>
      </c>
      <c r="E15"/>
      <c r="F15"/>
      <c r="G15"/>
      <c r="H15"/>
      <c r="I15"/>
      <c r="J15"/>
      <c r="K15" s="181" cm="1">
        <f t="array" ref="K15:R15">0-Costs!K26:R26</f>
        <v>-190.709812284317</v>
      </c>
      <c r="L15" s="181">
        <v>-200.35336829508199</v>
      </c>
      <c r="M15" s="181">
        <v>-209.567800611</v>
      </c>
      <c r="N15" s="181">
        <v>-220.42712894660855</v>
      </c>
      <c r="O15" s="181">
        <v>-233.17347910830455</v>
      </c>
      <c r="P15" s="181">
        <v>-247.1692609979695</v>
      </c>
      <c r="Q15" s="181">
        <v>-257.68829714935032</v>
      </c>
      <c r="R15" s="181">
        <v>-275.19526737165506</v>
      </c>
    </row>
    <row r="16" spans="1:20" x14ac:dyDescent="0.2">
      <c r="A16" s="4"/>
      <c r="B16"/>
      <c r="C16" t="s">
        <v>14</v>
      </c>
      <c r="D16" s="140" t="s">
        <v>126</v>
      </c>
      <c r="E16"/>
      <c r="F16"/>
      <c r="G16"/>
      <c r="H16"/>
      <c r="I16"/>
      <c r="J16"/>
      <c r="K16" s="181" cm="1">
        <f t="array" ref="K16:R16">0-Costs!K30:R30</f>
        <v>-4.0575599999999996</v>
      </c>
      <c r="L16" s="181">
        <v>-4.1589989999999997</v>
      </c>
      <c r="M16" s="181">
        <v>-4.2629739750000004</v>
      </c>
      <c r="N16" s="181">
        <v>-4.3865639999999999</v>
      </c>
      <c r="O16" s="181">
        <v>-5.1203880000000002</v>
      </c>
      <c r="P16" s="181">
        <v>-5.3890254989999988</v>
      </c>
      <c r="Q16" s="181">
        <v>-6.0090462596735996</v>
      </c>
      <c r="R16" s="181">
        <v>-6.390906338446344</v>
      </c>
    </row>
    <row r="17" spans="1:18" x14ac:dyDescent="0.2">
      <c r="A17" s="4"/>
      <c r="B17"/>
      <c r="C17" s="107" t="s">
        <v>35</v>
      </c>
      <c r="D17" s="142" t="s">
        <v>126</v>
      </c>
      <c r="E17" s="108"/>
      <c r="F17" s="108"/>
      <c r="G17" s="108"/>
      <c r="H17" s="108"/>
      <c r="I17"/>
      <c r="J17"/>
      <c r="K17" s="172">
        <f>SUM(K15:K16)</f>
        <v>-194.76737228431699</v>
      </c>
      <c r="L17" s="172">
        <f t="shared" ref="L17:R17" si="1">SUM(L15:L16)</f>
        <v>-204.51236729508199</v>
      </c>
      <c r="M17" s="172">
        <f t="shared" si="1"/>
        <v>-213.83077458599999</v>
      </c>
      <c r="N17" s="172">
        <f t="shared" si="1"/>
        <v>-224.81369294660854</v>
      </c>
      <c r="O17" s="172">
        <f t="shared" si="1"/>
        <v>-238.29386710830454</v>
      </c>
      <c r="P17" s="172">
        <f t="shared" si="1"/>
        <v>-252.55828649696952</v>
      </c>
      <c r="Q17" s="172">
        <f t="shared" si="1"/>
        <v>-263.69734340902392</v>
      </c>
      <c r="R17" s="172">
        <f t="shared" si="1"/>
        <v>-281.58617371010143</v>
      </c>
    </row>
    <row r="18" spans="1:18" x14ac:dyDescent="0.2">
      <c r="A18" s="35"/>
      <c r="B18"/>
      <c r="C18"/>
      <c r="E18"/>
      <c r="F18"/>
      <c r="G18"/>
      <c r="H18"/>
      <c r="I18"/>
      <c r="J18"/>
      <c r="K18" s="105"/>
      <c r="L18" s="105"/>
      <c r="M18" s="105"/>
      <c r="N18" s="105"/>
      <c r="O18" s="105"/>
      <c r="P18" s="105"/>
      <c r="Q18" s="105"/>
      <c r="R18" s="105"/>
    </row>
    <row r="19" spans="1:18" x14ac:dyDescent="0.2">
      <c r="A19" s="4"/>
      <c r="B19"/>
      <c r="C19" t="s">
        <v>16</v>
      </c>
      <c r="D19" s="140" t="s">
        <v>126</v>
      </c>
      <c r="E19"/>
      <c r="F19"/>
      <c r="G19"/>
      <c r="H19"/>
      <c r="I19"/>
      <c r="J19"/>
      <c r="K19" s="105" cm="1">
        <f t="array" ref="K19:R19">IF(K5:R5,0-Assumptions!K23:R23,Assumptions!K108:R108)</f>
        <v>0</v>
      </c>
      <c r="L19" s="105">
        <v>0</v>
      </c>
      <c r="M19" s="105">
        <v>0</v>
      </c>
      <c r="N19" s="105">
        <v>0.5</v>
      </c>
      <c r="O19" s="105">
        <v>0.4</v>
      </c>
      <c r="P19" s="105">
        <v>0.8</v>
      </c>
      <c r="Q19" s="105">
        <v>0.7</v>
      </c>
      <c r="R19" s="105">
        <v>0.4</v>
      </c>
    </row>
    <row r="20" spans="1:18" x14ac:dyDescent="0.2">
      <c r="A20" s="4"/>
      <c r="B20"/>
      <c r="C20" s="107" t="s">
        <v>2</v>
      </c>
      <c r="D20" s="142" t="s">
        <v>126</v>
      </c>
      <c r="E20" s="107"/>
      <c r="F20" s="107"/>
      <c r="G20" s="107"/>
      <c r="H20" s="107"/>
      <c r="I20"/>
      <c r="J20"/>
      <c r="K20" s="172">
        <f>K13+K17+K19</f>
        <v>86.447537256543512</v>
      </c>
      <c r="L20" s="172">
        <f t="shared" ref="L20:R20" si="2">L13+L17+L19</f>
        <v>76.700988145183345</v>
      </c>
      <c r="M20" s="172">
        <f t="shared" si="2"/>
        <v>54.34209590399999</v>
      </c>
      <c r="N20" s="172">
        <f t="shared" si="2"/>
        <v>64.78870939907145</v>
      </c>
      <c r="O20" s="172">
        <f t="shared" si="2"/>
        <v>78.024441710091565</v>
      </c>
      <c r="P20" s="172">
        <f t="shared" si="2"/>
        <v>96.110385585978392</v>
      </c>
      <c r="Q20" s="172">
        <f t="shared" si="2"/>
        <v>107.41961122824655</v>
      </c>
      <c r="R20" s="172">
        <f t="shared" si="2"/>
        <v>127.84878114978088</v>
      </c>
    </row>
    <row r="21" spans="1:18" x14ac:dyDescent="0.2">
      <c r="A21" s="35"/>
      <c r="B21"/>
      <c r="C21"/>
      <c r="E21"/>
      <c r="F21"/>
      <c r="G21"/>
      <c r="H21"/>
      <c r="I21"/>
      <c r="J21"/>
      <c r="K21" s="105"/>
      <c r="L21" s="105"/>
      <c r="M21" s="105"/>
      <c r="N21" s="105"/>
      <c r="O21" s="105"/>
      <c r="P21" s="105"/>
      <c r="Q21" s="105"/>
      <c r="R21" s="105"/>
    </row>
    <row r="22" spans="1:18" x14ac:dyDescent="0.2">
      <c r="A22" s="4"/>
      <c r="B22"/>
      <c r="C22" t="s">
        <v>36</v>
      </c>
      <c r="D22" s="140" t="s">
        <v>126</v>
      </c>
      <c r="E22"/>
      <c r="F22"/>
      <c r="G22"/>
      <c r="H22"/>
      <c r="I22"/>
      <c r="J22"/>
      <c r="K22" s="181" cm="1">
        <f t="array" ref="K22:R22">0-Depreciation!K19:R19</f>
        <v>-17.296333333333301</v>
      </c>
      <c r="L22" s="181">
        <v>-17.876333333333299</v>
      </c>
      <c r="M22" s="181">
        <v>-18.468</v>
      </c>
      <c r="N22" s="181">
        <v>-17.863199999999999</v>
      </c>
      <c r="O22" s="181">
        <v>-18.506275199999997</v>
      </c>
      <c r="P22" s="181">
        <v>-19.135488556799999</v>
      </c>
      <c r="Q22" s="181">
        <v>-19.939179076185596</v>
      </c>
      <c r="R22" s="181">
        <v>-20.397780194937862</v>
      </c>
    </row>
    <row r="23" spans="1:18" x14ac:dyDescent="0.2">
      <c r="A23" s="4"/>
      <c r="B23"/>
      <c r="C23" s="106" t="s">
        <v>37</v>
      </c>
      <c r="D23" s="141" t="s">
        <v>126</v>
      </c>
      <c r="E23" s="106"/>
      <c r="F23" s="106"/>
      <c r="G23" s="106"/>
      <c r="H23" s="106"/>
      <c r="I23"/>
      <c r="J23"/>
      <c r="K23" s="172">
        <f>K22+K20</f>
        <v>69.151203923210204</v>
      </c>
      <c r="L23" s="172">
        <f t="shared" ref="L23:R23" si="3">L22+L20</f>
        <v>58.824654811850046</v>
      </c>
      <c r="M23" s="172">
        <f t="shared" si="3"/>
        <v>35.874095903999986</v>
      </c>
      <c r="N23" s="172">
        <f t="shared" si="3"/>
        <v>46.925509399071451</v>
      </c>
      <c r="O23" s="172">
        <f t="shared" si="3"/>
        <v>59.518166510091568</v>
      </c>
      <c r="P23" s="172">
        <f t="shared" si="3"/>
        <v>76.974897029178393</v>
      </c>
      <c r="Q23" s="172">
        <f t="shared" si="3"/>
        <v>87.480432152060956</v>
      </c>
      <c r="R23" s="172">
        <f t="shared" si="3"/>
        <v>107.45100095484301</v>
      </c>
    </row>
    <row r="24" spans="1:18" x14ac:dyDescent="0.2">
      <c r="A24" s="4"/>
      <c r="B24"/>
      <c r="C24"/>
      <c r="E24"/>
      <c r="F24"/>
      <c r="G24"/>
      <c r="H24"/>
      <c r="I24"/>
      <c r="J24"/>
      <c r="K24" s="105"/>
      <c r="L24" s="105"/>
      <c r="M24" s="105"/>
      <c r="N24" s="105"/>
      <c r="O24" s="105"/>
      <c r="P24" s="105"/>
      <c r="Q24" s="105"/>
      <c r="R24" s="105"/>
    </row>
    <row r="25" spans="1:18" x14ac:dyDescent="0.2">
      <c r="A25" s="4"/>
      <c r="B25"/>
      <c r="C25" t="s">
        <v>38</v>
      </c>
      <c r="D25" s="140" t="s">
        <v>126</v>
      </c>
      <c r="E25"/>
      <c r="F25"/>
      <c r="G25"/>
      <c r="H25"/>
      <c r="I25"/>
      <c r="J25"/>
      <c r="K25" s="181" cm="1">
        <f t="array" aca="1" ref="K25:R25" ca="1">0-'Debt and Interest'!K45:R45</f>
        <v>-8.3870715399310498</v>
      </c>
      <c r="L25" s="181">
        <f ca="1"/>
        <v>-6.73389185624539</v>
      </c>
      <c r="M25" s="181">
        <f ca="1"/>
        <v>-5.2447781755849503</v>
      </c>
      <c r="N25" s="181">
        <f ca="1"/>
        <v>-4.1393459006853242</v>
      </c>
      <c r="O25" s="181">
        <f ca="1"/>
        <v>-4.2407139771556697</v>
      </c>
      <c r="P25" s="181">
        <f ca="1"/>
        <v>-3.6265265853925213</v>
      </c>
      <c r="Q25" s="181">
        <f ca="1"/>
        <v>-2.7174141721805585</v>
      </c>
      <c r="R25" s="181">
        <f ca="1"/>
        <v>-1.7128435941161255</v>
      </c>
    </row>
    <row r="26" spans="1:18" x14ac:dyDescent="0.2">
      <c r="A26" s="4"/>
      <c r="B26"/>
      <c r="C26" s="106" t="s">
        <v>39</v>
      </c>
      <c r="D26" s="141" t="s">
        <v>126</v>
      </c>
      <c r="E26" s="106"/>
      <c r="F26" s="106"/>
      <c r="G26" s="106"/>
      <c r="H26" s="106"/>
      <c r="I26"/>
      <c r="J26"/>
      <c r="K26" s="172">
        <f ca="1">K25+K23</f>
        <v>60.764132383279154</v>
      </c>
      <c r="L26" s="172">
        <f t="shared" ref="L26:R26" ca="1" si="4">L25+L23</f>
        <v>52.090762955604653</v>
      </c>
      <c r="M26" s="172">
        <f t="shared" ca="1" si="4"/>
        <v>30.629317728415035</v>
      </c>
      <c r="N26" s="172">
        <f ca="1">N25+N23</f>
        <v>42.786163498386131</v>
      </c>
      <c r="O26" s="172">
        <f t="shared" ca="1" si="4"/>
        <v>55.277452532935897</v>
      </c>
      <c r="P26" s="172">
        <f t="shared" ca="1" si="4"/>
        <v>73.348370443785868</v>
      </c>
      <c r="Q26" s="172">
        <f t="shared" ca="1" si="4"/>
        <v>84.763017979880402</v>
      </c>
      <c r="R26" s="172">
        <f t="shared" ca="1" si="4"/>
        <v>105.73815736072689</v>
      </c>
    </row>
    <row r="27" spans="1:18" x14ac:dyDescent="0.2">
      <c r="A27" s="4"/>
      <c r="B27"/>
      <c r="C27"/>
      <c r="E27"/>
      <c r="F27"/>
      <c r="G27"/>
      <c r="H27"/>
      <c r="I27"/>
      <c r="J27"/>
      <c r="K27" s="105"/>
      <c r="L27" s="105"/>
      <c r="M27" s="105"/>
      <c r="N27" s="105"/>
      <c r="O27" s="105"/>
      <c r="P27" s="105"/>
      <c r="Q27" s="105"/>
      <c r="R27" s="105"/>
    </row>
    <row r="28" spans="1:18" x14ac:dyDescent="0.2">
      <c r="A28" s="4"/>
      <c r="B28"/>
      <c r="C28" t="s">
        <v>140</v>
      </c>
      <c r="D28" s="140" t="s">
        <v>126</v>
      </c>
      <c r="E28"/>
      <c r="F28"/>
      <c r="G28"/>
      <c r="H28"/>
      <c r="I28"/>
      <c r="J28"/>
      <c r="K28" s="181" cm="1">
        <f t="array" aca="1" ref="K28:R29" ca="1">0-Taxes!K18:R19</f>
        <v>-19.5174463341476</v>
      </c>
      <c r="L28" s="181">
        <f ca="1"/>
        <v>-16.481767034461502</v>
      </c>
      <c r="M28" s="181">
        <f ca="1"/>
        <v>-8.9702612049452899</v>
      </c>
      <c r="N28" s="181">
        <f ca="1"/>
        <v>-11.035849049515839</v>
      </c>
      <c r="O28" s="181">
        <f ca="1"/>
        <v>-14.783235759880768</v>
      </c>
      <c r="P28" s="181">
        <f ca="1"/>
        <v>-20.20451113313576</v>
      </c>
      <c r="Q28" s="181">
        <f ca="1"/>
        <v>-23.628905393964121</v>
      </c>
      <c r="R28" s="181">
        <f ca="1"/>
        <v>-29.921447208218066</v>
      </c>
    </row>
    <row r="29" spans="1:18" x14ac:dyDescent="0.2">
      <c r="A29" s="4"/>
      <c r="B29"/>
      <c r="C29" t="s">
        <v>41</v>
      </c>
      <c r="D29" s="140" t="s">
        <v>126</v>
      </c>
      <c r="E29"/>
      <c r="F29"/>
      <c r="G29"/>
      <c r="H29"/>
      <c r="I29"/>
      <c r="J29"/>
      <c r="K29" s="181">
        <f ca="1"/>
        <v>-1.75</v>
      </c>
      <c r="L29" s="181">
        <f ca="1"/>
        <v>-1.75</v>
      </c>
      <c r="M29" s="181">
        <f ca="1"/>
        <v>-1.75</v>
      </c>
      <c r="N29" s="181">
        <f ca="1"/>
        <v>-1.7999999999999998</v>
      </c>
      <c r="O29" s="181">
        <f ca="1"/>
        <v>-1.7999999999999998</v>
      </c>
      <c r="P29" s="181">
        <f ca="1"/>
        <v>-1.7999999999999998</v>
      </c>
      <c r="Q29" s="181">
        <f ca="1"/>
        <v>-1.7999999999999998</v>
      </c>
      <c r="R29" s="181">
        <f ca="1"/>
        <v>-1.7999999999999998</v>
      </c>
    </row>
    <row r="30" spans="1:18" x14ac:dyDescent="0.2">
      <c r="A30" s="4"/>
      <c r="B30"/>
      <c r="C30" s="106" t="s">
        <v>42</v>
      </c>
      <c r="D30" s="141" t="s">
        <v>126</v>
      </c>
      <c r="E30" s="106"/>
      <c r="F30" s="106"/>
      <c r="G30" s="106"/>
      <c r="H30" s="106"/>
      <c r="I30"/>
      <c r="J30"/>
      <c r="K30" s="172">
        <f ca="1">SUM(K28:K29)</f>
        <v>-21.2674463341476</v>
      </c>
      <c r="L30" s="172">
        <f t="shared" ref="L30:R30" ca="1" si="5">SUM(L28:L29)</f>
        <v>-18.231767034461502</v>
      </c>
      <c r="M30" s="172">
        <f t="shared" ca="1" si="5"/>
        <v>-10.72026120494529</v>
      </c>
      <c r="N30" s="172">
        <f t="shared" ca="1" si="5"/>
        <v>-12.83584904951584</v>
      </c>
      <c r="O30" s="172">
        <f t="shared" ca="1" si="5"/>
        <v>-16.583235759880768</v>
      </c>
      <c r="P30" s="172">
        <f t="shared" ca="1" si="5"/>
        <v>-22.004511133135761</v>
      </c>
      <c r="Q30" s="172">
        <f t="shared" ca="1" si="5"/>
        <v>-25.428905393964122</v>
      </c>
      <c r="R30" s="172">
        <f t="shared" ca="1" si="5"/>
        <v>-31.721447208218066</v>
      </c>
    </row>
    <row r="31" spans="1:18" x14ac:dyDescent="0.2">
      <c r="A31" s="4"/>
      <c r="B31"/>
      <c r="C31"/>
      <c r="E31"/>
      <c r="F31"/>
      <c r="G31"/>
      <c r="H31"/>
      <c r="I31"/>
      <c r="J31"/>
      <c r="K31" s="105"/>
      <c r="L31" s="105"/>
      <c r="M31" s="105"/>
      <c r="N31" s="105"/>
      <c r="O31" s="105"/>
      <c r="P31" s="105"/>
      <c r="Q31" s="105"/>
      <c r="R31" s="105"/>
    </row>
    <row r="32" spans="1:18" x14ac:dyDescent="0.2">
      <c r="A32" s="4"/>
      <c r="B32"/>
      <c r="C32" s="106" t="s">
        <v>3</v>
      </c>
      <c r="D32" s="141" t="s">
        <v>126</v>
      </c>
      <c r="E32" s="106"/>
      <c r="F32" s="106"/>
      <c r="G32" s="106"/>
      <c r="H32" s="106"/>
      <c r="I32"/>
      <c r="J32"/>
      <c r="K32" s="172">
        <f ca="1">K26+K30</f>
        <v>39.496686049131554</v>
      </c>
      <c r="L32" s="172">
        <f t="shared" ref="L32:R32" ca="1" si="6">L26+L30</f>
        <v>33.858995921143148</v>
      </c>
      <c r="M32" s="172">
        <f t="shared" ca="1" si="6"/>
        <v>19.909056523469744</v>
      </c>
      <c r="N32" s="172">
        <f t="shared" ca="1" si="6"/>
        <v>29.950314448870291</v>
      </c>
      <c r="O32" s="172">
        <f t="shared" ca="1" si="6"/>
        <v>38.694216773055132</v>
      </c>
      <c r="P32" s="172">
        <f t="shared" ca="1" si="6"/>
        <v>51.343859310650103</v>
      </c>
      <c r="Q32" s="172">
        <f t="shared" ca="1" si="6"/>
        <v>59.33411258591628</v>
      </c>
      <c r="R32" s="172">
        <f t="shared" ca="1" si="6"/>
        <v>74.016710152508821</v>
      </c>
    </row>
    <row r="33" spans="1:18" x14ac:dyDescent="0.2">
      <c r="A33" s="4"/>
      <c r="B33"/>
      <c r="C33"/>
      <c r="E33"/>
      <c r="F33"/>
      <c r="G33"/>
      <c r="H33"/>
      <c r="I33"/>
      <c r="J33"/>
      <c r="K33" s="105"/>
      <c r="L33" s="105"/>
      <c r="M33" s="105"/>
      <c r="N33" s="105"/>
      <c r="O33" s="105"/>
      <c r="P33" s="105"/>
      <c r="Q33" s="105"/>
      <c r="R33" s="105"/>
    </row>
    <row r="34" spans="1:18" s="66" customFormat="1" ht="16.5" thickBot="1" x14ac:dyDescent="0.3">
      <c r="A34" s="74" t="s">
        <v>17</v>
      </c>
      <c r="B34" s="74"/>
      <c r="D34" s="144"/>
      <c r="K34" s="147"/>
      <c r="L34" s="147"/>
      <c r="M34" s="147"/>
      <c r="N34" s="147"/>
      <c r="O34" s="147"/>
      <c r="P34" s="148"/>
      <c r="Q34" s="148"/>
      <c r="R34" s="147"/>
    </row>
    <row r="35" spans="1:18" ht="15" x14ac:dyDescent="0.25">
      <c r="A35" s="4"/>
      <c r="B35" s="75" t="s">
        <v>43</v>
      </c>
      <c r="C35"/>
      <c r="E35"/>
      <c r="F35"/>
      <c r="G35"/>
      <c r="H35"/>
      <c r="I35"/>
      <c r="J35"/>
      <c r="K35" s="105"/>
      <c r="L35" s="105"/>
      <c r="M35" s="105"/>
      <c r="N35" s="105"/>
      <c r="O35" s="105"/>
      <c r="P35" s="105"/>
      <c r="Q35" s="105"/>
      <c r="R35" s="105"/>
    </row>
    <row r="36" spans="1:18" x14ac:dyDescent="0.2">
      <c r="A36" s="4"/>
      <c r="B36"/>
      <c r="C36" t="s">
        <v>3</v>
      </c>
      <c r="D36" s="140" t="s">
        <v>126</v>
      </c>
      <c r="E36"/>
      <c r="F36"/>
      <c r="G36"/>
      <c r="H36"/>
      <c r="I36"/>
      <c r="J36"/>
      <c r="K36" s="181" cm="1">
        <f t="array" aca="1" ref="K36:R36" ca="1">K32:R32</f>
        <v>39.496686049131554</v>
      </c>
      <c r="L36" s="181">
        <f ca="1"/>
        <v>33.858995921143148</v>
      </c>
      <c r="M36" s="181">
        <f ca="1"/>
        <v>19.909056523469744</v>
      </c>
      <c r="N36" s="181">
        <f ca="1"/>
        <v>29.950314448870291</v>
      </c>
      <c r="O36" s="181">
        <f ca="1"/>
        <v>38.694216773055132</v>
      </c>
      <c r="P36" s="181">
        <f ca="1"/>
        <v>51.343859310650103</v>
      </c>
      <c r="Q36" s="181">
        <f ca="1"/>
        <v>59.33411258591628</v>
      </c>
      <c r="R36" s="181">
        <f ca="1"/>
        <v>74.016710152508821</v>
      </c>
    </row>
    <row r="37" spans="1:18" x14ac:dyDescent="0.2">
      <c r="A37" s="4"/>
      <c r="B37"/>
      <c r="C37" t="s">
        <v>36</v>
      </c>
      <c r="D37" s="140" t="s">
        <v>126</v>
      </c>
      <c r="E37"/>
      <c r="F37"/>
      <c r="G37"/>
      <c r="H37"/>
      <c r="I37"/>
      <c r="J37"/>
      <c r="K37" s="181" cm="1">
        <f t="array" ref="K37:R37">0-_xlfn.ANCHORARRAY(K22)</f>
        <v>17.296333333333301</v>
      </c>
      <c r="L37" s="181">
        <v>17.876333333333299</v>
      </c>
      <c r="M37" s="181">
        <v>18.468</v>
      </c>
      <c r="N37" s="181">
        <v>17.863199999999999</v>
      </c>
      <c r="O37" s="181">
        <v>18.506275199999997</v>
      </c>
      <c r="P37" s="181">
        <v>19.135488556799999</v>
      </c>
      <c r="Q37" s="181">
        <v>19.939179076185596</v>
      </c>
      <c r="R37" s="181">
        <v>20.397780194937862</v>
      </c>
    </row>
    <row r="38" spans="1:18" x14ac:dyDescent="0.2">
      <c r="A38" s="4"/>
      <c r="B38"/>
      <c r="C38" t="s">
        <v>41</v>
      </c>
      <c r="D38" s="140" t="s">
        <v>126</v>
      </c>
      <c r="E38"/>
      <c r="F38"/>
      <c r="G38"/>
      <c r="H38"/>
      <c r="I38"/>
      <c r="J38"/>
      <c r="K38" s="181" cm="1">
        <f t="array" aca="1" ref="K38:R38" ca="1">0-K29:R29</f>
        <v>1.75</v>
      </c>
      <c r="L38" s="181">
        <f ca="1"/>
        <v>1.75</v>
      </c>
      <c r="M38" s="181">
        <f ca="1"/>
        <v>1.75</v>
      </c>
      <c r="N38" s="181">
        <f ca="1"/>
        <v>1.7999999999999998</v>
      </c>
      <c r="O38" s="181">
        <f ca="1"/>
        <v>1.7999999999999998</v>
      </c>
      <c r="P38" s="181">
        <f ca="1"/>
        <v>1.7999999999999998</v>
      </c>
      <c r="Q38" s="181">
        <f ca="1"/>
        <v>1.7999999999999998</v>
      </c>
      <c r="R38" s="181">
        <f ca="1"/>
        <v>1.7999999999999998</v>
      </c>
    </row>
    <row r="39" spans="1:18" x14ac:dyDescent="0.2">
      <c r="A39" s="4"/>
      <c r="B39"/>
      <c r="C39" t="s">
        <v>141</v>
      </c>
      <c r="D39" s="140" t="s">
        <v>126</v>
      </c>
      <c r="E39"/>
      <c r="F39"/>
      <c r="G39"/>
      <c r="H39"/>
      <c r="I39"/>
      <c r="J39"/>
      <c r="K39" s="181" cm="1">
        <f t="array" ref="K39:R39">'Working Capital'!K34:R34</f>
        <v>-3.6906200333388668</v>
      </c>
      <c r="L39" s="181">
        <v>-1.1359198477783039</v>
      </c>
      <c r="M39" s="181">
        <v>3.3542595272469313</v>
      </c>
      <c r="N39" s="181">
        <v>-1.7523870687794201</v>
      </c>
      <c r="O39" s="181">
        <v>-8.4473672565425204</v>
      </c>
      <c r="P39" s="181">
        <v>-4.6201422702414945</v>
      </c>
      <c r="Q39" s="181">
        <v>1.7738299609655712</v>
      </c>
      <c r="R39" s="181">
        <v>-6.3679850108069331</v>
      </c>
    </row>
    <row r="40" spans="1:18" s="83" customFormat="1" x14ac:dyDescent="0.2">
      <c r="A40" s="12"/>
      <c r="C40" s="106" t="s">
        <v>46</v>
      </c>
      <c r="D40" s="141" t="s">
        <v>126</v>
      </c>
      <c r="E40" s="106"/>
      <c r="F40" s="106"/>
      <c r="G40" s="106"/>
      <c r="H40" s="106"/>
      <c r="I40"/>
      <c r="J40"/>
      <c r="K40" s="172">
        <f ca="1">SUM(K36:K39)</f>
        <v>54.852399349125989</v>
      </c>
      <c r="L40" s="172">
        <f t="shared" ref="L40:R40" ca="1" si="7">SUM(L36:L39)</f>
        <v>52.349409406698143</v>
      </c>
      <c r="M40" s="172">
        <f t="shared" ca="1" si="7"/>
        <v>43.481316050716678</v>
      </c>
      <c r="N40" s="172">
        <f t="shared" ca="1" si="7"/>
        <v>47.861127380090871</v>
      </c>
      <c r="O40" s="172">
        <f t="shared" ca="1" si="7"/>
        <v>50.553124716512606</v>
      </c>
      <c r="P40" s="172">
        <f t="shared" ca="1" si="7"/>
        <v>67.659205597208597</v>
      </c>
      <c r="Q40" s="172">
        <f t="shared" ca="1" si="7"/>
        <v>82.847121623067451</v>
      </c>
      <c r="R40" s="172">
        <f t="shared" ca="1" si="7"/>
        <v>89.846505336639751</v>
      </c>
    </row>
    <row r="41" spans="1:18" x14ac:dyDescent="0.2">
      <c r="A41" s="4"/>
      <c r="B41"/>
      <c r="C41"/>
      <c r="E41"/>
      <c r="F41"/>
      <c r="G41"/>
      <c r="H41"/>
      <c r="I41"/>
      <c r="J41"/>
      <c r="K41" s="105"/>
      <c r="L41" s="105"/>
      <c r="M41" s="105"/>
      <c r="N41" s="105"/>
      <c r="O41" s="105"/>
      <c r="P41" s="105"/>
      <c r="Q41" s="105"/>
      <c r="R41" s="105"/>
    </row>
    <row r="42" spans="1:18" ht="15" x14ac:dyDescent="0.25">
      <c r="B42" s="75" t="s">
        <v>47</v>
      </c>
      <c r="C42"/>
      <c r="E42"/>
      <c r="F42"/>
      <c r="G42"/>
      <c r="H42"/>
      <c r="I42"/>
      <c r="J42"/>
      <c r="K42" s="105"/>
      <c r="L42" s="105"/>
      <c r="M42" s="105"/>
      <c r="N42" s="105"/>
      <c r="O42" s="105"/>
      <c r="P42" s="105"/>
      <c r="Q42" s="105"/>
      <c r="R42" s="105"/>
    </row>
    <row r="43" spans="1:18" x14ac:dyDescent="0.2">
      <c r="B43"/>
      <c r="C43" t="s">
        <v>48</v>
      </c>
      <c r="D43" s="140" t="s">
        <v>126</v>
      </c>
      <c r="E43"/>
      <c r="F43"/>
      <c r="G43"/>
      <c r="H43"/>
      <c r="I43"/>
      <c r="J43"/>
      <c r="K43" s="181" cm="1">
        <f t="array" ref="K43:R43">IF(K5:R5,Assumptions!K40:R40,0-Depreciation!K18:R18)</f>
        <v>-17.3</v>
      </c>
      <c r="L43" s="181">
        <v>-17.5</v>
      </c>
      <c r="M43" s="181">
        <v>-18</v>
      </c>
      <c r="N43" s="181">
        <v>-32.153759999999998</v>
      </c>
      <c r="O43" s="181">
        <v>-32.488794239999997</v>
      </c>
      <c r="P43" s="181">
        <v>-36.995277876479996</v>
      </c>
      <c r="Q43" s="181">
        <v>-30.130315048458236</v>
      </c>
      <c r="R43" s="181">
        <v>-43.968548420199397</v>
      </c>
    </row>
    <row r="44" spans="1:18" x14ac:dyDescent="0.2">
      <c r="A44" s="1"/>
      <c r="B44"/>
      <c r="C44" t="s">
        <v>13</v>
      </c>
      <c r="D44" s="140" t="s">
        <v>126</v>
      </c>
      <c r="E44"/>
      <c r="F44"/>
      <c r="G44"/>
      <c r="H44"/>
      <c r="I44"/>
      <c r="J44"/>
      <c r="K44" s="181" cm="1">
        <f t="array" ref="K44:R44">IF(K5:R5,Assumptions!K41:R41,Assumptions!K118:R118)</f>
        <v>0</v>
      </c>
      <c r="L44" s="181">
        <v>0</v>
      </c>
      <c r="M44" s="181">
        <v>0</v>
      </c>
      <c r="N44" s="181">
        <v>-0.4</v>
      </c>
      <c r="O44" s="181">
        <v>-0.4</v>
      </c>
      <c r="P44" s="181">
        <v>-0.4</v>
      </c>
      <c r="Q44" s="181">
        <v>-0.4</v>
      </c>
      <c r="R44" s="181">
        <v>-0.4</v>
      </c>
    </row>
    <row r="45" spans="1:18" s="83" customFormat="1" x14ac:dyDescent="0.2">
      <c r="C45" s="106" t="s">
        <v>49</v>
      </c>
      <c r="D45" s="141" t="s">
        <v>126</v>
      </c>
      <c r="E45" s="106"/>
      <c r="F45" s="106"/>
      <c r="G45" s="106"/>
      <c r="H45" s="106"/>
      <c r="I45"/>
      <c r="J45"/>
      <c r="K45" s="172">
        <f>SUM(K43:K44)</f>
        <v>-17.3</v>
      </c>
      <c r="L45" s="172">
        <f t="shared" ref="L45:R45" si="8">SUM(L43:L44)</f>
        <v>-17.5</v>
      </c>
      <c r="M45" s="172">
        <f t="shared" si="8"/>
        <v>-18</v>
      </c>
      <c r="N45" s="172">
        <f t="shared" si="8"/>
        <v>-32.553759999999997</v>
      </c>
      <c r="O45" s="172">
        <f t="shared" si="8"/>
        <v>-32.888794239999996</v>
      </c>
      <c r="P45" s="172">
        <f t="shared" si="8"/>
        <v>-37.395277876479994</v>
      </c>
      <c r="Q45" s="172">
        <f t="shared" si="8"/>
        <v>-30.530315048458235</v>
      </c>
      <c r="R45" s="172">
        <f t="shared" si="8"/>
        <v>-44.368548420199396</v>
      </c>
    </row>
    <row r="46" spans="1:18" x14ac:dyDescent="0.2">
      <c r="B46"/>
      <c r="C46"/>
      <c r="I46"/>
      <c r="J46"/>
      <c r="K46" s="105"/>
      <c r="L46" s="105"/>
      <c r="M46" s="105"/>
      <c r="N46" s="105"/>
      <c r="O46" s="105"/>
      <c r="P46" s="105"/>
      <c r="Q46" s="105"/>
      <c r="R46" s="105"/>
    </row>
    <row r="47" spans="1:18" x14ac:dyDescent="0.2">
      <c r="B47"/>
      <c r="C47"/>
      <c r="I47"/>
      <c r="J47"/>
      <c r="K47" s="105"/>
      <c r="L47" s="105"/>
      <c r="M47" s="105"/>
      <c r="N47" s="105"/>
      <c r="O47" s="105"/>
      <c r="P47" s="105"/>
      <c r="Q47" s="105"/>
      <c r="R47" s="105"/>
    </row>
    <row r="48" spans="1:18" ht="15" x14ac:dyDescent="0.25">
      <c r="B48" s="75" t="s">
        <v>50</v>
      </c>
      <c r="C48"/>
      <c r="I48"/>
      <c r="J48"/>
      <c r="K48" s="105"/>
      <c r="L48" s="105"/>
      <c r="M48" s="105"/>
      <c r="N48" s="105"/>
      <c r="O48" s="105"/>
      <c r="P48" s="105"/>
      <c r="Q48" s="105"/>
      <c r="R48" s="105"/>
    </row>
    <row r="49" spans="1:18" x14ac:dyDescent="0.2">
      <c r="B49"/>
      <c r="C49" t="s">
        <v>51</v>
      </c>
      <c r="D49" s="140" t="s">
        <v>126</v>
      </c>
      <c r="I49"/>
      <c r="J49"/>
      <c r="K49" s="181" cm="1">
        <f t="array" aca="1" ref="K49:R49" ca="1">'Debt and Interest'!K29:R29</f>
        <v>-4.5810528750726842</v>
      </c>
      <c r="L49" s="181">
        <f ca="1"/>
        <v>0</v>
      </c>
      <c r="M49" s="181">
        <f ca="1"/>
        <v>0.35087576728110959</v>
      </c>
      <c r="N49" s="181">
        <f ca="1"/>
        <v>-0.35087576728110959</v>
      </c>
      <c r="O49" s="181">
        <f ca="1"/>
        <v>0</v>
      </c>
      <c r="P49" s="181">
        <f ca="1"/>
        <v>0</v>
      </c>
      <c r="Q49" s="181">
        <f ca="1"/>
        <v>0</v>
      </c>
      <c r="R49" s="181">
        <f ca="1"/>
        <v>0</v>
      </c>
    </row>
    <row r="50" spans="1:18" x14ac:dyDescent="0.2">
      <c r="B50"/>
      <c r="C50" t="s">
        <v>142</v>
      </c>
      <c r="D50" s="140" t="s">
        <v>126</v>
      </c>
      <c r="I50"/>
      <c r="J50"/>
      <c r="K50" s="181" cm="1">
        <f t="array" ref="K50:R50">'Debt and Interest'!K38:R38</f>
        <v>-25</v>
      </c>
      <c r="L50" s="181">
        <v>-25</v>
      </c>
      <c r="M50" s="181">
        <v>-25</v>
      </c>
      <c r="N50" s="181">
        <v>30</v>
      </c>
      <c r="O50" s="181">
        <v>-12</v>
      </c>
      <c r="P50" s="181">
        <v>-12</v>
      </c>
      <c r="Q50" s="181">
        <v>-12</v>
      </c>
      <c r="R50" s="181">
        <v>-12</v>
      </c>
    </row>
    <row r="51" spans="1:18" x14ac:dyDescent="0.2">
      <c r="B51"/>
      <c r="C51" t="s">
        <v>53</v>
      </c>
      <c r="D51" s="140" t="s">
        <v>126</v>
      </c>
      <c r="I51"/>
      <c r="J51"/>
      <c r="K51" s="181" cm="1">
        <f t="array" ref="K51:R51">Equity!K13:R13</f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</row>
    <row r="52" spans="1:18" x14ac:dyDescent="0.2">
      <c r="C52" s="3" t="s">
        <v>54</v>
      </c>
      <c r="D52" s="140" t="s">
        <v>126</v>
      </c>
      <c r="I52"/>
      <c r="J52"/>
      <c r="K52" s="181" cm="1">
        <f t="array" aca="1" ref="K52:R52" ca="1">0-Equity!K18:R18</f>
        <v>-7.8993372098262542</v>
      </c>
      <c r="L52" s="181">
        <f ca="1"/>
        <v>-6.771799184228569</v>
      </c>
      <c r="M52" s="181">
        <f ca="1"/>
        <v>-3.981811304693966</v>
      </c>
      <c r="N52" s="181">
        <f ca="1"/>
        <v>-7.4875786122175727</v>
      </c>
      <c r="O52" s="181">
        <f ca="1"/>
        <v>-9.673554193263783</v>
      </c>
      <c r="P52" s="181">
        <f ca="1"/>
        <v>-12.835964827662526</v>
      </c>
      <c r="Q52" s="181">
        <f ca="1"/>
        <v>-14.83352814647907</v>
      </c>
      <c r="R52" s="181">
        <f ca="1"/>
        <v>-18.504177538127205</v>
      </c>
    </row>
    <row r="53" spans="1:18" s="83" customFormat="1" x14ac:dyDescent="0.2">
      <c r="C53" s="106" t="s">
        <v>55</v>
      </c>
      <c r="D53" s="141" t="s">
        <v>126</v>
      </c>
      <c r="E53" s="106"/>
      <c r="F53" s="106"/>
      <c r="G53" s="106"/>
      <c r="H53" s="106"/>
      <c r="I53"/>
      <c r="J53"/>
      <c r="K53" s="172">
        <f ca="1">SUM(K49:K52)</f>
        <v>-37.480390084898943</v>
      </c>
      <c r="L53" s="172">
        <f t="shared" ref="L53:R53" ca="1" si="9">SUM(L49:L52)</f>
        <v>-31.77179918422857</v>
      </c>
      <c r="M53" s="172">
        <f t="shared" ca="1" si="9"/>
        <v>-28.630935537412856</v>
      </c>
      <c r="N53" s="172">
        <f t="shared" ca="1" si="9"/>
        <v>22.161545620501318</v>
      </c>
      <c r="O53" s="172">
        <f t="shared" ca="1" si="9"/>
        <v>-21.673554193263783</v>
      </c>
      <c r="P53" s="172">
        <f t="shared" ca="1" si="9"/>
        <v>-24.835964827662526</v>
      </c>
      <c r="Q53" s="172">
        <f t="shared" ca="1" si="9"/>
        <v>-26.833528146479068</v>
      </c>
      <c r="R53" s="172">
        <f t="shared" ca="1" si="9"/>
        <v>-30.504177538127205</v>
      </c>
    </row>
    <row r="54" spans="1:18" x14ac:dyDescent="0.2">
      <c r="I54"/>
      <c r="J54"/>
      <c r="K54" s="87"/>
      <c r="L54" s="105"/>
      <c r="M54" s="105"/>
      <c r="N54" s="105"/>
      <c r="O54" s="105"/>
      <c r="P54" s="105"/>
      <c r="Q54" s="105"/>
      <c r="R54" s="105"/>
    </row>
    <row r="55" spans="1:18" x14ac:dyDescent="0.2">
      <c r="I55"/>
      <c r="J55"/>
      <c r="K55" s="105"/>
      <c r="L55" s="105"/>
      <c r="M55" s="105"/>
      <c r="N55" s="105"/>
      <c r="O55" s="105"/>
      <c r="P55" s="105"/>
      <c r="Q55" s="105"/>
      <c r="R55" s="105"/>
    </row>
    <row r="56" spans="1:18" x14ac:dyDescent="0.2">
      <c r="C56" s="3" t="s">
        <v>56</v>
      </c>
      <c r="D56" s="140" t="s">
        <v>126</v>
      </c>
      <c r="I56"/>
      <c r="J56"/>
      <c r="K56" s="105">
        <f>IF(K5,Assumptions!K49,J58)</f>
        <v>3.5527136788005009E-15</v>
      </c>
      <c r="L56" s="105">
        <f>IF(L5,Assumptions!L49,K58)</f>
        <v>7.2009264226796432E-2</v>
      </c>
      <c r="M56" s="105">
        <f>IF(M5,Assumptions!M49,L58)</f>
        <v>3.1496194866960927</v>
      </c>
      <c r="N56" s="105">
        <f ca="1">IF(N5,Assumptions!N49,M58)</f>
        <v>-8.5265128291212022E-14</v>
      </c>
      <c r="O56" s="105">
        <f ca="1">IF(O5,Assumptions!O49,N58)</f>
        <v>37.46891300059211</v>
      </c>
      <c r="P56" s="105">
        <f ca="1">IF(P5,Assumptions!P49,O58)</f>
        <v>33.459689283840937</v>
      </c>
      <c r="Q56" s="105">
        <f ca="1">IF(Q5,Assumptions!Q49,P58)</f>
        <v>38.887652176907011</v>
      </c>
      <c r="R56" s="105">
        <f ca="1">IF(R5,Assumptions!R49,Q58)</f>
        <v>64.370930605037159</v>
      </c>
    </row>
    <row r="57" spans="1:18" x14ac:dyDescent="0.2">
      <c r="C57" s="3" t="s">
        <v>143</v>
      </c>
      <c r="D57" s="140" t="s">
        <v>126</v>
      </c>
      <c r="I57"/>
      <c r="J57"/>
      <c r="K57" s="105">
        <f ca="1">K40+K45+K53</f>
        <v>7.2009264227048675E-2</v>
      </c>
      <c r="L57" s="105">
        <f t="shared" ref="L57:R57" ca="1" si="10">L40+L45+L53</f>
        <v>3.0776102224695734</v>
      </c>
      <c r="M57" s="105">
        <f t="shared" ca="1" si="10"/>
        <v>-3.149619486696178</v>
      </c>
      <c r="N57" s="105">
        <f t="shared" ca="1" si="10"/>
        <v>37.468913000592195</v>
      </c>
      <c r="O57" s="105">
        <f t="shared" ca="1" si="10"/>
        <v>-4.0092237167511726</v>
      </c>
      <c r="P57" s="105">
        <f t="shared" ca="1" si="10"/>
        <v>5.427962893066077</v>
      </c>
      <c r="Q57" s="105">
        <f t="shared" ca="1" si="10"/>
        <v>25.483278428130149</v>
      </c>
      <c r="R57" s="105">
        <f t="shared" ca="1" si="10"/>
        <v>14.97377937831315</v>
      </c>
    </row>
    <row r="58" spans="1:18" x14ac:dyDescent="0.2">
      <c r="C58" s="3" t="s">
        <v>57</v>
      </c>
      <c r="D58" s="140" t="s">
        <v>126</v>
      </c>
      <c r="I58"/>
      <c r="J58"/>
      <c r="K58" s="105">
        <f ca="1">SUM(K56:K57)</f>
        <v>7.2009264227052228E-2</v>
      </c>
      <c r="L58" s="105">
        <f t="shared" ref="L58:R58" ca="1" si="11">SUM(L56:L57)</f>
        <v>3.1496194866963698</v>
      </c>
      <c r="M58" s="105">
        <f t="shared" ca="1" si="11"/>
        <v>-8.5265128291212022E-14</v>
      </c>
      <c r="N58" s="105">
        <f t="shared" ca="1" si="11"/>
        <v>37.46891300059211</v>
      </c>
      <c r="O58" s="105">
        <f t="shared" ca="1" si="11"/>
        <v>33.459689283840937</v>
      </c>
      <c r="P58" s="105">
        <f t="shared" ca="1" si="11"/>
        <v>38.887652176907011</v>
      </c>
      <c r="Q58" s="105">
        <f t="shared" ca="1" si="11"/>
        <v>64.370930605037159</v>
      </c>
      <c r="R58" s="105">
        <f t="shared" ca="1" si="11"/>
        <v>79.344709983350313</v>
      </c>
    </row>
    <row r="59" spans="1:18" x14ac:dyDescent="0.2">
      <c r="K59" s="87"/>
      <c r="L59" s="87"/>
      <c r="M59" s="87"/>
      <c r="N59" s="87"/>
      <c r="O59" s="87"/>
      <c r="P59" s="87"/>
      <c r="Q59" s="87"/>
      <c r="R59" s="87"/>
    </row>
    <row r="60" spans="1:18" s="66" customFormat="1" ht="16.5" thickBot="1" x14ac:dyDescent="0.3">
      <c r="A60" s="74" t="s">
        <v>58</v>
      </c>
      <c r="B60" s="74"/>
      <c r="D60" s="144"/>
      <c r="K60" s="147"/>
      <c r="L60" s="147"/>
      <c r="M60" s="147"/>
      <c r="N60" s="147"/>
      <c r="O60" s="147"/>
      <c r="P60" s="148"/>
      <c r="Q60" s="148"/>
      <c r="R60" s="147"/>
    </row>
    <row r="61" spans="1:18" ht="15" x14ac:dyDescent="0.25">
      <c r="A61" s="4"/>
      <c r="B61" s="75" t="s">
        <v>111</v>
      </c>
      <c r="C61"/>
      <c r="E61"/>
      <c r="F61"/>
      <c r="G61"/>
      <c r="H61"/>
      <c r="I61"/>
      <c r="J61"/>
      <c r="K61" s="105"/>
      <c r="L61" s="105"/>
      <c r="M61" s="105"/>
      <c r="N61" s="105"/>
      <c r="O61" s="105"/>
      <c r="P61" s="105"/>
      <c r="Q61" s="105"/>
      <c r="R61" s="105"/>
    </row>
    <row r="62" spans="1:18" x14ac:dyDescent="0.2">
      <c r="C62" s="3" t="s">
        <v>144</v>
      </c>
      <c r="D62" s="140" t="s">
        <v>126</v>
      </c>
      <c r="I62"/>
      <c r="J62" s="191"/>
      <c r="K62" s="105">
        <f ca="1">K58</f>
        <v>7.2009264227052228E-2</v>
      </c>
      <c r="L62" s="105">
        <f ca="1">L58</f>
        <v>3.1496194866963698</v>
      </c>
      <c r="M62" s="105">
        <f t="shared" ref="M62:R62" ca="1" si="12">M58</f>
        <v>-8.5265128291212022E-14</v>
      </c>
      <c r="N62" s="105">
        <f t="shared" ca="1" si="12"/>
        <v>37.46891300059211</v>
      </c>
      <c r="O62" s="105">
        <f t="shared" ca="1" si="12"/>
        <v>33.459689283840937</v>
      </c>
      <c r="P62" s="105">
        <f t="shared" ca="1" si="12"/>
        <v>38.887652176907011</v>
      </c>
      <c r="Q62" s="105">
        <f t="shared" ca="1" si="12"/>
        <v>64.370930605037159</v>
      </c>
      <c r="R62" s="105">
        <f t="shared" ca="1" si="12"/>
        <v>79.344709983350313</v>
      </c>
    </row>
    <row r="63" spans="1:18" x14ac:dyDescent="0.2">
      <c r="C63" s="3" t="s">
        <v>21</v>
      </c>
      <c r="D63" s="140" t="s">
        <v>126</v>
      </c>
      <c r="I63"/>
      <c r="J63"/>
      <c r="K63" s="181" cm="1">
        <f t="array" ref="K63:R66">'Working Capital'!K26:R29</f>
        <v>30.818072278450469</v>
      </c>
      <c r="L63" s="181">
        <v>30.817901966056468</v>
      </c>
      <c r="M63" s="181">
        <v>29.308510436065575</v>
      </c>
      <c r="N63" s="181">
        <v>31.682455051581368</v>
      </c>
      <c r="O63" s="181">
        <v>36.352243754445581</v>
      </c>
      <c r="P63" s="181">
        <v>38.122594200871006</v>
      </c>
      <c r="Q63" s="181">
        <v>39.47065910069275</v>
      </c>
      <c r="R63" s="181">
        <v>42.584461053905557</v>
      </c>
    </row>
    <row r="64" spans="1:18" x14ac:dyDescent="0.2">
      <c r="C64" s="3" t="s">
        <v>60</v>
      </c>
      <c r="D64" s="140" t="s">
        <v>126</v>
      </c>
      <c r="I64"/>
      <c r="J64"/>
      <c r="K64" s="181">
        <v>31.349558183723381</v>
      </c>
      <c r="L64" s="181">
        <v>32.934800267684743</v>
      </c>
      <c r="M64" s="181">
        <v>31.492429053565566</v>
      </c>
      <c r="N64" s="181">
        <v>33.818956769890626</v>
      </c>
      <c r="O64" s="181">
        <v>37.052224077484013</v>
      </c>
      <c r="P64" s="181">
        <v>38.599035279134966</v>
      </c>
      <c r="Q64" s="181">
        <v>38.723651210967944</v>
      </c>
      <c r="R64" s="181">
        <v>42.221739651541597</v>
      </c>
    </row>
    <row r="65" spans="2:18" x14ac:dyDescent="0.2">
      <c r="C65" s="3" t="s">
        <v>24</v>
      </c>
      <c r="D65" s="140" t="s">
        <v>126</v>
      </c>
      <c r="I65"/>
      <c r="J65"/>
      <c r="K65" s="181">
        <v>15.674779091861691</v>
      </c>
      <c r="L65" s="181">
        <v>16.467400133842371</v>
      </c>
      <c r="M65" s="181">
        <v>17.177688574672128</v>
      </c>
      <c r="N65" s="181">
        <v>16.909478384945313</v>
      </c>
      <c r="O65" s="181">
        <v>19.164943488353799</v>
      </c>
      <c r="P65" s="181">
        <v>19.638105668331825</v>
      </c>
      <c r="Q65" s="181">
        <v>19.713858798310952</v>
      </c>
      <c r="R65" s="181">
        <v>21.110869825770799</v>
      </c>
    </row>
    <row r="66" spans="2:18" x14ac:dyDescent="0.2">
      <c r="C66" s="3" t="s">
        <v>13</v>
      </c>
      <c r="D66" s="140" t="s">
        <v>126</v>
      </c>
      <c r="I66"/>
      <c r="J66"/>
      <c r="K66" s="181">
        <v>1.567477909186169</v>
      </c>
      <c r="L66" s="181">
        <v>1.6467400133842371</v>
      </c>
      <c r="M66" s="181">
        <v>1.7177688574672128</v>
      </c>
      <c r="N66" s="181">
        <v>2.4156397692779019</v>
      </c>
      <c r="O66" s="181">
        <v>1.9164943488353798</v>
      </c>
      <c r="P66" s="181">
        <v>2.7087042301147344</v>
      </c>
      <c r="Q66" s="181">
        <v>2.1121991569618879</v>
      </c>
      <c r="R66" s="181">
        <v>2.2618789099040142</v>
      </c>
    </row>
    <row r="67" spans="2:18" s="83" customFormat="1" x14ac:dyDescent="0.2">
      <c r="C67" s="106" t="s">
        <v>61</v>
      </c>
      <c r="D67" s="141" t="s">
        <v>126</v>
      </c>
      <c r="E67" s="106"/>
      <c r="F67" s="106"/>
      <c r="G67" s="106"/>
      <c r="H67" s="106"/>
      <c r="I67"/>
      <c r="J67"/>
      <c r="K67" s="172">
        <f ca="1">SUM(K62:K66)</f>
        <v>79.481896727448756</v>
      </c>
      <c r="L67" s="172">
        <f t="shared" ref="L67:R67" ca="1" si="13">SUM(L62:L66)</f>
        <v>85.016461867664191</v>
      </c>
      <c r="M67" s="172">
        <f t="shared" ca="1" si="13"/>
        <v>79.696396921770386</v>
      </c>
      <c r="N67" s="172">
        <f t="shared" ca="1" si="13"/>
        <v>122.29544297628732</v>
      </c>
      <c r="O67" s="172">
        <f t="shared" ca="1" si="13"/>
        <v>127.94559495295972</v>
      </c>
      <c r="P67" s="172">
        <f t="shared" ca="1" si="13"/>
        <v>137.95609155535954</v>
      </c>
      <c r="Q67" s="172">
        <f t="shared" ca="1" si="13"/>
        <v>164.39129887197069</v>
      </c>
      <c r="R67" s="172">
        <f t="shared" ca="1" si="13"/>
        <v>187.5236594244723</v>
      </c>
    </row>
    <row r="68" spans="2:18" x14ac:dyDescent="0.2">
      <c r="I68"/>
      <c r="J68"/>
      <c r="K68" s="105"/>
      <c r="L68" s="105"/>
      <c r="M68" s="105"/>
      <c r="N68" s="105"/>
      <c r="O68" s="105"/>
      <c r="P68" s="105"/>
      <c r="Q68" s="105"/>
      <c r="R68" s="105"/>
    </row>
    <row r="69" spans="2:18" x14ac:dyDescent="0.2">
      <c r="C69" s="3" t="s">
        <v>62</v>
      </c>
      <c r="D69" s="140" t="s">
        <v>126</v>
      </c>
      <c r="I69"/>
      <c r="J69"/>
      <c r="K69" s="105">
        <f>IF(K5, Assumptions!K59, J69-K43-K37)</f>
        <v>397.80433333333332</v>
      </c>
      <c r="L69" s="105">
        <f>IF(L5, Assumptions!L59, K69-L43-L37)</f>
        <v>397.428</v>
      </c>
      <c r="M69" s="105">
        <f>IF(M5, Assumptions!M59, L69-M43-M37)</f>
        <v>396.96</v>
      </c>
      <c r="N69" s="105">
        <f>IF(N5, Assumptions!N59, M69-N43-N37)</f>
        <v>411.25055999999995</v>
      </c>
      <c r="O69" s="105">
        <f>IF(O5, Assumptions!O59, N69-O43-O37)</f>
        <v>425.23307903999995</v>
      </c>
      <c r="P69" s="105">
        <f>IF(P5, Assumptions!P59, O69-P43-P37)</f>
        <v>443.09286835967993</v>
      </c>
      <c r="Q69" s="105">
        <f>IF(Q5, Assumptions!Q59, P69-Q43-Q37)</f>
        <v>453.28400433195253</v>
      </c>
      <c r="R69" s="105">
        <f>IF(R5, Assumptions!R59, Q69-R43-R37)</f>
        <v>476.85477255721406</v>
      </c>
    </row>
    <row r="70" spans="2:18" x14ac:dyDescent="0.2">
      <c r="C70" s="3" t="s">
        <v>13</v>
      </c>
      <c r="D70" s="140" t="s">
        <v>126</v>
      </c>
      <c r="I70"/>
      <c r="J70"/>
      <c r="K70" s="105">
        <f>IF(K5,Assumptions!K60,J70-K44)</f>
        <v>12</v>
      </c>
      <c r="L70" s="105">
        <f>IF(L5,Assumptions!L60,K70-L44)</f>
        <v>12</v>
      </c>
      <c r="M70" s="105">
        <f>IF(M5,Assumptions!M60,L70-M44)</f>
        <v>12</v>
      </c>
      <c r="N70" s="105">
        <f>IF(N5,Assumptions!N60,M70-N44)</f>
        <v>12.4</v>
      </c>
      <c r="O70" s="105">
        <f>IF(O5,Assumptions!O60,N70-O44)</f>
        <v>12.8</v>
      </c>
      <c r="P70" s="105">
        <f>IF(P5,Assumptions!P60,O70-P44)</f>
        <v>13.200000000000001</v>
      </c>
      <c r="Q70" s="105">
        <f>IF(Q5,Assumptions!Q60,P70-Q44)</f>
        <v>13.600000000000001</v>
      </c>
      <c r="R70" s="105">
        <f>IF(R5,Assumptions!R60,Q70-R44)</f>
        <v>14.000000000000002</v>
      </c>
    </row>
    <row r="71" spans="2:18" s="83" customFormat="1" x14ac:dyDescent="0.2">
      <c r="C71" s="106" t="s">
        <v>63</v>
      </c>
      <c r="D71" s="141" t="s">
        <v>126</v>
      </c>
      <c r="E71" s="106"/>
      <c r="F71" s="106"/>
      <c r="G71" s="106"/>
      <c r="H71" s="106"/>
      <c r="I71"/>
      <c r="J71"/>
      <c r="K71" s="172">
        <f>SUM(K69:K70)</f>
        <v>409.80433333333332</v>
      </c>
      <c r="L71" s="172">
        <f t="shared" ref="L71:R71" si="14">SUM(L69:L70)</f>
        <v>409.428</v>
      </c>
      <c r="M71" s="172">
        <f t="shared" si="14"/>
        <v>408.96</v>
      </c>
      <c r="N71" s="172">
        <f t="shared" si="14"/>
        <v>423.65055999999993</v>
      </c>
      <c r="O71" s="172">
        <f t="shared" si="14"/>
        <v>438.03307903999996</v>
      </c>
      <c r="P71" s="172">
        <f t="shared" si="14"/>
        <v>456.29286835967991</v>
      </c>
      <c r="Q71" s="172">
        <f t="shared" si="14"/>
        <v>466.88400433195255</v>
      </c>
      <c r="R71" s="172">
        <f t="shared" si="14"/>
        <v>490.85477255721406</v>
      </c>
    </row>
    <row r="72" spans="2:18" x14ac:dyDescent="0.2">
      <c r="I72"/>
      <c r="J72"/>
      <c r="K72" s="105"/>
      <c r="L72" s="105"/>
      <c r="M72" s="105"/>
      <c r="N72" s="105"/>
      <c r="O72" s="105"/>
      <c r="P72" s="105"/>
      <c r="Q72" s="105"/>
      <c r="R72" s="105"/>
    </row>
    <row r="73" spans="2:18" s="83" customFormat="1" x14ac:dyDescent="0.2">
      <c r="C73" s="106" t="s">
        <v>64</v>
      </c>
      <c r="D73" s="141" t="s">
        <v>126</v>
      </c>
      <c r="E73" s="106"/>
      <c r="F73" s="106"/>
      <c r="G73" s="106"/>
      <c r="H73" s="106"/>
      <c r="I73"/>
      <c r="J73"/>
      <c r="K73" s="194">
        <f ca="1">K71+K67</f>
        <v>489.28623006078209</v>
      </c>
      <c r="L73" s="194">
        <f t="shared" ref="L73:R73" ca="1" si="15">L71+L67</f>
        <v>494.44446186766419</v>
      </c>
      <c r="M73" s="194">
        <f t="shared" ca="1" si="15"/>
        <v>488.65639692177035</v>
      </c>
      <c r="N73" s="194">
        <f t="shared" ca="1" si="15"/>
        <v>545.94600297628722</v>
      </c>
      <c r="O73" s="194">
        <f t="shared" ca="1" si="15"/>
        <v>565.97867399295967</v>
      </c>
      <c r="P73" s="194">
        <f t="shared" ca="1" si="15"/>
        <v>594.24895991503945</v>
      </c>
      <c r="Q73" s="194">
        <f t="shared" ca="1" si="15"/>
        <v>631.27530320392327</v>
      </c>
      <c r="R73" s="194">
        <f t="shared" ca="1" si="15"/>
        <v>678.37843198168639</v>
      </c>
    </row>
    <row r="74" spans="2:18" x14ac:dyDescent="0.2">
      <c r="I74"/>
      <c r="J74"/>
      <c r="K74" s="105"/>
      <c r="L74" s="105"/>
      <c r="M74" s="105"/>
      <c r="N74" s="105"/>
      <c r="O74" s="105"/>
      <c r="P74" s="105"/>
      <c r="Q74" s="105"/>
      <c r="R74" s="105"/>
    </row>
    <row r="75" spans="2:18" ht="15" x14ac:dyDescent="0.25">
      <c r="B75" s="75" t="s">
        <v>112</v>
      </c>
      <c r="I75"/>
      <c r="J75"/>
      <c r="K75" s="105"/>
      <c r="L75" s="105"/>
      <c r="M75" s="105"/>
      <c r="N75" s="105"/>
      <c r="O75" s="105"/>
      <c r="P75" s="105"/>
      <c r="Q75" s="105"/>
      <c r="R75" s="105"/>
    </row>
    <row r="76" spans="2:18" x14ac:dyDescent="0.2">
      <c r="C76" s="3" t="s">
        <v>65</v>
      </c>
      <c r="D76" s="140" t="s">
        <v>126</v>
      </c>
      <c r="I76"/>
      <c r="J76"/>
      <c r="K76" s="181" cm="1">
        <f t="array" aca="1" ref="K76:R76" ca="1">'Debt and Interest'!K30:R30</f>
        <v>0</v>
      </c>
      <c r="L76" s="181">
        <f ca="1"/>
        <v>0</v>
      </c>
      <c r="M76" s="181">
        <f ca="1"/>
        <v>0.35087576728110959</v>
      </c>
      <c r="N76" s="181">
        <f ca="1"/>
        <v>0</v>
      </c>
      <c r="O76" s="181">
        <f ca="1"/>
        <v>0</v>
      </c>
      <c r="P76" s="181">
        <f ca="1"/>
        <v>0</v>
      </c>
      <c r="Q76" s="181">
        <f ca="1"/>
        <v>0</v>
      </c>
      <c r="R76" s="181">
        <f ca="1"/>
        <v>0</v>
      </c>
    </row>
    <row r="77" spans="2:18" x14ac:dyDescent="0.2">
      <c r="C77" s="3" t="s">
        <v>26</v>
      </c>
      <c r="D77" s="140" t="s">
        <v>126</v>
      </c>
      <c r="I77"/>
      <c r="J77"/>
      <c r="K77" s="181" cm="1">
        <f t="array" ref="K77:R77">'Working Capital'!K30:R30</f>
        <v>20.899705455815585</v>
      </c>
      <c r="L77" s="181">
        <v>21.956533511789829</v>
      </c>
      <c r="M77" s="181">
        <v>22.903584766229503</v>
      </c>
      <c r="N77" s="181">
        <v>27.175947404376398</v>
      </c>
      <c r="O77" s="181">
        <v>26.830920883695317</v>
      </c>
      <c r="P77" s="181">
        <v>27.087042301147342</v>
      </c>
      <c r="Q77" s="181">
        <v>30.274854583120394</v>
      </c>
      <c r="R77" s="181">
        <v>30.912345102021526</v>
      </c>
    </row>
    <row r="78" spans="2:18" x14ac:dyDescent="0.2">
      <c r="C78" s="3" t="s">
        <v>13</v>
      </c>
      <c r="D78" s="140" t="s">
        <v>126</v>
      </c>
      <c r="I78"/>
      <c r="J78"/>
      <c r="K78" s="181" cm="1">
        <f t="array" ref="K78:R78">'Working Capital'!K31:R31</f>
        <v>5.2249263639538963</v>
      </c>
      <c r="L78" s="181">
        <v>5.4891333779474571</v>
      </c>
      <c r="M78" s="181">
        <v>5.7258961915573758</v>
      </c>
      <c r="N78" s="181">
        <v>4.8312795385558038</v>
      </c>
      <c r="O78" s="181">
        <v>6.3883144961179328</v>
      </c>
      <c r="P78" s="181">
        <v>6.0945845177581521</v>
      </c>
      <c r="Q78" s="181">
        <v>5.632531085231701</v>
      </c>
      <c r="R78" s="181">
        <v>6.7856367297120421</v>
      </c>
    </row>
    <row r="79" spans="2:18" s="83" customFormat="1" x14ac:dyDescent="0.2">
      <c r="C79" s="106" t="s">
        <v>66</v>
      </c>
      <c r="D79" s="141" t="s">
        <v>126</v>
      </c>
      <c r="E79" s="106"/>
      <c r="F79" s="106"/>
      <c r="G79" s="106"/>
      <c r="H79" s="106"/>
      <c r="I79"/>
      <c r="J79"/>
      <c r="K79" s="172">
        <f ca="1">SUM(K76:K78)</f>
        <v>26.124631819769483</v>
      </c>
      <c r="L79" s="172">
        <f t="shared" ref="L79:R79" ca="1" si="16">SUM(L76:L78)</f>
        <v>27.445666889737286</v>
      </c>
      <c r="M79" s="172">
        <f t="shared" ca="1" si="16"/>
        <v>28.980356725067988</v>
      </c>
      <c r="N79" s="172">
        <f t="shared" ca="1" si="16"/>
        <v>32.007226942932199</v>
      </c>
      <c r="O79" s="172">
        <f t="shared" ca="1" si="16"/>
        <v>33.219235379813249</v>
      </c>
      <c r="P79" s="172">
        <f t="shared" ca="1" si="16"/>
        <v>33.181626818905492</v>
      </c>
      <c r="Q79" s="172">
        <f t="shared" ca="1" si="16"/>
        <v>35.907385668352092</v>
      </c>
      <c r="R79" s="172">
        <f t="shared" ca="1" si="16"/>
        <v>37.697981831733571</v>
      </c>
    </row>
    <row r="80" spans="2:18" x14ac:dyDescent="0.2">
      <c r="I80"/>
      <c r="J80"/>
      <c r="K80" s="105"/>
      <c r="L80" s="105"/>
      <c r="M80" s="105"/>
      <c r="N80" s="105"/>
      <c r="O80" s="105"/>
      <c r="P80" s="105"/>
      <c r="Q80" s="105"/>
      <c r="R80" s="105"/>
    </row>
    <row r="81" spans="1:18" x14ac:dyDescent="0.2">
      <c r="C81" s="3" t="s">
        <v>41</v>
      </c>
      <c r="D81" s="140" t="s">
        <v>126</v>
      </c>
      <c r="I81"/>
      <c r="J81"/>
      <c r="K81" s="105">
        <f>IF(K5,Assumptions!K67,J81+K38)</f>
        <v>13.25</v>
      </c>
      <c r="L81" s="105">
        <f>IF(L5,Assumptions!L67,K81+L38)</f>
        <v>15</v>
      </c>
      <c r="M81" s="105">
        <f>IF(M5,Assumptions!M67,L81+M38)</f>
        <v>16.75</v>
      </c>
      <c r="N81" s="105">
        <f ca="1">IF(N5,Assumptions!N67,M81+N38)</f>
        <v>18.55</v>
      </c>
      <c r="O81" s="105">
        <f ca="1">IF(O5,Assumptions!O67,N81+O38)</f>
        <v>20.350000000000001</v>
      </c>
      <c r="P81" s="105">
        <f ca="1">IF(P5,Assumptions!P67,O81+P38)</f>
        <v>22.150000000000002</v>
      </c>
      <c r="Q81" s="105">
        <f ca="1">IF(Q5,Assumptions!Q67,P81+Q38)</f>
        <v>23.950000000000003</v>
      </c>
      <c r="R81" s="105">
        <f ca="1">IF(R5,Assumptions!R67,Q81+R38)</f>
        <v>25.750000000000004</v>
      </c>
    </row>
    <row r="82" spans="1:18" x14ac:dyDescent="0.2">
      <c r="C82" s="3" t="s">
        <v>67</v>
      </c>
      <c r="D82" s="140" t="s">
        <v>126</v>
      </c>
      <c r="I82"/>
      <c r="J82"/>
      <c r="K82" s="181" cm="1">
        <f t="array" ref="K82:R82">'Debt and Interest'!K39:R39</f>
        <v>125</v>
      </c>
      <c r="L82" s="181">
        <v>100</v>
      </c>
      <c r="M82" s="181">
        <v>75</v>
      </c>
      <c r="N82" s="181">
        <v>105</v>
      </c>
      <c r="O82" s="181">
        <v>93</v>
      </c>
      <c r="P82" s="181">
        <v>81</v>
      </c>
      <c r="Q82" s="181">
        <v>69</v>
      </c>
      <c r="R82" s="181">
        <v>57</v>
      </c>
    </row>
    <row r="83" spans="1:18" s="83" customFormat="1" x14ac:dyDescent="0.2">
      <c r="C83" s="106" t="s">
        <v>68</v>
      </c>
      <c r="D83" s="141" t="s">
        <v>126</v>
      </c>
      <c r="E83" s="106"/>
      <c r="F83" s="106"/>
      <c r="G83" s="106"/>
      <c r="H83" s="106"/>
      <c r="I83"/>
      <c r="J83"/>
      <c r="K83" s="172">
        <f>SUM(K81:K82)</f>
        <v>138.25</v>
      </c>
      <c r="L83" s="172">
        <f t="shared" ref="L83:R83" si="17">SUM(L81:L82)</f>
        <v>115</v>
      </c>
      <c r="M83" s="172">
        <f t="shared" si="17"/>
        <v>91.75</v>
      </c>
      <c r="N83" s="172">
        <f t="shared" ca="1" si="17"/>
        <v>123.55</v>
      </c>
      <c r="O83" s="172">
        <f t="shared" ca="1" si="17"/>
        <v>113.35</v>
      </c>
      <c r="P83" s="172">
        <f t="shared" ca="1" si="17"/>
        <v>103.15</v>
      </c>
      <c r="Q83" s="172">
        <f t="shared" ca="1" si="17"/>
        <v>92.95</v>
      </c>
      <c r="R83" s="172">
        <f t="shared" ca="1" si="17"/>
        <v>82.75</v>
      </c>
    </row>
    <row r="84" spans="1:18" x14ac:dyDescent="0.2">
      <c r="I84"/>
      <c r="J84"/>
      <c r="K84" s="105"/>
      <c r="L84" s="105"/>
      <c r="M84" s="105"/>
      <c r="N84" s="105"/>
      <c r="O84" s="105"/>
      <c r="P84" s="105"/>
      <c r="Q84" s="105"/>
      <c r="R84" s="105"/>
    </row>
    <row r="85" spans="1:18" s="83" customFormat="1" x14ac:dyDescent="0.2">
      <c r="C85" s="106" t="s">
        <v>69</v>
      </c>
      <c r="D85" s="141" t="s">
        <v>126</v>
      </c>
      <c r="E85" s="106"/>
      <c r="F85" s="106"/>
      <c r="G85" s="106"/>
      <c r="H85" s="106"/>
      <c r="I85"/>
      <c r="J85"/>
      <c r="K85" s="172">
        <f ca="1">K83+K79</f>
        <v>164.37463181976949</v>
      </c>
      <c r="L85" s="172">
        <f t="shared" ref="L85:R85" ca="1" si="18">L83+L79</f>
        <v>142.44566688973728</v>
      </c>
      <c r="M85" s="172">
        <f t="shared" ca="1" si="18"/>
        <v>120.73035672506799</v>
      </c>
      <c r="N85" s="172">
        <f t="shared" ca="1" si="18"/>
        <v>155.5572269429322</v>
      </c>
      <c r="O85" s="172">
        <f t="shared" ca="1" si="18"/>
        <v>146.56923537981325</v>
      </c>
      <c r="P85" s="172">
        <f t="shared" ca="1" si="18"/>
        <v>136.33162681890551</v>
      </c>
      <c r="Q85" s="172">
        <f t="shared" ca="1" si="18"/>
        <v>128.85738566835209</v>
      </c>
      <c r="R85" s="172">
        <f t="shared" ca="1" si="18"/>
        <v>120.44798183173357</v>
      </c>
    </row>
    <row r="86" spans="1:18" x14ac:dyDescent="0.2">
      <c r="I86"/>
      <c r="J86"/>
      <c r="K86" s="105"/>
      <c r="L86" s="105"/>
      <c r="M86" s="105"/>
      <c r="N86" s="105"/>
      <c r="O86" s="105"/>
      <c r="P86" s="105"/>
      <c r="Q86" s="105"/>
      <c r="R86" s="105"/>
    </row>
    <row r="87" spans="1:18" x14ac:dyDescent="0.2">
      <c r="C87" s="3" t="s">
        <v>70</v>
      </c>
      <c r="D87" s="140" t="s">
        <v>126</v>
      </c>
      <c r="I87"/>
      <c r="J87"/>
      <c r="K87" s="181">
        <f>Equity!K14</f>
        <v>120</v>
      </c>
      <c r="L87" s="181">
        <f>Equity!L14</f>
        <v>120</v>
      </c>
      <c r="M87" s="181">
        <f>Equity!M14</f>
        <v>120</v>
      </c>
      <c r="N87" s="181">
        <f>Equity!N14</f>
        <v>120</v>
      </c>
      <c r="O87" s="181">
        <f>Equity!O14</f>
        <v>120</v>
      </c>
      <c r="P87" s="181">
        <f>Equity!P14</f>
        <v>120</v>
      </c>
      <c r="Q87" s="181">
        <f>Equity!Q14</f>
        <v>120</v>
      </c>
      <c r="R87" s="181">
        <f>Equity!R14</f>
        <v>120</v>
      </c>
    </row>
    <row r="88" spans="1:18" x14ac:dyDescent="0.2">
      <c r="C88" s="3" t="s">
        <v>71</v>
      </c>
      <c r="D88" s="140" t="s">
        <v>126</v>
      </c>
      <c r="I88"/>
      <c r="J88"/>
      <c r="K88" s="181" cm="1">
        <f t="array" aca="1" ref="K88:R88" ca="1">Equity!K25:R25</f>
        <v>204.9115982410124</v>
      </c>
      <c r="L88" s="181">
        <f ca="1"/>
        <v>231.99879497792668</v>
      </c>
      <c r="M88" s="181">
        <f ca="1"/>
        <v>247.92604019670256</v>
      </c>
      <c r="N88" s="181">
        <f ca="1"/>
        <v>270.38877603335527</v>
      </c>
      <c r="O88" s="181">
        <f ca="1"/>
        <v>299.40943861314662</v>
      </c>
      <c r="P88" s="181">
        <f ca="1"/>
        <v>337.9173330961342</v>
      </c>
      <c r="Q88" s="181">
        <f ca="1"/>
        <v>382.41791753557141</v>
      </c>
      <c r="R88" s="181">
        <f ca="1"/>
        <v>437.93045014995306</v>
      </c>
    </row>
    <row r="89" spans="1:18" s="83" customFormat="1" x14ac:dyDescent="0.2">
      <c r="C89" s="106" t="s">
        <v>72</v>
      </c>
      <c r="D89" s="141" t="s">
        <v>126</v>
      </c>
      <c r="E89" s="106"/>
      <c r="F89" s="106"/>
      <c r="G89" s="106"/>
      <c r="H89" s="106"/>
      <c r="I89"/>
      <c r="J89"/>
      <c r="K89" s="172">
        <f ca="1">SUM(K87:K88)</f>
        <v>324.91159824101237</v>
      </c>
      <c r="L89" s="172">
        <f t="shared" ref="L89:R89" ca="1" si="19">SUM(L87:L88)</f>
        <v>351.99879497792665</v>
      </c>
      <c r="M89" s="172">
        <f t="shared" ca="1" si="19"/>
        <v>367.92604019670256</v>
      </c>
      <c r="N89" s="172">
        <f t="shared" ca="1" si="19"/>
        <v>390.38877603335527</v>
      </c>
      <c r="O89" s="172">
        <f t="shared" ca="1" si="19"/>
        <v>419.40943861314662</v>
      </c>
      <c r="P89" s="172">
        <f t="shared" ca="1" si="19"/>
        <v>457.9173330961342</v>
      </c>
      <c r="Q89" s="172">
        <f t="shared" ca="1" si="19"/>
        <v>502.41791753557141</v>
      </c>
      <c r="R89" s="172">
        <f t="shared" ca="1" si="19"/>
        <v>557.930450149953</v>
      </c>
    </row>
    <row r="90" spans="1:18" x14ac:dyDescent="0.2">
      <c r="I90"/>
      <c r="J90"/>
      <c r="K90" s="105"/>
      <c r="L90" s="105"/>
      <c r="M90" s="105"/>
      <c r="N90" s="105"/>
      <c r="O90" s="105"/>
      <c r="P90" s="105"/>
      <c r="Q90" s="105"/>
      <c r="R90" s="105"/>
    </row>
    <row r="91" spans="1:18" s="83" customFormat="1" x14ac:dyDescent="0.2">
      <c r="C91" s="106" t="s">
        <v>73</v>
      </c>
      <c r="D91" s="141" t="s">
        <v>126</v>
      </c>
      <c r="E91" s="106"/>
      <c r="F91" s="106"/>
      <c r="G91" s="106"/>
      <c r="H91" s="106"/>
      <c r="I91"/>
      <c r="J91"/>
      <c r="K91" s="194">
        <f ca="1">K89+K85</f>
        <v>489.28623006078186</v>
      </c>
      <c r="L91" s="194">
        <f t="shared" ref="L91:M91" ca="1" si="20">L89+L85</f>
        <v>494.4444618676639</v>
      </c>
      <c r="M91" s="194">
        <f t="shared" ca="1" si="20"/>
        <v>488.65639692177058</v>
      </c>
      <c r="N91" s="194">
        <f ca="1">N89+N85</f>
        <v>545.94600297628745</v>
      </c>
      <c r="O91" s="194">
        <f ca="1">O89+O85</f>
        <v>565.9786739929599</v>
      </c>
      <c r="P91" s="194">
        <f ca="1">P89+P85</f>
        <v>594.24895991503968</v>
      </c>
      <c r="Q91" s="194">
        <f ca="1">Q89+Q85</f>
        <v>631.2753032039235</v>
      </c>
      <c r="R91" s="194">
        <f ca="1">R89+R85</f>
        <v>678.37843198168662</v>
      </c>
    </row>
    <row r="92" spans="1:18" x14ac:dyDescent="0.2">
      <c r="I92"/>
      <c r="J92"/>
      <c r="K92"/>
      <c r="L92"/>
      <c r="M92"/>
      <c r="N92"/>
      <c r="O92"/>
      <c r="P92"/>
      <c r="Q92"/>
      <c r="R92"/>
    </row>
    <row r="93" spans="1:18" customFormat="1" x14ac:dyDescent="0.2">
      <c r="C93" s="83" t="s">
        <v>180</v>
      </c>
      <c r="K93" s="83" t="b">
        <f t="shared" ref="K93:M93" ca="1" si="21">ABS(K73-K91)&lt;err_toll</f>
        <v>1</v>
      </c>
      <c r="L93" s="83" t="b">
        <f t="shared" ca="1" si="21"/>
        <v>1</v>
      </c>
      <c r="M93" s="83" t="b">
        <f t="shared" ca="1" si="21"/>
        <v>1</v>
      </c>
      <c r="N93" s="83" t="b">
        <f ca="1">ABS(N73-N91)&lt;err_toll</f>
        <v>1</v>
      </c>
      <c r="O93" s="83" t="b">
        <f ca="1">ABS(O73-O91)&lt;err_toll</f>
        <v>1</v>
      </c>
      <c r="P93" s="83" t="b">
        <f ca="1">ABS(P73-P91)&lt;err_toll</f>
        <v>1</v>
      </c>
      <c r="Q93" s="83" t="b">
        <f ca="1">ABS(Q73-Q91)&lt;err_toll</f>
        <v>1</v>
      </c>
      <c r="R93" s="83" t="b">
        <f ca="1">ABS(R73-R91)&lt;err_toll</f>
        <v>1</v>
      </c>
    </row>
    <row r="94" spans="1:18" x14ac:dyDescent="0.2">
      <c r="C94"/>
    </row>
    <row r="95" spans="1:18" s="66" customFormat="1" ht="16.5" thickBot="1" x14ac:dyDescent="0.3">
      <c r="A95" s="74" t="s">
        <v>149</v>
      </c>
      <c r="B95" s="74"/>
      <c r="D95" s="144"/>
      <c r="P95" s="67"/>
      <c r="Q95" s="68"/>
    </row>
    <row r="100" spans="12:12" x14ac:dyDescent="0.2">
      <c r="L100"/>
    </row>
    <row r="101" spans="12:12" x14ac:dyDescent="0.2">
      <c r="L101"/>
    </row>
    <row r="102" spans="12:12" x14ac:dyDescent="0.2">
      <c r="L102"/>
    </row>
  </sheetData>
  <conditionalFormatting sqref="K5:R6">
    <cfRule type="cellIs" dxfId="24" priority="2" operator="equal">
      <formula>TRUE</formula>
    </cfRule>
  </conditionalFormatting>
  <conditionalFormatting sqref="K93:R93">
    <cfRule type="containsText" dxfId="23" priority="1" operator="containsText" text="TRUE">
      <formula>NOT(ISERROR(SEARCH("TRUE",K93)))</formula>
    </cfRule>
  </conditionalFormatting>
  <pageMargins left="0.7" right="0.7" top="0.75" bottom="0.75" header="0.3" footer="0.3"/>
  <pageSetup paperSize="9" scale="73" orientation="portrait" r:id="rId1"/>
  <headerFooter>
    <oddHeader>&amp;LFinancial Metrics for Decision Making 25624</oddHeader>
    <oddFooter>&amp;L&amp;F&amp;R&amp;A</oddFooter>
  </headerFooter>
  <ignoredErrors>
    <ignoredError sqref="N25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51EA-8748-411B-BBB0-FBC74FABA1F6}">
  <dimension ref="A1"/>
  <sheetViews>
    <sheetView showGridLines="0" zoomScale="85" zoomScaleNormal="85" workbookViewId="0"/>
  </sheetViews>
  <sheetFormatPr defaultRowHeight="12.7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7106-8942-4EAB-ACC5-D3D323C46A35}">
  <sheetPr codeName="Sheet1">
    <pageSetUpPr fitToPage="1"/>
  </sheetPr>
  <dimension ref="A1:T58"/>
  <sheetViews>
    <sheetView showGridLines="0" zoomScale="85" zoomScaleNormal="85" workbookViewId="0">
      <pane xSplit="10" ySplit="9" topLeftCell="K10" activePane="bottomRight" state="frozen"/>
      <selection activeCell="R1" sqref="R1"/>
      <selection pane="topRight" activeCell="R1" sqref="R1"/>
      <selection pane="bottomLeft" activeCell="R1" sqref="R1"/>
      <selection pane="bottomRight" activeCell="R44" sqref="R44"/>
    </sheetView>
  </sheetViews>
  <sheetFormatPr defaultColWidth="0" defaultRowHeight="12.75" zeroHeight="1" x14ac:dyDescent="0.2"/>
  <cols>
    <col min="1" max="1" width="1.5703125" style="3" customWidth="1"/>
    <col min="2" max="2" width="2" style="3" customWidth="1"/>
    <col min="3" max="3" width="29.42578125" style="3" customWidth="1"/>
    <col min="4" max="4" width="5.140625" style="123" customWidth="1"/>
    <col min="5" max="5" width="1.7109375" style="3" customWidth="1"/>
    <col min="6" max="6" width="1.28515625" style="3" customWidth="1"/>
    <col min="7" max="7" width="1.5703125" style="3" customWidth="1"/>
    <col min="8" max="8" width="20.85546875" style="3" bestFit="1" customWidth="1"/>
    <col min="9" max="9" width="10.7109375" style="3" bestFit="1" customWidth="1"/>
    <col min="10" max="10" width="20.7109375" style="3" customWidth="1"/>
    <col min="11" max="12" width="12.140625" style="3" bestFit="1" customWidth="1"/>
    <col min="13" max="13" width="14.140625" style="3" customWidth="1"/>
    <col min="14" max="18" width="13.5703125" style="3" customWidth="1"/>
    <col min="19" max="19" width="2.7109375" style="3" customWidth="1"/>
    <col min="20" max="20" width="2" style="3" customWidth="1"/>
    <col min="21" max="16384" width="9.140625" style="3" hidden="1"/>
  </cols>
  <sheetData>
    <row r="1" spans="1:20" ht="12.75" customHeight="1" x14ac:dyDescent="0.35">
      <c r="A1" s="36"/>
      <c r="B1" s="37"/>
      <c r="C1" s="16"/>
      <c r="D1" s="120"/>
      <c r="E1" s="16"/>
      <c r="F1" s="30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9" t="str">
        <f>"CURRENTLY RUNNING | "&amp;Scenarios!$R$1</f>
        <v>CURRENTLY RUNNING | Base Case</v>
      </c>
      <c r="S1" s="4"/>
      <c r="T1" s="15"/>
    </row>
    <row r="2" spans="1:20" s="62" customFormat="1" ht="16.5" thickBot="1" x14ac:dyDescent="0.3">
      <c r="A2" s="58">
        <f>Cover!B12</f>
        <v>0</v>
      </c>
      <c r="C2" s="59"/>
      <c r="D2" s="133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  <c r="T2" s="61"/>
    </row>
    <row r="3" spans="1:20" customFormat="1" ht="13.5" thickTop="1" x14ac:dyDescent="0.2"/>
    <row r="4" spans="1:20" customFormat="1" x14ac:dyDescent="0.2"/>
    <row r="5" spans="1:20" customFormat="1" x14ac:dyDescent="0.2">
      <c r="C5" s="166" t="s">
        <v>176</v>
      </c>
      <c r="K5" s="4">
        <v>2022</v>
      </c>
      <c r="L5" s="4">
        <v>2023</v>
      </c>
      <c r="M5" s="4">
        <v>2024</v>
      </c>
      <c r="N5" s="4">
        <v>2025</v>
      </c>
      <c r="O5" s="4">
        <v>2026</v>
      </c>
      <c r="P5" s="4">
        <v>2027</v>
      </c>
      <c r="Q5" s="4">
        <v>2028</v>
      </c>
      <c r="R5" s="4">
        <v>2029</v>
      </c>
    </row>
    <row r="6" spans="1:20" customFormat="1" x14ac:dyDescent="0.2">
      <c r="C6" s="4" t="s">
        <v>177</v>
      </c>
      <c r="K6" s="3" t="b" cm="1">
        <f t="array" ref="K6">K5&lt;Forecast.start</f>
        <v>1</v>
      </c>
      <c r="L6" s="3" t="b" cm="1">
        <f t="array" ref="L6">L5&lt;Forecast.start</f>
        <v>1</v>
      </c>
      <c r="M6" s="3" t="b" cm="1">
        <f t="array" ref="M6">M5&lt;Forecast.start</f>
        <v>1</v>
      </c>
      <c r="N6" s="3" t="b" cm="1">
        <f t="array" ref="N6">N5&lt;Forecast.start</f>
        <v>0</v>
      </c>
      <c r="O6" s="3" t="b" cm="1">
        <f t="array" ref="O6">O5&lt;Forecast.start</f>
        <v>0</v>
      </c>
      <c r="P6" s="3" t="b" cm="1">
        <f t="array" ref="P6">P5&lt;Forecast.start</f>
        <v>0</v>
      </c>
      <c r="Q6" s="3" t="b" cm="1">
        <f t="array" ref="Q6">Q5&lt;Forecast.start</f>
        <v>0</v>
      </c>
      <c r="R6" s="3" t="b" cm="1">
        <f t="array" ref="R6">R5&lt;Forecast.start</f>
        <v>0</v>
      </c>
    </row>
    <row r="7" spans="1:20" customFormat="1" x14ac:dyDescent="0.2">
      <c r="C7" s="4" t="s">
        <v>178</v>
      </c>
      <c r="K7" t="b">
        <f>NOT(K6)</f>
        <v>0</v>
      </c>
      <c r="L7" t="b">
        <f t="shared" ref="L7:R7" si="0">NOT(L6)</f>
        <v>0</v>
      </c>
      <c r="M7" t="b">
        <f t="shared" si="0"/>
        <v>0</v>
      </c>
      <c r="N7" t="b">
        <f t="shared" si="0"/>
        <v>1</v>
      </c>
      <c r="O7" t="b">
        <f t="shared" si="0"/>
        <v>1</v>
      </c>
      <c r="P7" t="b">
        <f t="shared" si="0"/>
        <v>1</v>
      </c>
      <c r="Q7" t="b">
        <f t="shared" si="0"/>
        <v>1</v>
      </c>
      <c r="R7" t="b">
        <f t="shared" si="0"/>
        <v>1</v>
      </c>
    </row>
    <row r="8" spans="1:20" x14ac:dyDescent="0.2">
      <c r="A8" s="4"/>
      <c r="B8" s="4"/>
      <c r="C8" s="4"/>
      <c r="D8" s="119"/>
      <c r="E8" s="4"/>
      <c r="F8" s="11"/>
      <c r="G8" s="4"/>
      <c r="H8" s="4"/>
      <c r="I8" s="4"/>
      <c r="J8" s="4"/>
      <c r="K8" s="38"/>
      <c r="L8" s="38"/>
      <c r="M8" s="38"/>
      <c r="N8" s="4"/>
      <c r="O8" s="4"/>
      <c r="P8" s="4"/>
      <c r="Q8" s="4"/>
      <c r="R8" s="4"/>
    </row>
    <row r="9" spans="1:20" s="131" customFormat="1" ht="15.75" x14ac:dyDescent="0.25">
      <c r="A9" s="124" t="s">
        <v>105</v>
      </c>
      <c r="B9" s="130"/>
      <c r="D9" s="124" t="s">
        <v>106</v>
      </c>
      <c r="H9" s="124" t="s">
        <v>107</v>
      </c>
      <c r="I9" s="132" t="s">
        <v>122</v>
      </c>
    </row>
    <row r="10" spans="1:20" s="66" customFormat="1" ht="16.5" thickBot="1" x14ac:dyDescent="0.3">
      <c r="A10" s="74" t="s">
        <v>30</v>
      </c>
      <c r="B10" s="74"/>
      <c r="D10" s="134"/>
      <c r="P10" s="67"/>
      <c r="Q10" s="68"/>
    </row>
    <row r="11" spans="1:20" ht="15" x14ac:dyDescent="0.25">
      <c r="A11" s="4"/>
      <c r="B11" s="75" t="s">
        <v>74</v>
      </c>
      <c r="C11" s="4"/>
      <c r="D11" s="119"/>
      <c r="E11" s="4"/>
      <c r="F11" s="18"/>
      <c r="G11" s="4"/>
      <c r="H11" s="4"/>
      <c r="I11" s="4"/>
      <c r="J11" s="4"/>
      <c r="K11" s="38"/>
      <c r="L11" s="38"/>
      <c r="M11" s="38"/>
      <c r="N11" s="33"/>
      <c r="O11" s="4"/>
      <c r="P11" s="4"/>
      <c r="Q11" s="4"/>
      <c r="R11" s="4"/>
    </row>
    <row r="12" spans="1:20" x14ac:dyDescent="0.2">
      <c r="A12" s="4"/>
      <c r="B12" s="4"/>
      <c r="C12" s="4" t="s">
        <v>155</v>
      </c>
      <c r="D12" s="124" t="s">
        <v>123</v>
      </c>
      <c r="E12" s="4"/>
      <c r="F12" s="64"/>
      <c r="G12" s="4"/>
      <c r="H12" s="4"/>
      <c r="I12"/>
      <c r="J12"/>
      <c r="K12" s="4"/>
      <c r="L12" s="4"/>
      <c r="M12" s="4"/>
      <c r="N12" s="182" cm="1">
        <f t="array" ref="N12:R12">_xlfn.ANCHORARRAY(Scenarios!N11)</f>
        <v>0.04</v>
      </c>
      <c r="O12" s="182">
        <v>4.2000000000000003E-2</v>
      </c>
      <c r="P12" s="182">
        <v>4.4999999999999998E-2</v>
      </c>
      <c r="Q12" s="182">
        <v>3.7999999999999999E-2</v>
      </c>
      <c r="R12" s="182">
        <v>0.03</v>
      </c>
    </row>
    <row r="13" spans="1:20" ht="15" x14ac:dyDescent="0.25">
      <c r="A13" s="4"/>
      <c r="B13" s="4"/>
      <c r="C13" s="28" t="s">
        <v>118</v>
      </c>
      <c r="D13" s="124" t="s">
        <v>119</v>
      </c>
      <c r="E13" s="4"/>
      <c r="F13" s="64"/>
      <c r="G13" s="4"/>
      <c r="H13" s="4"/>
      <c r="I13"/>
      <c r="J13"/>
      <c r="K13" s="181" cm="1">
        <f t="array" ref="K13:M13">Assumptions!K79:M79</f>
        <v>825</v>
      </c>
      <c r="L13" s="185">
        <v>800</v>
      </c>
      <c r="M13" s="181">
        <v>750</v>
      </c>
      <c r="N13" s="193">
        <f>M13*(1+N12)</f>
        <v>780</v>
      </c>
      <c r="O13" s="193">
        <f>N13*(1+O12)</f>
        <v>812.76</v>
      </c>
      <c r="P13" s="193">
        <f t="shared" ref="P13:R13" si="1">O13*(1+P12)</f>
        <v>849.3341999999999</v>
      </c>
      <c r="Q13" s="193">
        <f t="shared" si="1"/>
        <v>881.60889959999997</v>
      </c>
      <c r="R13" s="193">
        <f t="shared" si="1"/>
        <v>908.05716658799997</v>
      </c>
    </row>
    <row r="14" spans="1:20" x14ac:dyDescent="0.2">
      <c r="A14" s="4"/>
      <c r="B14" s="4"/>
      <c r="C14" s="4" t="s">
        <v>115</v>
      </c>
      <c r="D14" s="124" t="s">
        <v>123</v>
      </c>
      <c r="E14" s="4"/>
      <c r="F14" s="64"/>
      <c r="G14" s="4"/>
      <c r="H14" s="4"/>
      <c r="I14"/>
      <c r="J14"/>
      <c r="K14" s="4"/>
      <c r="L14" s="4"/>
      <c r="M14" s="4"/>
      <c r="N14" s="182" cm="1">
        <f t="array" ref="N14:R14">Scenarios!N10:R10</f>
        <v>3.2000000000000001E-2</v>
      </c>
      <c r="O14" s="182">
        <v>3.1E-2</v>
      </c>
      <c r="P14" s="182">
        <v>0.03</v>
      </c>
      <c r="Q14" s="182">
        <v>2.8000000000000001E-2</v>
      </c>
      <c r="R14" s="182">
        <v>2.5000000000000001E-2</v>
      </c>
    </row>
    <row r="15" spans="1:20" x14ac:dyDescent="0.2">
      <c r="A15" s="4"/>
      <c r="B15" s="4"/>
      <c r="C15" s="4" t="s">
        <v>116</v>
      </c>
      <c r="D15" s="123" t="s">
        <v>146</v>
      </c>
      <c r="H15" s="3" t="s">
        <v>179</v>
      </c>
      <c r="I15">
        <v>1</v>
      </c>
      <c r="K15" s="4"/>
      <c r="L15" s="4"/>
      <c r="M15" s="4"/>
      <c r="N15" s="169">
        <f>I15*(1+N14)</f>
        <v>1.032</v>
      </c>
      <c r="O15" s="169">
        <f>N15*(1+O14)</f>
        <v>1.063992</v>
      </c>
      <c r="P15" s="169">
        <f>O15*(1+P14)</f>
        <v>1.0959117600000001</v>
      </c>
      <c r="Q15" s="169">
        <f>P15*(1+Q14)</f>
        <v>1.1265972892800002</v>
      </c>
      <c r="R15" s="169">
        <f>Q15*(1+R14)</f>
        <v>1.1547622215120001</v>
      </c>
    </row>
    <row r="16" spans="1:20" x14ac:dyDescent="0.2">
      <c r="A16" s="4"/>
      <c r="B16" s="4"/>
      <c r="C16" s="84"/>
      <c r="D16" s="119"/>
      <c r="E16" s="4"/>
      <c r="F16" s="18"/>
      <c r="G16" s="4"/>
      <c r="H16" s="4"/>
      <c r="I16"/>
      <c r="J16"/>
      <c r="K16"/>
      <c r="L16"/>
      <c r="M16"/>
      <c r="N16" s="173"/>
      <c r="O16" s="173"/>
      <c r="P16" s="173"/>
      <c r="Q16" s="173"/>
      <c r="R16" s="173"/>
    </row>
    <row r="17" spans="1:20" x14ac:dyDescent="0.2">
      <c r="A17" s="4"/>
    </row>
    <row r="18" spans="1:20" ht="15" x14ac:dyDescent="0.25">
      <c r="A18" s="4"/>
      <c r="B18" s="75" t="s">
        <v>29</v>
      </c>
    </row>
    <row r="19" spans="1:20" x14ac:dyDescent="0.2">
      <c r="A19" s="4"/>
      <c r="B19" s="23"/>
      <c r="C19" s="4" t="s">
        <v>75</v>
      </c>
      <c r="D19" s="124" t="s">
        <v>145</v>
      </c>
      <c r="E19" s="4"/>
      <c r="F19" s="64"/>
      <c r="G19" s="4"/>
      <c r="H19" s="4"/>
      <c r="I19"/>
      <c r="J19"/>
      <c r="K19" s="186" cm="1">
        <f t="array" ref="K19:R19">Assumptions!K86:R86</f>
        <v>420000</v>
      </c>
      <c r="L19" s="186">
        <v>420000</v>
      </c>
      <c r="M19" s="186">
        <v>420000</v>
      </c>
      <c r="N19" s="186">
        <v>435000</v>
      </c>
      <c r="O19" s="186">
        <v>450000</v>
      </c>
      <c r="P19" s="186">
        <v>470000</v>
      </c>
      <c r="Q19" s="186">
        <v>480000</v>
      </c>
      <c r="R19" s="186">
        <v>510000</v>
      </c>
    </row>
    <row r="20" spans="1:20" x14ac:dyDescent="0.2">
      <c r="A20" s="4"/>
      <c r="B20" s="4"/>
      <c r="C20" s="4" t="s">
        <v>4</v>
      </c>
      <c r="D20" s="124" t="s">
        <v>123</v>
      </c>
      <c r="E20" s="4"/>
      <c r="F20" s="64"/>
      <c r="G20" s="4"/>
      <c r="H20" s="4"/>
      <c r="I20"/>
      <c r="J20"/>
      <c r="K20" s="4"/>
      <c r="L20" s="4"/>
      <c r="M20" s="4"/>
      <c r="N20" s="182" cm="1">
        <f t="array" ref="N20:R20">_xlfn.ANCHORARRAY(Scenarios!N12)</f>
        <v>0.03</v>
      </c>
      <c r="O20" s="182">
        <v>0.03</v>
      </c>
      <c r="P20" s="182">
        <v>0.04</v>
      </c>
      <c r="Q20" s="182">
        <v>0.05</v>
      </c>
      <c r="R20" s="182">
        <v>0.05</v>
      </c>
    </row>
    <row r="21" spans="1:20" x14ac:dyDescent="0.2">
      <c r="A21" s="4"/>
      <c r="B21" s="4"/>
      <c r="C21" s="4" t="s">
        <v>181</v>
      </c>
      <c r="D21" s="124" t="s">
        <v>146</v>
      </c>
      <c r="E21" s="4"/>
      <c r="F21" s="64"/>
      <c r="G21" s="4"/>
      <c r="H21" s="4"/>
      <c r="I21">
        <v>1</v>
      </c>
      <c r="J21"/>
      <c r="K21" s="4"/>
      <c r="L21" s="4"/>
      <c r="M21" s="4"/>
      <c r="N21" s="168">
        <f>I21*(1+N20)</f>
        <v>1.03</v>
      </c>
      <c r="O21" s="168">
        <f t="shared" ref="O21:R21" si="2">N21*(1+O20)</f>
        <v>1.0609</v>
      </c>
      <c r="P21" s="168">
        <f t="shared" si="2"/>
        <v>1.1033360000000001</v>
      </c>
      <c r="Q21" s="168">
        <f t="shared" si="2"/>
        <v>1.1585028000000002</v>
      </c>
      <c r="R21" s="168">
        <f t="shared" si="2"/>
        <v>1.2164279400000002</v>
      </c>
    </row>
    <row r="22" spans="1:20" ht="15" x14ac:dyDescent="0.25">
      <c r="A22" s="4"/>
      <c r="B22" s="4"/>
      <c r="C22" s="94" t="s">
        <v>76</v>
      </c>
      <c r="D22" s="125" t="s">
        <v>145</v>
      </c>
      <c r="E22" s="90"/>
      <c r="F22" s="89"/>
      <c r="G22" s="90"/>
      <c r="H22" s="92"/>
      <c r="I22" s="105">
        <f>Assumptions!M88</f>
        <v>420000</v>
      </c>
      <c r="J22"/>
      <c r="K22" s="4"/>
      <c r="L22" s="4"/>
      <c r="M22" s="4"/>
      <c r="N22" s="176">
        <f>MIN($I22*N21,N19)</f>
        <v>432600</v>
      </c>
      <c r="O22" s="176">
        <f>MIN(N22*O21,O19)</f>
        <v>450000</v>
      </c>
      <c r="P22" s="176">
        <f>MIN(O22*P21,P19)</f>
        <v>470000</v>
      </c>
      <c r="Q22" s="176">
        <f>MIN(P22*Q21,Q19)</f>
        <v>480000</v>
      </c>
      <c r="R22" s="176">
        <f>MIN(Q22*R21,R19)</f>
        <v>510000</v>
      </c>
    </row>
    <row r="23" spans="1:20" s="85" customFormat="1" x14ac:dyDescent="0.2">
      <c r="C23" s="85" t="s">
        <v>77</v>
      </c>
      <c r="D23" s="122"/>
      <c r="F23" s="86"/>
      <c r="I23"/>
      <c r="J23"/>
      <c r="K23"/>
      <c r="L23"/>
      <c r="M23"/>
      <c r="N23" s="170">
        <f>N22/N19</f>
        <v>0.99448275862068969</v>
      </c>
      <c r="O23" s="170">
        <f>O22/O19</f>
        <v>1</v>
      </c>
      <c r="P23" s="170">
        <f>P22/P19</f>
        <v>1</v>
      </c>
      <c r="Q23" s="170">
        <f>Q22/Q19</f>
        <v>1</v>
      </c>
      <c r="R23" s="170">
        <f>R22/R19</f>
        <v>1</v>
      </c>
    </row>
    <row r="24" spans="1:20" x14ac:dyDescent="0.2">
      <c r="A24" s="4"/>
      <c r="B24" s="4"/>
      <c r="C24" s="4"/>
      <c r="D24" s="119"/>
      <c r="E24" s="4"/>
      <c r="F24" s="18"/>
      <c r="G24" s="4"/>
      <c r="H24" s="4"/>
      <c r="I24"/>
      <c r="J24"/>
      <c r="K24"/>
      <c r="L24"/>
      <c r="M24"/>
      <c r="N24" s="167"/>
      <c r="O24" s="167"/>
      <c r="P24" s="167"/>
      <c r="Q24" s="167"/>
      <c r="R24" s="167"/>
    </row>
    <row r="25" spans="1:20" ht="15" x14ac:dyDescent="0.25">
      <c r="A25" s="4"/>
      <c r="B25" s="75" t="s">
        <v>30</v>
      </c>
      <c r="C25" s="4"/>
      <c r="D25" s="119"/>
      <c r="E25" s="4"/>
      <c r="F25" s="18"/>
      <c r="G25" s="4"/>
      <c r="H25" s="4"/>
      <c r="I25"/>
      <c r="J25"/>
      <c r="K25"/>
      <c r="L25"/>
      <c r="M25"/>
      <c r="N25"/>
      <c r="O25"/>
      <c r="P25"/>
      <c r="Q25"/>
      <c r="R25"/>
    </row>
    <row r="26" spans="1:20" ht="15" x14ac:dyDescent="0.25">
      <c r="A26" s="35"/>
      <c r="B26" s="4"/>
      <c r="C26" s="28" t="s">
        <v>31</v>
      </c>
      <c r="D26" s="124" t="s">
        <v>126</v>
      </c>
      <c r="E26" s="4"/>
      <c r="F26" s="18"/>
      <c r="G26" s="4"/>
      <c r="H26" s="4"/>
      <c r="I26"/>
      <c r="J26"/>
      <c r="K26" s="183" cm="1">
        <f t="array" ref="K26:M26">Assumptions!K17:M17</f>
        <v>322.72779678589939</v>
      </c>
      <c r="L26" s="183">
        <v>325.46609324347673</v>
      </c>
      <c r="M26" s="183">
        <v>315</v>
      </c>
      <c r="N26" s="178">
        <f>(N22*N13)/1000000</f>
        <v>337.428</v>
      </c>
      <c r="O26" s="178">
        <f t="shared" ref="O26:Q26" si="3">(O22*O13)/1000000</f>
        <v>365.74200000000002</v>
      </c>
      <c r="P26" s="178">
        <f t="shared" si="3"/>
        <v>399.18707399999994</v>
      </c>
      <c r="Q26" s="178">
        <f t="shared" si="3"/>
        <v>423.17227180799995</v>
      </c>
      <c r="R26" s="178">
        <f>(R22*R13)/1000000</f>
        <v>463.10915495988002</v>
      </c>
    </row>
    <row r="27" spans="1:20" ht="15.75" x14ac:dyDescent="0.25">
      <c r="A27" s="4"/>
      <c r="B27" s="4"/>
      <c r="C27" s="17" t="s">
        <v>32</v>
      </c>
      <c r="D27" s="124" t="s">
        <v>126</v>
      </c>
      <c r="E27" s="4"/>
      <c r="F27" s="18"/>
      <c r="G27" s="4"/>
      <c r="H27" s="4"/>
      <c r="I27"/>
      <c r="J27"/>
      <c r="K27" s="183" cm="1">
        <f t="array" ref="K27:M27">0-Assumptions!K18:M18</f>
        <v>-41.512887245038897</v>
      </c>
      <c r="L27" s="183">
        <v>-44.252737803211403</v>
      </c>
      <c r="M27" s="187">
        <v>-46.827129509999999</v>
      </c>
      <c r="N27" s="177">
        <f>M27*(1+N14)</f>
        <v>-48.325597654319999</v>
      </c>
      <c r="O27" s="177">
        <f t="shared" ref="O27:R27" si="4">N27*(1+O14)</f>
        <v>-49.823691181603913</v>
      </c>
      <c r="P27" s="177">
        <f t="shared" si="4"/>
        <v>-51.318401917052029</v>
      </c>
      <c r="Q27" s="177">
        <f t="shared" si="4"/>
        <v>-52.755317170729484</v>
      </c>
      <c r="R27" s="177">
        <f t="shared" si="4"/>
        <v>-54.074200099997718</v>
      </c>
      <c r="S27" s="195"/>
      <c r="T27" s="195"/>
    </row>
    <row r="28" spans="1:20" x14ac:dyDescent="0.2">
      <c r="A28" s="4"/>
      <c r="B28" s="4"/>
      <c r="C28" s="94" t="s">
        <v>1</v>
      </c>
      <c r="D28" s="125" t="s">
        <v>126</v>
      </c>
      <c r="E28" s="90"/>
      <c r="F28" s="97"/>
      <c r="G28" s="90"/>
      <c r="H28" s="90"/>
      <c r="I28"/>
      <c r="J28"/>
      <c r="K28" s="179">
        <f t="shared" ref="K28:M28" si="5">SUM(K26:K27)</f>
        <v>281.2149095408605</v>
      </c>
      <c r="L28" s="179">
        <f t="shared" si="5"/>
        <v>281.21335544026533</v>
      </c>
      <c r="M28" s="179">
        <f t="shared" si="5"/>
        <v>268.17287048999998</v>
      </c>
      <c r="N28" s="179">
        <f>N26+N27</f>
        <v>289.10240234567999</v>
      </c>
      <c r="O28" s="179">
        <f>O26+O27</f>
        <v>315.9183088183961</v>
      </c>
      <c r="P28" s="179">
        <f>P26+P27</f>
        <v>347.86867208294791</v>
      </c>
      <c r="Q28" s="179">
        <f>Q26+Q27</f>
        <v>370.41695463727046</v>
      </c>
      <c r="R28" s="179">
        <f>R26+R27</f>
        <v>409.0349548598823</v>
      </c>
    </row>
    <row r="29" spans="1:20" x14ac:dyDescent="0.2">
      <c r="A29" s="4"/>
      <c r="B29" s="4"/>
      <c r="C29" s="4"/>
      <c r="D29" s="119"/>
      <c r="E29" s="4"/>
      <c r="F29" s="11"/>
      <c r="G29" s="4"/>
      <c r="H29" s="4"/>
      <c r="I29"/>
      <c r="J29"/>
      <c r="K29"/>
      <c r="L29"/>
      <c r="M29"/>
      <c r="N29"/>
      <c r="O29"/>
      <c r="P29"/>
      <c r="Q29"/>
      <c r="R29"/>
    </row>
    <row r="30" spans="1:20" s="66" customFormat="1" ht="16.5" thickBot="1" x14ac:dyDescent="0.3">
      <c r="A30" s="74" t="s">
        <v>149</v>
      </c>
      <c r="B30" s="74"/>
      <c r="D30" s="134"/>
      <c r="N30" s="196"/>
      <c r="O30" s="196"/>
      <c r="P30" s="196"/>
      <c r="Q30" s="196"/>
      <c r="R30" s="196"/>
    </row>
    <row r="31" spans="1:20" x14ac:dyDescent="0.2"/>
    <row r="32" spans="1:20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spans="1:18" x14ac:dyDescent="0.2"/>
    <row r="50" spans="1:18" x14ac:dyDescent="0.2">
      <c r="A50" s="1"/>
      <c r="B50" s="1"/>
      <c r="C50" s="1"/>
      <c r="D50" s="119"/>
      <c r="E50" s="1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/>
    <row r="52" spans="1:18" x14ac:dyDescent="0.2"/>
    <row r="53" spans="1:18" x14ac:dyDescent="0.2"/>
    <row r="54" spans="1:18" x14ac:dyDescent="0.2"/>
    <row r="55" spans="1:18" x14ac:dyDescent="0.2"/>
    <row r="56" spans="1:18" x14ac:dyDescent="0.2"/>
    <row r="57" spans="1:18" x14ac:dyDescent="0.2"/>
    <row r="58" spans="1:18" x14ac:dyDescent="0.2"/>
  </sheetData>
  <conditionalFormatting sqref="K12:M12">
    <cfRule type="containsBlanks" dxfId="22" priority="2">
      <formula>LEN(TRIM(K12))=0</formula>
    </cfRule>
  </conditionalFormatting>
  <conditionalFormatting sqref="K14:M15">
    <cfRule type="containsBlanks" dxfId="21" priority="3">
      <formula>LEN(TRIM(K14))=0</formula>
    </cfRule>
  </conditionalFormatting>
  <conditionalFormatting sqref="K20:M22">
    <cfRule type="containsBlanks" dxfId="20" priority="1">
      <formula>LEN(TRIM(K20))=0</formula>
    </cfRule>
  </conditionalFormatting>
  <conditionalFormatting sqref="K6:R7">
    <cfRule type="cellIs" dxfId="19" priority="11" operator="equal">
      <formula>TRUE</formula>
    </cfRule>
  </conditionalFormatting>
  <pageMargins left="0.7" right="0.7" top="0.75" bottom="0.75" header="0.3" footer="0.3"/>
  <pageSetup paperSize="9" scale="73" orientation="portrait" r:id="rId1"/>
  <headerFooter>
    <oddHeader>&amp;LFinancial Metrics for Decision Making 25624</oddHeader>
    <oddFooter>&amp;L&amp;F&amp;R&amp;A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E077-4A76-4D16-ABF1-7E7541FD672F}">
  <dimension ref="A1:T62"/>
  <sheetViews>
    <sheetView showGridLines="0" zoomScale="85" zoomScaleNormal="85" workbookViewId="0">
      <pane xSplit="10" ySplit="9" topLeftCell="K10" activePane="bottomRight" state="frozen"/>
      <selection activeCell="R1" sqref="R1"/>
      <selection pane="topRight" activeCell="R1" sqref="R1"/>
      <selection pane="bottomLeft" activeCell="R1" sqref="R1"/>
      <selection pane="bottomRight" activeCell="J38" sqref="J38"/>
    </sheetView>
  </sheetViews>
  <sheetFormatPr defaultColWidth="0" defaultRowHeight="12.75" zeroHeight="1" x14ac:dyDescent="0.2"/>
  <cols>
    <col min="1" max="1" width="1.5703125" style="3" customWidth="1"/>
    <col min="2" max="2" width="2" style="3" customWidth="1"/>
    <col min="3" max="3" width="50.140625" style="3" customWidth="1"/>
    <col min="4" max="4" width="5.140625" style="123" customWidth="1"/>
    <col min="5" max="5" width="1.7109375" style="3" customWidth="1"/>
    <col min="6" max="6" width="1.28515625" style="3" customWidth="1"/>
    <col min="7" max="7" width="1.5703125" style="3" customWidth="1"/>
    <col min="8" max="8" width="20.85546875" style="3" bestFit="1" customWidth="1"/>
    <col min="9" max="9" width="9.5703125" style="3" customWidth="1"/>
    <col min="10" max="13" width="10.7109375" style="3" customWidth="1"/>
    <col min="14" max="14" width="13.5703125" style="3" customWidth="1"/>
    <col min="15" max="15" width="15.42578125" style="3" bestFit="1" customWidth="1"/>
    <col min="16" max="17" width="11.42578125" style="3" bestFit="1" customWidth="1"/>
    <col min="18" max="18" width="13.42578125" style="3" customWidth="1"/>
    <col min="19" max="19" width="2.7109375" style="3" customWidth="1"/>
    <col min="20" max="20" width="2" style="3" customWidth="1"/>
    <col min="21" max="16384" width="9.140625" style="3" hidden="1"/>
  </cols>
  <sheetData>
    <row r="1" spans="1:20" ht="12.75" customHeight="1" x14ac:dyDescent="0.35">
      <c r="A1" s="29"/>
      <c r="B1" s="15"/>
      <c r="C1" s="16"/>
      <c r="D1" s="120"/>
      <c r="E1" s="16"/>
      <c r="F1" s="30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9" t="str">
        <f>"CURRENTLY RUNNING | "&amp;Scenarios!$R$1</f>
        <v>CURRENTLY RUNNING | Base Case</v>
      </c>
      <c r="S1" s="4"/>
      <c r="T1" s="15"/>
    </row>
    <row r="2" spans="1:20" s="62" customFormat="1" ht="16.5" thickBot="1" x14ac:dyDescent="0.3">
      <c r="A2" s="58">
        <f>Cover!B12</f>
        <v>0</v>
      </c>
      <c r="C2" s="59"/>
      <c r="D2" s="133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  <c r="T2" s="61"/>
    </row>
    <row r="3" spans="1:20" customFormat="1" ht="13.5" thickTop="1" x14ac:dyDescent="0.2"/>
    <row r="4" spans="1:20" customFormat="1" x14ac:dyDescent="0.2"/>
    <row r="5" spans="1:20" customFormat="1" x14ac:dyDescent="0.2">
      <c r="C5" s="166" t="s">
        <v>176</v>
      </c>
      <c r="K5" s="4">
        <v>2022</v>
      </c>
      <c r="L5" s="4">
        <v>2023</v>
      </c>
      <c r="M5" s="4">
        <v>2024</v>
      </c>
      <c r="N5" s="4">
        <v>2025</v>
      </c>
      <c r="O5" s="4">
        <v>2026</v>
      </c>
      <c r="P5" s="4">
        <v>2027</v>
      </c>
      <c r="Q5" s="4">
        <v>2028</v>
      </c>
      <c r="R5" s="4">
        <v>2029</v>
      </c>
    </row>
    <row r="6" spans="1:20" customFormat="1" x14ac:dyDescent="0.2">
      <c r="C6" s="4" t="s">
        <v>177</v>
      </c>
      <c r="K6" s="3" t="b" cm="1">
        <f t="array" ref="K6">K5&lt;Forecast.start</f>
        <v>1</v>
      </c>
      <c r="L6" s="3" t="b" cm="1">
        <f t="array" ref="L6">L5&lt;Forecast.start</f>
        <v>1</v>
      </c>
      <c r="M6" s="3" t="b" cm="1">
        <f t="array" ref="M6">M5&lt;Forecast.start</f>
        <v>1</v>
      </c>
      <c r="N6" s="3" t="b" cm="1">
        <f t="array" ref="N6">N5&lt;Forecast.start</f>
        <v>0</v>
      </c>
      <c r="O6" s="3" t="b" cm="1">
        <f t="array" ref="O6">O5&lt;Forecast.start</f>
        <v>0</v>
      </c>
      <c r="P6" s="3" t="b" cm="1">
        <f t="array" ref="P6">P5&lt;Forecast.start</f>
        <v>0</v>
      </c>
      <c r="Q6" s="3" t="b" cm="1">
        <f t="array" ref="Q6">Q5&lt;Forecast.start</f>
        <v>0</v>
      </c>
      <c r="R6" s="3" t="b" cm="1">
        <f t="array" ref="R6">R5&lt;Forecast.start</f>
        <v>0</v>
      </c>
    </row>
    <row r="7" spans="1:20" customFormat="1" x14ac:dyDescent="0.2">
      <c r="C7" s="4" t="s">
        <v>178</v>
      </c>
      <c r="K7" t="b">
        <f>NOT(K6)</f>
        <v>0</v>
      </c>
      <c r="L7" t="b">
        <f t="shared" ref="L7:R7" si="0">NOT(L6)</f>
        <v>0</v>
      </c>
      <c r="M7" t="b">
        <f t="shared" si="0"/>
        <v>0</v>
      </c>
      <c r="N7" t="b">
        <f t="shared" si="0"/>
        <v>1</v>
      </c>
      <c r="O7" t="b">
        <f t="shared" si="0"/>
        <v>1</v>
      </c>
      <c r="P7" t="b">
        <f t="shared" si="0"/>
        <v>1</v>
      </c>
      <c r="Q7" t="b">
        <f t="shared" si="0"/>
        <v>1</v>
      </c>
      <c r="R7" t="b">
        <f t="shared" si="0"/>
        <v>1</v>
      </c>
    </row>
    <row r="8" spans="1:20" x14ac:dyDescent="0.2">
      <c r="A8" s="4"/>
      <c r="B8" s="4"/>
      <c r="C8" s="4"/>
      <c r="D8" s="119"/>
      <c r="E8" s="4"/>
      <c r="F8" s="11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</row>
    <row r="9" spans="1:20" s="131" customFormat="1" ht="15.75" x14ac:dyDescent="0.25">
      <c r="A9" s="124" t="s">
        <v>105</v>
      </c>
      <c r="B9" s="130"/>
      <c r="D9" s="124" t="s">
        <v>106</v>
      </c>
      <c r="H9" s="124" t="s">
        <v>107</v>
      </c>
      <c r="I9" s="132" t="s">
        <v>122</v>
      </c>
    </row>
    <row r="10" spans="1:20" s="66" customFormat="1" ht="16.5" thickBot="1" x14ac:dyDescent="0.3">
      <c r="A10" s="74" t="s">
        <v>148</v>
      </c>
      <c r="B10" s="74"/>
      <c r="D10" s="134"/>
      <c r="P10" s="67"/>
      <c r="Q10" s="68"/>
    </row>
    <row r="11" spans="1:20" ht="15" x14ac:dyDescent="0.25">
      <c r="A11" s="35"/>
      <c r="B11" s="75" t="s">
        <v>78</v>
      </c>
      <c r="C11" s="4"/>
      <c r="E11" s="4"/>
      <c r="F11" s="1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0" x14ac:dyDescent="0.2">
      <c r="A12" s="4"/>
      <c r="C12" s="4" t="s">
        <v>115</v>
      </c>
      <c r="D12" s="124" t="s">
        <v>123</v>
      </c>
      <c r="E12" s="4"/>
      <c r="F12" s="18"/>
      <c r="G12" s="32"/>
      <c r="H12" s="32"/>
      <c r="I12"/>
      <c r="J12"/>
      <c r="K12" s="4"/>
      <c r="L12" s="4"/>
      <c r="M12" s="4"/>
      <c r="N12" s="182" cm="1">
        <f t="array" ref="N12:R12">Scenarios!N10:R10</f>
        <v>3.2000000000000001E-2</v>
      </c>
      <c r="O12" s="182">
        <v>3.1E-2</v>
      </c>
      <c r="P12" s="182">
        <v>0.03</v>
      </c>
      <c r="Q12" s="182">
        <v>2.8000000000000001E-2</v>
      </c>
      <c r="R12" s="182">
        <v>2.5000000000000001E-2</v>
      </c>
    </row>
    <row r="13" spans="1:20" x14ac:dyDescent="0.2">
      <c r="A13" s="4"/>
      <c r="C13" s="4" t="s">
        <v>76</v>
      </c>
      <c r="D13" s="124" t="s">
        <v>145</v>
      </c>
      <c r="E13" s="4"/>
      <c r="F13" s="18"/>
      <c r="G13" s="32"/>
      <c r="H13" s="32"/>
      <c r="I13"/>
      <c r="J13"/>
      <c r="K13"/>
      <c r="L13"/>
      <c r="M13"/>
      <c r="N13" s="105">
        <f>Revenue!N22</f>
        <v>432600</v>
      </c>
      <c r="O13" s="105">
        <f>Revenue!O22</f>
        <v>450000</v>
      </c>
      <c r="P13" s="105">
        <f>Revenue!P22</f>
        <v>470000</v>
      </c>
      <c r="Q13" s="105">
        <f>Revenue!Q22</f>
        <v>480000</v>
      </c>
      <c r="R13" s="105">
        <f>Revenue!R22</f>
        <v>510000</v>
      </c>
    </row>
    <row r="14" spans="1:20" ht="15" x14ac:dyDescent="0.25">
      <c r="A14" s="4"/>
      <c r="C14" s="17" t="str">
        <f>Assumptions!C96</f>
        <v>Raw Materials</v>
      </c>
      <c r="D14" s="124" t="s">
        <v>119</v>
      </c>
      <c r="E14" s="4"/>
      <c r="F14" s="11"/>
      <c r="G14" s="4"/>
      <c r="H14"/>
      <c r="I14"/>
      <c r="J14"/>
      <c r="K14" s="183" cm="1">
        <f t="array" ref="K14:M15">Assumptions!K96:M97</f>
        <v>235.13040000000001</v>
      </c>
      <c r="L14" s="183">
        <v>241.00865999999996</v>
      </c>
      <c r="M14" s="183">
        <v>247.03387649999996</v>
      </c>
      <c r="N14" s="178">
        <f>M14*(1+N12)</f>
        <v>254.93896054799995</v>
      </c>
      <c r="O14" s="178">
        <f>N14*(1+O12)</f>
        <v>262.84206832498791</v>
      </c>
      <c r="P14" s="178">
        <f>O14*(1+P12)</f>
        <v>270.72733037473756</v>
      </c>
      <c r="Q14" s="178">
        <f>P14*(1+Q12)</f>
        <v>278.30769562523022</v>
      </c>
      <c r="R14" s="178">
        <f>Q14*(1+R12)</f>
        <v>285.26538801586094</v>
      </c>
    </row>
    <row r="15" spans="1:20" ht="15" x14ac:dyDescent="0.25">
      <c r="A15" s="4"/>
      <c r="B15" s="4"/>
      <c r="C15" s="17" t="str">
        <f>Assumptions!C97</f>
        <v>Utilities</v>
      </c>
      <c r="D15" s="124" t="s">
        <v>119</v>
      </c>
      <c r="E15" s="4"/>
      <c r="F15" s="11"/>
      <c r="G15" s="4"/>
      <c r="H15"/>
      <c r="I15"/>
      <c r="J15"/>
      <c r="K15" s="183">
        <v>68.874480000000005</v>
      </c>
      <c r="L15" s="183">
        <v>70.596341999999993</v>
      </c>
      <c r="M15" s="183">
        <v>72.361250549999994</v>
      </c>
      <c r="N15" s="178">
        <f>M15*(1+N$12)</f>
        <v>74.6768105676</v>
      </c>
      <c r="O15" s="178">
        <f>N15*(1+O$12)</f>
        <v>76.991791695195587</v>
      </c>
      <c r="P15" s="178">
        <f>O15*(1+P$12)</f>
        <v>79.301545446051463</v>
      </c>
      <c r="Q15" s="178">
        <f>P15*(1+Q$12)</f>
        <v>81.521988718540911</v>
      </c>
      <c r="R15" s="178">
        <f>Q15*(1+R$12)</f>
        <v>83.560038436504428</v>
      </c>
    </row>
    <row r="16" spans="1:20" x14ac:dyDescent="0.2">
      <c r="A16" s="4"/>
      <c r="B16" s="4"/>
      <c r="C16" s="94" t="s">
        <v>79</v>
      </c>
      <c r="D16" s="125" t="s">
        <v>119</v>
      </c>
      <c r="E16" s="90"/>
      <c r="F16" s="95"/>
      <c r="G16" s="90"/>
      <c r="H16" s="90"/>
      <c r="I16"/>
      <c r="J16"/>
      <c r="K16" s="172">
        <f t="shared" ref="K16:R16" si="1">SUM(K14:K15)</f>
        <v>304.00488000000001</v>
      </c>
      <c r="L16" s="172">
        <f t="shared" si="1"/>
        <v>311.60500199999996</v>
      </c>
      <c r="M16" s="172">
        <f t="shared" si="1"/>
        <v>319.39512704999993</v>
      </c>
      <c r="N16" s="172">
        <f t="shared" si="1"/>
        <v>329.61577111559996</v>
      </c>
      <c r="O16" s="172">
        <f t="shared" si="1"/>
        <v>339.83386002018347</v>
      </c>
      <c r="P16" s="172">
        <f t="shared" si="1"/>
        <v>350.02887582078904</v>
      </c>
      <c r="Q16" s="172">
        <f t="shared" si="1"/>
        <v>359.82968434377113</v>
      </c>
      <c r="R16" s="172">
        <f t="shared" si="1"/>
        <v>368.82542645236538</v>
      </c>
    </row>
    <row r="17" spans="1:18" x14ac:dyDescent="0.2">
      <c r="A17" s="4"/>
      <c r="B17" s="4"/>
      <c r="C17" s="17"/>
      <c r="E17" s="4"/>
      <c r="F17" s="11"/>
      <c r="G17" s="4"/>
      <c r="H17" s="4"/>
      <c r="I17"/>
      <c r="J17"/>
      <c r="K17"/>
      <c r="L17"/>
      <c r="M17"/>
      <c r="N17"/>
      <c r="O17"/>
      <c r="P17"/>
      <c r="Q17"/>
      <c r="R17"/>
    </row>
    <row r="18" spans="1:18" x14ac:dyDescent="0.2">
      <c r="A18" s="4"/>
      <c r="B18" s="4"/>
      <c r="C18" s="94" t="s">
        <v>79</v>
      </c>
      <c r="D18" s="125" t="s">
        <v>126</v>
      </c>
      <c r="E18" s="90"/>
      <c r="F18" s="95"/>
      <c r="G18" s="90"/>
      <c r="H18" s="90"/>
      <c r="I18"/>
      <c r="J18"/>
      <c r="K18" s="4"/>
      <c r="L18" s="4"/>
      <c r="M18" s="4"/>
      <c r="N18" s="172">
        <f>N16*N13/1000000</f>
        <v>142.59178258460855</v>
      </c>
      <c r="O18" s="172">
        <f t="shared" ref="O18:Q18" si="2">O16*O13/1000000</f>
        <v>152.92523700908257</v>
      </c>
      <c r="P18" s="172">
        <f t="shared" si="2"/>
        <v>164.51357163577086</v>
      </c>
      <c r="Q18" s="172">
        <f t="shared" si="2"/>
        <v>172.71824848501015</v>
      </c>
      <c r="R18" s="172">
        <f>R16*R13/1000000</f>
        <v>188.10096749070635</v>
      </c>
    </row>
    <row r="19" spans="1:18" x14ac:dyDescent="0.2">
      <c r="A19" s="4"/>
      <c r="B19" s="4"/>
      <c r="C19" s="17"/>
      <c r="E19" s="4"/>
      <c r="F19" s="11"/>
      <c r="G19" s="4"/>
      <c r="H19" s="4"/>
      <c r="I19"/>
      <c r="J19"/>
      <c r="K19"/>
      <c r="L19"/>
      <c r="M19"/>
      <c r="N19"/>
      <c r="O19"/>
      <c r="P19"/>
      <c r="Q19"/>
      <c r="R19"/>
    </row>
    <row r="20" spans="1:18" ht="15" x14ac:dyDescent="0.25">
      <c r="A20" s="4"/>
      <c r="B20" s="4"/>
      <c r="C20" s="17"/>
      <c r="E20" s="4"/>
      <c r="F20" s="11"/>
      <c r="G20" s="4"/>
      <c r="H20" s="4"/>
      <c r="I20"/>
      <c r="J20"/>
      <c r="K20" s="183" cm="1">
        <f t="array" ref="K20:L22">Assumptions!K100:L102</f>
        <v>24.449400000000001</v>
      </c>
      <c r="L20" s="183">
        <v>25.060634999999998</v>
      </c>
      <c r="M20" s="183" cm="1">
        <f t="array" ref="M20:M22">Assumptions!M100:M102</f>
        <v>25.687150874999997</v>
      </c>
      <c r="N20" s="178">
        <f>M20*(1+N$12)</f>
        <v>26.509139702999999</v>
      </c>
      <c r="O20" s="178">
        <f>N20*(1+O$12)</f>
        <v>27.330923033792995</v>
      </c>
      <c r="P20" s="178">
        <f>O20*(1+P$12)</f>
        <v>28.150850724806787</v>
      </c>
      <c r="Q20" s="178">
        <f>P20*(1+Q$12)</f>
        <v>28.939074545101377</v>
      </c>
      <c r="R20" s="178">
        <f>Q20*(1+R$12)</f>
        <v>29.662551408728909</v>
      </c>
    </row>
    <row r="21" spans="1:18" ht="15" x14ac:dyDescent="0.25">
      <c r="A21" s="4"/>
      <c r="B21" s="75" t="s">
        <v>80</v>
      </c>
      <c r="C21" s="17" t="str">
        <f>Assumptions!C100</f>
        <v>Rent</v>
      </c>
      <c r="D21" s="124" t="s">
        <v>126</v>
      </c>
      <c r="E21" s="4"/>
      <c r="F21" s="11"/>
      <c r="G21" s="4"/>
      <c r="H21"/>
      <c r="I21"/>
      <c r="J21"/>
      <c r="K21" s="183">
        <v>45.257399999999997</v>
      </c>
      <c r="L21" s="183">
        <v>46.388834999999993</v>
      </c>
      <c r="M21" s="183">
        <v>47.548555874999991</v>
      </c>
      <c r="N21" s="178">
        <f>M21*(1+N$12)</f>
        <v>49.07010966299999</v>
      </c>
      <c r="O21" s="178">
        <f>N21*(1+O$12)</f>
        <v>50.591283062552982</v>
      </c>
      <c r="P21" s="178">
        <f>O21*(1+P$12)</f>
        <v>52.109021554429575</v>
      </c>
      <c r="Q21" s="178">
        <f>P21*(1+Q$12)</f>
        <v>53.568074157953603</v>
      </c>
      <c r="R21" s="178">
        <f>Q21*(1+R$12)</f>
        <v>54.907276011902439</v>
      </c>
    </row>
    <row r="22" spans="1:18" ht="15" x14ac:dyDescent="0.25">
      <c r="A22" s="4"/>
      <c r="B22" s="75"/>
      <c r="C22" s="17" t="str">
        <f>Assumptions!C101</f>
        <v>Operating Labour</v>
      </c>
      <c r="D22" s="124" t="s">
        <v>126</v>
      </c>
      <c r="E22" s="4"/>
      <c r="F22" s="11"/>
      <c r="G22" s="4"/>
      <c r="H22"/>
      <c r="I22"/>
      <c r="J22"/>
      <c r="K22" s="183">
        <v>2.0808</v>
      </c>
      <c r="L22" s="183">
        <v>2.1328199999999997</v>
      </c>
      <c r="M22" s="183">
        <v>2.1861404999999996</v>
      </c>
      <c r="N22" s="178">
        <f>M22*(1+N$12)</f>
        <v>2.2560969959999997</v>
      </c>
      <c r="O22" s="178">
        <f>N22*(1+O12)</f>
        <v>2.3260360028759997</v>
      </c>
      <c r="P22" s="178">
        <f>O22*(1+P12)</f>
        <v>2.3958170829622798</v>
      </c>
      <c r="Q22" s="178">
        <f>P22*(1+Q12)</f>
        <v>2.4628999612852236</v>
      </c>
      <c r="R22" s="178">
        <f>Q22*(1+R12)</f>
        <v>2.5244724603173538</v>
      </c>
    </row>
    <row r="23" spans="1:18" ht="15" x14ac:dyDescent="0.25">
      <c r="A23" s="4"/>
      <c r="B23" s="75"/>
      <c r="C23" s="4" t="s">
        <v>13</v>
      </c>
      <c r="D23" s="124" t="s">
        <v>126</v>
      </c>
      <c r="E23" s="4"/>
      <c r="F23" s="11"/>
      <c r="G23" s="4"/>
      <c r="H23"/>
      <c r="I23"/>
      <c r="J23"/>
      <c r="K23"/>
      <c r="L23"/>
      <c r="M23"/>
      <c r="N23" s="173">
        <f>SUM(N20:N22)</f>
        <v>77.835346361999981</v>
      </c>
      <c r="O23" s="173">
        <f t="shared" ref="O23:R23" si="3">SUM(O20:O22)</f>
        <v>80.248242099221969</v>
      </c>
      <c r="P23" s="173">
        <f t="shared" si="3"/>
        <v>82.655689362198643</v>
      </c>
      <c r="Q23" s="173">
        <f t="shared" si="3"/>
        <v>84.970048664340197</v>
      </c>
      <c r="R23" s="173">
        <f t="shared" si="3"/>
        <v>87.094299880948711</v>
      </c>
    </row>
    <row r="24" spans="1:18" ht="15" x14ac:dyDescent="0.25">
      <c r="A24" s="4"/>
      <c r="B24" s="75"/>
      <c r="C24" s="94" t="s">
        <v>81</v>
      </c>
      <c r="D24" s="125" t="s">
        <v>126</v>
      </c>
      <c r="E24" s="90"/>
      <c r="F24" s="95"/>
      <c r="G24" s="90"/>
      <c r="H24" s="90"/>
      <c r="I24"/>
      <c r="J24"/>
      <c r="K24"/>
      <c r="L24"/>
      <c r="M24"/>
      <c r="N24"/>
      <c r="O24"/>
      <c r="P24"/>
      <c r="Q24"/>
      <c r="R24"/>
    </row>
    <row r="25" spans="1:18" x14ac:dyDescent="0.2">
      <c r="A25" s="4"/>
      <c r="B25" s="4"/>
      <c r="C25" s="12"/>
      <c r="D25" s="119"/>
      <c r="E25" s="4"/>
      <c r="F25" s="13"/>
      <c r="G25" s="4"/>
      <c r="H25" s="4"/>
      <c r="I25"/>
      <c r="J25"/>
      <c r="K25"/>
      <c r="L25"/>
      <c r="M25"/>
      <c r="N25"/>
      <c r="O25"/>
      <c r="P25"/>
      <c r="Q25"/>
      <c r="R25"/>
    </row>
    <row r="26" spans="1:18" ht="15" x14ac:dyDescent="0.25">
      <c r="A26" s="4"/>
      <c r="B26" s="75"/>
      <c r="C26" s="94" t="s">
        <v>147</v>
      </c>
      <c r="D26" s="125" t="s">
        <v>126</v>
      </c>
      <c r="E26" s="90"/>
      <c r="F26" s="95"/>
      <c r="G26" s="90"/>
      <c r="H26" s="90"/>
      <c r="I26"/>
      <c r="J26"/>
      <c r="K26" s="183" cm="1">
        <f t="array" ref="K26:M26">Assumptions!K20:M20</f>
        <v>190.709812284317</v>
      </c>
      <c r="L26" s="183">
        <v>200.35336829508199</v>
      </c>
      <c r="M26" s="183">
        <v>209.567800611</v>
      </c>
      <c r="N26" s="172">
        <f>N23+N18</f>
        <v>220.42712894660855</v>
      </c>
      <c r="O26" s="172">
        <f t="shared" ref="O26:Q26" si="4">O23+O18</f>
        <v>233.17347910830455</v>
      </c>
      <c r="P26" s="172">
        <f t="shared" si="4"/>
        <v>247.1692609979695</v>
      </c>
      <c r="Q26" s="172">
        <f t="shared" si="4"/>
        <v>257.68829714935032</v>
      </c>
      <c r="R26" s="172">
        <f>R23+R18</f>
        <v>275.19526737165506</v>
      </c>
    </row>
    <row r="27" spans="1:18" ht="15" x14ac:dyDescent="0.25">
      <c r="A27" s="4"/>
      <c r="B27" s="75"/>
      <c r="C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customFormat="1" x14ac:dyDescent="0.2">
      <c r="C28" s="4"/>
      <c r="D28" s="123"/>
      <c r="O28" s="175"/>
      <c r="P28" s="175"/>
      <c r="Q28" s="175"/>
      <c r="R28" s="175"/>
    </row>
    <row r="29" spans="1:18" customFormat="1" ht="15" x14ac:dyDescent="0.25">
      <c r="B29" s="75" t="s">
        <v>14</v>
      </c>
      <c r="C29" s="70" t="s">
        <v>156</v>
      </c>
      <c r="D29" s="128" t="s">
        <v>123</v>
      </c>
      <c r="K29" s="4"/>
      <c r="L29" s="4"/>
      <c r="M29" s="4"/>
      <c r="N29" s="184" cm="1">
        <f t="array" ref="N29:R29">Assumptions!N105:R105</f>
        <v>1.2999999999999999E-2</v>
      </c>
      <c r="O29" s="184">
        <v>1.4E-2</v>
      </c>
      <c r="P29" s="184">
        <v>1.35E-2</v>
      </c>
      <c r="Q29" s="184">
        <v>1.4200000000000001E-2</v>
      </c>
      <c r="R29" s="184">
        <v>1.38E-2</v>
      </c>
    </row>
    <row r="30" spans="1:18" customFormat="1" ht="15" x14ac:dyDescent="0.25">
      <c r="B30" s="75"/>
      <c r="C30" s="88" t="s">
        <v>14</v>
      </c>
      <c r="D30" s="125" t="s">
        <v>126</v>
      </c>
      <c r="E30" s="90"/>
      <c r="F30" s="91"/>
      <c r="G30" s="90"/>
      <c r="H30" s="90"/>
      <c r="K30" s="181" cm="1">
        <f t="array" ref="K30:L30">Assumptions!K21:L21</f>
        <v>4.0575599999999996</v>
      </c>
      <c r="L30" s="181">
        <v>4.1589989999999997</v>
      </c>
      <c r="M30" s="183">
        <f>Assumptions!M21</f>
        <v>4.2629739750000004</v>
      </c>
      <c r="N30" s="177">
        <f>Revenue!N26*N29</f>
        <v>4.3865639999999999</v>
      </c>
      <c r="O30" s="177">
        <f>Revenue!O26*O29</f>
        <v>5.1203880000000002</v>
      </c>
      <c r="P30" s="177">
        <f>Revenue!P26*P29</f>
        <v>5.3890254989999988</v>
      </c>
      <c r="Q30" s="177">
        <f>Revenue!Q26*Q29</f>
        <v>6.0090462596735996</v>
      </c>
      <c r="R30" s="177">
        <f>Revenue!R26*R29</f>
        <v>6.390906338446344</v>
      </c>
    </row>
    <row r="31" spans="1:18" customFormat="1" ht="15" x14ac:dyDescent="0.25">
      <c r="B31" s="76"/>
      <c r="C31" s="3"/>
      <c r="D31" s="12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customFormat="1" x14ac:dyDescent="0.2">
      <c r="D32" s="123"/>
      <c r="N32" s="150"/>
      <c r="O32" s="150"/>
      <c r="P32" s="150"/>
      <c r="Q32" s="150"/>
      <c r="R32" s="150"/>
    </row>
    <row r="33" spans="1:17" s="66" customFormat="1" ht="16.5" thickBot="1" x14ac:dyDescent="0.3">
      <c r="A33" s="74" t="s">
        <v>149</v>
      </c>
      <c r="B33" s="74"/>
      <c r="D33" s="134"/>
      <c r="P33" s="67"/>
      <c r="Q33" s="68"/>
    </row>
    <row r="34" spans="1:17" customFormat="1" x14ac:dyDescent="0.2">
      <c r="D34" s="123"/>
    </row>
    <row r="35" spans="1:17" customFormat="1" x14ac:dyDescent="0.2">
      <c r="D35" s="123"/>
    </row>
    <row r="36" spans="1:17" customFormat="1" x14ac:dyDescent="0.2">
      <c r="D36" s="123"/>
    </row>
    <row r="37" spans="1:17" customFormat="1" x14ac:dyDescent="0.2">
      <c r="D37" s="123"/>
    </row>
    <row r="38" spans="1:17" customFormat="1" x14ac:dyDescent="0.2">
      <c r="D38" s="123"/>
    </row>
    <row r="39" spans="1:17" customFormat="1" x14ac:dyDescent="0.2">
      <c r="D39" s="123"/>
    </row>
    <row r="40" spans="1:17" customFormat="1" x14ac:dyDescent="0.2">
      <c r="D40" s="123"/>
    </row>
    <row r="41" spans="1:17" customFormat="1" x14ac:dyDescent="0.2">
      <c r="D41" s="123"/>
    </row>
    <row r="42" spans="1:17" customFormat="1" x14ac:dyDescent="0.2">
      <c r="D42" s="123"/>
    </row>
    <row r="43" spans="1:17" customFormat="1" x14ac:dyDescent="0.2">
      <c r="D43" s="123"/>
    </row>
    <row r="44" spans="1:17" customFormat="1" x14ac:dyDescent="0.2">
      <c r="D44" s="123"/>
    </row>
    <row r="45" spans="1:17" customFormat="1" x14ac:dyDescent="0.2">
      <c r="D45" s="123"/>
    </row>
    <row r="46" spans="1:17" customFormat="1" x14ac:dyDescent="0.2">
      <c r="D46" s="123"/>
    </row>
    <row r="47" spans="1:17" customFormat="1" x14ac:dyDescent="0.2">
      <c r="D47" s="123"/>
    </row>
    <row r="48" spans="1:17" customFormat="1" x14ac:dyDescent="0.2">
      <c r="D48" s="123"/>
    </row>
    <row r="49" spans="1:18" customFormat="1" x14ac:dyDescent="0.2">
      <c r="D49" s="123"/>
    </row>
    <row r="50" spans="1:18" customFormat="1" x14ac:dyDescent="0.2">
      <c r="D50" s="123"/>
    </row>
    <row r="51" spans="1:18" customFormat="1" x14ac:dyDescent="0.2">
      <c r="D51" s="123"/>
    </row>
    <row r="52" spans="1:18" customFormat="1" x14ac:dyDescent="0.2">
      <c r="D52" s="123"/>
    </row>
    <row r="53" spans="1:18" x14ac:dyDescent="0.2"/>
    <row r="54" spans="1:18" x14ac:dyDescent="0.2">
      <c r="A54" s="1"/>
      <c r="B54" s="1"/>
      <c r="C54" s="1"/>
      <c r="D54" s="119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"/>
    <row r="56" spans="1:18" x14ac:dyDescent="0.2"/>
    <row r="57" spans="1:18" x14ac:dyDescent="0.2"/>
    <row r="58" spans="1:18" x14ac:dyDescent="0.2"/>
    <row r="59" spans="1:18" x14ac:dyDescent="0.2"/>
    <row r="60" spans="1:18" x14ac:dyDescent="0.2"/>
    <row r="61" spans="1:18" x14ac:dyDescent="0.2"/>
    <row r="62" spans="1:18" x14ac:dyDescent="0.2"/>
  </sheetData>
  <conditionalFormatting sqref="K12:M12">
    <cfRule type="containsBlanks" dxfId="18" priority="2">
      <formula>LEN(TRIM(K12))=0</formula>
    </cfRule>
  </conditionalFormatting>
  <conditionalFormatting sqref="K18:M18">
    <cfRule type="containsBlanks" dxfId="17" priority="3">
      <formula>LEN(TRIM(K18))=0</formula>
    </cfRule>
  </conditionalFormatting>
  <conditionalFormatting sqref="K29:M29">
    <cfRule type="containsBlanks" dxfId="16" priority="1">
      <formula>LEN(TRIM(K29))=0</formula>
    </cfRule>
  </conditionalFormatting>
  <conditionalFormatting sqref="K6:R7">
    <cfRule type="cellIs" dxfId="15" priority="4" operator="equal">
      <formula>TRUE</formula>
    </cfRule>
  </conditionalFormatting>
  <pageMargins left="0.7" right="0.7" top="0.75" bottom="0.75" header="0.3" footer="0.3"/>
  <pageSetup paperSize="9" scale="73" orientation="portrait" r:id="rId1"/>
  <headerFooter>
    <oddHeader>&amp;LFinancial Metrics for Decision Making 25624</oddHeader>
    <oddFooter>&amp;L&amp;F&amp;R&amp;A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CC2D-4C61-442C-A1FF-FE5219102DC9}">
  <dimension ref="A1:T69"/>
  <sheetViews>
    <sheetView showGridLines="0" zoomScale="85" zoomScaleNormal="85" workbookViewId="0">
      <pane xSplit="10" ySplit="9" topLeftCell="K10" activePane="bottomRight" state="frozen"/>
      <selection activeCell="R1" sqref="R1"/>
      <selection pane="topRight" activeCell="R1" sqref="R1"/>
      <selection pane="bottomLeft" activeCell="R1" sqref="R1"/>
      <selection pane="bottomRight" activeCell="K21" sqref="K21"/>
    </sheetView>
  </sheetViews>
  <sheetFormatPr defaultColWidth="0" defaultRowHeight="12.75" zeroHeight="1" x14ac:dyDescent="0.2"/>
  <cols>
    <col min="1" max="1" width="1.5703125" style="3" customWidth="1"/>
    <col min="2" max="2" width="2" style="3" customWidth="1"/>
    <col min="3" max="3" width="50.140625" style="3" customWidth="1"/>
    <col min="4" max="4" width="5.140625" style="123" customWidth="1"/>
    <col min="5" max="5" width="1.7109375" style="3" customWidth="1"/>
    <col min="6" max="6" width="1.28515625" style="3" customWidth="1"/>
    <col min="7" max="7" width="1.5703125" style="3" customWidth="1"/>
    <col min="8" max="8" width="20.85546875" style="3" bestFit="1" customWidth="1"/>
    <col min="9" max="18" width="10.7109375" style="3" customWidth="1"/>
    <col min="19" max="19" width="2.7109375" style="3" customWidth="1"/>
    <col min="20" max="20" width="2" style="3" customWidth="1"/>
    <col min="21" max="16384" width="9.140625" style="3" hidden="1"/>
  </cols>
  <sheetData>
    <row r="1" spans="1:20" ht="12.75" customHeight="1" x14ac:dyDescent="0.4">
      <c r="A1" s="4"/>
      <c r="B1" s="5"/>
      <c r="C1" s="6"/>
      <c r="D1" s="146"/>
      <c r="E1" s="7"/>
      <c r="F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9" t="str">
        <f>"CURRENTLY RUNNING | "&amp;Scenarios!$R$1</f>
        <v>CURRENTLY RUNNING | Base Case</v>
      </c>
      <c r="S1" s="4"/>
      <c r="T1" s="15"/>
    </row>
    <row r="2" spans="1:20" s="62" customFormat="1" ht="16.5" thickBot="1" x14ac:dyDescent="0.3">
      <c r="A2" s="58">
        <f>Cover!B12</f>
        <v>0</v>
      </c>
      <c r="C2" s="59"/>
      <c r="D2" s="133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  <c r="T2" s="61"/>
    </row>
    <row r="3" spans="1:20" customFormat="1" ht="13.5" thickTop="1" x14ac:dyDescent="0.2"/>
    <row r="4" spans="1:20" customFormat="1" x14ac:dyDescent="0.2"/>
    <row r="5" spans="1:20" customFormat="1" x14ac:dyDescent="0.2">
      <c r="C5" s="166" t="s">
        <v>176</v>
      </c>
      <c r="K5" s="4">
        <v>2022</v>
      </c>
      <c r="L5" s="4">
        <v>2023</v>
      </c>
      <c r="M5" s="4">
        <v>2024</v>
      </c>
      <c r="N5" s="4">
        <v>2025</v>
      </c>
      <c r="O5" s="4">
        <v>2026</v>
      </c>
      <c r="P5" s="4">
        <v>2027</v>
      </c>
      <c r="Q5" s="4">
        <v>2028</v>
      </c>
      <c r="R5" s="4">
        <v>2029</v>
      </c>
    </row>
    <row r="6" spans="1:20" customFormat="1" x14ac:dyDescent="0.2">
      <c r="C6" s="4" t="s">
        <v>177</v>
      </c>
      <c r="K6" s="3" t="b" cm="1">
        <f t="array" ref="K6">K5&lt;Forecast.start</f>
        <v>1</v>
      </c>
      <c r="L6" s="3" t="b" cm="1">
        <f t="array" ref="L6">L5&lt;Forecast.start</f>
        <v>1</v>
      </c>
      <c r="M6" s="3" t="b" cm="1">
        <f t="array" ref="M6">M5&lt;Forecast.start</f>
        <v>1</v>
      </c>
      <c r="N6" s="3" t="b" cm="1">
        <f t="array" ref="N6">N5&lt;Forecast.start</f>
        <v>0</v>
      </c>
      <c r="O6" s="3" t="b" cm="1">
        <f t="array" ref="O6">O5&lt;Forecast.start</f>
        <v>0</v>
      </c>
      <c r="P6" s="3" t="b" cm="1">
        <f t="array" ref="P6">P5&lt;Forecast.start</f>
        <v>0</v>
      </c>
      <c r="Q6" s="3" t="b" cm="1">
        <f t="array" ref="Q6">Q5&lt;Forecast.start</f>
        <v>0</v>
      </c>
      <c r="R6" s="3" t="b" cm="1">
        <f t="array" ref="R6">R5&lt;Forecast.start</f>
        <v>0</v>
      </c>
    </row>
    <row r="7" spans="1:20" customFormat="1" x14ac:dyDescent="0.2">
      <c r="C7" s="4" t="s">
        <v>178</v>
      </c>
      <c r="K7" t="b">
        <f>NOT(K6)</f>
        <v>0</v>
      </c>
      <c r="L7" t="b">
        <f t="shared" ref="L7:R7" si="0">NOT(L6)</f>
        <v>0</v>
      </c>
      <c r="M7" t="b">
        <f t="shared" si="0"/>
        <v>0</v>
      </c>
      <c r="N7" t="b">
        <f t="shared" si="0"/>
        <v>1</v>
      </c>
      <c r="O7" t="b">
        <f t="shared" si="0"/>
        <v>1</v>
      </c>
      <c r="P7" t="b">
        <f t="shared" si="0"/>
        <v>1</v>
      </c>
      <c r="Q7" t="b">
        <f t="shared" si="0"/>
        <v>1</v>
      </c>
      <c r="R7" t="b">
        <f t="shared" si="0"/>
        <v>1</v>
      </c>
    </row>
    <row r="8" spans="1:20" x14ac:dyDescent="0.2">
      <c r="A8" s="4"/>
      <c r="B8" s="4"/>
      <c r="C8" s="4"/>
      <c r="D8" s="119"/>
      <c r="E8" s="4"/>
      <c r="F8" s="1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20" s="131" customFormat="1" ht="15.75" x14ac:dyDescent="0.25">
      <c r="A9" s="124" t="s">
        <v>105</v>
      </c>
      <c r="B9" s="130"/>
      <c r="D9" s="124" t="s">
        <v>106</v>
      </c>
      <c r="H9" s="124" t="s">
        <v>107</v>
      </c>
      <c r="I9" s="132" t="s">
        <v>122</v>
      </c>
    </row>
    <row r="10" spans="1:20" s="66" customFormat="1" ht="16.5" thickBot="1" x14ac:dyDescent="0.3">
      <c r="A10" s="74" t="s">
        <v>161</v>
      </c>
      <c r="B10" s="74"/>
      <c r="D10" s="134"/>
      <c r="P10" s="67"/>
      <c r="Q10" s="68"/>
    </row>
    <row r="11" spans="1:20" ht="15" x14ac:dyDescent="0.25">
      <c r="A11" s="4"/>
      <c r="B11" s="75" t="s">
        <v>162</v>
      </c>
      <c r="C11" s="4"/>
      <c r="D11" s="119"/>
      <c r="E11" s="4"/>
      <c r="F11" s="1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0" ht="15" x14ac:dyDescent="0.25">
      <c r="A12" s="4"/>
      <c r="B12" s="75"/>
      <c r="C12" s="4" t="s">
        <v>158</v>
      </c>
      <c r="D12" s="128" t="s">
        <v>123</v>
      </c>
      <c r="E12" s="4"/>
      <c r="F12" s="11"/>
      <c r="G12" s="4"/>
      <c r="H12" s="63"/>
      <c r="I12" s="163">
        <f>Assumptions!I112</f>
        <v>4.4999999999999998E-2</v>
      </c>
      <c r="J12"/>
      <c r="K12"/>
      <c r="L12"/>
      <c r="M12"/>
      <c r="N12"/>
      <c r="O12"/>
      <c r="P12"/>
      <c r="Q12"/>
      <c r="R12"/>
      <c r="S12"/>
    </row>
    <row r="13" spans="1:20" ht="15" x14ac:dyDescent="0.25">
      <c r="A13" s="4"/>
      <c r="B13" s="75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20" ht="14.25" x14ac:dyDescent="0.25">
      <c r="A14" s="4"/>
      <c r="B14" s="4"/>
      <c r="C14" s="4" t="s">
        <v>160</v>
      </c>
      <c r="D14" s="128" t="s">
        <v>123</v>
      </c>
      <c r="E14" s="4"/>
      <c r="F14" s="11"/>
      <c r="G14" s="4"/>
      <c r="H14" s="63"/>
      <c r="I14"/>
      <c r="J14"/>
      <c r="K14" s="4"/>
      <c r="L14" s="4"/>
      <c r="M14" s="4"/>
      <c r="N14" s="182" cm="1">
        <f t="array" ref="N14:R14">Assumptions!N115:R115</f>
        <v>8.1000000000000003E-2</v>
      </c>
      <c r="O14" s="182">
        <v>7.9000000000000001E-2</v>
      </c>
      <c r="P14" s="182">
        <v>8.6999999999999994E-2</v>
      </c>
      <c r="Q14" s="182">
        <v>6.8000000000000005E-2</v>
      </c>
      <c r="R14" s="182">
        <v>9.7000000000000003E-2</v>
      </c>
      <c r="S14"/>
    </row>
    <row r="15" spans="1:20" x14ac:dyDescent="0.2">
      <c r="A15" s="4"/>
      <c r="B15" s="4"/>
      <c r="C15" s="4"/>
      <c r="D15" s="119"/>
      <c r="E15" s="4"/>
      <c r="F15" s="11"/>
      <c r="G15" s="4"/>
      <c r="H15" s="63"/>
      <c r="I15"/>
      <c r="J15"/>
      <c r="K15"/>
      <c r="L15"/>
      <c r="M15"/>
      <c r="N15"/>
      <c r="O15"/>
      <c r="P15"/>
      <c r="Q15"/>
      <c r="R15"/>
      <c r="S15"/>
    </row>
    <row r="16" spans="1:20" ht="15" x14ac:dyDescent="0.25">
      <c r="A16" s="4"/>
      <c r="B16" s="75" t="s">
        <v>163</v>
      </c>
      <c r="C16" s="4"/>
      <c r="D16" s="119"/>
      <c r="E16" s="4"/>
      <c r="F16" s="11"/>
      <c r="G16" s="4"/>
      <c r="H16" s="63"/>
      <c r="I16"/>
      <c r="J16"/>
      <c r="K16"/>
      <c r="L16"/>
      <c r="M16"/>
      <c r="N16"/>
      <c r="O16"/>
      <c r="P16"/>
      <c r="Q16"/>
      <c r="R16"/>
      <c r="S16"/>
    </row>
    <row r="17" spans="1:19" ht="15" x14ac:dyDescent="0.25">
      <c r="A17" s="4"/>
      <c r="B17" s="75"/>
      <c r="C17" s="4" t="s">
        <v>164</v>
      </c>
      <c r="D17" s="128" t="s">
        <v>126</v>
      </c>
      <c r="E17" s="4"/>
      <c r="F17" s="11"/>
      <c r="G17" s="4"/>
      <c r="H17" s="63"/>
      <c r="I17"/>
      <c r="J17"/>
      <c r="K17" s="4"/>
      <c r="L17" s="4"/>
      <c r="M17" s="4"/>
      <c r="N17" s="183">
        <f>M20</f>
        <v>396.96</v>
      </c>
      <c r="O17" s="177">
        <f>N20</f>
        <v>411.25055999999995</v>
      </c>
      <c r="P17" s="177">
        <f t="shared" ref="P17:R17" si="1">O20</f>
        <v>425.23307903999995</v>
      </c>
      <c r="Q17" s="177">
        <f t="shared" si="1"/>
        <v>443.09286835967993</v>
      </c>
      <c r="R17" s="177">
        <f t="shared" si="1"/>
        <v>453.28400433195253</v>
      </c>
      <c r="S17"/>
    </row>
    <row r="18" spans="1:19" ht="15" x14ac:dyDescent="0.25">
      <c r="A18" s="4"/>
      <c r="B18" s="75"/>
      <c r="C18" s="4" t="s">
        <v>48</v>
      </c>
      <c r="D18" s="128" t="s">
        <v>126</v>
      </c>
      <c r="E18" s="4"/>
      <c r="F18" s="11"/>
      <c r="G18" s="4"/>
      <c r="H18" s="63"/>
      <c r="I18"/>
      <c r="J18"/>
      <c r="K18" s="4"/>
      <c r="L18" s="4"/>
      <c r="M18" s="4"/>
      <c r="N18" s="177">
        <f>N14*N17</f>
        <v>32.153759999999998</v>
      </c>
      <c r="O18" s="177">
        <f t="shared" ref="O18:Q18" si="2">O14*O17</f>
        <v>32.488794239999997</v>
      </c>
      <c r="P18" s="177">
        <f t="shared" si="2"/>
        <v>36.995277876479996</v>
      </c>
      <c r="Q18" s="177">
        <f t="shared" si="2"/>
        <v>30.130315048458236</v>
      </c>
      <c r="R18" s="177">
        <f>R14*R17</f>
        <v>43.968548420199397</v>
      </c>
      <c r="S18"/>
    </row>
    <row r="19" spans="1:19" ht="15" x14ac:dyDescent="0.25">
      <c r="A19" s="4"/>
      <c r="B19" s="4"/>
      <c r="C19" s="4" t="s">
        <v>36</v>
      </c>
      <c r="D19" s="128" t="s">
        <v>126</v>
      </c>
      <c r="E19" s="4"/>
      <c r="F19" s="11"/>
      <c r="G19" s="4"/>
      <c r="H19" s="63"/>
      <c r="I19"/>
      <c r="J19"/>
      <c r="K19" s="183" cm="1">
        <f t="array" ref="K19:M19">Assumptions!K25:M25</f>
        <v>17.296333333333301</v>
      </c>
      <c r="L19" s="183">
        <v>17.876333333333299</v>
      </c>
      <c r="M19" s="183">
        <v>18.468</v>
      </c>
      <c r="N19" s="177">
        <f>$I$12*N17</f>
        <v>17.863199999999999</v>
      </c>
      <c r="O19" s="177">
        <f>$I$12*O17</f>
        <v>18.506275199999997</v>
      </c>
      <c r="P19" s="177">
        <f t="shared" ref="P19:R19" si="3">$I$12*P17</f>
        <v>19.135488556799999</v>
      </c>
      <c r="Q19" s="177">
        <f t="shared" si="3"/>
        <v>19.939179076185596</v>
      </c>
      <c r="R19" s="177">
        <f t="shared" si="3"/>
        <v>20.397780194937862</v>
      </c>
      <c r="S19"/>
    </row>
    <row r="20" spans="1:19" s="83" customFormat="1" ht="15" x14ac:dyDescent="0.25">
      <c r="A20" s="12"/>
      <c r="B20" s="12"/>
      <c r="C20" s="94" t="s">
        <v>165</v>
      </c>
      <c r="D20" s="159" t="s">
        <v>126</v>
      </c>
      <c r="E20" s="94"/>
      <c r="F20" s="95"/>
      <c r="G20" s="94"/>
      <c r="H20" s="99"/>
      <c r="I20"/>
      <c r="J20"/>
      <c r="K20" s="181" cm="1">
        <f t="array" ref="K20:M20">Assumptions!K59:M59</f>
        <v>397.80433333333332</v>
      </c>
      <c r="L20" s="185">
        <v>397.428</v>
      </c>
      <c r="M20" s="185">
        <v>396.96</v>
      </c>
      <c r="N20" s="177">
        <f>N17+N18-N19</f>
        <v>411.25055999999995</v>
      </c>
      <c r="O20" s="177">
        <f t="shared" ref="O20:R20" si="4">O17+O18-O19</f>
        <v>425.23307903999995</v>
      </c>
      <c r="P20" s="177">
        <f t="shared" si="4"/>
        <v>443.09286835967993</v>
      </c>
      <c r="Q20" s="177">
        <f t="shared" si="4"/>
        <v>453.28400433195253</v>
      </c>
      <c r="R20" s="177">
        <f t="shared" si="4"/>
        <v>476.85477255721406</v>
      </c>
      <c r="S20"/>
    </row>
    <row r="21" spans="1:19" x14ac:dyDescent="0.2">
      <c r="A21" s="4"/>
      <c r="B21" s="4"/>
      <c r="C21" s="4"/>
      <c r="D21" s="119"/>
      <c r="E21" s="4"/>
      <c r="F21" s="11"/>
      <c r="G21" s="4"/>
      <c r="H21" s="63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9" s="66" customFormat="1" ht="16.5" thickBot="1" x14ac:dyDescent="0.3">
      <c r="A22" s="74" t="s">
        <v>149</v>
      </c>
      <c r="B22" s="74"/>
      <c r="D22" s="134"/>
      <c r="P22" s="67"/>
      <c r="Q22" s="68"/>
    </row>
    <row r="23" spans="1:19" customFormat="1" x14ac:dyDescent="0.2">
      <c r="D23" s="123"/>
    </row>
    <row r="24" spans="1:19" customFormat="1" x14ac:dyDescent="0.2">
      <c r="D24" s="123"/>
    </row>
    <row r="25" spans="1:19" customFormat="1" x14ac:dyDescent="0.2">
      <c r="D25" s="123"/>
    </row>
    <row r="26" spans="1:19" customFormat="1" x14ac:dyDescent="0.2">
      <c r="D26" s="123"/>
    </row>
    <row r="27" spans="1:19" customFormat="1" x14ac:dyDescent="0.2">
      <c r="D27" s="123"/>
    </row>
    <row r="28" spans="1:19" customFormat="1" x14ac:dyDescent="0.2">
      <c r="D28" s="123"/>
    </row>
    <row r="29" spans="1:19" customFormat="1" x14ac:dyDescent="0.2">
      <c r="D29" s="123"/>
    </row>
    <row r="30" spans="1:19" customFormat="1" x14ac:dyDescent="0.2">
      <c r="D30" s="123"/>
    </row>
    <row r="31" spans="1:19" customFormat="1" x14ac:dyDescent="0.2">
      <c r="D31" s="123"/>
    </row>
    <row r="32" spans="1:19" customFormat="1" x14ac:dyDescent="0.2">
      <c r="D32" s="123"/>
    </row>
    <row r="33" spans="4:15" customFormat="1" x14ac:dyDescent="0.2">
      <c r="D33" s="123"/>
    </row>
    <row r="34" spans="4:15" customFormat="1" x14ac:dyDescent="0.2">
      <c r="D34" s="123"/>
    </row>
    <row r="35" spans="4:15" customFormat="1" x14ac:dyDescent="0.2">
      <c r="D35" s="123"/>
    </row>
    <row r="36" spans="4:15" customFormat="1" x14ac:dyDescent="0.2">
      <c r="D36" s="123"/>
    </row>
    <row r="37" spans="4:15" x14ac:dyDescent="0.2"/>
    <row r="38" spans="4:15" x14ac:dyDescent="0.2"/>
    <row r="39" spans="4:15" x14ac:dyDescent="0.2"/>
    <row r="40" spans="4:15" x14ac:dyDescent="0.2"/>
    <row r="41" spans="4:15" x14ac:dyDescent="0.2"/>
    <row r="42" spans="4:15" x14ac:dyDescent="0.2"/>
    <row r="43" spans="4:15" x14ac:dyDescent="0.2">
      <c r="O43" s="45"/>
    </row>
    <row r="44" spans="4:15" x14ac:dyDescent="0.2"/>
    <row r="45" spans="4:15" x14ac:dyDescent="0.2"/>
    <row r="46" spans="4:15" x14ac:dyDescent="0.2"/>
    <row r="47" spans="4:15" x14ac:dyDescent="0.2"/>
    <row r="48" spans="4:15" x14ac:dyDescent="0.2"/>
    <row r="49" spans="1:18" x14ac:dyDescent="0.2"/>
    <row r="50" spans="1:18" x14ac:dyDescent="0.2"/>
    <row r="51" spans="1:18" x14ac:dyDescent="0.2"/>
    <row r="52" spans="1:18" x14ac:dyDescent="0.2"/>
    <row r="53" spans="1:18" x14ac:dyDescent="0.2"/>
    <row r="54" spans="1:18" x14ac:dyDescent="0.2"/>
    <row r="55" spans="1:18" x14ac:dyDescent="0.2"/>
    <row r="56" spans="1:18" x14ac:dyDescent="0.2"/>
    <row r="57" spans="1:18" x14ac:dyDescent="0.2"/>
    <row r="58" spans="1:18" x14ac:dyDescent="0.2"/>
    <row r="59" spans="1:18" x14ac:dyDescent="0.2"/>
    <row r="60" spans="1:18" x14ac:dyDescent="0.2"/>
    <row r="61" spans="1:18" x14ac:dyDescent="0.2">
      <c r="A61" s="1"/>
      <c r="B61" s="1"/>
      <c r="C61" s="1"/>
      <c r="D61" s="119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"/>
    <row r="63" spans="1:18" x14ac:dyDescent="0.2"/>
    <row r="64" spans="1:18" x14ac:dyDescent="0.2"/>
    <row r="65" x14ac:dyDescent="0.2"/>
    <row r="66" x14ac:dyDescent="0.2"/>
    <row r="67" x14ac:dyDescent="0.2"/>
    <row r="68" x14ac:dyDescent="0.2"/>
    <row r="69" x14ac:dyDescent="0.2"/>
  </sheetData>
  <conditionalFormatting sqref="K14:M14">
    <cfRule type="containsBlanks" dxfId="14" priority="2">
      <formula>LEN(TRIM(K14))=0</formula>
    </cfRule>
  </conditionalFormatting>
  <conditionalFormatting sqref="K17:M18">
    <cfRule type="containsBlanks" dxfId="13" priority="1">
      <formula>LEN(TRIM(K17))=0</formula>
    </cfRule>
  </conditionalFormatting>
  <conditionalFormatting sqref="K6:R7">
    <cfRule type="cellIs" dxfId="12" priority="3" operator="equal">
      <formula>TRUE</formula>
    </cfRule>
  </conditionalFormatting>
  <pageMargins left="0.7" right="0.7" top="0.75" bottom="0.75" header="0.3" footer="0.3"/>
  <pageSetup paperSize="9" scale="73" orientation="portrait" r:id="rId1"/>
  <headerFooter>
    <oddHeader>&amp;LFinancial Metrics for Decision Making 25624</oddHeader>
    <oddFooter>&amp;L&amp;F&amp;R&amp;A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FFCF8-4148-407D-BD65-BDAB07D93C9B}">
  <sheetPr>
    <pageSetUpPr fitToPage="1"/>
  </sheetPr>
  <dimension ref="A1:T56"/>
  <sheetViews>
    <sheetView showGridLines="0" zoomScale="85" zoomScaleNormal="85" workbookViewId="0">
      <pane xSplit="10" ySplit="9" topLeftCell="K10" activePane="bottomRight" state="frozen"/>
      <selection activeCell="R1" sqref="R1"/>
      <selection pane="topRight" activeCell="R1" sqref="R1"/>
      <selection pane="bottomLeft" activeCell="R1" sqref="R1"/>
      <selection pane="bottomRight" activeCell="N12" sqref="N12"/>
    </sheetView>
  </sheetViews>
  <sheetFormatPr defaultColWidth="0" defaultRowHeight="12.75" zeroHeight="1" x14ac:dyDescent="0.2"/>
  <cols>
    <col min="1" max="1" width="1.5703125" customWidth="1"/>
    <col min="2" max="2" width="2" customWidth="1"/>
    <col min="3" max="3" width="50.140625" customWidth="1"/>
    <col min="4" max="4" width="5.140625" style="123" customWidth="1"/>
    <col min="5" max="5" width="1.7109375" customWidth="1"/>
    <col min="6" max="6" width="1.28515625" customWidth="1"/>
    <col min="7" max="7" width="1.5703125" customWidth="1"/>
    <col min="8" max="8" width="20.85546875" bestFit="1" customWidth="1"/>
    <col min="9" max="18" width="10.7109375" customWidth="1"/>
    <col min="19" max="19" width="2.7109375" customWidth="1"/>
    <col min="20" max="20" width="2" customWidth="1"/>
    <col min="21" max="16384" width="9.140625" hidden="1"/>
  </cols>
  <sheetData>
    <row r="1" spans="1:20" ht="12.75" customHeight="1" x14ac:dyDescent="0.35">
      <c r="A1" s="4"/>
      <c r="B1" s="31"/>
      <c r="C1" s="16"/>
      <c r="D1" s="120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9" t="str">
        <f>"CURRENTLY RUNNING | "&amp;Scenarios!$R$1</f>
        <v>CURRENTLY RUNNING | Base Case</v>
      </c>
      <c r="S1" s="4"/>
      <c r="T1" s="15"/>
    </row>
    <row r="2" spans="1:20" s="62" customFormat="1" ht="16.5" thickBot="1" x14ac:dyDescent="0.3">
      <c r="A2" s="58">
        <f>Cover!B12</f>
        <v>0</v>
      </c>
      <c r="C2" s="59"/>
      <c r="D2" s="133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  <c r="T2" s="61"/>
    </row>
    <row r="3" spans="1:20" ht="13.5" thickTop="1" x14ac:dyDescent="0.2">
      <c r="D3"/>
    </row>
    <row r="4" spans="1:20" x14ac:dyDescent="0.2">
      <c r="D4"/>
    </row>
    <row r="5" spans="1:20" x14ac:dyDescent="0.2">
      <c r="C5" s="166" t="s">
        <v>176</v>
      </c>
      <c r="D5"/>
      <c r="K5" s="4">
        <v>2022</v>
      </c>
      <c r="L5" s="4">
        <v>2023</v>
      </c>
      <c r="M5" s="4">
        <v>2024</v>
      </c>
      <c r="N5" s="4">
        <v>2025</v>
      </c>
      <c r="O5" s="4">
        <v>2026</v>
      </c>
      <c r="P5" s="4">
        <v>2027</v>
      </c>
      <c r="Q5" s="4">
        <v>2028</v>
      </c>
      <c r="R5" s="4">
        <v>2029</v>
      </c>
    </row>
    <row r="6" spans="1:20" x14ac:dyDescent="0.2">
      <c r="C6" s="4" t="s">
        <v>177</v>
      </c>
      <c r="D6"/>
      <c r="K6" s="3" t="b" cm="1">
        <f t="array" ref="K6">K5&lt;Forecast.start</f>
        <v>1</v>
      </c>
      <c r="L6" s="3" t="b" cm="1">
        <f t="array" ref="L6">L5&lt;Forecast.start</f>
        <v>1</v>
      </c>
      <c r="M6" s="3" t="b" cm="1">
        <f t="array" ref="M6">M5&lt;Forecast.start</f>
        <v>1</v>
      </c>
      <c r="N6" s="3" t="b" cm="1">
        <f t="array" ref="N6">N5&lt;Forecast.start</f>
        <v>0</v>
      </c>
      <c r="O6" s="3" t="b" cm="1">
        <f t="array" ref="O6">O5&lt;Forecast.start</f>
        <v>0</v>
      </c>
      <c r="P6" s="3" t="b" cm="1">
        <f t="array" ref="P6">P5&lt;Forecast.start</f>
        <v>0</v>
      </c>
      <c r="Q6" s="3" t="b" cm="1">
        <f t="array" ref="Q6">Q5&lt;Forecast.start</f>
        <v>0</v>
      </c>
      <c r="R6" s="3" t="b" cm="1">
        <f t="array" ref="R6">R5&lt;Forecast.start</f>
        <v>0</v>
      </c>
    </row>
    <row r="7" spans="1:20" x14ac:dyDescent="0.2">
      <c r="C7" s="4" t="s">
        <v>178</v>
      </c>
      <c r="D7"/>
      <c r="K7" t="b">
        <f>NOT(K6)</f>
        <v>0</v>
      </c>
      <c r="L7" t="b">
        <f t="shared" ref="L7:R7" si="0">NOT(L6)</f>
        <v>0</v>
      </c>
      <c r="M7" t="b">
        <f t="shared" si="0"/>
        <v>0</v>
      </c>
      <c r="N7" t="b">
        <f t="shared" si="0"/>
        <v>1</v>
      </c>
      <c r="O7" t="b">
        <f t="shared" si="0"/>
        <v>1</v>
      </c>
      <c r="P7" t="b">
        <f t="shared" si="0"/>
        <v>1</v>
      </c>
      <c r="Q7" t="b">
        <f t="shared" si="0"/>
        <v>1</v>
      </c>
      <c r="R7" t="b">
        <f t="shared" si="0"/>
        <v>1</v>
      </c>
    </row>
    <row r="8" spans="1:20" x14ac:dyDescent="0.2"/>
    <row r="9" spans="1:20" s="131" customFormat="1" ht="15.75" x14ac:dyDescent="0.25">
      <c r="A9" s="124" t="s">
        <v>105</v>
      </c>
      <c r="B9" s="130"/>
      <c r="D9" s="124" t="s">
        <v>106</v>
      </c>
      <c r="H9" s="124" t="s">
        <v>107</v>
      </c>
      <c r="I9" s="132" t="s">
        <v>122</v>
      </c>
    </row>
    <row r="10" spans="1:20" s="66" customFormat="1" ht="16.5" thickBot="1" x14ac:dyDescent="0.3">
      <c r="A10" s="74" t="s">
        <v>131</v>
      </c>
      <c r="B10" s="74"/>
      <c r="D10" s="134"/>
      <c r="P10" s="67"/>
      <c r="Q10" s="68"/>
    </row>
    <row r="11" spans="1:20" s="3" customFormat="1" ht="15" x14ac:dyDescent="0.25">
      <c r="A11" s="4"/>
      <c r="B11" s="75" t="s">
        <v>39</v>
      </c>
      <c r="C11" s="4"/>
      <c r="D11" s="119"/>
      <c r="E11" s="4"/>
      <c r="F11" s="1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0" ht="15" x14ac:dyDescent="0.25">
      <c r="A12" s="4"/>
      <c r="B12" s="75"/>
      <c r="C12" s="4" t="s">
        <v>150</v>
      </c>
      <c r="D12" s="128" t="s">
        <v>126</v>
      </c>
      <c r="E12" s="4"/>
      <c r="F12" s="4"/>
      <c r="G12" s="48"/>
      <c r="H12" s="48"/>
      <c r="K12" s="4"/>
      <c r="L12" s="4"/>
      <c r="M12" s="4"/>
      <c r="N12" s="181" cm="1">
        <f t="array" aca="1" ref="N12:R12" ca="1">'Financial Statements'!N26:R26</f>
        <v>42.786163498386131</v>
      </c>
      <c r="O12" s="181">
        <f ca="1"/>
        <v>55.277452532935897</v>
      </c>
      <c r="P12" s="181">
        <f ca="1"/>
        <v>73.348370443785868</v>
      </c>
      <c r="Q12" s="181">
        <f ca="1"/>
        <v>84.763017979880402</v>
      </c>
      <c r="R12" s="181">
        <f ca="1"/>
        <v>105.73815736072689</v>
      </c>
    </row>
    <row r="13" spans="1:20" x14ac:dyDescent="0.2">
      <c r="A13" s="4"/>
      <c r="B13" s="4"/>
      <c r="C13" s="4" t="s">
        <v>19</v>
      </c>
      <c r="D13" s="128" t="s">
        <v>126</v>
      </c>
      <c r="E13" s="4"/>
      <c r="F13" s="4"/>
      <c r="G13" s="4"/>
      <c r="H13" s="4"/>
      <c r="K13" s="4"/>
      <c r="L13" s="4"/>
      <c r="M13" s="4"/>
      <c r="N13" s="181" cm="1">
        <f t="array" ref="N13:R13">Assumptions!N135:R135</f>
        <v>6</v>
      </c>
      <c r="O13" s="181">
        <v>6</v>
      </c>
      <c r="P13" s="181">
        <v>6</v>
      </c>
      <c r="Q13" s="181">
        <v>6</v>
      </c>
      <c r="R13" s="181">
        <v>6</v>
      </c>
    </row>
    <row r="14" spans="1:20" ht="15" x14ac:dyDescent="0.25">
      <c r="A14" s="4"/>
      <c r="B14" s="75"/>
      <c r="C14" s="94" t="s">
        <v>83</v>
      </c>
      <c r="D14" s="129" t="s">
        <v>126</v>
      </c>
      <c r="E14" s="90"/>
      <c r="F14" s="100"/>
      <c r="G14" s="101"/>
      <c r="H14" s="101"/>
      <c r="K14" s="4"/>
      <c r="L14" s="4"/>
      <c r="M14" s="4"/>
      <c r="N14" s="172">
        <f ca="1">N12-N13</f>
        <v>36.786163498386131</v>
      </c>
      <c r="O14" s="172">
        <f t="shared" ref="O14:R14" ca="1" si="1">O12-O13</f>
        <v>49.277452532935897</v>
      </c>
      <c r="P14" s="172">
        <f t="shared" ca="1" si="1"/>
        <v>67.348370443785868</v>
      </c>
      <c r="Q14" s="172">
        <f t="shared" ca="1" si="1"/>
        <v>78.763017979880402</v>
      </c>
      <c r="R14" s="172">
        <f t="shared" ca="1" si="1"/>
        <v>99.738157360726888</v>
      </c>
    </row>
    <row r="15" spans="1:20" ht="15" x14ac:dyDescent="0.25">
      <c r="A15" s="4"/>
      <c r="B15" s="75"/>
      <c r="C15" s="4"/>
      <c r="D15" s="119"/>
      <c r="E15" s="12"/>
      <c r="F15" s="4"/>
      <c r="G15" s="4"/>
      <c r="H15" s="4"/>
    </row>
    <row r="16" spans="1:20" ht="15" x14ac:dyDescent="0.25">
      <c r="A16" s="4"/>
      <c r="B16" s="75" t="s">
        <v>131</v>
      </c>
      <c r="C16" s="4"/>
    </row>
    <row r="17" spans="1:18" ht="15" x14ac:dyDescent="0.25">
      <c r="A17" s="4"/>
      <c r="B17" s="75"/>
      <c r="C17" s="4" t="s">
        <v>82</v>
      </c>
      <c r="D17" s="128" t="s">
        <v>123</v>
      </c>
      <c r="F17" s="4"/>
      <c r="G17" s="4"/>
      <c r="H17" s="4"/>
      <c r="I17" s="180">
        <f>Assumptions!I134</f>
        <v>0.3</v>
      </c>
    </row>
    <row r="18" spans="1:18" x14ac:dyDescent="0.2">
      <c r="A18" s="4"/>
      <c r="B18" s="4"/>
      <c r="C18" s="4" t="s">
        <v>151</v>
      </c>
      <c r="D18" s="128" t="s">
        <v>126</v>
      </c>
      <c r="K18" s="181" cm="1">
        <f t="array" ref="K18:M19">Assumptions!K29:M30</f>
        <v>19.5174463341476</v>
      </c>
      <c r="L18" s="181">
        <v>16.481767034461502</v>
      </c>
      <c r="M18" s="181">
        <v>8.9702612049452899</v>
      </c>
      <c r="N18" s="169">
        <f ca="1">N14*$I$17</f>
        <v>11.035849049515839</v>
      </c>
      <c r="O18" s="169">
        <f t="shared" ref="O18:R18" ca="1" si="2">O14*$I$17</f>
        <v>14.783235759880768</v>
      </c>
      <c r="P18" s="169">
        <f t="shared" ca="1" si="2"/>
        <v>20.20451113313576</v>
      </c>
      <c r="Q18" s="169">
        <f t="shared" ca="1" si="2"/>
        <v>23.628905393964121</v>
      </c>
      <c r="R18" s="169">
        <f t="shared" ca="1" si="2"/>
        <v>29.921447208218066</v>
      </c>
    </row>
    <row r="19" spans="1:18" x14ac:dyDescent="0.2">
      <c r="A19" s="4"/>
      <c r="B19" s="4"/>
      <c r="C19" s="4" t="s">
        <v>84</v>
      </c>
      <c r="D19" s="128" t="s">
        <v>126</v>
      </c>
      <c r="K19" s="181">
        <v>1.75</v>
      </c>
      <c r="L19" s="181">
        <v>1.75</v>
      </c>
      <c r="M19" s="181">
        <v>1.75</v>
      </c>
      <c r="N19">
        <f>N13*$I$17</f>
        <v>1.7999999999999998</v>
      </c>
      <c r="O19">
        <f t="shared" ref="O19:R19" si="3">O13*$I$17</f>
        <v>1.7999999999999998</v>
      </c>
      <c r="P19">
        <f t="shared" si="3"/>
        <v>1.7999999999999998</v>
      </c>
      <c r="Q19">
        <f t="shared" si="3"/>
        <v>1.7999999999999998</v>
      </c>
      <c r="R19">
        <f t="shared" si="3"/>
        <v>1.7999999999999998</v>
      </c>
    </row>
    <row r="20" spans="1:18" x14ac:dyDescent="0.2">
      <c r="A20" s="4"/>
      <c r="B20" s="4"/>
      <c r="C20" s="94" t="s">
        <v>152</v>
      </c>
      <c r="D20" s="129" t="s">
        <v>126</v>
      </c>
      <c r="E20" s="90"/>
      <c r="F20" s="100"/>
      <c r="G20" s="101"/>
      <c r="H20" s="101"/>
      <c r="K20" s="172">
        <f>SUM(K18:K19)</f>
        <v>21.2674463341476</v>
      </c>
      <c r="L20" s="172">
        <f t="shared" ref="L20:R20" si="4">SUM(L18:L19)</f>
        <v>18.231767034461502</v>
      </c>
      <c r="M20" s="172">
        <f t="shared" si="4"/>
        <v>10.72026120494529</v>
      </c>
      <c r="N20" s="172">
        <f t="shared" ca="1" si="4"/>
        <v>12.83584904951584</v>
      </c>
      <c r="O20" s="172">
        <f t="shared" ca="1" si="4"/>
        <v>16.583235759880768</v>
      </c>
      <c r="P20" s="172">
        <f t="shared" ca="1" si="4"/>
        <v>22.004511133135761</v>
      </c>
      <c r="Q20" s="172">
        <f t="shared" ca="1" si="4"/>
        <v>25.428905393964122</v>
      </c>
      <c r="R20" s="172">
        <f t="shared" ca="1" si="4"/>
        <v>31.721447208218066</v>
      </c>
    </row>
    <row r="21" spans="1:18" x14ac:dyDescent="0.2">
      <c r="A21" s="4"/>
      <c r="B21" s="4"/>
      <c r="C21" s="4"/>
      <c r="D21" s="119"/>
      <c r="E21" s="34"/>
      <c r="F21" s="34"/>
      <c r="G21" s="34"/>
      <c r="H21" s="34"/>
    </row>
    <row r="22" spans="1:18" s="66" customFormat="1" ht="16.5" thickBot="1" x14ac:dyDescent="0.3">
      <c r="A22" s="74" t="s">
        <v>149</v>
      </c>
      <c r="B22" s="74"/>
      <c r="D22" s="134"/>
      <c r="P22" s="67"/>
      <c r="Q22" s="68"/>
    </row>
    <row r="23" spans="1:18" x14ac:dyDescent="0.2"/>
    <row r="24" spans="1:18" x14ac:dyDescent="0.2"/>
    <row r="25" spans="1:18" x14ac:dyDescent="0.2"/>
    <row r="26" spans="1:18" x14ac:dyDescent="0.2"/>
    <row r="27" spans="1:18" x14ac:dyDescent="0.2"/>
    <row r="28" spans="1:18" x14ac:dyDescent="0.2"/>
    <row r="29" spans="1:18" x14ac:dyDescent="0.2"/>
    <row r="30" spans="1:18" x14ac:dyDescent="0.2"/>
    <row r="31" spans="1:18" x14ac:dyDescent="0.2"/>
    <row r="32" spans="1:18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spans="1:18" x14ac:dyDescent="0.2"/>
    <row r="50" spans="1:18" x14ac:dyDescent="0.2"/>
    <row r="51" spans="1:18" x14ac:dyDescent="0.2">
      <c r="A51" s="1"/>
      <c r="B51" s="1"/>
      <c r="C51" s="1"/>
      <c r="D51" s="119"/>
      <c r="E51" s="1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"/>
    <row r="53" spans="1:18" x14ac:dyDescent="0.2"/>
    <row r="54" spans="1:18" x14ac:dyDescent="0.2"/>
    <row r="55" spans="1:18" x14ac:dyDescent="0.2"/>
    <row r="56" spans="1:18" x14ac:dyDescent="0.2"/>
  </sheetData>
  <conditionalFormatting sqref="K12:M14">
    <cfRule type="containsBlanks" dxfId="11" priority="1">
      <formula>LEN(TRIM(K12))=0</formula>
    </cfRule>
  </conditionalFormatting>
  <conditionalFormatting sqref="K6:R7">
    <cfRule type="cellIs" dxfId="10" priority="2" operator="equal">
      <formula>TRUE</formula>
    </cfRule>
  </conditionalFormatting>
  <pageMargins left="0.70866141732283472" right="0.70866141732283472" top="0.74803149606299213" bottom="0.74803149606299213" header="0.31496062992125984" footer="0.31496062992125984"/>
  <pageSetup scale="75" orientation="portrait" r:id="rId1"/>
  <headerFooter>
    <oddHeader>&amp;LFinancial Metrics for Decision Making 25624</oddHeader>
    <oddFooter>&amp;L&amp;F&amp;R&amp;A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1181-6068-4C3B-BD6D-DE182D30EC60}">
  <dimension ref="A1:T64"/>
  <sheetViews>
    <sheetView showGridLines="0" zoomScale="85" zoomScaleNormal="85" zoomScaleSheetLayoutView="130" workbookViewId="0">
      <pane xSplit="10" ySplit="9" topLeftCell="K10" activePane="bottomRight" state="frozen"/>
      <selection activeCell="R1" sqref="R1"/>
      <selection pane="topRight" activeCell="R1" sqref="R1"/>
      <selection pane="bottomLeft" activeCell="R1" sqref="R1"/>
      <selection pane="bottomRight" activeCell="P25" sqref="P25"/>
    </sheetView>
  </sheetViews>
  <sheetFormatPr defaultColWidth="0" defaultRowHeight="12.75" zeroHeight="1" x14ac:dyDescent="0.2"/>
  <cols>
    <col min="1" max="1" width="1.5703125" customWidth="1"/>
    <col min="2" max="2" width="2" customWidth="1"/>
    <col min="3" max="3" width="50.140625" customWidth="1"/>
    <col min="4" max="4" width="5.140625" style="123" customWidth="1"/>
    <col min="5" max="5" width="1.7109375" customWidth="1"/>
    <col min="6" max="6" width="1.28515625" customWidth="1"/>
    <col min="7" max="7" width="1.5703125" customWidth="1"/>
    <col min="8" max="8" width="20.85546875" bestFit="1" customWidth="1"/>
    <col min="9" max="11" width="10.7109375" customWidth="1"/>
    <col min="12" max="12" width="7.42578125" bestFit="1" customWidth="1"/>
    <col min="13" max="18" width="10.7109375" customWidth="1"/>
    <col min="19" max="19" width="2.7109375" customWidth="1"/>
    <col min="20" max="20" width="2" customWidth="1"/>
    <col min="21" max="16384" width="9.140625" hidden="1"/>
  </cols>
  <sheetData>
    <row r="1" spans="1:20" ht="12.75" customHeight="1" x14ac:dyDescent="0.35">
      <c r="A1" s="4"/>
      <c r="B1" s="15"/>
      <c r="C1" s="16"/>
      <c r="D1" s="120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9"/>
      <c r="S1" s="4"/>
      <c r="T1" s="15"/>
    </row>
    <row r="2" spans="1:20" s="62" customFormat="1" ht="16.5" thickBot="1" x14ac:dyDescent="0.3">
      <c r="A2" s="58">
        <f>Cover!B12</f>
        <v>0</v>
      </c>
      <c r="C2" s="59"/>
      <c r="D2" s="133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  <c r="T2" s="61"/>
    </row>
    <row r="3" spans="1:20" ht="13.5" thickTop="1" x14ac:dyDescent="0.2">
      <c r="D3"/>
    </row>
    <row r="4" spans="1:20" x14ac:dyDescent="0.2">
      <c r="D4"/>
    </row>
    <row r="5" spans="1:20" x14ac:dyDescent="0.2">
      <c r="C5" s="166" t="s">
        <v>176</v>
      </c>
      <c r="D5"/>
      <c r="K5" s="4">
        <v>2022</v>
      </c>
      <c r="L5" s="4">
        <v>2023</v>
      </c>
      <c r="M5" s="4">
        <v>2024</v>
      </c>
      <c r="N5" s="4">
        <v>2025</v>
      </c>
      <c r="O5" s="4">
        <v>2026</v>
      </c>
      <c r="P5" s="4">
        <v>2027</v>
      </c>
      <c r="Q5" s="4">
        <v>2028</v>
      </c>
      <c r="R5" s="4">
        <v>2029</v>
      </c>
    </row>
    <row r="6" spans="1:20" x14ac:dyDescent="0.2">
      <c r="C6" s="4" t="s">
        <v>177</v>
      </c>
      <c r="D6"/>
      <c r="K6" s="3" t="b" cm="1">
        <f t="array" ref="K6">K5&lt;Forecast.start</f>
        <v>1</v>
      </c>
      <c r="L6" s="3" t="b" cm="1">
        <f t="array" ref="L6">L5&lt;Forecast.start</f>
        <v>1</v>
      </c>
      <c r="M6" s="3" t="b" cm="1">
        <f t="array" ref="M6">M5&lt;Forecast.start</f>
        <v>1</v>
      </c>
      <c r="N6" s="3" t="b" cm="1">
        <f t="array" ref="N6">N5&lt;Forecast.start</f>
        <v>0</v>
      </c>
      <c r="O6" s="3" t="b" cm="1">
        <f t="array" ref="O6">O5&lt;Forecast.start</f>
        <v>0</v>
      </c>
      <c r="P6" s="3" t="b" cm="1">
        <f t="array" ref="P6">P5&lt;Forecast.start</f>
        <v>0</v>
      </c>
      <c r="Q6" s="3" t="b" cm="1">
        <f t="array" ref="Q6">Q5&lt;Forecast.start</f>
        <v>0</v>
      </c>
      <c r="R6" s="3" t="b" cm="1">
        <f t="array" ref="R6">R5&lt;Forecast.start</f>
        <v>0</v>
      </c>
    </row>
    <row r="7" spans="1:20" x14ac:dyDescent="0.2">
      <c r="C7" s="4" t="s">
        <v>178</v>
      </c>
      <c r="D7"/>
      <c r="K7" t="b">
        <f>NOT(K6)</f>
        <v>0</v>
      </c>
      <c r="L7" t="b">
        <f t="shared" ref="L7:R7" si="0">NOT(L6)</f>
        <v>0</v>
      </c>
      <c r="M7" t="b">
        <f t="shared" si="0"/>
        <v>0</v>
      </c>
      <c r="N7" t="b">
        <f t="shared" si="0"/>
        <v>1</v>
      </c>
      <c r="O7" t="b">
        <f t="shared" si="0"/>
        <v>1</v>
      </c>
      <c r="P7" t="b">
        <f t="shared" si="0"/>
        <v>1</v>
      </c>
      <c r="Q7" t="b">
        <f t="shared" si="0"/>
        <v>1</v>
      </c>
      <c r="R7" t="b">
        <f t="shared" si="0"/>
        <v>1</v>
      </c>
    </row>
    <row r="8" spans="1:20" x14ac:dyDescent="0.2">
      <c r="A8" s="4"/>
      <c r="B8" s="4"/>
      <c r="C8" s="4"/>
      <c r="D8" s="11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20" s="131" customFormat="1" ht="15.75" x14ac:dyDescent="0.25">
      <c r="A9" s="124" t="s">
        <v>105</v>
      </c>
      <c r="B9" s="130"/>
      <c r="D9" s="124" t="s">
        <v>106</v>
      </c>
      <c r="H9" s="124" t="s">
        <v>107</v>
      </c>
      <c r="I9" s="132" t="s">
        <v>122</v>
      </c>
    </row>
    <row r="10" spans="1:20" ht="15" x14ac:dyDescent="0.25">
      <c r="A10" s="75"/>
      <c r="B10" s="75" t="s">
        <v>153</v>
      </c>
      <c r="C10" s="4"/>
      <c r="D10" s="119"/>
      <c r="E10" s="4"/>
      <c r="F10" s="4"/>
      <c r="G10" s="4"/>
      <c r="H10" s="4"/>
      <c r="K10" s="4"/>
      <c r="L10" s="4"/>
      <c r="M10" s="4"/>
      <c r="N10" s="4"/>
      <c r="O10" s="4"/>
      <c r="P10" s="4"/>
      <c r="Q10" s="4"/>
      <c r="R10" s="4"/>
    </row>
    <row r="11" spans="1:20" ht="15" x14ac:dyDescent="0.25">
      <c r="A11" s="75"/>
      <c r="B11" s="75"/>
      <c r="C11" s="4" t="s">
        <v>153</v>
      </c>
      <c r="D11" s="128" t="s">
        <v>22</v>
      </c>
      <c r="E11" s="4"/>
      <c r="F11" s="78"/>
      <c r="G11" s="4"/>
      <c r="H11" s="4"/>
      <c r="K11" s="185" cm="1">
        <f t="array" ref="K11:R11">Assumptions!K122:R122</f>
        <v>365</v>
      </c>
      <c r="L11" s="185">
        <v>365</v>
      </c>
      <c r="M11" s="185">
        <v>366</v>
      </c>
      <c r="N11" s="185">
        <v>365</v>
      </c>
      <c r="O11" s="185">
        <v>365</v>
      </c>
      <c r="P11" s="185">
        <v>365</v>
      </c>
      <c r="Q11" s="185">
        <v>366</v>
      </c>
      <c r="R11" s="185">
        <v>365</v>
      </c>
    </row>
    <row r="12" spans="1:20" x14ac:dyDescent="0.2">
      <c r="A12" s="4"/>
      <c r="B12" s="4"/>
      <c r="C12" s="4"/>
      <c r="D12" s="119"/>
      <c r="E12" s="4"/>
      <c r="F12" s="18"/>
      <c r="G12" s="4"/>
      <c r="H12" s="4"/>
    </row>
    <row r="13" spans="1:20" ht="15" x14ac:dyDescent="0.25">
      <c r="A13" s="4"/>
      <c r="B13" s="75" t="s">
        <v>0</v>
      </c>
      <c r="C13" s="4"/>
      <c r="D13" s="119"/>
      <c r="E13" s="4"/>
      <c r="F13" s="18"/>
      <c r="G13" s="4"/>
      <c r="H13" s="4"/>
    </row>
    <row r="14" spans="1:20" x14ac:dyDescent="0.2">
      <c r="A14" s="4"/>
      <c r="B14" s="4"/>
      <c r="C14" s="4" t="s">
        <v>1</v>
      </c>
      <c r="D14" s="128" t="s">
        <v>126</v>
      </c>
      <c r="E14" s="4"/>
      <c r="F14" s="78"/>
      <c r="G14" s="4"/>
      <c r="H14" s="4"/>
      <c r="K14" s="188" cm="1">
        <f t="array" ref="K14:R14">Revenue!K28:R28</f>
        <v>281.2149095408605</v>
      </c>
      <c r="L14" s="188">
        <v>281.21335544026533</v>
      </c>
      <c r="M14" s="188">
        <v>268.17287048999998</v>
      </c>
      <c r="N14" s="188">
        <v>289.10240234567999</v>
      </c>
      <c r="O14" s="188">
        <v>315.9183088183961</v>
      </c>
      <c r="P14" s="188">
        <v>347.86867208294791</v>
      </c>
      <c r="Q14" s="188">
        <v>370.41695463727046</v>
      </c>
      <c r="R14" s="188">
        <v>409.0349548598823</v>
      </c>
    </row>
    <row r="15" spans="1:20" x14ac:dyDescent="0.2">
      <c r="A15" s="4"/>
      <c r="B15" s="4"/>
      <c r="C15" s="4" t="s">
        <v>33</v>
      </c>
      <c r="D15" s="128" t="s">
        <v>126</v>
      </c>
      <c r="E15" s="4"/>
      <c r="F15" s="78"/>
      <c r="G15" s="4"/>
      <c r="H15" s="4"/>
      <c r="K15" s="188" cm="1">
        <f t="array" ref="K15:R15">Costs!K26:R26</f>
        <v>190.709812284317</v>
      </c>
      <c r="L15" s="188">
        <v>200.35336829508199</v>
      </c>
      <c r="M15" s="188">
        <v>209.567800611</v>
      </c>
      <c r="N15" s="188">
        <v>220.42712894660855</v>
      </c>
      <c r="O15" s="188">
        <v>233.17347910830455</v>
      </c>
      <c r="P15" s="188">
        <v>247.1692609979695</v>
      </c>
      <c r="Q15" s="188">
        <v>257.68829714935032</v>
      </c>
      <c r="R15" s="188">
        <v>275.19526737165506</v>
      </c>
    </row>
    <row r="16" spans="1:20" x14ac:dyDescent="0.2">
      <c r="A16" s="4"/>
      <c r="B16" s="4"/>
      <c r="C16" s="4"/>
      <c r="D16" s="119"/>
      <c r="E16" s="4"/>
      <c r="F16" s="18"/>
      <c r="G16" s="4"/>
      <c r="H16" s="4"/>
      <c r="K16" s="4"/>
      <c r="L16" s="4"/>
      <c r="M16" s="4"/>
      <c r="N16" s="4"/>
      <c r="O16" s="4"/>
      <c r="P16" s="4"/>
      <c r="Q16" s="4"/>
      <c r="R16" s="4"/>
    </row>
    <row r="17" spans="1:18" ht="15" x14ac:dyDescent="0.25">
      <c r="A17" s="4"/>
      <c r="B17" s="75" t="s">
        <v>85</v>
      </c>
      <c r="C17" s="49"/>
      <c r="D17" s="119"/>
      <c r="E17" s="4"/>
      <c r="F17" s="18"/>
      <c r="G17" s="4"/>
      <c r="H17" s="4"/>
      <c r="K17" s="4"/>
      <c r="L17" s="4"/>
      <c r="M17" s="4"/>
      <c r="N17" s="4"/>
      <c r="O17" s="4"/>
      <c r="P17" s="4"/>
      <c r="Q17" s="4"/>
      <c r="R17" s="4"/>
    </row>
    <row r="18" spans="1:18" x14ac:dyDescent="0.2">
      <c r="A18" s="4"/>
      <c r="B18" s="50"/>
      <c r="C18" s="49" t="s">
        <v>21</v>
      </c>
      <c r="D18" s="128" t="s">
        <v>22</v>
      </c>
      <c r="E18" s="4"/>
      <c r="F18" s="78"/>
      <c r="G18" s="102"/>
      <c r="H18" s="102"/>
      <c r="K18">
        <f>K26/K14*$K$11</f>
        <v>40</v>
      </c>
      <c r="L18">
        <f>L26/L14*$L$11</f>
        <v>39.999999999999993</v>
      </c>
      <c r="M18">
        <f>M26/M14*$M$11</f>
        <v>40.000000000000007</v>
      </c>
      <c r="N18" s="185" cm="1">
        <f t="array" ref="N18:R23">Assumptions!N125:R130</f>
        <v>40</v>
      </c>
      <c r="O18" s="185">
        <v>42</v>
      </c>
      <c r="P18" s="185">
        <v>40</v>
      </c>
      <c r="Q18" s="185">
        <v>39</v>
      </c>
      <c r="R18" s="185">
        <v>38</v>
      </c>
    </row>
    <row r="19" spans="1:18" x14ac:dyDescent="0.2">
      <c r="A19" s="4"/>
      <c r="B19" s="50"/>
      <c r="C19" s="51" t="s">
        <v>23</v>
      </c>
      <c r="D19" s="128" t="s">
        <v>22</v>
      </c>
      <c r="E19" s="4"/>
      <c r="F19" s="78"/>
      <c r="G19" s="102"/>
      <c r="H19" s="102"/>
      <c r="K19">
        <f>K27/$K$15*$K$11</f>
        <v>60.000000000000078</v>
      </c>
      <c r="L19">
        <f>L27/L$15*$L$11</f>
        <v>60.000000000000057</v>
      </c>
      <c r="M19">
        <f>M27/M$15*$M$11</f>
        <v>54.999999999999993</v>
      </c>
      <c r="N19" s="185">
        <v>56</v>
      </c>
      <c r="O19" s="185">
        <v>58</v>
      </c>
      <c r="P19" s="185">
        <v>57</v>
      </c>
      <c r="Q19" s="185">
        <v>55</v>
      </c>
      <c r="R19" s="185">
        <v>56</v>
      </c>
    </row>
    <row r="20" spans="1:18" x14ac:dyDescent="0.2">
      <c r="A20" s="4"/>
      <c r="B20" s="50"/>
      <c r="C20" s="51" t="s">
        <v>24</v>
      </c>
      <c r="D20" s="128" t="s">
        <v>22</v>
      </c>
      <c r="E20" s="4"/>
      <c r="F20" s="78"/>
      <c r="G20" s="103"/>
      <c r="H20" s="103"/>
      <c r="K20">
        <f t="shared" ref="K20:K23" si="1">K28/$K$15*$K$11</f>
        <v>30.000000000000039</v>
      </c>
      <c r="L20">
        <f t="shared" ref="L20:L23" si="2">L28/L$15*$L$11</f>
        <v>30.000000000000028</v>
      </c>
      <c r="M20">
        <f t="shared" ref="M20:M23" si="3">M28/M$15*$M$11</f>
        <v>29.999999999999996</v>
      </c>
      <c r="N20" s="185">
        <v>28</v>
      </c>
      <c r="O20" s="185">
        <v>30</v>
      </c>
      <c r="P20" s="185">
        <v>29</v>
      </c>
      <c r="Q20" s="185">
        <v>28</v>
      </c>
      <c r="R20" s="185">
        <v>28</v>
      </c>
    </row>
    <row r="21" spans="1:18" x14ac:dyDescent="0.2">
      <c r="A21" s="4"/>
      <c r="B21" s="50"/>
      <c r="C21" s="51" t="s">
        <v>25</v>
      </c>
      <c r="D21" s="128" t="s">
        <v>22</v>
      </c>
      <c r="E21" s="4"/>
      <c r="F21" s="78"/>
      <c r="G21" s="103"/>
      <c r="H21" s="103"/>
      <c r="K21">
        <f t="shared" si="1"/>
        <v>3.0000000000000036</v>
      </c>
      <c r="L21">
        <f t="shared" si="2"/>
        <v>3.0000000000000027</v>
      </c>
      <c r="M21">
        <f t="shared" si="3"/>
        <v>2.9999999999999996</v>
      </c>
      <c r="N21" s="185">
        <v>4</v>
      </c>
      <c r="O21" s="185">
        <v>3</v>
      </c>
      <c r="P21" s="185">
        <v>4</v>
      </c>
      <c r="Q21" s="185">
        <v>3</v>
      </c>
      <c r="R21" s="185">
        <v>3</v>
      </c>
    </row>
    <row r="22" spans="1:18" x14ac:dyDescent="0.2">
      <c r="A22" s="4"/>
      <c r="B22" s="50"/>
      <c r="C22" s="49" t="s">
        <v>26</v>
      </c>
      <c r="D22" s="128" t="s">
        <v>22</v>
      </c>
      <c r="E22" s="4"/>
      <c r="F22" s="78"/>
      <c r="G22" s="103"/>
      <c r="H22" s="103"/>
      <c r="K22">
        <f t="shared" si="1"/>
        <v>40.00000000000005</v>
      </c>
      <c r="L22">
        <f t="shared" si="2"/>
        <v>40.000000000000036</v>
      </c>
      <c r="M22">
        <f t="shared" si="3"/>
        <v>39.999999999999993</v>
      </c>
      <c r="N22" s="185">
        <v>45</v>
      </c>
      <c r="O22" s="185">
        <v>42</v>
      </c>
      <c r="P22" s="185">
        <v>40</v>
      </c>
      <c r="Q22" s="185">
        <v>43</v>
      </c>
      <c r="R22" s="185">
        <v>41</v>
      </c>
    </row>
    <row r="23" spans="1:18" x14ac:dyDescent="0.2">
      <c r="A23" s="4"/>
      <c r="B23" s="50"/>
      <c r="C23" s="49" t="s">
        <v>27</v>
      </c>
      <c r="D23" s="128" t="s">
        <v>22</v>
      </c>
      <c r="E23" s="4"/>
      <c r="F23" s="78"/>
      <c r="G23" s="103"/>
      <c r="H23" s="103"/>
      <c r="K23">
        <f t="shared" si="1"/>
        <v>10.000000000000012</v>
      </c>
      <c r="L23">
        <f t="shared" si="2"/>
        <v>10.000000000000009</v>
      </c>
      <c r="M23">
        <f t="shared" si="3"/>
        <v>9.9999999999999982</v>
      </c>
      <c r="N23" s="185">
        <v>8</v>
      </c>
      <c r="O23" s="185">
        <v>10</v>
      </c>
      <c r="P23" s="185">
        <v>9</v>
      </c>
      <c r="Q23" s="185">
        <v>8</v>
      </c>
      <c r="R23" s="185">
        <v>9</v>
      </c>
    </row>
    <row r="24" spans="1:18" x14ac:dyDescent="0.2">
      <c r="A24" s="4"/>
      <c r="B24" s="50"/>
      <c r="C24" s="49"/>
      <c r="D24" s="119"/>
      <c r="E24" s="4"/>
      <c r="F24" s="18"/>
      <c r="G24" s="4"/>
      <c r="H24" s="4"/>
    </row>
    <row r="25" spans="1:18" ht="15" x14ac:dyDescent="0.25">
      <c r="A25" s="4"/>
      <c r="B25" s="75" t="s">
        <v>86</v>
      </c>
      <c r="C25" s="49"/>
      <c r="D25" s="119"/>
      <c r="E25" s="4"/>
      <c r="F25" s="18"/>
      <c r="G25" s="4"/>
      <c r="H25" s="4"/>
    </row>
    <row r="26" spans="1:18" ht="15" x14ac:dyDescent="0.25">
      <c r="A26" s="4"/>
      <c r="B26" s="50"/>
      <c r="C26" s="49" t="s">
        <v>21</v>
      </c>
      <c r="D26" s="128" t="s">
        <v>126</v>
      </c>
      <c r="E26" s="4"/>
      <c r="F26" s="78"/>
      <c r="G26" s="4"/>
      <c r="H26" s="4"/>
      <c r="K26" s="181" cm="1">
        <f t="array" ref="K26:M29">Assumptions!K54:M57</f>
        <v>30.818072278450469</v>
      </c>
      <c r="L26" s="181">
        <v>30.817901966056468</v>
      </c>
      <c r="M26" s="181">
        <v>29.308510436065575</v>
      </c>
      <c r="N26" s="178">
        <f>N14/N11*N18</f>
        <v>31.682455051581368</v>
      </c>
      <c r="O26" s="178">
        <f t="shared" ref="O26:R26" si="4">O14/O11*O18</f>
        <v>36.352243754445581</v>
      </c>
      <c r="P26" s="178">
        <f t="shared" si="4"/>
        <v>38.122594200871006</v>
      </c>
      <c r="Q26" s="178">
        <f t="shared" si="4"/>
        <v>39.47065910069275</v>
      </c>
      <c r="R26" s="178">
        <f t="shared" si="4"/>
        <v>42.584461053905557</v>
      </c>
    </row>
    <row r="27" spans="1:18" ht="15" x14ac:dyDescent="0.25">
      <c r="A27" s="4"/>
      <c r="B27" s="50"/>
      <c r="C27" s="51" t="s">
        <v>23</v>
      </c>
      <c r="D27" s="128" t="s">
        <v>126</v>
      </c>
      <c r="E27" s="4"/>
      <c r="F27" s="78"/>
      <c r="G27" s="4"/>
      <c r="H27" s="4"/>
      <c r="K27" s="181">
        <v>31.349558183723381</v>
      </c>
      <c r="L27" s="181">
        <v>32.934800267684743</v>
      </c>
      <c r="M27" s="181">
        <v>31.492429053565566</v>
      </c>
      <c r="N27" s="178">
        <f>N$15/N$11*N19</f>
        <v>33.818956769890626</v>
      </c>
      <c r="O27" s="178">
        <f t="shared" ref="O27:R27" si="5">O$15/O$11*O19</f>
        <v>37.052224077484013</v>
      </c>
      <c r="P27" s="178">
        <f t="shared" si="5"/>
        <v>38.599035279134966</v>
      </c>
      <c r="Q27" s="178">
        <f t="shared" si="5"/>
        <v>38.723651210967944</v>
      </c>
      <c r="R27" s="178">
        <f t="shared" si="5"/>
        <v>42.221739651541597</v>
      </c>
    </row>
    <row r="28" spans="1:18" ht="15" x14ac:dyDescent="0.25">
      <c r="A28" s="4"/>
      <c r="B28" s="50"/>
      <c r="C28" s="51" t="s">
        <v>24</v>
      </c>
      <c r="D28" s="128" t="s">
        <v>126</v>
      </c>
      <c r="E28" s="4"/>
      <c r="F28" s="78"/>
      <c r="G28" s="4"/>
      <c r="H28" s="4"/>
      <c r="K28" s="181">
        <v>15.674779091861691</v>
      </c>
      <c r="L28" s="181">
        <v>16.467400133842371</v>
      </c>
      <c r="M28" s="181">
        <v>17.177688574672128</v>
      </c>
      <c r="N28" s="178">
        <f t="shared" ref="N28:R28" si="6">N$15/N$11*N20</f>
        <v>16.909478384945313</v>
      </c>
      <c r="O28" s="178">
        <f t="shared" si="6"/>
        <v>19.164943488353799</v>
      </c>
      <c r="P28" s="178">
        <f t="shared" si="6"/>
        <v>19.638105668331825</v>
      </c>
      <c r="Q28" s="178">
        <f t="shared" si="6"/>
        <v>19.713858798310952</v>
      </c>
      <c r="R28" s="178">
        <f t="shared" si="6"/>
        <v>21.110869825770799</v>
      </c>
    </row>
    <row r="29" spans="1:18" ht="15" x14ac:dyDescent="0.25">
      <c r="A29" s="4"/>
      <c r="B29" s="50"/>
      <c r="C29" s="51" t="s">
        <v>25</v>
      </c>
      <c r="D29" s="128" t="s">
        <v>126</v>
      </c>
      <c r="E29" s="4"/>
      <c r="F29" s="78"/>
      <c r="G29" s="4"/>
      <c r="H29" s="4"/>
      <c r="K29" s="181">
        <v>1.567477909186169</v>
      </c>
      <c r="L29" s="181">
        <v>1.6467400133842371</v>
      </c>
      <c r="M29" s="181">
        <v>1.7177688574672128</v>
      </c>
      <c r="N29" s="178">
        <f t="shared" ref="N29:R29" si="7">N$15/N$11*N21</f>
        <v>2.4156397692779019</v>
      </c>
      <c r="O29" s="178">
        <f t="shared" si="7"/>
        <v>1.9164943488353798</v>
      </c>
      <c r="P29" s="178">
        <f t="shared" si="7"/>
        <v>2.7087042301147344</v>
      </c>
      <c r="Q29" s="178">
        <f t="shared" si="7"/>
        <v>2.1121991569618879</v>
      </c>
      <c r="R29" s="178">
        <f t="shared" si="7"/>
        <v>2.2618789099040142</v>
      </c>
    </row>
    <row r="30" spans="1:18" ht="15" x14ac:dyDescent="0.25">
      <c r="A30" s="4"/>
      <c r="B30" s="50"/>
      <c r="C30" s="49" t="s">
        <v>26</v>
      </c>
      <c r="D30" s="128" t="s">
        <v>126</v>
      </c>
      <c r="E30" s="4"/>
      <c r="F30" s="78"/>
      <c r="G30" s="4"/>
      <c r="H30" s="4"/>
      <c r="K30" s="181" cm="1">
        <f t="array" ref="K30:M31">Assumptions!K64:M65</f>
        <v>20.899705455815585</v>
      </c>
      <c r="L30" s="181">
        <v>21.956533511789829</v>
      </c>
      <c r="M30" s="181">
        <v>22.903584766229503</v>
      </c>
      <c r="N30" s="178">
        <f t="shared" ref="N30:R30" si="8">N$15/N$11*N22</f>
        <v>27.175947404376398</v>
      </c>
      <c r="O30" s="178">
        <f t="shared" si="8"/>
        <v>26.830920883695317</v>
      </c>
      <c r="P30" s="178">
        <f t="shared" si="8"/>
        <v>27.087042301147342</v>
      </c>
      <c r="Q30" s="178">
        <f t="shared" si="8"/>
        <v>30.274854583120394</v>
      </c>
      <c r="R30" s="178">
        <f t="shared" si="8"/>
        <v>30.912345102021526</v>
      </c>
    </row>
    <row r="31" spans="1:18" ht="15" x14ac:dyDescent="0.25">
      <c r="A31" s="4"/>
      <c r="B31" s="50"/>
      <c r="C31" s="49" t="s">
        <v>27</v>
      </c>
      <c r="D31" s="128" t="s">
        <v>126</v>
      </c>
      <c r="E31" s="4"/>
      <c r="F31" s="78"/>
      <c r="G31" s="4"/>
      <c r="H31" s="4"/>
      <c r="K31" s="181">
        <v>5.2249263639538963</v>
      </c>
      <c r="L31" s="181">
        <v>5.4891333779474571</v>
      </c>
      <c r="M31" s="181">
        <v>5.7258961915573758</v>
      </c>
      <c r="N31" s="178">
        <f t="shared" ref="N31:R31" si="9">N$15/N$11*N23</f>
        <v>4.8312795385558038</v>
      </c>
      <c r="O31" s="178">
        <f t="shared" si="9"/>
        <v>6.3883144961179328</v>
      </c>
      <c r="P31" s="178">
        <f t="shared" si="9"/>
        <v>6.0945845177581521</v>
      </c>
      <c r="Q31" s="178">
        <f t="shared" si="9"/>
        <v>5.632531085231701</v>
      </c>
      <c r="R31" s="178">
        <f t="shared" si="9"/>
        <v>6.7856367297120421</v>
      </c>
    </row>
    <row r="32" spans="1:18" x14ac:dyDescent="0.2">
      <c r="A32" s="4"/>
      <c r="B32" s="50"/>
      <c r="C32" s="96" t="s">
        <v>87</v>
      </c>
      <c r="D32" s="129" t="s">
        <v>126</v>
      </c>
      <c r="E32" s="90"/>
      <c r="F32" s="98"/>
      <c r="G32" s="90"/>
      <c r="H32" s="90"/>
      <c r="K32" s="172">
        <f>SUM(K26:K29)-SUM(K30:K31)</f>
        <v>53.285255643452224</v>
      </c>
      <c r="L32" s="172">
        <f t="shared" ref="L32:R32" si="10">SUM(L26:L29)-SUM(L30:L31)</f>
        <v>54.421175491230528</v>
      </c>
      <c r="M32" s="172">
        <f t="shared" si="10"/>
        <v>51.06691596398359</v>
      </c>
      <c r="N32" s="172">
        <f t="shared" si="10"/>
        <v>52.81930303276301</v>
      </c>
      <c r="O32" s="172">
        <f t="shared" si="10"/>
        <v>61.26667028930553</v>
      </c>
      <c r="P32" s="172">
        <f t="shared" si="10"/>
        <v>65.886812559547025</v>
      </c>
      <c r="Q32" s="172">
        <f t="shared" si="10"/>
        <v>64.112982598581453</v>
      </c>
      <c r="R32" s="172">
        <f t="shared" si="10"/>
        <v>70.480967609388387</v>
      </c>
    </row>
    <row r="33" spans="1:19" x14ac:dyDescent="0.2">
      <c r="A33" s="4"/>
      <c r="B33" s="50"/>
      <c r="C33" s="49"/>
      <c r="D33" s="119"/>
      <c r="E33" s="4"/>
      <c r="F33" s="18"/>
      <c r="G33" s="4"/>
      <c r="H33" s="4"/>
    </row>
    <row r="34" spans="1:19" x14ac:dyDescent="0.2">
      <c r="A34" s="4"/>
      <c r="B34" s="50"/>
      <c r="C34" s="96" t="s">
        <v>88</v>
      </c>
      <c r="D34" s="129" t="s">
        <v>126</v>
      </c>
      <c r="E34" s="90"/>
      <c r="F34" s="98"/>
      <c r="G34" s="90"/>
      <c r="H34" s="90"/>
      <c r="K34" s="181" cm="1">
        <f t="array" ref="K34:M34">Assumptions!K37:M37</f>
        <v>-3.6906200333388668</v>
      </c>
      <c r="L34" s="181">
        <v>-1.1359198477783039</v>
      </c>
      <c r="M34" s="181">
        <v>3.3542595272469313</v>
      </c>
      <c r="N34" s="172">
        <f>M32-N32</f>
        <v>-1.7523870687794201</v>
      </c>
      <c r="O34" s="172">
        <f t="shared" ref="O34:R34" si="11">N32-O32</f>
        <v>-8.4473672565425204</v>
      </c>
      <c r="P34" s="172">
        <f t="shared" si="11"/>
        <v>-4.6201422702414945</v>
      </c>
      <c r="Q34" s="172">
        <f t="shared" si="11"/>
        <v>1.7738299609655712</v>
      </c>
      <c r="R34" s="172">
        <f t="shared" si="11"/>
        <v>-6.3679850108069331</v>
      </c>
    </row>
    <row r="35" spans="1:19" x14ac:dyDescent="0.2">
      <c r="A35" s="4"/>
      <c r="B35" s="4"/>
      <c r="C35" s="104"/>
      <c r="D35" s="119"/>
      <c r="E35" s="4"/>
      <c r="F35" s="4"/>
      <c r="G35" s="4"/>
      <c r="H35" s="4"/>
      <c r="I35" s="4"/>
      <c r="J35" s="4"/>
      <c r="K35" s="4"/>
      <c r="L35" s="189"/>
      <c r="M35" s="189"/>
      <c r="N35" s="4"/>
      <c r="O35" s="4"/>
      <c r="P35" s="4"/>
      <c r="Q35" s="4"/>
      <c r="R35" s="4"/>
    </row>
    <row r="36" spans="1:19" s="66" customFormat="1" ht="16.5" thickBot="1" x14ac:dyDescent="0.3">
      <c r="A36" s="74" t="s">
        <v>149</v>
      </c>
      <c r="B36" s="74"/>
      <c r="D36" s="134"/>
      <c r="P36" s="67"/>
      <c r="Q36" s="68"/>
    </row>
    <row r="37" spans="1:19" x14ac:dyDescent="0.2"/>
    <row r="38" spans="1:19" x14ac:dyDescent="0.2"/>
    <row r="39" spans="1:19" x14ac:dyDescent="0.2">
      <c r="S39" s="4"/>
    </row>
    <row r="40" spans="1:19" x14ac:dyDescent="0.2">
      <c r="S40" s="4"/>
    </row>
    <row r="41" spans="1:19" x14ac:dyDescent="0.2">
      <c r="S41" s="4"/>
    </row>
    <row r="42" spans="1:19" x14ac:dyDescent="0.2">
      <c r="S42" s="4"/>
    </row>
    <row r="43" spans="1:19" x14ac:dyDescent="0.2">
      <c r="S43" s="4"/>
    </row>
    <row r="44" spans="1:19" x14ac:dyDescent="0.2">
      <c r="S44" s="4"/>
    </row>
    <row r="45" spans="1:19" x14ac:dyDescent="0.2">
      <c r="S45" s="4"/>
    </row>
    <row r="46" spans="1:19" x14ac:dyDescent="0.2">
      <c r="S46" s="4"/>
    </row>
    <row r="47" spans="1:19" x14ac:dyDescent="0.2">
      <c r="S47" s="4"/>
    </row>
    <row r="48" spans="1:19" x14ac:dyDescent="0.2">
      <c r="S48" s="4"/>
    </row>
    <row r="49" spans="1:19" x14ac:dyDescent="0.2">
      <c r="S49" s="4"/>
    </row>
    <row r="50" spans="1:19" x14ac:dyDescent="0.2">
      <c r="S50" s="4"/>
    </row>
    <row r="51" spans="1:19" x14ac:dyDescent="0.2">
      <c r="S51" s="4"/>
    </row>
    <row r="52" spans="1:19" x14ac:dyDescent="0.2">
      <c r="A52" s="1"/>
      <c r="B52" s="1"/>
      <c r="C52" s="1"/>
      <c r="D52" s="119"/>
      <c r="E52" s="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4"/>
    </row>
    <row r="53" spans="1:19" hidden="1" x14ac:dyDescent="0.2">
      <c r="S53" s="4"/>
    </row>
    <row r="54" spans="1:19" hidden="1" x14ac:dyDescent="0.2">
      <c r="S54" s="4"/>
    </row>
    <row r="55" spans="1:19" hidden="1" x14ac:dyDescent="0.2">
      <c r="S55" s="4"/>
    </row>
    <row r="56" spans="1:19" hidden="1" x14ac:dyDescent="0.2">
      <c r="S56" s="4"/>
    </row>
    <row r="57" spans="1:19" hidden="1" x14ac:dyDescent="0.2">
      <c r="S57" s="4"/>
    </row>
    <row r="58" spans="1:19" hidden="1" x14ac:dyDescent="0.2">
      <c r="S58" s="4"/>
    </row>
    <row r="59" spans="1:19" hidden="1" x14ac:dyDescent="0.2">
      <c r="S59" s="4"/>
    </row>
    <row r="60" spans="1:19" hidden="1" x14ac:dyDescent="0.2">
      <c r="S60" s="4"/>
    </row>
    <row r="61" spans="1:19" hidden="1" x14ac:dyDescent="0.2">
      <c r="S61" s="4"/>
    </row>
    <row r="62" spans="1:19" hidden="1" x14ac:dyDescent="0.2">
      <c r="S62" s="14"/>
    </row>
    <row r="63" spans="1:19" hidden="1" x14ac:dyDescent="0.2">
      <c r="S63" s="14"/>
    </row>
    <row r="64" spans="1:19" x14ac:dyDescent="0.2"/>
  </sheetData>
  <conditionalFormatting sqref="K6:R7">
    <cfRule type="cellIs" dxfId="9" priority="1" operator="equal">
      <formula>TRUE</formula>
    </cfRule>
  </conditionalFormatting>
  <pageMargins left="0.7" right="0.7" top="0.75" bottom="0.75" header="0.3" footer="0.3"/>
  <pageSetup paperSize="9" scale="73" orientation="portrait" r:id="rId1"/>
  <headerFooter>
    <oddHeader>&amp;LFinancial Metrics for Decision Making 25624</oddHeader>
    <oddFooter>&amp;L&amp;F&amp;R&amp;A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0162-306B-4030-806C-597A4BCDFF9F}">
  <sheetPr>
    <pageSetUpPr fitToPage="1"/>
  </sheetPr>
  <dimension ref="A1:T53"/>
  <sheetViews>
    <sheetView showGridLines="0" zoomScale="85" zoomScaleNormal="85" workbookViewId="0">
      <selection activeCell="O16" sqref="O16"/>
    </sheetView>
  </sheetViews>
  <sheetFormatPr defaultColWidth="0" defaultRowHeight="12.75" zeroHeight="1" x14ac:dyDescent="0.2"/>
  <cols>
    <col min="1" max="1" width="1.5703125" customWidth="1"/>
    <col min="2" max="2" width="2" customWidth="1"/>
    <col min="3" max="3" width="40.5703125" customWidth="1"/>
    <col min="4" max="4" width="5.140625" style="123" customWidth="1"/>
    <col min="5" max="5" width="1.7109375" customWidth="1"/>
    <col min="6" max="6" width="1.28515625" customWidth="1"/>
    <col min="7" max="7" width="1.5703125" customWidth="1"/>
    <col min="8" max="8" width="20.85546875" bestFit="1" customWidth="1"/>
    <col min="9" max="18" width="10.7109375" customWidth="1"/>
    <col min="19" max="19" width="2.7109375" customWidth="1"/>
    <col min="20" max="20" width="2" customWidth="1"/>
    <col min="21" max="16384" width="9.140625" hidden="1"/>
  </cols>
  <sheetData>
    <row r="1" spans="1:20" ht="12.75" customHeight="1" x14ac:dyDescent="0.35">
      <c r="A1" s="4"/>
      <c r="B1" s="15"/>
      <c r="C1" s="16"/>
      <c r="D1" s="120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9"/>
      <c r="S1" s="4"/>
      <c r="T1" s="15"/>
    </row>
    <row r="2" spans="1:20" s="62" customFormat="1" ht="16.5" thickBot="1" x14ac:dyDescent="0.3">
      <c r="A2" s="58">
        <f>Cover!B12</f>
        <v>0</v>
      </c>
      <c r="C2" s="59"/>
      <c r="D2" s="133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  <c r="T2" s="61"/>
    </row>
    <row r="3" spans="1:20" ht="13.5" thickTop="1" x14ac:dyDescent="0.2">
      <c r="D3"/>
    </row>
    <row r="4" spans="1:20" x14ac:dyDescent="0.2">
      <c r="D4"/>
    </row>
    <row r="5" spans="1:20" x14ac:dyDescent="0.2">
      <c r="C5" s="166" t="s">
        <v>176</v>
      </c>
      <c r="D5"/>
      <c r="K5" s="4">
        <v>2022</v>
      </c>
      <c r="L5" s="4">
        <v>2023</v>
      </c>
      <c r="M5" s="4">
        <v>2024</v>
      </c>
      <c r="N5" s="4">
        <v>2025</v>
      </c>
      <c r="O5" s="4">
        <v>2026</v>
      </c>
      <c r="P5" s="4">
        <v>2027</v>
      </c>
      <c r="Q5" s="4">
        <v>2028</v>
      </c>
      <c r="R5" s="4">
        <v>2029</v>
      </c>
    </row>
    <row r="6" spans="1:20" x14ac:dyDescent="0.2">
      <c r="C6" s="4" t="s">
        <v>177</v>
      </c>
      <c r="D6"/>
      <c r="K6" s="3" t="b" cm="1">
        <f t="array" ref="K6">K5&lt;Forecast.start</f>
        <v>1</v>
      </c>
      <c r="L6" s="3" t="b" cm="1">
        <f t="array" ref="L6">L5&lt;Forecast.start</f>
        <v>1</v>
      </c>
      <c r="M6" s="3" t="b" cm="1">
        <f t="array" ref="M6">M5&lt;Forecast.start</f>
        <v>1</v>
      </c>
      <c r="N6" s="3" t="b" cm="1">
        <f t="array" ref="N6">N5&lt;Forecast.start</f>
        <v>0</v>
      </c>
      <c r="O6" s="3" t="b" cm="1">
        <f t="array" ref="O6">O5&lt;Forecast.start</f>
        <v>0</v>
      </c>
      <c r="P6" s="3" t="b" cm="1">
        <f t="array" ref="P6">P5&lt;Forecast.start</f>
        <v>0</v>
      </c>
      <c r="Q6" s="3" t="b" cm="1">
        <f t="array" ref="Q6">Q5&lt;Forecast.start</f>
        <v>0</v>
      </c>
      <c r="R6" s="3" t="b" cm="1">
        <f t="array" ref="R6">R5&lt;Forecast.start</f>
        <v>0</v>
      </c>
    </row>
    <row r="7" spans="1:20" x14ac:dyDescent="0.2">
      <c r="C7" s="4" t="s">
        <v>178</v>
      </c>
      <c r="D7"/>
      <c r="K7" t="b">
        <f>NOT(K6)</f>
        <v>0</v>
      </c>
      <c r="L7" t="b">
        <f t="shared" ref="L7:R7" si="0">NOT(L6)</f>
        <v>0</v>
      </c>
      <c r="M7" t="b">
        <f t="shared" si="0"/>
        <v>0</v>
      </c>
      <c r="N7" t="b">
        <f t="shared" si="0"/>
        <v>1</v>
      </c>
      <c r="O7" t="b">
        <f t="shared" si="0"/>
        <v>1</v>
      </c>
      <c r="P7" t="b">
        <f t="shared" si="0"/>
        <v>1</v>
      </c>
      <c r="Q7" t="b">
        <f t="shared" si="0"/>
        <v>1</v>
      </c>
      <c r="R7" t="b">
        <f t="shared" si="0"/>
        <v>1</v>
      </c>
    </row>
    <row r="8" spans="1:20" x14ac:dyDescent="0.2">
      <c r="A8" s="4"/>
      <c r="B8" s="4"/>
      <c r="C8" s="4"/>
      <c r="D8" s="119"/>
      <c r="E8" s="4"/>
      <c r="F8" s="1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20" s="131" customFormat="1" ht="15.75" x14ac:dyDescent="0.25">
      <c r="A9" s="124" t="s">
        <v>105</v>
      </c>
      <c r="B9" s="130"/>
      <c r="D9" s="124" t="s">
        <v>106</v>
      </c>
      <c r="H9" s="124" t="s">
        <v>107</v>
      </c>
      <c r="I9" s="132" t="s">
        <v>122</v>
      </c>
    </row>
    <row r="10" spans="1:20" ht="16.5" thickBot="1" x14ac:dyDescent="0.3">
      <c r="A10" s="74" t="s">
        <v>59</v>
      </c>
      <c r="B10" s="74"/>
      <c r="C10" s="74"/>
      <c r="D10" s="13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</row>
    <row r="11" spans="1:20" ht="15" x14ac:dyDescent="0.25">
      <c r="A11" s="4"/>
      <c r="B11" s="75" t="s">
        <v>59</v>
      </c>
      <c r="C11" s="52"/>
      <c r="D11" s="119"/>
      <c r="E11" s="4"/>
      <c r="F11" s="11"/>
      <c r="G11" s="4"/>
      <c r="H11" s="4"/>
    </row>
    <row r="12" spans="1:20" x14ac:dyDescent="0.2">
      <c r="A12" s="4"/>
      <c r="B12" s="4"/>
      <c r="C12" s="4" t="s">
        <v>89</v>
      </c>
      <c r="D12" s="116" t="s">
        <v>126</v>
      </c>
      <c r="E12" s="4"/>
      <c r="F12" s="11"/>
      <c r="G12" s="4"/>
      <c r="H12" s="4"/>
      <c r="K12" s="181" cm="1">
        <f t="array" aca="1" ref="K12:R14" ca="1">'Financial Statements'!K56:R58</f>
        <v>3.5527136788005009E-15</v>
      </c>
      <c r="L12" s="181">
        <f ca="1"/>
        <v>7.2009264226796432E-2</v>
      </c>
      <c r="M12" s="181">
        <f ca="1"/>
        <v>3.1496194866960927</v>
      </c>
      <c r="N12" s="181">
        <f ca="1"/>
        <v>-8.5265128291212022E-14</v>
      </c>
      <c r="O12" s="181">
        <f ca="1"/>
        <v>37.46891300059211</v>
      </c>
      <c r="P12" s="181">
        <f ca="1"/>
        <v>33.459689283840937</v>
      </c>
      <c r="Q12" s="181">
        <f ca="1"/>
        <v>38.887652176907011</v>
      </c>
      <c r="R12" s="181">
        <f ca="1"/>
        <v>64.370930605037159</v>
      </c>
    </row>
    <row r="13" spans="1:20" x14ac:dyDescent="0.2">
      <c r="A13" s="4"/>
      <c r="B13" s="4"/>
      <c r="C13" s="4" t="s">
        <v>90</v>
      </c>
      <c r="D13" s="116" t="s">
        <v>126</v>
      </c>
      <c r="E13" s="4"/>
      <c r="F13" s="11"/>
      <c r="G13" s="4"/>
      <c r="H13" s="4"/>
      <c r="K13" s="181">
        <f ca="1"/>
        <v>7.2009264227048675E-2</v>
      </c>
      <c r="L13" s="181">
        <f ca="1"/>
        <v>3.0776102224695734</v>
      </c>
      <c r="M13" s="181">
        <f ca="1"/>
        <v>-3.149619486696178</v>
      </c>
      <c r="N13" s="181">
        <f ca="1"/>
        <v>37.468913000592195</v>
      </c>
      <c r="O13" s="181">
        <f ca="1"/>
        <v>-4.0092237167511726</v>
      </c>
      <c r="P13" s="181">
        <f ca="1"/>
        <v>5.427962893066077</v>
      </c>
      <c r="Q13" s="181">
        <f ca="1"/>
        <v>25.483278428130149</v>
      </c>
      <c r="R13" s="181">
        <f ca="1"/>
        <v>14.97377937831315</v>
      </c>
    </row>
    <row r="14" spans="1:20" x14ac:dyDescent="0.2">
      <c r="A14" s="4"/>
      <c r="B14" s="4"/>
      <c r="C14" s="4" t="s">
        <v>91</v>
      </c>
      <c r="D14" s="116" t="s">
        <v>126</v>
      </c>
      <c r="E14" s="4"/>
      <c r="F14" s="11"/>
      <c r="G14" s="4"/>
      <c r="H14" s="4"/>
      <c r="K14" s="181">
        <f ca="1"/>
        <v>7.2009264227052228E-2</v>
      </c>
      <c r="L14" s="181">
        <f ca="1"/>
        <v>3.1496194866963698</v>
      </c>
      <c r="M14" s="181">
        <f ca="1"/>
        <v>-8.5265128291212022E-14</v>
      </c>
      <c r="N14" s="181">
        <f ca="1"/>
        <v>37.46891300059211</v>
      </c>
      <c r="O14" s="181">
        <f ca="1"/>
        <v>33.459689283840937</v>
      </c>
      <c r="P14" s="181">
        <f ca="1"/>
        <v>38.887652176907011</v>
      </c>
      <c r="Q14" s="181">
        <f ca="1"/>
        <v>64.370930605037159</v>
      </c>
      <c r="R14" s="181">
        <f ca="1"/>
        <v>79.344709983350313</v>
      </c>
    </row>
    <row r="15" spans="1:20" x14ac:dyDescent="0.2">
      <c r="A15" s="4"/>
      <c r="B15" s="4"/>
      <c r="C15" s="4"/>
      <c r="D15" s="126"/>
      <c r="E15" s="4"/>
      <c r="F15" s="11"/>
      <c r="G15" s="4"/>
      <c r="H15" s="4"/>
    </row>
    <row r="16" spans="1:20" x14ac:dyDescent="0.2">
      <c r="A16" s="4"/>
      <c r="B16" s="4"/>
      <c r="C16" s="4" t="s">
        <v>92</v>
      </c>
      <c r="D16" s="116" t="s">
        <v>123</v>
      </c>
      <c r="E16" s="4"/>
      <c r="F16" s="11"/>
      <c r="G16" s="4"/>
      <c r="H16" s="4"/>
      <c r="I16" s="200">
        <f>Assumptions!I139</f>
        <v>0.02</v>
      </c>
    </row>
    <row r="17" spans="1:20" x14ac:dyDescent="0.2">
      <c r="A17" s="4"/>
      <c r="B17" s="4"/>
      <c r="C17" s="94" t="s">
        <v>93</v>
      </c>
      <c r="D17" s="127" t="s">
        <v>126</v>
      </c>
      <c r="E17" s="90"/>
      <c r="F17" s="91"/>
      <c r="G17" s="90"/>
      <c r="H17" s="90"/>
      <c r="K17" s="173">
        <f t="shared" ref="K17:M17" ca="1" si="1">AVERAGE(K12,K14)*$I$16</f>
        <v>7.2009264227055779E-4</v>
      </c>
      <c r="L17" s="173">
        <f t="shared" ca="1" si="1"/>
        <v>3.221628750923166E-2</v>
      </c>
      <c r="M17" s="173">
        <f t="shared" ca="1" si="1"/>
        <v>3.1496194866960078E-2</v>
      </c>
      <c r="N17" s="173">
        <f ca="1">AVERAGE(N12,N14)*$I$16</f>
        <v>0.37468913000592025</v>
      </c>
      <c r="O17" s="173">
        <f t="shared" ref="O17:R17" ca="1" si="2">AVERAGE(O12,O14)*$I$16</f>
        <v>0.70928602284433051</v>
      </c>
      <c r="P17" s="173">
        <f t="shared" ca="1" si="2"/>
        <v>0.72347341460747938</v>
      </c>
      <c r="Q17" s="173">
        <f t="shared" ca="1" si="2"/>
        <v>1.0325858278194417</v>
      </c>
      <c r="R17" s="173">
        <f t="shared" ca="1" si="2"/>
        <v>1.4371564058838748</v>
      </c>
    </row>
    <row r="18" spans="1:20" x14ac:dyDescent="0.2">
      <c r="A18" s="4"/>
      <c r="B18" s="4"/>
      <c r="C18" s="4"/>
      <c r="D18" s="126"/>
      <c r="E18" s="4"/>
      <c r="F18" s="11"/>
      <c r="G18" s="4"/>
      <c r="H18" s="4"/>
    </row>
    <row r="19" spans="1:20" ht="16.5" thickBot="1" x14ac:dyDescent="0.3">
      <c r="A19" s="74" t="s">
        <v>134</v>
      </c>
      <c r="B19" s="74"/>
      <c r="C19" s="74"/>
      <c r="D19" s="145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</row>
    <row r="20" spans="1:20" ht="15" x14ac:dyDescent="0.25">
      <c r="A20" s="4"/>
      <c r="B20" s="75" t="s">
        <v>94</v>
      </c>
      <c r="C20" s="52"/>
      <c r="D20" s="126"/>
      <c r="E20" s="4"/>
      <c r="F20" s="11"/>
      <c r="G20" s="4"/>
      <c r="H20" s="4"/>
    </row>
    <row r="21" spans="1:20" x14ac:dyDescent="0.2">
      <c r="A21" s="4"/>
      <c r="B21" s="12"/>
      <c r="C21" s="4" t="s">
        <v>46</v>
      </c>
      <c r="D21" s="126"/>
      <c r="E21" s="4"/>
      <c r="F21" s="11"/>
      <c r="G21" s="4"/>
      <c r="H21" s="4"/>
      <c r="K21" s="181" cm="1">
        <f t="array" aca="1" ref="K21:R21" ca="1">'Financial Statements'!K40:R40</f>
        <v>54.852399349125989</v>
      </c>
      <c r="L21" s="181">
        <f ca="1"/>
        <v>52.349409406698143</v>
      </c>
      <c r="M21" s="181">
        <f ca="1"/>
        <v>43.481316050716678</v>
      </c>
      <c r="N21" s="181">
        <f ca="1"/>
        <v>47.861127380090871</v>
      </c>
      <c r="O21" s="181">
        <f ca="1"/>
        <v>50.553124716512606</v>
      </c>
      <c r="P21" s="181">
        <f ca="1"/>
        <v>67.659205597208597</v>
      </c>
      <c r="Q21" s="181">
        <f ca="1"/>
        <v>82.847121623067451</v>
      </c>
      <c r="R21" s="181">
        <f ca="1"/>
        <v>89.846505336639751</v>
      </c>
    </row>
    <row r="22" spans="1:20" x14ac:dyDescent="0.2">
      <c r="A22" s="4"/>
      <c r="B22" s="12"/>
      <c r="C22" s="4" t="s">
        <v>49</v>
      </c>
      <c r="D22" s="126"/>
      <c r="E22" s="4"/>
      <c r="F22" s="11"/>
      <c r="G22" s="4"/>
      <c r="H22" s="4"/>
      <c r="K22" s="188" cm="1">
        <f t="array" ref="K22:R22">'Financial Statements'!K45:R45</f>
        <v>-17.3</v>
      </c>
      <c r="L22" s="188">
        <v>-17.5</v>
      </c>
      <c r="M22" s="188">
        <v>-18</v>
      </c>
      <c r="N22" s="188">
        <v>-32.553759999999997</v>
      </c>
      <c r="O22" s="188">
        <v>-32.888794239999996</v>
      </c>
      <c r="P22" s="188">
        <v>-37.395277876479994</v>
      </c>
      <c r="Q22" s="188">
        <v>-30.530315048458235</v>
      </c>
      <c r="R22" s="188">
        <v>-44.368548420199396</v>
      </c>
    </row>
    <row r="23" spans="1:20" x14ac:dyDescent="0.2">
      <c r="A23" s="4"/>
      <c r="B23" s="12"/>
      <c r="C23" s="4" t="s">
        <v>166</v>
      </c>
      <c r="D23" s="126"/>
      <c r="E23" s="4"/>
      <c r="F23" s="11"/>
      <c r="G23" s="4"/>
      <c r="H23" s="4"/>
      <c r="K23" s="181" cm="1">
        <f t="array" ref="K23:M23">Assumptions!K45:M45</f>
        <v>-25</v>
      </c>
      <c r="L23" s="185">
        <v>-25</v>
      </c>
      <c r="M23" s="185">
        <v>-25</v>
      </c>
      <c r="N23" s="198" cm="1">
        <f t="array" ref="N23:R23">Assumptions!N148:R148</f>
        <v>30</v>
      </c>
      <c r="O23" s="198">
        <v>-12</v>
      </c>
      <c r="P23" s="198">
        <v>-12</v>
      </c>
      <c r="Q23" s="198">
        <v>-12</v>
      </c>
      <c r="R23" s="198">
        <v>-12</v>
      </c>
    </row>
    <row r="24" spans="1:20" x14ac:dyDescent="0.2">
      <c r="A24" s="4"/>
      <c r="B24" s="12"/>
      <c r="C24" s="4" t="s">
        <v>28</v>
      </c>
      <c r="D24" s="126"/>
      <c r="E24" s="4"/>
      <c r="F24" s="11"/>
      <c r="G24" s="4"/>
      <c r="H24" s="4"/>
      <c r="K24" s="181" cm="1">
        <f t="array" ref="K24:M24">Assumptions!K46:M46</f>
        <v>0</v>
      </c>
      <c r="L24" s="185">
        <v>0</v>
      </c>
      <c r="M24" s="185">
        <v>0</v>
      </c>
      <c r="N24" s="181" cm="1">
        <f t="array" ref="N24:R24">Assumptions!N153:R153</f>
        <v>0</v>
      </c>
      <c r="O24" s="185">
        <v>0</v>
      </c>
      <c r="P24" s="185">
        <v>0</v>
      </c>
      <c r="Q24" s="185">
        <v>0</v>
      </c>
      <c r="R24" s="185">
        <v>0</v>
      </c>
    </row>
    <row r="25" spans="1:20" x14ac:dyDescent="0.2">
      <c r="A25" s="4"/>
      <c r="B25" s="12"/>
      <c r="C25" s="4" t="s">
        <v>95</v>
      </c>
      <c r="D25" s="126"/>
      <c r="E25" s="4"/>
      <c r="F25" s="11"/>
      <c r="G25" s="4"/>
      <c r="H25" s="4"/>
      <c r="K25" s="181" cm="1">
        <f t="array" ref="K25:M25">Assumptions!K47:M47</f>
        <v>-7.8993372098262542</v>
      </c>
      <c r="L25" s="181">
        <v>-6.771799184228569</v>
      </c>
      <c r="M25" s="181">
        <v>-3.981811304693966</v>
      </c>
      <c r="N25" s="188" cm="1">
        <f t="array" aca="1" ref="N25:R25" ca="1">-Equity!N18:R18</f>
        <v>-7.4875786122175727</v>
      </c>
      <c r="O25" s="188">
        <f ca="1"/>
        <v>-9.673554193263783</v>
      </c>
      <c r="P25" s="188">
        <f ca="1"/>
        <v>-12.835964827662526</v>
      </c>
      <c r="Q25" s="188">
        <f ca="1"/>
        <v>-14.83352814647907</v>
      </c>
      <c r="R25" s="188">
        <f ca="1"/>
        <v>-18.504177538127205</v>
      </c>
    </row>
    <row r="26" spans="1:20" x14ac:dyDescent="0.2">
      <c r="A26" s="4"/>
      <c r="B26" s="4"/>
      <c r="C26" s="94" t="s">
        <v>96</v>
      </c>
      <c r="D26" s="127"/>
      <c r="E26" s="90"/>
      <c r="F26" s="91"/>
      <c r="G26" s="90"/>
      <c r="H26" s="90"/>
      <c r="K26" s="172">
        <f t="shared" ref="K26:M26" ca="1" si="3">SUM(K21:K25)</f>
        <v>4.6530621392997373</v>
      </c>
      <c r="L26" s="172">
        <f t="shared" ca="1" si="3"/>
        <v>3.0776102224695743</v>
      </c>
      <c r="M26" s="172">
        <f t="shared" ca="1" si="3"/>
        <v>-3.5004952539772876</v>
      </c>
      <c r="N26" s="172">
        <f ca="1">SUM(N21:N25)</f>
        <v>37.819788767873298</v>
      </c>
      <c r="O26" s="172">
        <f t="shared" ref="O26:R26" ca="1" si="4">SUM(O21:O25)</f>
        <v>-4.0092237167511726</v>
      </c>
      <c r="P26" s="172">
        <f t="shared" ca="1" si="4"/>
        <v>5.427962893066077</v>
      </c>
      <c r="Q26" s="172">
        <f t="shared" ca="1" si="4"/>
        <v>25.483278428130149</v>
      </c>
      <c r="R26" s="172">
        <f t="shared" ca="1" si="4"/>
        <v>14.97377937831315</v>
      </c>
    </row>
    <row r="27" spans="1:20" x14ac:dyDescent="0.2">
      <c r="A27" s="4"/>
      <c r="B27" s="4"/>
      <c r="C27" s="12"/>
      <c r="D27" s="126"/>
      <c r="E27" s="4"/>
      <c r="F27" s="11"/>
      <c r="G27" s="4"/>
      <c r="H27" s="4"/>
    </row>
    <row r="28" spans="1:20" x14ac:dyDescent="0.2">
      <c r="A28" s="4"/>
      <c r="B28" s="4"/>
      <c r="C28" s="4" t="s">
        <v>97</v>
      </c>
      <c r="D28" s="126"/>
      <c r="E28" s="4"/>
      <c r="F28" s="11"/>
      <c r="G28" s="4"/>
      <c r="H28" s="4"/>
      <c r="K28" s="4"/>
      <c r="L28" s="4"/>
      <c r="M28" s="4"/>
      <c r="N28" s="105">
        <f>M30</f>
        <v>0.35087576728110959</v>
      </c>
      <c r="O28" s="105">
        <f t="shared" ref="O28:R28" ca="1" si="5">N30</f>
        <v>0</v>
      </c>
      <c r="P28" s="105">
        <f t="shared" ca="1" si="5"/>
        <v>0</v>
      </c>
      <c r="Q28" s="105">
        <f t="shared" ca="1" si="5"/>
        <v>0</v>
      </c>
      <c r="R28" s="105">
        <f t="shared" ca="1" si="5"/>
        <v>0</v>
      </c>
    </row>
    <row r="29" spans="1:20" ht="15" x14ac:dyDescent="0.25">
      <c r="A29" s="4"/>
      <c r="B29" s="4"/>
      <c r="C29" s="4" t="s">
        <v>98</v>
      </c>
      <c r="D29" s="126"/>
      <c r="E29" s="4"/>
      <c r="F29" s="11"/>
      <c r="G29" s="4"/>
      <c r="H29" s="4"/>
      <c r="K29" s="181" cm="1">
        <f t="array" ref="K29:M29">Assumptions!K44:M44</f>
        <v>-4.5810528750726842</v>
      </c>
      <c r="L29" s="181">
        <v>0</v>
      </c>
      <c r="M29" s="181">
        <v>0.35087576728110959</v>
      </c>
      <c r="N29" s="177">
        <f ca="1">-MIN((N26+N12),N28)</f>
        <v>-0.35087576728110959</v>
      </c>
      <c r="O29" s="177">
        <f ca="1">-MIN((O26+O12),O28)</f>
        <v>0</v>
      </c>
      <c r="P29" s="177">
        <f ca="1">-MIN((P26+P12),P28)</f>
        <v>0</v>
      </c>
      <c r="Q29" s="177">
        <f ca="1">-MIN((Q26+Q12),Q28)</f>
        <v>0</v>
      </c>
      <c r="R29" s="177">
        <f ca="1">-MIN((R26+R12),R28)</f>
        <v>0</v>
      </c>
    </row>
    <row r="30" spans="1:20" x14ac:dyDescent="0.2">
      <c r="A30" s="4"/>
      <c r="B30" s="4"/>
      <c r="C30" s="4" t="s">
        <v>99</v>
      </c>
      <c r="D30" s="126"/>
      <c r="E30" s="4"/>
      <c r="F30" s="11"/>
      <c r="G30" s="4"/>
      <c r="H30" s="4"/>
      <c r="K30" s="181" cm="1">
        <f t="array" ref="K30:M30">Assumptions!K63:M63</f>
        <v>0</v>
      </c>
      <c r="L30" s="181">
        <v>0</v>
      </c>
      <c r="M30" s="181">
        <v>0.35087576728110959</v>
      </c>
      <c r="N30" s="105">
        <f ca="1">SUM(N28:N29)</f>
        <v>0</v>
      </c>
      <c r="O30" s="105">
        <f t="shared" ref="O30:R30" ca="1" si="6">SUM(O28:O29)</f>
        <v>0</v>
      </c>
      <c r="P30" s="105">
        <f t="shared" ca="1" si="6"/>
        <v>0</v>
      </c>
      <c r="Q30" s="105">
        <f t="shared" ca="1" si="6"/>
        <v>0</v>
      </c>
      <c r="R30" s="105">
        <f t="shared" ca="1" si="6"/>
        <v>0</v>
      </c>
    </row>
    <row r="31" spans="1:20" x14ac:dyDescent="0.2">
      <c r="A31" s="4"/>
      <c r="B31" s="4"/>
      <c r="C31" s="4"/>
      <c r="D31" s="126"/>
      <c r="E31" s="4"/>
      <c r="F31" s="11"/>
      <c r="G31" s="4"/>
      <c r="H31" s="4"/>
    </row>
    <row r="32" spans="1:20" x14ac:dyDescent="0.2">
      <c r="A32" s="4"/>
      <c r="B32" s="4"/>
      <c r="C32" s="4" t="s">
        <v>92</v>
      </c>
      <c r="D32" s="126"/>
      <c r="E32" s="4"/>
      <c r="F32" s="11"/>
      <c r="G32" s="4"/>
      <c r="H32" s="4"/>
      <c r="I32" s="200">
        <f>Assumptions!I143</f>
        <v>0.08</v>
      </c>
    </row>
    <row r="33" spans="1:18" x14ac:dyDescent="0.2">
      <c r="A33" s="4"/>
      <c r="B33" s="4"/>
      <c r="C33" s="94" t="s">
        <v>100</v>
      </c>
      <c r="D33" s="127"/>
      <c r="E33" s="90"/>
      <c r="F33" s="91"/>
      <c r="G33" s="90"/>
      <c r="H33" s="90"/>
      <c r="K33" s="4"/>
      <c r="L33" s="4"/>
      <c r="M33" s="4"/>
      <c r="N33" s="173">
        <f ca="1">AVERAGE(N28,N30)*$I$32</f>
        <v>1.4035030691244383E-2</v>
      </c>
      <c r="O33" s="173">
        <f t="shared" ref="O33:R33" ca="1" si="7">AVERAGE(O28,O30)*$I$32</f>
        <v>0</v>
      </c>
      <c r="P33" s="173">
        <f t="shared" ca="1" si="7"/>
        <v>0</v>
      </c>
      <c r="Q33" s="173">
        <f t="shared" ca="1" si="7"/>
        <v>0</v>
      </c>
      <c r="R33" s="173">
        <f t="shared" ca="1" si="7"/>
        <v>0</v>
      </c>
    </row>
    <row r="34" spans="1:18" x14ac:dyDescent="0.2">
      <c r="A34" s="4"/>
      <c r="B34" s="4"/>
      <c r="C34" s="4"/>
      <c r="D34" s="126"/>
      <c r="E34" s="4"/>
      <c r="F34" s="11"/>
      <c r="G34" s="4"/>
      <c r="H34" s="4"/>
    </row>
    <row r="35" spans="1:18" x14ac:dyDescent="0.2">
      <c r="A35" s="4"/>
      <c r="B35" s="4"/>
      <c r="C35" s="4"/>
      <c r="D35" s="126"/>
      <c r="E35" s="4"/>
      <c r="F35" s="11"/>
      <c r="G35" s="4"/>
      <c r="H35" s="4"/>
    </row>
    <row r="36" spans="1:18" ht="15" x14ac:dyDescent="0.25">
      <c r="A36" s="4"/>
      <c r="B36" s="75" t="s">
        <v>67</v>
      </c>
      <c r="C36" s="12"/>
      <c r="D36" s="126"/>
      <c r="E36" s="4"/>
      <c r="F36" s="11"/>
      <c r="G36" s="4"/>
      <c r="H36" s="4"/>
    </row>
    <row r="37" spans="1:18" x14ac:dyDescent="0.2">
      <c r="A37" s="4"/>
      <c r="B37" s="4"/>
      <c r="C37" s="4" t="s">
        <v>89</v>
      </c>
      <c r="D37" s="126"/>
      <c r="E37" s="4"/>
      <c r="F37" s="11"/>
      <c r="G37" s="4"/>
      <c r="H37" s="4"/>
      <c r="K37" s="4"/>
      <c r="L37" s="4"/>
      <c r="M37" s="4"/>
      <c r="N37" s="169">
        <f>M39</f>
        <v>75</v>
      </c>
      <c r="O37" s="169">
        <f>N39</f>
        <v>105</v>
      </c>
      <c r="P37" s="169">
        <f>O39</f>
        <v>93</v>
      </c>
      <c r="Q37" s="169">
        <f>P39</f>
        <v>81</v>
      </c>
      <c r="R37" s="169">
        <f>Q39</f>
        <v>69</v>
      </c>
    </row>
    <row r="38" spans="1:18" x14ac:dyDescent="0.2">
      <c r="A38" s="4"/>
      <c r="B38" s="4"/>
      <c r="C38" s="4" t="s">
        <v>98</v>
      </c>
      <c r="D38" s="126"/>
      <c r="E38" s="4"/>
      <c r="F38" s="11"/>
      <c r="G38" s="4"/>
      <c r="H38" s="4"/>
      <c r="K38" s="181" cm="1">
        <f t="array" ref="K38:M38">Assumptions!K45:M45</f>
        <v>-25</v>
      </c>
      <c r="L38" s="181">
        <v>-25</v>
      </c>
      <c r="M38" s="181">
        <v>-25</v>
      </c>
      <c r="N38" s="181" cm="1">
        <f t="array" ref="N38:R38">Assumptions!N148:R148</f>
        <v>30</v>
      </c>
      <c r="O38" s="181">
        <v>-12</v>
      </c>
      <c r="P38" s="181">
        <v>-12</v>
      </c>
      <c r="Q38" s="181">
        <v>-12</v>
      </c>
      <c r="R38" s="181">
        <v>-12</v>
      </c>
    </row>
    <row r="39" spans="1:18" x14ac:dyDescent="0.2">
      <c r="A39" s="4"/>
      <c r="B39" s="4"/>
      <c r="C39" s="4" t="s">
        <v>91</v>
      </c>
      <c r="D39" s="126"/>
      <c r="E39" s="4"/>
      <c r="F39" s="11"/>
      <c r="G39" s="4"/>
      <c r="H39" s="4"/>
      <c r="K39" s="181" cm="1">
        <f t="array" ref="K39:M39">Assumptions!K68:M68</f>
        <v>125</v>
      </c>
      <c r="L39" s="185">
        <v>100</v>
      </c>
      <c r="M39" s="185">
        <v>75</v>
      </c>
      <c r="N39" s="105">
        <f>SUM(N37:N38)</f>
        <v>105</v>
      </c>
      <c r="O39" s="105">
        <f t="shared" ref="O39:R39" si="8">SUM(O37:O38)</f>
        <v>93</v>
      </c>
      <c r="P39" s="105">
        <f t="shared" si="8"/>
        <v>81</v>
      </c>
      <c r="Q39" s="105">
        <f t="shared" si="8"/>
        <v>69</v>
      </c>
      <c r="R39" s="105">
        <f t="shared" si="8"/>
        <v>57</v>
      </c>
    </row>
    <row r="40" spans="1:18" x14ac:dyDescent="0.2">
      <c r="A40" s="4"/>
      <c r="B40" s="4"/>
      <c r="C40" s="4"/>
      <c r="D40" s="126"/>
      <c r="E40" s="4"/>
      <c r="F40" s="11"/>
      <c r="G40" s="4"/>
      <c r="H40" s="4"/>
    </row>
    <row r="41" spans="1:18" x14ac:dyDescent="0.2">
      <c r="A41" s="4"/>
      <c r="B41" s="4"/>
      <c r="C41" s="4" t="s">
        <v>92</v>
      </c>
      <c r="D41" s="126"/>
      <c r="E41" s="4"/>
      <c r="F41" s="11"/>
      <c r="G41" s="4"/>
      <c r="H41" s="4"/>
      <c r="I41" s="200">
        <f>Assumptions!I146</f>
        <v>0.05</v>
      </c>
    </row>
    <row r="42" spans="1:18" x14ac:dyDescent="0.2">
      <c r="A42" s="4"/>
      <c r="B42" s="4"/>
      <c r="C42" s="94" t="s">
        <v>100</v>
      </c>
      <c r="D42" s="127"/>
      <c r="E42" s="90"/>
      <c r="F42" s="91"/>
      <c r="G42" s="90"/>
      <c r="H42" s="90"/>
      <c r="K42" s="4"/>
      <c r="L42" s="4"/>
      <c r="M42" s="4"/>
      <c r="N42" s="83">
        <f>AVERAGE(N37,N39)*$I$41</f>
        <v>4.5</v>
      </c>
      <c r="O42" s="83">
        <f t="shared" ref="O42:R42" si="9">AVERAGE(O37,O39)*$I$41</f>
        <v>4.95</v>
      </c>
      <c r="P42" s="83">
        <f t="shared" si="9"/>
        <v>4.3500000000000005</v>
      </c>
      <c r="Q42" s="83">
        <f t="shared" si="9"/>
        <v>3.75</v>
      </c>
      <c r="R42" s="83">
        <f t="shared" si="9"/>
        <v>3.1500000000000004</v>
      </c>
    </row>
    <row r="43" spans="1:18" x14ac:dyDescent="0.2">
      <c r="A43" s="4"/>
      <c r="B43" s="4"/>
      <c r="C43" s="4"/>
      <c r="D43" s="126"/>
      <c r="E43" s="4"/>
      <c r="F43" s="11"/>
      <c r="G43" s="4"/>
      <c r="H43" s="4"/>
    </row>
    <row r="44" spans="1:18" x14ac:dyDescent="0.2">
      <c r="A44" s="4"/>
      <c r="B44" s="4"/>
      <c r="C44" s="4"/>
      <c r="D44" s="126"/>
      <c r="E44" s="4"/>
      <c r="F44" s="11"/>
      <c r="G44" s="4"/>
      <c r="H44" s="4"/>
    </row>
    <row r="45" spans="1:18" x14ac:dyDescent="0.2">
      <c r="A45" s="4"/>
      <c r="B45" s="4"/>
      <c r="C45" s="94" t="s">
        <v>101</v>
      </c>
      <c r="D45" s="127"/>
      <c r="E45" s="90"/>
      <c r="F45" s="91"/>
      <c r="G45" s="90"/>
      <c r="H45" s="90"/>
      <c r="K45" s="181" cm="1">
        <f t="array" ref="K45:M45">Assumptions!K27:M27</f>
        <v>8.3870715399310498</v>
      </c>
      <c r="L45" s="181">
        <v>6.73389185624539</v>
      </c>
      <c r="M45" s="181">
        <v>5.2447781755849503</v>
      </c>
      <c r="N45" s="173">
        <f ca="1">N42+N33-N17</f>
        <v>4.1393459006853242</v>
      </c>
      <c r="O45" s="173">
        <f t="shared" ref="O45:R45" ca="1" si="10">O42+O33-O17</f>
        <v>4.2407139771556697</v>
      </c>
      <c r="P45" s="173">
        <f t="shared" ca="1" si="10"/>
        <v>3.6265265853925213</v>
      </c>
      <c r="Q45" s="173">
        <f t="shared" ca="1" si="10"/>
        <v>2.7174141721805585</v>
      </c>
      <c r="R45" s="173">
        <f t="shared" ca="1" si="10"/>
        <v>1.7128435941161255</v>
      </c>
    </row>
    <row r="46" spans="1:18" x14ac:dyDescent="0.2">
      <c r="A46" s="4"/>
      <c r="B46" s="4"/>
      <c r="C46" s="4"/>
      <c r="D46" s="119"/>
      <c r="E46" s="4"/>
      <c r="F46" s="11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/>
    <row r="48" spans="1:18" x14ac:dyDescent="0.2"/>
    <row r="49" spans="1:18" x14ac:dyDescent="0.2"/>
    <row r="50" spans="1:18" x14ac:dyDescent="0.2">
      <c r="A50" s="1"/>
      <c r="B50" s="1"/>
      <c r="C50" s="1"/>
      <c r="D50" s="119"/>
      <c r="E50" s="1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/>
    <row r="52" spans="1:18" x14ac:dyDescent="0.2"/>
    <row r="53" spans="1:18" x14ac:dyDescent="0.2"/>
  </sheetData>
  <conditionalFormatting sqref="K28:M28">
    <cfRule type="containsBlanks" dxfId="8" priority="4">
      <formula>LEN(TRIM(K28))=0</formula>
    </cfRule>
  </conditionalFormatting>
  <conditionalFormatting sqref="K33:M33">
    <cfRule type="containsBlanks" dxfId="7" priority="3">
      <formula>LEN(TRIM(K33))=0</formula>
    </cfRule>
  </conditionalFormatting>
  <conditionalFormatting sqref="K37:M37">
    <cfRule type="containsBlanks" dxfId="6" priority="2">
      <formula>LEN(TRIM(K37))=0</formula>
    </cfRule>
  </conditionalFormatting>
  <conditionalFormatting sqref="K42:M42">
    <cfRule type="containsBlanks" dxfId="5" priority="1">
      <formula>LEN(TRIM(K42))=0</formula>
    </cfRule>
  </conditionalFormatting>
  <conditionalFormatting sqref="K6:R7">
    <cfRule type="cellIs" dxfId="4" priority="7" operator="equal">
      <formula>TRUE</formula>
    </cfRule>
  </conditionalFormatting>
  <pageMargins left="0.7" right="0.7" top="0.75" bottom="0.75" header="0.3" footer="0.3"/>
  <pageSetup paperSize="9" scale="73" orientation="portrait" r:id="rId1"/>
  <headerFooter>
    <oddHeader>&amp;LFinancial Metrics for Decision Making 25624</oddHeader>
    <oddFooter>&amp;L&amp;F&amp;R&amp;A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D33F4-38A2-4D32-B8B5-E3BC02856459}">
  <dimension ref="A1:T53"/>
  <sheetViews>
    <sheetView showGridLines="0" zoomScaleNormal="100" workbookViewId="0">
      <pane xSplit="10" ySplit="9" topLeftCell="K10" activePane="bottomRight" state="frozen"/>
      <selection activeCell="D1" sqref="D1:D1048576"/>
      <selection pane="topRight" activeCell="D1" sqref="D1:D1048576"/>
      <selection pane="bottomLeft" activeCell="D1" sqref="D1:D1048576"/>
      <selection pane="bottomRight" activeCell="N17" sqref="N17"/>
    </sheetView>
  </sheetViews>
  <sheetFormatPr defaultColWidth="0" defaultRowHeight="12.75" zeroHeight="1" x14ac:dyDescent="0.2"/>
  <cols>
    <col min="1" max="1" width="1.5703125" customWidth="1"/>
    <col min="2" max="2" width="2" customWidth="1"/>
    <col min="3" max="3" width="29.140625" customWidth="1"/>
    <col min="4" max="4" width="5.140625" style="123" customWidth="1"/>
    <col min="5" max="5" width="1.7109375" customWidth="1"/>
    <col min="6" max="6" width="1.28515625" customWidth="1"/>
    <col min="7" max="7" width="1.5703125" customWidth="1"/>
    <col min="8" max="9" width="9.28515625" customWidth="1"/>
    <col min="10" max="10" width="25.42578125" customWidth="1"/>
    <col min="11" max="20" width="10.7109375" customWidth="1"/>
    <col min="21" max="16384" width="9.140625" hidden="1"/>
  </cols>
  <sheetData>
    <row r="1" spans="1:20" ht="12.75" customHeight="1" x14ac:dyDescent="0.35">
      <c r="A1" s="4"/>
      <c r="B1" s="15"/>
      <c r="C1" s="16"/>
      <c r="D1" s="120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9"/>
      <c r="S1" s="4"/>
      <c r="T1" s="15"/>
    </row>
    <row r="2" spans="1:20" s="62" customFormat="1" ht="16.5" thickBot="1" x14ac:dyDescent="0.3">
      <c r="A2" s="58">
        <f>Cover!B12</f>
        <v>0</v>
      </c>
      <c r="C2" s="59"/>
      <c r="D2" s="133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  <c r="T2" s="61"/>
    </row>
    <row r="3" spans="1:20" s="3" customFormat="1" ht="13.5" thickTop="1" x14ac:dyDescent="0.2">
      <c r="A3" s="55"/>
      <c r="C3" s="54"/>
      <c r="D3" s="121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</row>
    <row r="4" spans="1:20" x14ac:dyDescent="0.2">
      <c r="A4" s="4"/>
      <c r="B4" s="10"/>
      <c r="C4" s="4"/>
      <c r="D4" s="119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7"/>
    </row>
    <row r="5" spans="1:20" x14ac:dyDescent="0.2">
      <c r="C5" s="166" t="s">
        <v>176</v>
      </c>
      <c r="D5"/>
      <c r="K5" s="4">
        <v>2022</v>
      </c>
      <c r="L5" s="4">
        <v>2023</v>
      </c>
      <c r="M5" s="4">
        <v>2024</v>
      </c>
      <c r="N5" s="4">
        <v>2025</v>
      </c>
      <c r="O5" s="4">
        <v>2026</v>
      </c>
      <c r="P5" s="4">
        <v>2027</v>
      </c>
      <c r="Q5" s="4">
        <v>2028</v>
      </c>
      <c r="R5" s="4">
        <v>2029</v>
      </c>
    </row>
    <row r="6" spans="1:20" x14ac:dyDescent="0.2">
      <c r="C6" s="4" t="s">
        <v>177</v>
      </c>
      <c r="D6"/>
      <c r="K6" s="3" t="b" cm="1">
        <f t="array" ref="K6">K5&lt;Forecast.start</f>
        <v>1</v>
      </c>
      <c r="L6" s="3" t="b" cm="1">
        <f t="array" ref="L6">L5&lt;Forecast.start</f>
        <v>1</v>
      </c>
      <c r="M6" s="3" t="b" cm="1">
        <f t="array" ref="M6">M5&lt;Forecast.start</f>
        <v>1</v>
      </c>
      <c r="N6" s="3" t="b" cm="1">
        <f t="array" ref="N6">N5&lt;Forecast.start</f>
        <v>0</v>
      </c>
      <c r="O6" s="3" t="b" cm="1">
        <f t="array" ref="O6">O5&lt;Forecast.start</f>
        <v>0</v>
      </c>
      <c r="P6" s="3" t="b" cm="1">
        <f t="array" ref="P6">P5&lt;Forecast.start</f>
        <v>0</v>
      </c>
      <c r="Q6" s="3" t="b" cm="1">
        <f t="array" ref="Q6">Q5&lt;Forecast.start</f>
        <v>0</v>
      </c>
      <c r="R6" s="3" t="b" cm="1">
        <f t="array" ref="R6">R5&lt;Forecast.start</f>
        <v>0</v>
      </c>
    </row>
    <row r="7" spans="1:20" x14ac:dyDescent="0.2">
      <c r="C7" s="4" t="s">
        <v>178</v>
      </c>
      <c r="D7"/>
      <c r="K7" t="b">
        <f>NOT(K6)</f>
        <v>0</v>
      </c>
      <c r="L7" t="b">
        <f t="shared" ref="L7:R7" si="0">NOT(L6)</f>
        <v>0</v>
      </c>
      <c r="M7" t="b">
        <f t="shared" si="0"/>
        <v>0</v>
      </c>
      <c r="N7" t="b">
        <f t="shared" si="0"/>
        <v>1</v>
      </c>
      <c r="O7" t="b">
        <f t="shared" si="0"/>
        <v>1</v>
      </c>
      <c r="P7" t="b">
        <f t="shared" si="0"/>
        <v>1</v>
      </c>
      <c r="Q7" t="b">
        <f t="shared" si="0"/>
        <v>1</v>
      </c>
      <c r="R7" t="b">
        <f t="shared" si="0"/>
        <v>1</v>
      </c>
    </row>
    <row r="8" spans="1:20" x14ac:dyDescent="0.2">
      <c r="A8" s="4"/>
      <c r="B8" s="4"/>
      <c r="C8" s="4"/>
      <c r="D8" s="119"/>
      <c r="E8" s="4"/>
      <c r="F8" s="1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20" s="131" customFormat="1" ht="15.75" x14ac:dyDescent="0.25">
      <c r="A9" s="124" t="s">
        <v>105</v>
      </c>
      <c r="B9" s="130"/>
      <c r="D9" s="124" t="s">
        <v>106</v>
      </c>
      <c r="H9" s="124" t="s">
        <v>107</v>
      </c>
      <c r="I9" s="132" t="s">
        <v>122</v>
      </c>
    </row>
    <row r="10" spans="1:20" ht="16.5" thickBot="1" x14ac:dyDescent="0.3">
      <c r="A10" s="74" t="s">
        <v>135</v>
      </c>
      <c r="B10" s="74"/>
      <c r="C10" s="74"/>
      <c r="D10" s="13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</row>
    <row r="11" spans="1:20" ht="15" x14ac:dyDescent="0.25">
      <c r="A11" s="4"/>
      <c r="B11" s="75" t="s">
        <v>70</v>
      </c>
      <c r="D11"/>
    </row>
    <row r="12" spans="1:20" x14ac:dyDescent="0.2">
      <c r="A12" s="4"/>
      <c r="B12" s="4"/>
      <c r="C12" s="4" t="s">
        <v>89</v>
      </c>
      <c r="D12"/>
      <c r="K12" s="4"/>
      <c r="L12" s="4"/>
      <c r="M12" s="4"/>
      <c r="N12" s="105">
        <f>M14</f>
        <v>120</v>
      </c>
      <c r="O12" s="105">
        <f t="shared" ref="O12:R12" si="1">N14</f>
        <v>120</v>
      </c>
      <c r="P12" s="105">
        <f t="shared" si="1"/>
        <v>120</v>
      </c>
      <c r="Q12" s="105">
        <f t="shared" si="1"/>
        <v>120</v>
      </c>
      <c r="R12" s="105">
        <f t="shared" si="1"/>
        <v>120</v>
      </c>
    </row>
    <row r="13" spans="1:20" x14ac:dyDescent="0.2">
      <c r="A13" s="4"/>
      <c r="B13" s="4"/>
      <c r="C13" s="4" t="s">
        <v>102</v>
      </c>
      <c r="D13"/>
      <c r="K13" s="181" cm="1">
        <f t="array" ref="K13:M13">Assumptions!K46:M46</f>
        <v>0</v>
      </c>
      <c r="L13" s="181">
        <v>0</v>
      </c>
      <c r="M13" s="181">
        <v>0</v>
      </c>
      <c r="N13" s="181" cm="1">
        <f t="array" ref="N13:R13">Assumptions!N153:R153</f>
        <v>0</v>
      </c>
      <c r="O13" s="185">
        <v>0</v>
      </c>
      <c r="P13" s="185">
        <v>0</v>
      </c>
      <c r="Q13" s="185">
        <v>0</v>
      </c>
      <c r="R13" s="185">
        <v>0</v>
      </c>
    </row>
    <row r="14" spans="1:20" x14ac:dyDescent="0.2">
      <c r="A14" s="4"/>
      <c r="B14" s="4"/>
      <c r="C14" s="94" t="s">
        <v>91</v>
      </c>
      <c r="D14"/>
      <c r="K14" s="181" cm="1">
        <f t="array" ref="K14:M14">Assumptions!K70:M70</f>
        <v>120</v>
      </c>
      <c r="L14" s="181">
        <v>120</v>
      </c>
      <c r="M14" s="181">
        <v>120</v>
      </c>
      <c r="N14" s="172">
        <f>SUM(N12:N13)</f>
        <v>120</v>
      </c>
      <c r="O14" s="172">
        <f t="shared" ref="O14:R14" si="2">SUM(O12:O13)</f>
        <v>120</v>
      </c>
      <c r="P14" s="172">
        <f t="shared" si="2"/>
        <v>120</v>
      </c>
      <c r="Q14" s="172">
        <f t="shared" si="2"/>
        <v>120</v>
      </c>
      <c r="R14" s="172">
        <f t="shared" si="2"/>
        <v>120</v>
      </c>
    </row>
    <row r="15" spans="1:20" x14ac:dyDescent="0.2">
      <c r="A15" s="4"/>
      <c r="B15" s="4"/>
      <c r="C15" s="4"/>
      <c r="D15"/>
    </row>
    <row r="16" spans="1:20" x14ac:dyDescent="0.2">
      <c r="A16" s="4"/>
      <c r="B16" s="4"/>
      <c r="C16" s="4" t="s">
        <v>103</v>
      </c>
      <c r="D16"/>
      <c r="I16" s="190">
        <f>Assumptions!N152</f>
        <v>0.25</v>
      </c>
    </row>
    <row r="17" spans="1:18" x14ac:dyDescent="0.2">
      <c r="A17" s="4"/>
      <c r="B17" s="4"/>
      <c r="C17" s="4" t="s">
        <v>3</v>
      </c>
      <c r="D17"/>
      <c r="K17" s="4"/>
      <c r="L17" s="4"/>
      <c r="M17" s="4"/>
      <c r="N17" s="181" cm="1">
        <f t="array" aca="1" ref="N17:R17" ca="1">'Financial Statements'!N32:R32</f>
        <v>29.950314448870291</v>
      </c>
      <c r="O17" s="181">
        <f ca="1"/>
        <v>38.694216773055132</v>
      </c>
      <c r="P17" s="181">
        <f ca="1"/>
        <v>51.343859310650103</v>
      </c>
      <c r="Q17" s="181">
        <f ca="1"/>
        <v>59.33411258591628</v>
      </c>
      <c r="R17" s="181">
        <f ca="1"/>
        <v>74.016710152508821</v>
      </c>
    </row>
    <row r="18" spans="1:18" x14ac:dyDescent="0.2">
      <c r="A18" s="4"/>
      <c r="B18" s="12"/>
      <c r="C18" s="94" t="s">
        <v>104</v>
      </c>
      <c r="D18"/>
      <c r="K18" s="181" cm="1">
        <f t="array" ref="K18:M18">0-Assumptions!K47:M47</f>
        <v>7.8993372098262542</v>
      </c>
      <c r="L18" s="181">
        <v>6.771799184228569</v>
      </c>
      <c r="M18" s="181">
        <v>3.981811304693966</v>
      </c>
      <c r="N18" s="173">
        <f ca="1">MAX(N17*$I$16,0)</f>
        <v>7.4875786122175727</v>
      </c>
      <c r="O18" s="173">
        <f ca="1">MAX(O17*$I$16,0)</f>
        <v>9.673554193263783</v>
      </c>
      <c r="P18" s="173">
        <f ca="1">MAX(P17*$I$16,0)</f>
        <v>12.835964827662526</v>
      </c>
      <c r="Q18" s="173">
        <f ca="1">MAX(Q17*$I$16,0)</f>
        <v>14.83352814647907</v>
      </c>
      <c r="R18" s="173">
        <f ca="1">MAX(R17*$I$16,0)</f>
        <v>18.504177538127205</v>
      </c>
    </row>
    <row r="19" spans="1:18" x14ac:dyDescent="0.2">
      <c r="A19" s="4"/>
      <c r="B19" s="4"/>
      <c r="D19"/>
    </row>
    <row r="20" spans="1:18" x14ac:dyDescent="0.2">
      <c r="A20" s="4"/>
      <c r="B20" s="4"/>
      <c r="D20"/>
    </row>
    <row r="21" spans="1:18" ht="15" x14ac:dyDescent="0.25">
      <c r="A21" s="4"/>
      <c r="B21" s="75" t="s">
        <v>71</v>
      </c>
      <c r="D21"/>
    </row>
    <row r="22" spans="1:18" x14ac:dyDescent="0.2">
      <c r="A22" s="4"/>
      <c r="B22" s="4"/>
      <c r="C22" s="4" t="s">
        <v>89</v>
      </c>
      <c r="D22"/>
      <c r="K22" s="4"/>
      <c r="L22" s="4"/>
      <c r="M22" s="4"/>
      <c r="N22" s="105">
        <f>M25</f>
        <v>247.92604019670256</v>
      </c>
      <c r="O22" s="105">
        <f t="shared" ref="O22:R22" ca="1" si="3">N25</f>
        <v>270.38877603335527</v>
      </c>
      <c r="P22" s="105">
        <f t="shared" ca="1" si="3"/>
        <v>299.40943861314662</v>
      </c>
      <c r="Q22" s="105">
        <f t="shared" ca="1" si="3"/>
        <v>337.9173330961342</v>
      </c>
      <c r="R22" s="105">
        <f t="shared" ca="1" si="3"/>
        <v>382.41791753557141</v>
      </c>
    </row>
    <row r="23" spans="1:18" x14ac:dyDescent="0.2">
      <c r="A23" s="4"/>
      <c r="B23" s="4"/>
      <c r="C23" s="4" t="s">
        <v>3</v>
      </c>
      <c r="D23"/>
      <c r="K23" s="4"/>
      <c r="L23" s="4"/>
      <c r="M23" s="4"/>
      <c r="N23" s="181" cm="1">
        <f t="array" aca="1" ref="N23:R23" ca="1">'Financial Statements'!N32:R32</f>
        <v>29.950314448870291</v>
      </c>
      <c r="O23" s="181">
        <f ca="1"/>
        <v>38.694216773055132</v>
      </c>
      <c r="P23" s="181">
        <f ca="1"/>
        <v>51.343859310650103</v>
      </c>
      <c r="Q23" s="181">
        <f ca="1"/>
        <v>59.33411258591628</v>
      </c>
      <c r="R23" s="181">
        <f ca="1"/>
        <v>74.016710152508821</v>
      </c>
    </row>
    <row r="24" spans="1:18" x14ac:dyDescent="0.2">
      <c r="A24" s="4"/>
      <c r="B24" s="4"/>
      <c r="C24" s="4" t="s">
        <v>104</v>
      </c>
      <c r="D24"/>
      <c r="K24" s="181" cm="1">
        <f t="array" ref="K24:M24">Assumptions!K47:M47</f>
        <v>-7.8993372098262542</v>
      </c>
      <c r="L24" s="181">
        <v>-6.771799184228569</v>
      </c>
      <c r="M24" s="181">
        <v>-3.981811304693966</v>
      </c>
      <c r="N24" s="169">
        <f ca="1">-N18</f>
        <v>-7.4875786122175727</v>
      </c>
      <c r="O24" s="169">
        <f ca="1">-O18</f>
        <v>-9.673554193263783</v>
      </c>
      <c r="P24" s="169">
        <f ca="1">-P18</f>
        <v>-12.835964827662526</v>
      </c>
      <c r="Q24" s="169">
        <f ca="1">-Q18</f>
        <v>-14.83352814647907</v>
      </c>
      <c r="R24" s="169">
        <f ca="1">-R18</f>
        <v>-18.504177538127205</v>
      </c>
    </row>
    <row r="25" spans="1:18" x14ac:dyDescent="0.2">
      <c r="A25" s="4"/>
      <c r="B25" s="4"/>
      <c r="C25" s="94" t="s">
        <v>91</v>
      </c>
      <c r="D25"/>
      <c r="K25" s="181" cm="1">
        <f t="array" ref="K25:M25">Assumptions!K71:M71</f>
        <v>204.9115982410124</v>
      </c>
      <c r="L25" s="181">
        <v>231.99879497792668</v>
      </c>
      <c r="M25" s="181">
        <v>247.92604019670256</v>
      </c>
      <c r="N25" s="172">
        <f ca="1">SUM(N22:N24)</f>
        <v>270.38877603335527</v>
      </c>
      <c r="O25" s="172">
        <f t="shared" ref="O25:R25" ca="1" si="4">SUM(O22:O24)</f>
        <v>299.40943861314662</v>
      </c>
      <c r="P25" s="172">
        <f t="shared" ca="1" si="4"/>
        <v>337.9173330961342</v>
      </c>
      <c r="Q25" s="172">
        <f t="shared" ca="1" si="4"/>
        <v>382.41791753557141</v>
      </c>
      <c r="R25" s="172">
        <f t="shared" ca="1" si="4"/>
        <v>437.93045014995306</v>
      </c>
    </row>
    <row r="26" spans="1:18" x14ac:dyDescent="0.2">
      <c r="A26" s="4"/>
      <c r="B26" s="4"/>
      <c r="C26" s="4"/>
      <c r="D26" s="119"/>
      <c r="E26" s="4"/>
      <c r="F26" s="1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"/>
    <row r="28" spans="1:18" x14ac:dyDescent="0.2"/>
    <row r="29" spans="1:18" x14ac:dyDescent="0.2"/>
    <row r="30" spans="1:18" x14ac:dyDescent="0.2"/>
    <row r="31" spans="1:18" x14ac:dyDescent="0.2"/>
    <row r="32" spans="1:18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spans="1:18" x14ac:dyDescent="0.2"/>
    <row r="50" spans="1:18" x14ac:dyDescent="0.2"/>
    <row r="51" spans="1:18" x14ac:dyDescent="0.2"/>
    <row r="52" spans="1:18" x14ac:dyDescent="0.2">
      <c r="A52" s="1"/>
      <c r="B52" s="1"/>
      <c r="C52" s="1"/>
      <c r="D52" s="119"/>
      <c r="E52" s="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"/>
  </sheetData>
  <conditionalFormatting sqref="K12:M12">
    <cfRule type="containsBlanks" dxfId="3" priority="1">
      <formula>LEN(TRIM(K12))=0</formula>
    </cfRule>
  </conditionalFormatting>
  <conditionalFormatting sqref="K17:M17">
    <cfRule type="containsBlanks" dxfId="2" priority="2">
      <formula>LEN(TRIM(K17))=0</formula>
    </cfRule>
  </conditionalFormatting>
  <conditionalFormatting sqref="K22:M23">
    <cfRule type="containsBlanks" dxfId="1" priority="3">
      <formula>LEN(TRIM(K22))=0</formula>
    </cfRule>
  </conditionalFormatting>
  <conditionalFormatting sqref="K6:R7">
    <cfRule type="cellIs" dxfId="0" priority="6" operator="equal">
      <formula>TRUE</formula>
    </cfRule>
  </conditionalFormatting>
  <pageMargins left="0.7" right="0.7" top="0.75" bottom="0.75" header="0.3" footer="0.3"/>
  <pageSetup paperSize="9" scale="73" orientation="portrait" r:id="rId1"/>
  <headerFooter>
    <oddHeader>&amp;LFinancial Metrics for Decision Making 25624</oddHeader>
    <oddFooter>&amp;L&amp;F&amp;R&amp;A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2fe001e-c7d4-426f-b03a-222b26178a0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040FA8C2B42B4DB4DEAA43DE9A07AD" ma:contentTypeVersion="13" ma:contentTypeDescription="Create a new document." ma:contentTypeScope="" ma:versionID="b946bc04dd59d07b64e3975b9db131c0">
  <xsd:schema xmlns:xsd="http://www.w3.org/2001/XMLSchema" xmlns:xs="http://www.w3.org/2001/XMLSchema" xmlns:p="http://schemas.microsoft.com/office/2006/metadata/properties" xmlns:ns3="62fe001e-c7d4-426f-b03a-222b26178a09" xmlns:ns4="730e89d0-ff51-439f-89d9-0e1c621638a8" targetNamespace="http://schemas.microsoft.com/office/2006/metadata/properties" ma:root="true" ma:fieldsID="b4f3aa6944b73bf0d8c47a0bf682e7b6" ns3:_="" ns4:_="">
    <xsd:import namespace="62fe001e-c7d4-426f-b03a-222b26178a09"/>
    <xsd:import namespace="730e89d0-ff51-439f-89d9-0e1c621638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e001e-c7d4-426f-b03a-222b26178a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e89d0-ff51-439f-89d9-0e1c621638a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D6E792-D38E-4C9D-8CD8-87A356A55B24}">
  <ds:schemaRefs>
    <ds:schemaRef ds:uri="730e89d0-ff51-439f-89d9-0e1c621638a8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62fe001e-c7d4-426f-b03a-222b26178a09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7F5C86B-1A37-4DFB-A048-0485F6D09F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6E789D-EE5B-49DD-BB48-261BA6A2A6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fe001e-c7d4-426f-b03a-222b26178a09"/>
    <ds:schemaRef ds:uri="730e89d0-ff51-439f-89d9-0e1c621638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Cover</vt:lpstr>
      <vt:lpstr>Scenarios</vt:lpstr>
      <vt:lpstr>Assumptions</vt:lpstr>
      <vt:lpstr>Forecast&gt;</vt:lpstr>
      <vt:lpstr>Financial Statements</vt:lpstr>
      <vt:lpstr>Schedules&gt;</vt:lpstr>
      <vt:lpstr>Revenue</vt:lpstr>
      <vt:lpstr>Costs</vt:lpstr>
      <vt:lpstr>Depreciation</vt:lpstr>
      <vt:lpstr>Taxes</vt:lpstr>
      <vt:lpstr>Working Capital</vt:lpstr>
      <vt:lpstr>Debt and Interest</vt:lpstr>
      <vt:lpstr>Equity</vt:lpstr>
      <vt:lpstr>err_tol</vt:lpstr>
      <vt:lpstr>err_toll</vt:lpstr>
      <vt:lpstr>Forecast.start</vt:lpstr>
      <vt:lpstr>j14\</vt:lpstr>
      <vt:lpstr>scn_cell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Fernandez</dc:creator>
  <cp:keywords/>
  <dc:description/>
  <cp:lastModifiedBy>Aurelius Johnsson</cp:lastModifiedBy>
  <cp:revision/>
  <dcterms:created xsi:type="dcterms:W3CDTF">2022-02-22T01:10:16Z</dcterms:created>
  <dcterms:modified xsi:type="dcterms:W3CDTF">2025-10-21T11:52:53Z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2022-04-06T06:56:18Z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d328d034-2d50-4725-95bc-0caaadb9ca04</vt:lpwstr>
  </property>
  <property fmtid="{D5CDD505-2E9C-101B-9397-08002B2CF9AE}" pid="8" name="MSIP_Label_51a6c3db-1667-4f49-995a-8b9973972958_ContentBits">
    <vt:lpwstr>0</vt:lpwstr>
  </property>
  <property fmtid="{D5CDD505-2E9C-101B-9397-08002B2CF9AE}" pid="9" name="ContentTypeId">
    <vt:lpwstr>0x0101006A040FA8C2B42B4DB4DEAA43DE9A07AD</vt:lpwstr>
  </property>
</Properties>
</file>