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n steer\Desktop\"/>
    </mc:Choice>
  </mc:AlternateContent>
  <bookViews>
    <workbookView xWindow="0" yWindow="0" windowWidth="19200" windowHeight="7050" activeTab="2"/>
  </bookViews>
  <sheets>
    <sheet name="Option A Hedge" sheetId="11" r:id="rId1"/>
    <sheet name="Option B Hedge" sheetId="18" r:id="rId2"/>
    <sheet name="Option C Hedge" sheetId="19" r:id="rId3"/>
    <sheet name="jun aapl" sheetId="9" r:id="rId4"/>
    <sheet name="Jun bac" sheetId="8" r:id="rId5"/>
    <sheet name="jun amzn" sheetId="10" r:id="rId6"/>
    <sheet name="aapl april" sheetId="1" r:id="rId7"/>
    <sheet name="bac april" sheetId="2" r:id="rId8"/>
    <sheet name="amzn april" sheetId="3" r:id="rId9"/>
    <sheet name="Hedging Historical" sheetId="6" r:id="rId10"/>
    <sheet name="Option Selection" sheetId="5" r:id="rId11"/>
    <sheet name="Option A" sheetId="12" r:id="rId12"/>
    <sheet name="Option B" sheetId="13" r:id="rId13"/>
    <sheet name="Option C" sheetId="14" r:id="rId14"/>
    <sheet name="Option D" sheetId="15" r:id="rId15"/>
    <sheet name="Option E" sheetId="16" r:id="rId16"/>
  </sheets>
  <calcPr calcId="162913"/>
</workbook>
</file>

<file path=xl/calcChain.xml><?xml version="1.0" encoding="utf-8"?>
<calcChain xmlns="http://schemas.openxmlformats.org/spreadsheetml/2006/main">
  <c r="L18" i="19" l="1"/>
  <c r="L17" i="19"/>
  <c r="L20" i="18"/>
  <c r="L19" i="18"/>
  <c r="L22" i="11"/>
  <c r="L21" i="11"/>
  <c r="B29" i="12"/>
  <c r="L12" i="19"/>
  <c r="L18" i="11"/>
  <c r="L19" i="11" s="1"/>
  <c r="L15" i="18"/>
  <c r="L15" i="19"/>
  <c r="L12" i="18"/>
  <c r="L11" i="18"/>
  <c r="L12" i="11"/>
  <c r="L11" i="11"/>
  <c r="L14" i="19"/>
  <c r="L16" i="18"/>
  <c r="L11" i="19"/>
  <c r="L10" i="19"/>
  <c r="L10" i="18"/>
  <c r="L17" i="11"/>
  <c r="L16" i="11"/>
  <c r="L15" i="11"/>
  <c r="L10" i="11"/>
  <c r="L9" i="11"/>
  <c r="D2" i="19"/>
  <c r="E2" i="19" s="1"/>
  <c r="F2" i="19" s="1"/>
  <c r="G2" i="19" s="1"/>
  <c r="H2" i="19" s="1"/>
  <c r="L6" i="19"/>
  <c r="L5" i="19"/>
  <c r="F24" i="19"/>
  <c r="A3" i="19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D2" i="18"/>
  <c r="L6" i="18"/>
  <c r="L5" i="18"/>
  <c r="F24" i="18"/>
  <c r="A5" i="18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4" i="18"/>
  <c r="A3" i="18"/>
  <c r="E2" i="18"/>
  <c r="F2" i="18" s="1"/>
  <c r="G2" i="18" s="1"/>
  <c r="H2" i="18" s="1"/>
  <c r="H3" i="11"/>
  <c r="G4" i="11" s="1"/>
  <c r="H4" i="11" s="1"/>
  <c r="H2" i="11"/>
  <c r="G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3" i="11"/>
  <c r="G2" i="11"/>
  <c r="F2" i="11"/>
  <c r="E2" i="11"/>
  <c r="B6" i="14"/>
  <c r="B5" i="14"/>
  <c r="B6" i="13"/>
  <c r="B5" i="13"/>
  <c r="B23" i="19" l="1"/>
  <c r="D23" i="19" s="1"/>
  <c r="B15" i="19"/>
  <c r="D15" i="19" s="1"/>
  <c r="B7" i="19"/>
  <c r="D7" i="19" s="1"/>
  <c r="B6" i="19"/>
  <c r="D6" i="19" s="1"/>
  <c r="B5" i="19"/>
  <c r="D5" i="19" s="1"/>
  <c r="B24" i="19"/>
  <c r="B16" i="19"/>
  <c r="B8" i="19"/>
  <c r="D8" i="19" s="1"/>
  <c r="E8" i="19" s="1"/>
  <c r="F8" i="19" s="1"/>
  <c r="B17" i="19"/>
  <c r="B9" i="19"/>
  <c r="D9" i="19" s="1"/>
  <c r="E9" i="19" s="1"/>
  <c r="F9" i="19" s="1"/>
  <c r="B18" i="19"/>
  <c r="B10" i="19"/>
  <c r="B19" i="19"/>
  <c r="D19" i="19" s="1"/>
  <c r="E19" i="19" s="1"/>
  <c r="F19" i="19" s="1"/>
  <c r="B11" i="19"/>
  <c r="D11" i="19" s="1"/>
  <c r="B20" i="19"/>
  <c r="B12" i="19"/>
  <c r="B2" i="19"/>
  <c r="B21" i="19"/>
  <c r="D21" i="19" s="1"/>
  <c r="E21" i="19" s="1"/>
  <c r="F21" i="19" s="1"/>
  <c r="B13" i="19"/>
  <c r="D13" i="19" s="1"/>
  <c r="B3" i="19"/>
  <c r="B22" i="19"/>
  <c r="D22" i="19" s="1"/>
  <c r="B14" i="19"/>
  <c r="B4" i="19"/>
  <c r="D16" i="19"/>
  <c r="D4" i="19"/>
  <c r="E4" i="19" s="1"/>
  <c r="F4" i="19" s="1"/>
  <c r="D14" i="19"/>
  <c r="D3" i="19"/>
  <c r="E3" i="19" s="1"/>
  <c r="F3" i="19" s="1"/>
  <c r="G3" i="19" s="1"/>
  <c r="H3" i="19" s="1"/>
  <c r="D12" i="19"/>
  <c r="D20" i="19"/>
  <c r="D10" i="19"/>
  <c r="D18" i="19"/>
  <c r="D17" i="19"/>
  <c r="E17" i="19" s="1"/>
  <c r="F17" i="19" s="1"/>
  <c r="B23" i="18"/>
  <c r="D23" i="18" s="1"/>
  <c r="E23" i="18" s="1"/>
  <c r="F23" i="18" s="1"/>
  <c r="B15" i="18"/>
  <c r="B4" i="18"/>
  <c r="B24" i="18"/>
  <c r="B16" i="18"/>
  <c r="B7" i="18"/>
  <c r="B6" i="18"/>
  <c r="B5" i="18"/>
  <c r="D5" i="18" s="1"/>
  <c r="B17" i="18"/>
  <c r="B8" i="18"/>
  <c r="B18" i="18"/>
  <c r="B19" i="18"/>
  <c r="B9" i="18"/>
  <c r="B20" i="18"/>
  <c r="D20" i="18" s="1"/>
  <c r="E20" i="18" s="1"/>
  <c r="F20" i="18" s="1"/>
  <c r="B12" i="18"/>
  <c r="D12" i="18" s="1"/>
  <c r="B21" i="18"/>
  <c r="D21" i="18" s="1"/>
  <c r="B13" i="18"/>
  <c r="B2" i="18"/>
  <c r="B22" i="18"/>
  <c r="B14" i="18"/>
  <c r="B3" i="18"/>
  <c r="D3" i="18" s="1"/>
  <c r="E3" i="18" s="1"/>
  <c r="F3" i="18" s="1"/>
  <c r="G3" i="18" s="1"/>
  <c r="B10" i="18"/>
  <c r="B11" i="18"/>
  <c r="D16" i="18"/>
  <c r="D4" i="18"/>
  <c r="D15" i="18"/>
  <c r="D14" i="18"/>
  <c r="D22" i="18"/>
  <c r="D13" i="18"/>
  <c r="E13" i="18" s="1"/>
  <c r="F13" i="18" s="1"/>
  <c r="D19" i="18"/>
  <c r="D18" i="18"/>
  <c r="D11" i="18"/>
  <c r="D10" i="18"/>
  <c r="D8" i="18"/>
  <c r="E8" i="18" s="1"/>
  <c r="F8" i="18" s="1"/>
  <c r="D9" i="18"/>
  <c r="D17" i="18"/>
  <c r="D6" i="18"/>
  <c r="D7" i="18"/>
  <c r="E7" i="18" s="1"/>
  <c r="F7" i="18" s="1"/>
  <c r="G5" i="11"/>
  <c r="H5" i="11" s="1"/>
  <c r="B5" i="12"/>
  <c r="L6" i="11"/>
  <c r="B12" i="14"/>
  <c r="B6" i="12"/>
  <c r="L5" i="11"/>
  <c r="I2" i="3"/>
  <c r="I2" i="1"/>
  <c r="I2" i="2"/>
  <c r="D2" i="3"/>
  <c r="C3" i="3"/>
  <c r="D2" i="2"/>
  <c r="F2" i="2" s="1"/>
  <c r="C3" i="2"/>
  <c r="D2" i="1"/>
  <c r="C3" i="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3" i="11"/>
  <c r="B12" i="16"/>
  <c r="B10" i="16"/>
  <c r="B19" i="16" s="1"/>
  <c r="B26" i="16" s="1"/>
  <c r="B8" i="16"/>
  <c r="B20" i="16" s="1"/>
  <c r="B27" i="16" s="1"/>
  <c r="B12" i="15"/>
  <c r="B8" i="15"/>
  <c r="B20" i="15" s="1"/>
  <c r="B27" i="15" s="1"/>
  <c r="B12" i="13"/>
  <c r="B12" i="12"/>
  <c r="E2" i="10"/>
  <c r="C3" i="10"/>
  <c r="D2" i="10" s="1"/>
  <c r="F2" i="10" s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E2" i="9"/>
  <c r="C3" i="9"/>
  <c r="G2" i="9" s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E2" i="8"/>
  <c r="C3" i="8"/>
  <c r="G2" i="8" s="1"/>
  <c r="C4" i="8"/>
  <c r="C5" i="8"/>
  <c r="I2" i="8" s="1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E2" i="3"/>
  <c r="E2" i="2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4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4" i="2"/>
  <c r="E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4" i="1"/>
  <c r="E15" i="19" l="1"/>
  <c r="F15" i="19" s="1"/>
  <c r="E22" i="19"/>
  <c r="F22" i="19" s="1"/>
  <c r="E12" i="19"/>
  <c r="F12" i="19" s="1"/>
  <c r="G4" i="19"/>
  <c r="H4" i="19" s="1"/>
  <c r="E13" i="19"/>
  <c r="F13" i="19" s="1"/>
  <c r="E20" i="19"/>
  <c r="F20" i="19" s="1"/>
  <c r="E16" i="19"/>
  <c r="F16" i="19" s="1"/>
  <c r="E11" i="19"/>
  <c r="F11" i="19" s="1"/>
  <c r="E5" i="19"/>
  <c r="F5" i="19" s="1"/>
  <c r="E6" i="19"/>
  <c r="F6" i="19" s="1"/>
  <c r="E18" i="19"/>
  <c r="F18" i="19" s="1"/>
  <c r="E14" i="19"/>
  <c r="F14" i="19" s="1"/>
  <c r="E7" i="19"/>
  <c r="F7" i="19" s="1"/>
  <c r="E10" i="19"/>
  <c r="F10" i="19" s="1"/>
  <c r="E23" i="19"/>
  <c r="F23" i="19" s="1"/>
  <c r="E11" i="18"/>
  <c r="F11" i="18" s="1"/>
  <c r="E16" i="18"/>
  <c r="F16" i="18" s="1"/>
  <c r="E21" i="18"/>
  <c r="F21" i="18" s="1"/>
  <c r="E5" i="18"/>
  <c r="F5" i="18" s="1"/>
  <c r="E9" i="18"/>
  <c r="F9" i="18" s="1"/>
  <c r="H3" i="18"/>
  <c r="E22" i="18"/>
  <c r="F22" i="18" s="1"/>
  <c r="E12" i="18"/>
  <c r="F12" i="18" s="1"/>
  <c r="E17" i="18"/>
  <c r="F17" i="18" s="1"/>
  <c r="E14" i="18"/>
  <c r="F14" i="18" s="1"/>
  <c r="E10" i="18"/>
  <c r="F10" i="18" s="1"/>
  <c r="E18" i="18"/>
  <c r="F18" i="18" s="1"/>
  <c r="E15" i="18"/>
  <c r="F15" i="18" s="1"/>
  <c r="E19" i="18"/>
  <c r="F19" i="18" s="1"/>
  <c r="E4" i="18"/>
  <c r="F4" i="18" s="1"/>
  <c r="E6" i="18"/>
  <c r="F6" i="18" s="1"/>
  <c r="G6" i="11"/>
  <c r="H6" i="11" s="1"/>
  <c r="B4" i="11"/>
  <c r="D4" i="11" s="1"/>
  <c r="B12" i="11"/>
  <c r="D12" i="11" s="1"/>
  <c r="B20" i="11"/>
  <c r="B5" i="11"/>
  <c r="B13" i="11"/>
  <c r="B21" i="11"/>
  <c r="B3" i="11"/>
  <c r="D3" i="11" s="1"/>
  <c r="B6" i="11"/>
  <c r="B14" i="11"/>
  <c r="D14" i="11" s="1"/>
  <c r="B22" i="11"/>
  <c r="B7" i="11"/>
  <c r="B15" i="11"/>
  <c r="D15" i="11" s="1"/>
  <c r="B23" i="11"/>
  <c r="D23" i="11" s="1"/>
  <c r="B8" i="11"/>
  <c r="D8" i="11" s="1"/>
  <c r="B16" i="11"/>
  <c r="D16" i="11" s="1"/>
  <c r="B24" i="11"/>
  <c r="B9" i="11"/>
  <c r="B17" i="11"/>
  <c r="D17" i="11" s="1"/>
  <c r="B2" i="11"/>
  <c r="B10" i="11"/>
  <c r="B18" i="11"/>
  <c r="D18" i="11" s="1"/>
  <c r="B11" i="11"/>
  <c r="B19" i="11"/>
  <c r="D19" i="11" s="1"/>
  <c r="D10" i="11"/>
  <c r="D9" i="11"/>
  <c r="D20" i="11"/>
  <c r="D7" i="11"/>
  <c r="D22" i="11"/>
  <c r="D6" i="11"/>
  <c r="D21" i="11"/>
  <c r="D13" i="11"/>
  <c r="D5" i="11"/>
  <c r="D11" i="11"/>
  <c r="B30" i="16"/>
  <c r="B21" i="16"/>
  <c r="B28" i="16" s="1"/>
  <c r="B9" i="16"/>
  <c r="B29" i="16" s="1"/>
  <c r="B10" i="15"/>
  <c r="B19" i="15" s="1"/>
  <c r="B26" i="15" s="1"/>
  <c r="F2" i="3"/>
  <c r="H2" i="3" s="1"/>
  <c r="J2" i="2"/>
  <c r="H2" i="2"/>
  <c r="B8" i="14"/>
  <c r="B20" i="14" s="1"/>
  <c r="B27" i="14" s="1"/>
  <c r="B8" i="13"/>
  <c r="B20" i="13" s="1"/>
  <c r="B27" i="13" s="1"/>
  <c r="B8" i="12"/>
  <c r="B10" i="12" s="1"/>
  <c r="F2" i="1"/>
  <c r="J2" i="1"/>
  <c r="H2" i="1"/>
  <c r="B22" i="16"/>
  <c r="B11" i="16"/>
  <c r="B14" i="16" s="1"/>
  <c r="B16" i="16" s="1"/>
  <c r="B23" i="16"/>
  <c r="B9" i="15"/>
  <c r="B21" i="15"/>
  <c r="B28" i="15" s="1"/>
  <c r="G2" i="10"/>
  <c r="H2" i="10" s="1"/>
  <c r="D2" i="8"/>
  <c r="F2" i="8" s="1"/>
  <c r="H2" i="8" s="1"/>
  <c r="I2" i="9"/>
  <c r="D2" i="9"/>
  <c r="F2" i="9" s="1"/>
  <c r="H2" i="9" s="1"/>
  <c r="I2" i="10"/>
  <c r="J2" i="10" s="1"/>
  <c r="G5" i="19" l="1"/>
  <c r="H5" i="19" s="1"/>
  <c r="G6" i="19" s="1"/>
  <c r="H6" i="19" s="1"/>
  <c r="G7" i="19" s="1"/>
  <c r="H7" i="19" s="1"/>
  <c r="G8" i="19" s="1"/>
  <c r="H8" i="19" s="1"/>
  <c r="G9" i="19" s="1"/>
  <c r="H9" i="19" s="1"/>
  <c r="G10" i="19" s="1"/>
  <c r="H10" i="19" s="1"/>
  <c r="G11" i="19" s="1"/>
  <c r="H11" i="19" s="1"/>
  <c r="G12" i="19" s="1"/>
  <c r="H12" i="19" s="1"/>
  <c r="G13" i="19" s="1"/>
  <c r="H13" i="19" s="1"/>
  <c r="G14" i="19" s="1"/>
  <c r="H14" i="19" s="1"/>
  <c r="G15" i="19" s="1"/>
  <c r="H15" i="19" s="1"/>
  <c r="G16" i="19" s="1"/>
  <c r="H16" i="19" s="1"/>
  <c r="G17" i="19" s="1"/>
  <c r="H17" i="19" s="1"/>
  <c r="G18" i="19" s="1"/>
  <c r="H18" i="19" s="1"/>
  <c r="G19" i="19" s="1"/>
  <c r="H19" i="19" s="1"/>
  <c r="G20" i="19" s="1"/>
  <c r="H20" i="19" s="1"/>
  <c r="G21" i="19" s="1"/>
  <c r="H21" i="19" s="1"/>
  <c r="G22" i="19" s="1"/>
  <c r="H22" i="19" s="1"/>
  <c r="G23" i="19" s="1"/>
  <c r="H23" i="19" s="1"/>
  <c r="G24" i="19" s="1"/>
  <c r="H24" i="19" s="1"/>
  <c r="G4" i="18"/>
  <c r="H4" i="18" s="1"/>
  <c r="G5" i="18" s="1"/>
  <c r="H5" i="18" s="1"/>
  <c r="G6" i="18" s="1"/>
  <c r="H6" i="18" s="1"/>
  <c r="G7" i="18" s="1"/>
  <c r="H7" i="18" s="1"/>
  <c r="G8" i="18" s="1"/>
  <c r="H8" i="18" s="1"/>
  <c r="G9" i="18" s="1"/>
  <c r="H9" i="18" s="1"/>
  <c r="G10" i="18" s="1"/>
  <c r="H10" i="18" s="1"/>
  <c r="G11" i="18" s="1"/>
  <c r="H11" i="18" s="1"/>
  <c r="G12" i="18" s="1"/>
  <c r="H12" i="18" s="1"/>
  <c r="G13" i="18" s="1"/>
  <c r="H13" i="18" s="1"/>
  <c r="G14" i="18" s="1"/>
  <c r="H14" i="18" s="1"/>
  <c r="G15" i="18" s="1"/>
  <c r="H15" i="18" s="1"/>
  <c r="G16" i="18" s="1"/>
  <c r="H16" i="18" s="1"/>
  <c r="G17" i="18" s="1"/>
  <c r="H17" i="18" s="1"/>
  <c r="G18" i="18" s="1"/>
  <c r="H18" i="18" s="1"/>
  <c r="G19" i="18" s="1"/>
  <c r="H19" i="18" s="1"/>
  <c r="G20" i="18" s="1"/>
  <c r="H20" i="18" s="1"/>
  <c r="G21" i="18" s="1"/>
  <c r="H21" i="18" s="1"/>
  <c r="G22" i="18" s="1"/>
  <c r="H22" i="18" s="1"/>
  <c r="G23" i="18" s="1"/>
  <c r="H23" i="18" s="1"/>
  <c r="G24" i="18" s="1"/>
  <c r="H24" i="18" s="1"/>
  <c r="G7" i="11"/>
  <c r="H7" i="11" s="1"/>
  <c r="B10" i="14"/>
  <c r="B19" i="14" s="1"/>
  <c r="B26" i="14" s="1"/>
  <c r="B9" i="14"/>
  <c r="B29" i="14" s="1"/>
  <c r="B21" i="14"/>
  <c r="B28" i="14" s="1"/>
  <c r="B21" i="12"/>
  <c r="B28" i="12" s="1"/>
  <c r="B9" i="12"/>
  <c r="B19" i="12"/>
  <c r="B26" i="12" s="1"/>
  <c r="D2" i="11"/>
  <c r="J2" i="3"/>
  <c r="B20" i="12"/>
  <c r="B27" i="12" s="1"/>
  <c r="B9" i="13"/>
  <c r="B23" i="13" s="1"/>
  <c r="B10" i="13"/>
  <c r="B19" i="13" s="1"/>
  <c r="B26" i="13" s="1"/>
  <c r="B21" i="13"/>
  <c r="B28" i="13" s="1"/>
  <c r="B30" i="14"/>
  <c r="B11" i="14"/>
  <c r="B14" i="14" s="1"/>
  <c r="B16" i="14" s="1"/>
  <c r="B11" i="12"/>
  <c r="B14" i="12" s="1"/>
  <c r="B16" i="12" s="1"/>
  <c r="B23" i="12"/>
  <c r="B22" i="12"/>
  <c r="B11" i="15"/>
  <c r="B14" i="15" s="1"/>
  <c r="B16" i="15" s="1"/>
  <c r="B22" i="15"/>
  <c r="B29" i="15"/>
  <c r="B23" i="15"/>
  <c r="B30" i="15"/>
  <c r="J2" i="8"/>
  <c r="J2" i="9"/>
  <c r="G8" i="11" l="1"/>
  <c r="H8" i="11" s="1"/>
  <c r="B22" i="14"/>
  <c r="B23" i="14"/>
  <c r="B30" i="12"/>
  <c r="B11" i="13"/>
  <c r="B14" i="13" s="1"/>
  <c r="B16" i="13" s="1"/>
  <c r="B30" i="13"/>
  <c r="B29" i="13"/>
  <c r="B22" i="13"/>
  <c r="G9" i="11" l="1"/>
  <c r="H9" i="11" s="1"/>
  <c r="G10" i="11" l="1"/>
  <c r="H10" i="11" s="1"/>
  <c r="G11" i="11" l="1"/>
  <c r="H11" i="11" s="1"/>
  <c r="G12" i="11" l="1"/>
  <c r="H12" i="11" s="1"/>
  <c r="G13" i="11" l="1"/>
  <c r="H13" i="11" s="1"/>
  <c r="G14" i="11" l="1"/>
  <c r="H14" i="11" s="1"/>
  <c r="G15" i="11" l="1"/>
  <c r="H15" i="11" s="1"/>
  <c r="G16" i="11" l="1"/>
  <c r="H16" i="11" s="1"/>
  <c r="G17" i="11" l="1"/>
  <c r="H17" i="11" s="1"/>
  <c r="G18" i="11" l="1"/>
  <c r="H18" i="11" s="1"/>
  <c r="G19" i="11" l="1"/>
  <c r="H19" i="11" s="1"/>
  <c r="G20" i="11" l="1"/>
  <c r="H20" i="11" s="1"/>
  <c r="G21" i="11" l="1"/>
  <c r="H21" i="11" s="1"/>
  <c r="G22" i="11" l="1"/>
  <c r="H22" i="11" s="1"/>
  <c r="G23" i="11" l="1"/>
  <c r="H23" i="11" s="1"/>
  <c r="G24" i="11" l="1"/>
  <c r="H24" i="11" s="1"/>
</calcChain>
</file>

<file path=xl/sharedStrings.xml><?xml version="1.0" encoding="utf-8"?>
<sst xmlns="http://schemas.openxmlformats.org/spreadsheetml/2006/main" count="363" uniqueCount="84">
  <si>
    <t>Date</t>
  </si>
  <si>
    <t>Adj Close</t>
  </si>
  <si>
    <t>Daily Returns</t>
  </si>
  <si>
    <t>Standard Deviation Of Sample</t>
  </si>
  <si>
    <t>t (one trading day)</t>
  </si>
  <si>
    <t>estimate of volatility</t>
  </si>
  <si>
    <t>standard error</t>
  </si>
  <si>
    <t>n</t>
  </si>
  <si>
    <t>mean return</t>
  </si>
  <si>
    <t>annualized return</t>
  </si>
  <si>
    <t>BAC</t>
  </si>
  <si>
    <t>AMZN</t>
  </si>
  <si>
    <t>AAPL</t>
  </si>
  <si>
    <t>OTM</t>
  </si>
  <si>
    <t>ITM</t>
  </si>
  <si>
    <t>C</t>
  </si>
  <si>
    <t>P</t>
  </si>
  <si>
    <t>BAC - strike</t>
  </si>
  <si>
    <t>AAPL - strike</t>
  </si>
  <si>
    <t>AMZN - strike</t>
  </si>
  <si>
    <t>April Options At Maturity (April - 18 - 2019)</t>
  </si>
  <si>
    <t>Stock Prices At Data Collection Date (March - 18 - 2019)</t>
  </si>
  <si>
    <t>Stock Prices At April Maturity (April - 18 - 2019)</t>
  </si>
  <si>
    <t>Option A</t>
  </si>
  <si>
    <t>Option B</t>
  </si>
  <si>
    <t>Option C</t>
  </si>
  <si>
    <t>Option D</t>
  </si>
  <si>
    <t>Option E</t>
  </si>
  <si>
    <t>BAC 30 - Strike Call</t>
  </si>
  <si>
    <t>BAC 31 - Strike Call</t>
  </si>
  <si>
    <t>April</t>
  </si>
  <si>
    <t>June</t>
  </si>
  <si>
    <t>Option</t>
  </si>
  <si>
    <t>Maturity</t>
  </si>
  <si>
    <t>AAPL 190 - Strike Call</t>
  </si>
  <si>
    <t>AAPL 180 - Strike Call</t>
  </si>
  <si>
    <t>Stock Price (data collection date)</t>
  </si>
  <si>
    <t>Strike Price</t>
  </si>
  <si>
    <t>Annualized Volatility</t>
  </si>
  <si>
    <t>Risk Free Rate (T-bill)</t>
  </si>
  <si>
    <t>Time To Maturity (Years)</t>
  </si>
  <si>
    <t>A</t>
  </si>
  <si>
    <t>B</t>
  </si>
  <si>
    <t>D</t>
  </si>
  <si>
    <t>E</t>
  </si>
  <si>
    <t>Black Scholes Option Price</t>
  </si>
  <si>
    <t>d1</t>
  </si>
  <si>
    <t>d2</t>
  </si>
  <si>
    <t>N(d1)</t>
  </si>
  <si>
    <t>N(d2)</t>
  </si>
  <si>
    <t>Ke^rT</t>
  </si>
  <si>
    <t>Black Scholes Put Price via Put Call Parity</t>
  </si>
  <si>
    <t>Delta</t>
  </si>
  <si>
    <t>Gamma</t>
  </si>
  <si>
    <t>Vega</t>
  </si>
  <si>
    <t xml:space="preserve">Theta </t>
  </si>
  <si>
    <t>Rho</t>
  </si>
  <si>
    <t>Calls</t>
  </si>
  <si>
    <t>Puts</t>
  </si>
  <si>
    <t>Day</t>
  </si>
  <si>
    <t>Price</t>
  </si>
  <si>
    <t>Shares Purchased</t>
  </si>
  <si>
    <t>Cost Shares Purchased</t>
  </si>
  <si>
    <t>Cum. Cost + Interst</t>
  </si>
  <si>
    <t>Interest Cost</t>
  </si>
  <si>
    <t>T</t>
  </si>
  <si>
    <t>Note, the option technically expired in the money by 3 cents. However for the sake of the project we are assuming that it expired at the money at the strike of 30</t>
  </si>
  <si>
    <t>That being said we establish the final delta to be 0.5</t>
  </si>
  <si>
    <t>Proceeds (10,000 shares at k = 190)</t>
  </si>
  <si>
    <t>Value of premiums grown at r</t>
  </si>
  <si>
    <t>Premium per option</t>
  </si>
  <si>
    <t>Profit</t>
  </si>
  <si>
    <t>Proceeds (None)</t>
  </si>
  <si>
    <t>hedge</t>
  </si>
  <si>
    <t>no hedge</t>
  </si>
  <si>
    <t>Cost</t>
  </si>
  <si>
    <t>naked</t>
  </si>
  <si>
    <t>profit</t>
  </si>
  <si>
    <t>10,000 at s = 203.86</t>
  </si>
  <si>
    <t>percentage of premium</t>
  </si>
  <si>
    <t>H</t>
  </si>
  <si>
    <t>N</t>
  </si>
  <si>
    <t>bank of america</t>
  </si>
  <si>
    <t>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</si>
</sst>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"/>
    <numFmt numFmtId="165" formatCode="0.00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Fill="1"/>
    <xf numFmtId="0" fontId="0" fillId="33" borderId="22" xfId="0" applyFill="1" applyBorder="1"/>
    <xf numFmtId="0" fontId="0" fillId="33" borderId="22" xfId="0" quotePrefix="1" applyFill="1" applyBorder="1"/>
    <xf numFmtId="0" fontId="0" fillId="0" borderId="0" xfId="0" applyBorder="1"/>
    <xf numFmtId="0" fontId="0" fillId="34" borderId="22" xfId="0" applyFill="1" applyBorder="1"/>
    <xf numFmtId="0" fontId="0" fillId="35" borderId="22" xfId="0" applyFill="1" applyBorder="1"/>
    <xf numFmtId="0" fontId="0" fillId="35" borderId="24" xfId="0" applyFill="1" applyBorder="1"/>
    <xf numFmtId="0" fontId="0" fillId="33" borderId="21" xfId="0" applyFill="1" applyBorder="1" applyAlignment="1">
      <alignment horizontal="center"/>
    </xf>
    <xf numFmtId="0" fontId="0" fillId="33" borderId="23" xfId="0" applyFill="1" applyBorder="1" applyAlignment="1">
      <alignment horizontal="center"/>
    </xf>
    <xf numFmtId="0" fontId="0" fillId="34" borderId="21" xfId="0" applyFill="1" applyBorder="1" applyAlignment="1">
      <alignment horizontal="center"/>
    </xf>
    <xf numFmtId="0" fontId="0" fillId="34" borderId="23" xfId="0" applyFill="1" applyBorder="1" applyAlignment="1">
      <alignment horizontal="center"/>
    </xf>
    <xf numFmtId="0" fontId="0" fillId="35" borderId="21" xfId="0" applyFill="1" applyBorder="1" applyAlignment="1">
      <alignment horizontal="center"/>
    </xf>
    <xf numFmtId="0" fontId="0" fillId="35" borderId="23" xfId="0" applyFill="1" applyBorder="1" applyAlignment="1">
      <alignment horizontal="center"/>
    </xf>
    <xf numFmtId="0" fontId="0" fillId="35" borderId="25" xfId="0" applyFill="1" applyBorder="1" applyAlignment="1">
      <alignment horizontal="center"/>
    </xf>
    <xf numFmtId="0" fontId="0" fillId="35" borderId="26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quotePrefix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33" borderId="27" xfId="0" applyFill="1" applyBorder="1" applyAlignment="1">
      <alignment horizontal="center"/>
    </xf>
    <xf numFmtId="0" fontId="0" fillId="33" borderId="28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14" xfId="0" applyBorder="1"/>
    <xf numFmtId="0" fontId="0" fillId="0" borderId="20" xfId="0" applyBorder="1"/>
    <xf numFmtId="0" fontId="0" fillId="0" borderId="15" xfId="0" applyBorder="1"/>
    <xf numFmtId="0" fontId="0" fillId="0" borderId="2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0" xfId="0" applyBorder="1" applyAlignment="1">
      <alignment horizontal="right"/>
    </xf>
    <xf numFmtId="0" fontId="0" fillId="0" borderId="15" xfId="0" applyBorder="1" applyAlignment="1">
      <alignment horizontal="right"/>
    </xf>
    <xf numFmtId="165" fontId="0" fillId="0" borderId="0" xfId="0" applyNumberFormat="1" applyBorder="1"/>
    <xf numFmtId="165" fontId="0" fillId="0" borderId="17" xfId="0" applyNumberFormat="1" applyBorder="1"/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I16" sqref="I16"/>
    </sheetView>
  </sheetViews>
  <sheetFormatPr defaultRowHeight="14.5" x14ac:dyDescent="0.35"/>
  <cols>
    <col min="5" max="5" width="16.54296875" bestFit="1" customWidth="1"/>
    <col min="6" max="6" width="21" bestFit="1" customWidth="1"/>
    <col min="7" max="7" width="17.81640625" bestFit="1" customWidth="1"/>
    <col min="8" max="8" width="12.26953125" bestFit="1" customWidth="1"/>
    <col min="9" max="9" width="12.26953125" customWidth="1"/>
    <col min="11" max="11" width="31.7265625" bestFit="1" customWidth="1"/>
    <col min="12" max="12" width="12" bestFit="1" customWidth="1"/>
  </cols>
  <sheetData>
    <row r="1" spans="1:12" ht="15" thickBot="1" x14ac:dyDescent="0.4">
      <c r="A1" t="s">
        <v>59</v>
      </c>
      <c r="B1" s="34" t="s">
        <v>65</v>
      </c>
      <c r="C1" s="35" t="s">
        <v>60</v>
      </c>
      <c r="D1" s="35" t="s">
        <v>52</v>
      </c>
      <c r="E1" s="35" t="s">
        <v>61</v>
      </c>
      <c r="F1" s="35" t="s">
        <v>62</v>
      </c>
      <c r="G1" s="35" t="s">
        <v>63</v>
      </c>
      <c r="H1" s="36" t="s">
        <v>64</v>
      </c>
      <c r="I1" t="s">
        <v>7</v>
      </c>
      <c r="K1" s="30" t="s">
        <v>32</v>
      </c>
      <c r="L1" s="37" t="s">
        <v>41</v>
      </c>
    </row>
    <row r="2" spans="1:12" x14ac:dyDescent="0.35">
      <c r="A2">
        <v>0</v>
      </c>
      <c r="B2" s="30">
        <f>($A$24-A2)/252</f>
        <v>8.7301587301587297E-2</v>
      </c>
      <c r="C2" s="31">
        <v>186.529999</v>
      </c>
      <c r="D2" s="31">
        <f>'Option A'!B10</f>
        <v>0.36713201467184264</v>
      </c>
      <c r="E2" s="31">
        <f>D2*I2</f>
        <v>3671.3201467184263</v>
      </c>
      <c r="F2" s="31">
        <f>E2*C2</f>
        <v>684811.34329606791</v>
      </c>
      <c r="G2" s="31">
        <f>F2</f>
        <v>684811.34329606791</v>
      </c>
      <c r="H2" s="32">
        <f>G2*$L$4/252</f>
        <v>65.631748465375736</v>
      </c>
      <c r="I2">
        <v>10000</v>
      </c>
      <c r="K2" s="30" t="s">
        <v>36</v>
      </c>
      <c r="L2" s="32">
        <v>186.53</v>
      </c>
    </row>
    <row r="3" spans="1:12" x14ac:dyDescent="0.35">
      <c r="A3">
        <f>A2+1</f>
        <v>1</v>
      </c>
      <c r="B3" s="3">
        <f t="shared" ref="B3:B24" si="0">($A$24-A3)/252</f>
        <v>8.3333333333333329E-2</v>
      </c>
      <c r="C3" s="10">
        <v>188.16000399999999</v>
      </c>
      <c r="D3" s="10">
        <f>_xlfn.NORM.S.DIST(((LN(C3/$L$3) + (($L$4 + ($L$5^2/2))*B3)))/($L$5*SQRT(B3)),TRUE)</f>
        <v>0.44009571854975049</v>
      </c>
      <c r="E3" s="10">
        <f>(D3-D2)*$I$2</f>
        <v>729.63703877907847</v>
      </c>
      <c r="F3" s="10">
        <f>E3*C3</f>
        <v>137288.50813521954</v>
      </c>
      <c r="G3" s="10">
        <f>H2+G2+F3</f>
        <v>822165.48317975283</v>
      </c>
      <c r="H3" s="4">
        <f t="shared" ref="H3:H24" si="1">G3*$L$4/252</f>
        <v>78.795654770044862</v>
      </c>
      <c r="K3" s="3" t="s">
        <v>37</v>
      </c>
      <c r="L3" s="4">
        <v>190</v>
      </c>
    </row>
    <row r="4" spans="1:12" x14ac:dyDescent="0.35">
      <c r="A4">
        <f t="shared" ref="A4:A22" si="2">A3+1</f>
        <v>2</v>
      </c>
      <c r="B4" s="3">
        <f t="shared" si="0"/>
        <v>7.9365079365079361E-2</v>
      </c>
      <c r="C4" s="10">
        <v>195.08999600000001</v>
      </c>
      <c r="D4" s="10">
        <f t="shared" ref="D4:D22" si="3">_xlfn.NORM.S.DIST(((LN(C4/$L$3) + (($L$4 + ($L$5^2/2))*B4)))/($L$5*SQRT(B4)),TRUE)</f>
        <v>0.74954740339841341</v>
      </c>
      <c r="E4" s="10">
        <f t="shared" ref="E4:E23" si="4">(D4-D3)*$I$2</f>
        <v>3094.5168484866294</v>
      </c>
      <c r="F4" s="10">
        <f t="shared" ref="F4:F24" si="5">E4*C4</f>
        <v>603709.27959318913</v>
      </c>
      <c r="G4" s="10">
        <f t="shared" ref="G4:G24" si="6">H3+G3+F4</f>
        <v>1425953.5584277119</v>
      </c>
      <c r="H4" s="4">
        <f t="shared" si="1"/>
        <v>136.6622007450799</v>
      </c>
      <c r="K4" s="3" t="s">
        <v>39</v>
      </c>
      <c r="L4" s="40">
        <v>2.4151470000000001E-2</v>
      </c>
    </row>
    <row r="5" spans="1:12" x14ac:dyDescent="0.35">
      <c r="A5">
        <f t="shared" si="2"/>
        <v>3</v>
      </c>
      <c r="B5" s="3">
        <f t="shared" si="0"/>
        <v>7.5396825396825393E-2</v>
      </c>
      <c r="C5" s="10">
        <v>191.050003</v>
      </c>
      <c r="D5" s="10">
        <f t="shared" si="3"/>
        <v>0.5769169659426252</v>
      </c>
      <c r="E5" s="10">
        <f t="shared" si="4"/>
        <v>-1726.3043745578821</v>
      </c>
      <c r="F5" s="10">
        <f t="shared" si="5"/>
        <v>-329810.45593819651</v>
      </c>
      <c r="G5" s="10">
        <f t="shared" si="6"/>
        <v>1096279.7646902606</v>
      </c>
      <c r="H5" s="4">
        <f t="shared" si="1"/>
        <v>105.06653908144401</v>
      </c>
      <c r="K5" s="3" t="s">
        <v>38</v>
      </c>
      <c r="L5" s="4">
        <f>'bac april'!$F$2</f>
        <v>0.15453050018690243</v>
      </c>
    </row>
    <row r="6" spans="1:12" ht="15" thickBot="1" x14ac:dyDescent="0.4">
      <c r="A6">
        <f t="shared" si="2"/>
        <v>4</v>
      </c>
      <c r="B6" s="3">
        <f t="shared" si="0"/>
        <v>7.1428571428571425E-2</v>
      </c>
      <c r="C6" s="10">
        <v>188.740005</v>
      </c>
      <c r="D6" s="10">
        <f t="shared" si="3"/>
        <v>0.46069422120754583</v>
      </c>
      <c r="E6" s="10">
        <f t="shared" si="4"/>
        <v>-1162.2274473507937</v>
      </c>
      <c r="F6" s="10">
        <f t="shared" si="5"/>
        <v>-219358.81422412602</v>
      </c>
      <c r="G6" s="10">
        <f t="shared" si="6"/>
        <v>877026.0170052161</v>
      </c>
      <c r="H6" s="4">
        <f t="shared" si="1"/>
        <v>84.053442614765743</v>
      </c>
      <c r="K6" s="5" t="s">
        <v>40</v>
      </c>
      <c r="L6" s="6">
        <f>22/252</f>
        <v>8.7301587301587297E-2</v>
      </c>
    </row>
    <row r="7" spans="1:12" ht="15" thickBot="1" x14ac:dyDescent="0.4">
      <c r="A7">
        <f t="shared" si="2"/>
        <v>5</v>
      </c>
      <c r="B7" s="3">
        <f t="shared" si="0"/>
        <v>6.7460317460317457E-2</v>
      </c>
      <c r="C7" s="10">
        <v>186.78999300000001</v>
      </c>
      <c r="D7" s="10">
        <f t="shared" si="3"/>
        <v>0.35797795281403944</v>
      </c>
      <c r="E7" s="10">
        <f t="shared" si="4"/>
        <v>-1027.162683935064</v>
      </c>
      <c r="F7" s="10">
        <f t="shared" si="5"/>
        <v>-191863.71054209184</v>
      </c>
      <c r="G7" s="10">
        <f t="shared" si="6"/>
        <v>685246.35990573897</v>
      </c>
      <c r="H7" s="4">
        <f t="shared" si="1"/>
        <v>65.673440094732769</v>
      </c>
      <c r="K7" s="22"/>
    </row>
    <row r="8" spans="1:12" x14ac:dyDescent="0.35">
      <c r="A8">
        <f t="shared" si="2"/>
        <v>6</v>
      </c>
      <c r="B8" s="3">
        <f t="shared" si="0"/>
        <v>6.3492063492063489E-2</v>
      </c>
      <c r="C8" s="10">
        <v>188.470001</v>
      </c>
      <c r="D8" s="10">
        <f t="shared" si="3"/>
        <v>0.44085842116638935</v>
      </c>
      <c r="E8" s="10">
        <f t="shared" si="4"/>
        <v>828.80468352349908</v>
      </c>
      <c r="F8" s="10">
        <f t="shared" si="5"/>
        <v>156204.81953247855</v>
      </c>
      <c r="G8" s="10">
        <f t="shared" si="6"/>
        <v>841516.85287831223</v>
      </c>
      <c r="H8" s="4">
        <f t="shared" si="1"/>
        <v>80.650273915813386</v>
      </c>
      <c r="J8" t="s">
        <v>73</v>
      </c>
      <c r="K8" s="30" t="s">
        <v>70</v>
      </c>
      <c r="L8" s="32">
        <v>3.01</v>
      </c>
    </row>
    <row r="9" spans="1:12" x14ac:dyDescent="0.35">
      <c r="A9">
        <f t="shared" si="2"/>
        <v>7</v>
      </c>
      <c r="B9" s="3">
        <f t="shared" si="0"/>
        <v>5.9523809523809521E-2</v>
      </c>
      <c r="C9" s="10">
        <v>188.720001</v>
      </c>
      <c r="D9" s="10">
        <f t="shared" si="3"/>
        <v>0.45132613465828364</v>
      </c>
      <c r="E9" s="10">
        <f t="shared" si="4"/>
        <v>104.67713491894293</v>
      </c>
      <c r="F9" s="10">
        <f t="shared" si="5"/>
        <v>19754.669006580043</v>
      </c>
      <c r="G9" s="10">
        <f t="shared" si="6"/>
        <v>861352.1721588081</v>
      </c>
      <c r="H9" s="4">
        <f t="shared" si="1"/>
        <v>82.551274386223383</v>
      </c>
      <c r="K9" s="3" t="s">
        <v>68</v>
      </c>
      <c r="L9" s="4">
        <f>L3*I2</f>
        <v>1900000</v>
      </c>
    </row>
    <row r="10" spans="1:12" x14ac:dyDescent="0.35">
      <c r="A10">
        <f t="shared" si="2"/>
        <v>8</v>
      </c>
      <c r="B10" s="3">
        <f t="shared" si="0"/>
        <v>5.5555555555555552E-2</v>
      </c>
      <c r="C10" s="10">
        <v>189.949997</v>
      </c>
      <c r="D10" s="10">
        <f t="shared" si="3"/>
        <v>0.51907132725149285</v>
      </c>
      <c r="E10" s="10">
        <f t="shared" si="4"/>
        <v>677.45192593209208</v>
      </c>
      <c r="F10" s="10">
        <f t="shared" si="5"/>
        <v>128681.99129844511</v>
      </c>
      <c r="G10" s="10">
        <f t="shared" si="6"/>
        <v>990116.71473163948</v>
      </c>
      <c r="H10" s="4">
        <f t="shared" si="1"/>
        <v>94.891960842618047</v>
      </c>
      <c r="K10" s="3" t="s">
        <v>69</v>
      </c>
      <c r="L10" s="4">
        <f>(L8*I2)*EXP(L4*23/252)</f>
        <v>30166.422635923878</v>
      </c>
    </row>
    <row r="11" spans="1:12" x14ac:dyDescent="0.35">
      <c r="A11">
        <f t="shared" si="2"/>
        <v>9</v>
      </c>
      <c r="B11" s="3">
        <f t="shared" si="0"/>
        <v>5.1587301587301584E-2</v>
      </c>
      <c r="C11" s="10">
        <v>191.240005</v>
      </c>
      <c r="D11" s="10">
        <f t="shared" si="3"/>
        <v>0.59420976230207345</v>
      </c>
      <c r="E11" s="10">
        <f t="shared" si="4"/>
        <v>751.38435050580597</v>
      </c>
      <c r="F11" s="10">
        <f t="shared" si="5"/>
        <v>143694.74694765208</v>
      </c>
      <c r="G11" s="10">
        <f t="shared" si="6"/>
        <v>1133906.3536401342</v>
      </c>
      <c r="H11" s="4">
        <f t="shared" si="1"/>
        <v>108.67264001090911</v>
      </c>
      <c r="K11" s="3" t="s">
        <v>75</v>
      </c>
      <c r="L11" s="4">
        <f>G24-L9</f>
        <v>32502.590816753218</v>
      </c>
    </row>
    <row r="12" spans="1:12" ht="15" thickBot="1" x14ac:dyDescent="0.4">
      <c r="A12">
        <f t="shared" si="2"/>
        <v>10</v>
      </c>
      <c r="B12" s="3">
        <f t="shared" si="0"/>
        <v>4.7619047619047616E-2</v>
      </c>
      <c r="C12" s="10">
        <v>194.020004</v>
      </c>
      <c r="D12" s="10">
        <f t="shared" si="3"/>
        <v>0.74916191374060803</v>
      </c>
      <c r="E12" s="10">
        <f t="shared" si="4"/>
        <v>1549.5215143853459</v>
      </c>
      <c r="F12" s="10">
        <f t="shared" si="5"/>
        <v>300638.17041913088</v>
      </c>
      <c r="G12" s="10">
        <f t="shared" si="6"/>
        <v>1434653.1966992761</v>
      </c>
      <c r="H12" s="4">
        <f t="shared" si="1"/>
        <v>137.49596682732803</v>
      </c>
      <c r="K12" s="5" t="s">
        <v>71</v>
      </c>
      <c r="L12" s="6">
        <f>L10-L11</f>
        <v>-2336.1681808293397</v>
      </c>
    </row>
    <row r="13" spans="1:12" x14ac:dyDescent="0.35">
      <c r="A13">
        <f t="shared" si="2"/>
        <v>11</v>
      </c>
      <c r="B13" s="3">
        <f t="shared" si="0"/>
        <v>4.3650793650793648E-2</v>
      </c>
      <c r="C13" s="10">
        <v>195.35000600000001</v>
      </c>
      <c r="D13" s="10">
        <f t="shared" si="3"/>
        <v>0.81829622489603715</v>
      </c>
      <c r="E13" s="10">
        <f t="shared" si="4"/>
        <v>691.34311155429123</v>
      </c>
      <c r="F13" s="10">
        <f t="shared" si="5"/>
        <v>135053.88099018947</v>
      </c>
      <c r="G13" s="10">
        <f t="shared" si="6"/>
        <v>1569844.5736562929</v>
      </c>
      <c r="H13" s="4">
        <f t="shared" si="1"/>
        <v>150.45259573540773</v>
      </c>
    </row>
    <row r="14" spans="1:12" ht="15" thickBot="1" x14ac:dyDescent="0.4">
      <c r="A14">
        <f t="shared" si="2"/>
        <v>12</v>
      </c>
      <c r="B14" s="3">
        <f t="shared" si="0"/>
        <v>3.968253968253968E-2</v>
      </c>
      <c r="C14" s="10">
        <v>195.69000199999999</v>
      </c>
      <c r="D14" s="10">
        <f t="shared" si="3"/>
        <v>0.84257330719037227</v>
      </c>
      <c r="E14" s="10">
        <f t="shared" si="4"/>
        <v>242.77082294335116</v>
      </c>
      <c r="F14" s="10">
        <f t="shared" si="5"/>
        <v>47507.822827326032</v>
      </c>
      <c r="G14" s="10">
        <f t="shared" si="6"/>
        <v>1617502.8490793544</v>
      </c>
      <c r="H14" s="4">
        <f t="shared" si="1"/>
        <v>155.02012513672446</v>
      </c>
    </row>
    <row r="15" spans="1:12" x14ac:dyDescent="0.35">
      <c r="A15">
        <f t="shared" si="2"/>
        <v>13</v>
      </c>
      <c r="B15" s="3">
        <f t="shared" si="0"/>
        <v>3.5714285714285712E-2</v>
      </c>
      <c r="C15" s="10">
        <v>197</v>
      </c>
      <c r="D15" s="10">
        <f t="shared" si="3"/>
        <v>0.90025705882563867</v>
      </c>
      <c r="E15" s="10">
        <f t="shared" si="4"/>
        <v>576.83751635266401</v>
      </c>
      <c r="F15" s="10">
        <f t="shared" si="5"/>
        <v>113636.99072147481</v>
      </c>
      <c r="G15" s="10">
        <f t="shared" si="6"/>
        <v>1731294.859925966</v>
      </c>
      <c r="H15" s="4">
        <f t="shared" si="1"/>
        <v>165.925856629588</v>
      </c>
      <c r="J15" t="s">
        <v>74</v>
      </c>
      <c r="K15" s="30" t="s">
        <v>70</v>
      </c>
      <c r="L15" s="32">
        <f>L8</f>
        <v>3.01</v>
      </c>
    </row>
    <row r="16" spans="1:12" x14ac:dyDescent="0.35">
      <c r="A16">
        <f t="shared" si="2"/>
        <v>14</v>
      </c>
      <c r="B16" s="3">
        <f t="shared" si="0"/>
        <v>3.1746031746031744E-2</v>
      </c>
      <c r="C16" s="10">
        <v>200.10000600000001</v>
      </c>
      <c r="D16" s="10">
        <f t="shared" si="3"/>
        <v>0.97274249626228693</v>
      </c>
      <c r="E16" s="10">
        <f t="shared" si="4"/>
        <v>724.8543743664826</v>
      </c>
      <c r="F16" s="10">
        <f t="shared" si="5"/>
        <v>145043.36465985942</v>
      </c>
      <c r="G16" s="10">
        <f t="shared" si="6"/>
        <v>1876504.150442455</v>
      </c>
      <c r="H16" s="4">
        <f t="shared" si="1"/>
        <v>179.84259402494618</v>
      </c>
      <c r="K16" s="3" t="s">
        <v>69</v>
      </c>
      <c r="L16" s="4">
        <f>L10</f>
        <v>30166.422635923878</v>
      </c>
    </row>
    <row r="17" spans="1:12" x14ac:dyDescent="0.35">
      <c r="A17">
        <f t="shared" si="2"/>
        <v>15</v>
      </c>
      <c r="B17" s="3">
        <f t="shared" si="0"/>
        <v>2.7777777777777776E-2</v>
      </c>
      <c r="C17" s="10">
        <v>199.5</v>
      </c>
      <c r="D17" s="10">
        <f t="shared" si="3"/>
        <v>0.97340132494235532</v>
      </c>
      <c r="E17" s="10">
        <f t="shared" si="4"/>
        <v>6.5882868006839068</v>
      </c>
      <c r="F17" s="10">
        <f t="shared" si="5"/>
        <v>1314.3632167364394</v>
      </c>
      <c r="G17" s="10">
        <f t="shared" si="6"/>
        <v>1877998.3562532163</v>
      </c>
      <c r="H17" s="4">
        <f t="shared" si="1"/>
        <v>179.98579746467806</v>
      </c>
      <c r="K17" s="3" t="s">
        <v>68</v>
      </c>
      <c r="L17" s="4">
        <f>I2*L3</f>
        <v>1900000</v>
      </c>
    </row>
    <row r="18" spans="1:12" x14ac:dyDescent="0.35">
      <c r="A18">
        <f t="shared" si="2"/>
        <v>16</v>
      </c>
      <c r="B18" s="3">
        <f t="shared" si="0"/>
        <v>2.3809523809523808E-2</v>
      </c>
      <c r="C18" s="10">
        <v>200.61999499999999</v>
      </c>
      <c r="D18" s="10">
        <f t="shared" si="3"/>
        <v>0.98974803543831991</v>
      </c>
      <c r="E18" s="10">
        <f t="shared" si="4"/>
        <v>163.46710495964589</v>
      </c>
      <c r="F18" s="10">
        <f t="shared" si="5"/>
        <v>32794.769779668633</v>
      </c>
      <c r="G18" s="10">
        <f t="shared" si="6"/>
        <v>1910973.1118303495</v>
      </c>
      <c r="H18" s="4">
        <f t="shared" si="1"/>
        <v>183.14607056022751</v>
      </c>
      <c r="K18" s="3" t="s">
        <v>78</v>
      </c>
      <c r="L18" s="4">
        <f>10000*203.86</f>
        <v>2038600.0000000002</v>
      </c>
    </row>
    <row r="19" spans="1:12" ht="15" thickBot="1" x14ac:dyDescent="0.4">
      <c r="A19">
        <f t="shared" si="2"/>
        <v>17</v>
      </c>
      <c r="B19" s="3">
        <f t="shared" si="0"/>
        <v>1.984126984126984E-2</v>
      </c>
      <c r="C19" s="10">
        <v>198.949997</v>
      </c>
      <c r="D19" s="10">
        <f t="shared" si="3"/>
        <v>0.98412485018572471</v>
      </c>
      <c r="E19" s="10">
        <f t="shared" si="4"/>
        <v>-56.231852525951979</v>
      </c>
      <c r="F19" s="10">
        <f t="shared" si="5"/>
        <v>-11187.326891342589</v>
      </c>
      <c r="G19" s="10">
        <f t="shared" si="6"/>
        <v>1899968.9310095671</v>
      </c>
      <c r="H19" s="4">
        <f t="shared" si="1"/>
        <v>182.09143904051442</v>
      </c>
      <c r="K19" s="5" t="s">
        <v>71</v>
      </c>
      <c r="L19" s="6">
        <f>L16+L17-L18</f>
        <v>-108433.57736407639</v>
      </c>
    </row>
    <row r="20" spans="1:12" x14ac:dyDescent="0.35">
      <c r="A20">
        <f t="shared" si="2"/>
        <v>18</v>
      </c>
      <c r="B20" s="3">
        <f t="shared" si="0"/>
        <v>1.5873015873015872E-2</v>
      </c>
      <c r="C20" s="10">
        <v>198.86999499999999</v>
      </c>
      <c r="D20" s="10">
        <f t="shared" si="3"/>
        <v>0.99117806140593767</v>
      </c>
      <c r="E20" s="10">
        <f t="shared" si="4"/>
        <v>70.532112202129625</v>
      </c>
      <c r="F20" s="10">
        <f t="shared" si="5"/>
        <v>14026.720800976957</v>
      </c>
      <c r="G20" s="10">
        <f t="shared" si="6"/>
        <v>1914177.7432495847</v>
      </c>
      <c r="H20" s="4">
        <f t="shared" si="1"/>
        <v>183.45319976492084</v>
      </c>
    </row>
    <row r="21" spans="1:12" x14ac:dyDescent="0.35">
      <c r="A21">
        <f t="shared" si="2"/>
        <v>19</v>
      </c>
      <c r="B21" s="3">
        <f t="shared" si="0"/>
        <v>1.1904761904761904E-2</v>
      </c>
      <c r="C21" s="10">
        <v>199.229996</v>
      </c>
      <c r="D21" s="10">
        <f t="shared" si="3"/>
        <v>0.9977364383246361</v>
      </c>
      <c r="E21" s="10">
        <f t="shared" si="4"/>
        <v>65.58376918698427</v>
      </c>
      <c r="F21" s="10">
        <f t="shared" si="5"/>
        <v>13066.254072787799</v>
      </c>
      <c r="G21" s="10">
        <f t="shared" si="6"/>
        <v>1927427.4505221373</v>
      </c>
      <c r="H21" s="4">
        <f t="shared" si="1"/>
        <v>184.72304066849955</v>
      </c>
      <c r="J21" t="s">
        <v>80</v>
      </c>
      <c r="K21" t="s">
        <v>79</v>
      </c>
      <c r="L21">
        <f>L19/(I2*L15)</f>
        <v>-3.602444430700213</v>
      </c>
    </row>
    <row r="22" spans="1:12" x14ac:dyDescent="0.35">
      <c r="A22">
        <f t="shared" si="2"/>
        <v>20</v>
      </c>
      <c r="B22" s="3">
        <f t="shared" si="0"/>
        <v>7.9365079365079361E-3</v>
      </c>
      <c r="C22" s="10">
        <v>199.25</v>
      </c>
      <c r="D22" s="10">
        <f t="shared" si="3"/>
        <v>0.99974342986465459</v>
      </c>
      <c r="E22" s="10">
        <f t="shared" si="4"/>
        <v>20.069915400184879</v>
      </c>
      <c r="F22" s="10">
        <f t="shared" si="5"/>
        <v>3998.9306434868372</v>
      </c>
      <c r="G22" s="10">
        <f t="shared" si="6"/>
        <v>1931611.1042062927</v>
      </c>
      <c r="H22" s="4">
        <f t="shared" si="1"/>
        <v>185.12399855121092</v>
      </c>
      <c r="J22" t="s">
        <v>81</v>
      </c>
      <c r="K22" t="s">
        <v>79</v>
      </c>
      <c r="L22">
        <f>L12/I2*L15</f>
        <v>-0.70318662242963115</v>
      </c>
    </row>
    <row r="23" spans="1:12" ht="15" thickBot="1" x14ac:dyDescent="0.4">
      <c r="A23">
        <f>A22+1</f>
        <v>21</v>
      </c>
      <c r="B23" s="5">
        <f t="shared" si="0"/>
        <v>3.968253968253968E-3</v>
      </c>
      <c r="C23" s="33">
        <v>203.13000500000001</v>
      </c>
      <c r="D23" s="33">
        <f>_xlfn.NORM.S.DIST(((LN(C23/$L$3) + (($L$4 + ($L$5^2/2))*B23)))/($L$5*SQRT(B23)),TRUE)</f>
        <v>0.99999999999698996</v>
      </c>
      <c r="E23" s="33">
        <f t="shared" si="4"/>
        <v>2.565701323353764</v>
      </c>
      <c r="F23" s="33">
        <f t="shared" si="5"/>
        <v>521.1709226413567</v>
      </c>
      <c r="G23" s="33">
        <f t="shared" si="6"/>
        <v>1932317.3991274852</v>
      </c>
      <c r="H23" s="6">
        <f t="shared" si="1"/>
        <v>185.1916892678789</v>
      </c>
    </row>
    <row r="24" spans="1:12" x14ac:dyDescent="0.35">
      <c r="A24">
        <f>A23+1</f>
        <v>22</v>
      </c>
      <c r="B24" s="31">
        <f t="shared" si="0"/>
        <v>0</v>
      </c>
      <c r="C24" s="31">
        <v>203.86000100000001</v>
      </c>
      <c r="D24" s="31">
        <v>1</v>
      </c>
      <c r="E24" s="31">
        <v>0</v>
      </c>
      <c r="F24" s="31">
        <f t="shared" si="5"/>
        <v>0</v>
      </c>
      <c r="G24" s="31">
        <f t="shared" si="6"/>
        <v>1932502.5908167532</v>
      </c>
      <c r="H24" s="31">
        <f t="shared" si="1"/>
        <v>185.20943788505195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D1" sqref="D1"/>
    </sheetView>
  </sheetViews>
  <sheetFormatPr defaultRowHeight="14.5" x14ac:dyDescent="0.35"/>
  <cols>
    <col min="1" max="1" width="9.7265625" bestFit="1" customWidth="1"/>
    <col min="3" max="3" width="9.7265625" bestFit="1" customWidth="1"/>
  </cols>
  <sheetData>
    <row r="1" spans="1:4" x14ac:dyDescent="0.35">
      <c r="A1" t="s">
        <v>82</v>
      </c>
      <c r="C1" t="s">
        <v>83</v>
      </c>
    </row>
    <row r="2" spans="1:4" x14ac:dyDescent="0.35">
      <c r="A2" t="s">
        <v>0</v>
      </c>
      <c r="B2" t="s">
        <v>1</v>
      </c>
    </row>
    <row r="3" spans="1:4" x14ac:dyDescent="0.35">
      <c r="A3" s="1">
        <v>43543</v>
      </c>
      <c r="B3">
        <v>29.65</v>
      </c>
      <c r="C3" s="1">
        <v>43543</v>
      </c>
      <c r="D3">
        <v>186.529999</v>
      </c>
    </row>
    <row r="4" spans="1:4" x14ac:dyDescent="0.35">
      <c r="A4" s="1">
        <v>43544</v>
      </c>
      <c r="B4">
        <v>28.639999</v>
      </c>
      <c r="C4" s="1">
        <v>43544</v>
      </c>
      <c r="D4">
        <v>188.16000399999999</v>
      </c>
    </row>
    <row r="5" spans="1:4" x14ac:dyDescent="0.35">
      <c r="A5" s="1">
        <v>43545</v>
      </c>
      <c r="B5">
        <v>28.18</v>
      </c>
      <c r="C5" s="1">
        <v>43545</v>
      </c>
      <c r="D5">
        <v>195.08999600000001</v>
      </c>
    </row>
    <row r="6" spans="1:4" x14ac:dyDescent="0.35">
      <c r="A6" s="1">
        <v>43546</v>
      </c>
      <c r="B6">
        <v>27.01</v>
      </c>
      <c r="C6" s="1">
        <v>43546</v>
      </c>
      <c r="D6">
        <v>191.050003</v>
      </c>
    </row>
    <row r="7" spans="1:4" x14ac:dyDescent="0.35">
      <c r="A7" s="1">
        <v>43549</v>
      </c>
      <c r="B7">
        <v>26.84</v>
      </c>
      <c r="C7" s="1">
        <v>43549</v>
      </c>
      <c r="D7">
        <v>188.740005</v>
      </c>
    </row>
    <row r="8" spans="1:4" x14ac:dyDescent="0.35">
      <c r="A8" s="1">
        <v>43550</v>
      </c>
      <c r="B8">
        <v>27.209999</v>
      </c>
      <c r="C8" s="1">
        <v>43550</v>
      </c>
      <c r="D8">
        <v>186.78999300000001</v>
      </c>
    </row>
    <row r="9" spans="1:4" x14ac:dyDescent="0.35">
      <c r="A9" s="1">
        <v>43551</v>
      </c>
      <c r="B9">
        <v>27.030000999999999</v>
      </c>
      <c r="C9" s="1">
        <v>43551</v>
      </c>
      <c r="D9">
        <v>188.470001</v>
      </c>
    </row>
    <row r="10" spans="1:4" x14ac:dyDescent="0.35">
      <c r="A10" s="1">
        <v>43552</v>
      </c>
      <c r="B10">
        <v>27.33</v>
      </c>
      <c r="C10" s="1">
        <v>43552</v>
      </c>
      <c r="D10">
        <v>188.720001</v>
      </c>
    </row>
    <row r="11" spans="1:4" x14ac:dyDescent="0.35">
      <c r="A11" s="1">
        <v>43553</v>
      </c>
      <c r="B11">
        <v>27.59</v>
      </c>
      <c r="C11" s="1">
        <v>43553</v>
      </c>
      <c r="D11">
        <v>189.949997</v>
      </c>
    </row>
    <row r="12" spans="1:4" x14ac:dyDescent="0.35">
      <c r="A12" s="1">
        <v>43556</v>
      </c>
      <c r="B12">
        <v>28.540001</v>
      </c>
      <c r="C12" s="1">
        <v>43556</v>
      </c>
      <c r="D12">
        <v>191.240005</v>
      </c>
    </row>
    <row r="13" spans="1:4" x14ac:dyDescent="0.35">
      <c r="A13" s="1">
        <v>43557</v>
      </c>
      <c r="B13">
        <v>28.870000999999998</v>
      </c>
      <c r="C13" s="1">
        <v>43557</v>
      </c>
      <c r="D13">
        <v>194.020004</v>
      </c>
    </row>
    <row r="14" spans="1:4" x14ac:dyDescent="0.35">
      <c r="A14" s="1">
        <v>43558</v>
      </c>
      <c r="B14">
        <v>28.84</v>
      </c>
      <c r="C14" s="1">
        <v>43558</v>
      </c>
      <c r="D14">
        <v>195.35000600000001</v>
      </c>
    </row>
    <row r="15" spans="1:4" x14ac:dyDescent="0.35">
      <c r="A15" s="1">
        <v>43559</v>
      </c>
      <c r="B15">
        <v>29.15</v>
      </c>
      <c r="C15" s="1">
        <v>43559</v>
      </c>
      <c r="D15">
        <v>195.69000199999999</v>
      </c>
    </row>
    <row r="16" spans="1:4" x14ac:dyDescent="0.35">
      <c r="A16" s="1">
        <v>43560</v>
      </c>
      <c r="B16">
        <v>29.08</v>
      </c>
      <c r="C16" s="1">
        <v>43560</v>
      </c>
      <c r="D16">
        <v>197</v>
      </c>
    </row>
    <row r="17" spans="1:4" x14ac:dyDescent="0.35">
      <c r="A17" s="1">
        <v>43563</v>
      </c>
      <c r="B17">
        <v>29.17</v>
      </c>
      <c r="C17" s="1">
        <v>43563</v>
      </c>
      <c r="D17">
        <v>200.10000600000001</v>
      </c>
    </row>
    <row r="18" spans="1:4" x14ac:dyDescent="0.35">
      <c r="A18" s="1">
        <v>43564</v>
      </c>
      <c r="B18">
        <v>28.889999</v>
      </c>
      <c r="C18" s="1">
        <v>43564</v>
      </c>
      <c r="D18">
        <v>199.5</v>
      </c>
    </row>
    <row r="19" spans="1:4" x14ac:dyDescent="0.35">
      <c r="A19" s="1">
        <v>43565</v>
      </c>
      <c r="B19">
        <v>29.07</v>
      </c>
      <c r="C19" s="1">
        <v>43565</v>
      </c>
      <c r="D19">
        <v>200.61999499999999</v>
      </c>
    </row>
    <row r="20" spans="1:4" x14ac:dyDescent="0.35">
      <c r="A20" s="1">
        <v>43566</v>
      </c>
      <c r="B20">
        <v>29.07</v>
      </c>
      <c r="C20" s="1">
        <v>43566</v>
      </c>
      <c r="D20">
        <v>198.949997</v>
      </c>
    </row>
    <row r="21" spans="1:4" x14ac:dyDescent="0.35">
      <c r="A21" s="1">
        <v>43567</v>
      </c>
      <c r="B21">
        <v>30.17</v>
      </c>
      <c r="C21" s="1">
        <v>43567</v>
      </c>
      <c r="D21">
        <v>198.86999499999999</v>
      </c>
    </row>
    <row r="22" spans="1:4" x14ac:dyDescent="0.35">
      <c r="A22" s="1">
        <v>43570</v>
      </c>
      <c r="B22">
        <v>29.84</v>
      </c>
      <c r="C22" s="1">
        <v>43570</v>
      </c>
      <c r="D22">
        <v>199.229996</v>
      </c>
    </row>
    <row r="23" spans="1:4" x14ac:dyDescent="0.35">
      <c r="A23" s="1">
        <v>43571</v>
      </c>
      <c r="B23">
        <v>29.879999000000002</v>
      </c>
      <c r="C23" s="1">
        <v>43571</v>
      </c>
      <c r="D23">
        <v>199.25</v>
      </c>
    </row>
    <row r="24" spans="1:4" x14ac:dyDescent="0.35">
      <c r="A24" s="1">
        <v>43572</v>
      </c>
      <c r="B24">
        <v>30.030000999999999</v>
      </c>
      <c r="C24" s="1">
        <v>43572</v>
      </c>
      <c r="D24">
        <v>203.13000500000001</v>
      </c>
    </row>
    <row r="25" spans="1:4" x14ac:dyDescent="0.35">
      <c r="A25" s="1">
        <v>43573</v>
      </c>
      <c r="B25">
        <v>30.030000999999999</v>
      </c>
      <c r="C25" s="1">
        <v>43573</v>
      </c>
      <c r="D25">
        <v>203.86000100000001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K12" sqref="K12"/>
    </sheetView>
  </sheetViews>
  <sheetFormatPr defaultRowHeight="14.5" x14ac:dyDescent="0.35"/>
  <cols>
    <col min="1" max="1" width="13.1796875" bestFit="1" customWidth="1"/>
    <col min="2" max="2" width="8" bestFit="1" customWidth="1"/>
    <col min="10" max="10" width="13.1796875" bestFit="1" customWidth="1"/>
    <col min="11" max="11" width="19.453125" bestFit="1" customWidth="1"/>
  </cols>
  <sheetData>
    <row r="1" spans="1:17" x14ac:dyDescent="0.35">
      <c r="A1" s="45" t="s">
        <v>22</v>
      </c>
      <c r="B1" s="46"/>
      <c r="C1" s="46"/>
      <c r="D1" s="46"/>
      <c r="E1" s="46"/>
      <c r="I1" s="41" t="s">
        <v>21</v>
      </c>
      <c r="J1" s="41"/>
      <c r="K1" s="41"/>
      <c r="L1" s="41"/>
      <c r="M1" s="41"/>
    </row>
    <row r="2" spans="1:17" x14ac:dyDescent="0.35">
      <c r="A2" s="10" t="s">
        <v>10</v>
      </c>
      <c r="B2" s="46">
        <v>30.03</v>
      </c>
      <c r="C2" s="46"/>
      <c r="D2" s="46"/>
      <c r="E2" s="46"/>
      <c r="I2" t="s">
        <v>10</v>
      </c>
      <c r="J2" s="41">
        <v>29.65</v>
      </c>
      <c r="K2" s="41"/>
      <c r="L2" s="41"/>
      <c r="M2" s="41"/>
    </row>
    <row r="3" spans="1:17" x14ac:dyDescent="0.35">
      <c r="A3" s="10" t="s">
        <v>12</v>
      </c>
      <c r="B3" s="46">
        <v>203.86</v>
      </c>
      <c r="C3" s="46"/>
      <c r="D3" s="46"/>
      <c r="E3" s="46"/>
      <c r="I3" t="s">
        <v>12</v>
      </c>
      <c r="J3" s="41">
        <v>186.53</v>
      </c>
      <c r="K3" s="41"/>
      <c r="L3" s="41"/>
      <c r="M3" s="41"/>
    </row>
    <row r="4" spans="1:17" x14ac:dyDescent="0.35">
      <c r="A4" s="10" t="s">
        <v>11</v>
      </c>
      <c r="B4" s="46">
        <v>1861.69</v>
      </c>
      <c r="C4" s="46"/>
      <c r="D4" s="46"/>
      <c r="E4" s="46"/>
      <c r="I4" t="s">
        <v>11</v>
      </c>
      <c r="J4" s="41">
        <v>1761.85</v>
      </c>
      <c r="K4" s="41"/>
      <c r="L4" s="41"/>
      <c r="M4" s="41"/>
    </row>
    <row r="6" spans="1:17" ht="15" thickBot="1" x14ac:dyDescent="0.4">
      <c r="K6" t="s">
        <v>32</v>
      </c>
      <c r="L6" t="s">
        <v>33</v>
      </c>
    </row>
    <row r="7" spans="1:17" x14ac:dyDescent="0.35">
      <c r="A7" s="42" t="s">
        <v>20</v>
      </c>
      <c r="B7" s="43"/>
      <c r="C7" s="43"/>
      <c r="D7" s="43"/>
      <c r="E7" s="43"/>
      <c r="F7" s="43"/>
      <c r="G7" s="43"/>
      <c r="H7" s="44"/>
      <c r="J7" s="24" t="s">
        <v>23</v>
      </c>
      <c r="K7" s="23" t="s">
        <v>34</v>
      </c>
      <c r="L7" s="23" t="s">
        <v>30</v>
      </c>
      <c r="M7" s="24"/>
      <c r="N7" s="24"/>
      <c r="O7" s="24"/>
      <c r="P7" s="24"/>
      <c r="Q7" s="24"/>
    </row>
    <row r="8" spans="1:17" ht="15" thickBot="1" x14ac:dyDescent="0.4">
      <c r="A8" s="8" t="s">
        <v>17</v>
      </c>
      <c r="B8" s="14">
        <v>28</v>
      </c>
      <c r="C8" s="14">
        <v>28.5</v>
      </c>
      <c r="D8" s="27">
        <v>29</v>
      </c>
      <c r="E8" s="14">
        <v>29.5</v>
      </c>
      <c r="F8" s="27">
        <v>30</v>
      </c>
      <c r="G8" s="14">
        <v>30.5</v>
      </c>
      <c r="H8" s="15">
        <v>31</v>
      </c>
      <c r="J8" s="22" t="s">
        <v>24</v>
      </c>
      <c r="K8" s="23" t="s">
        <v>28</v>
      </c>
      <c r="L8" s="23" t="s">
        <v>30</v>
      </c>
      <c r="M8" s="23"/>
      <c r="N8" s="23"/>
      <c r="O8" s="23"/>
      <c r="P8" s="23"/>
      <c r="Q8" s="23"/>
    </row>
    <row r="9" spans="1:17" ht="15" thickBot="1" x14ac:dyDescent="0.4">
      <c r="A9" s="9" t="s">
        <v>15</v>
      </c>
      <c r="B9" s="14" t="s">
        <v>14</v>
      </c>
      <c r="C9" s="14" t="s">
        <v>14</v>
      </c>
      <c r="D9" s="29" t="s">
        <v>14</v>
      </c>
      <c r="E9" s="14" t="s">
        <v>14</v>
      </c>
      <c r="F9" s="29" t="s">
        <v>14</v>
      </c>
      <c r="G9" s="14" t="s">
        <v>13</v>
      </c>
      <c r="H9" s="15" t="s">
        <v>13</v>
      </c>
      <c r="J9" s="25" t="s">
        <v>25</v>
      </c>
      <c r="K9" s="23" t="s">
        <v>29</v>
      </c>
      <c r="L9" s="23" t="s">
        <v>30</v>
      </c>
      <c r="M9" s="23"/>
      <c r="N9" s="23"/>
      <c r="O9" s="23"/>
      <c r="P9" s="23"/>
      <c r="Q9" s="23"/>
    </row>
    <row r="10" spans="1:17" x14ac:dyDescent="0.35">
      <c r="A10" s="8" t="s">
        <v>16</v>
      </c>
      <c r="B10" s="14" t="s">
        <v>13</v>
      </c>
      <c r="C10" s="14" t="s">
        <v>13</v>
      </c>
      <c r="D10" s="28" t="s">
        <v>13</v>
      </c>
      <c r="E10" s="14" t="s">
        <v>13</v>
      </c>
      <c r="F10" s="28" t="s">
        <v>13</v>
      </c>
      <c r="G10" s="14" t="s">
        <v>14</v>
      </c>
      <c r="H10" s="15" t="s">
        <v>14</v>
      </c>
      <c r="J10" s="26" t="s">
        <v>26</v>
      </c>
      <c r="K10" s="23" t="s">
        <v>35</v>
      </c>
      <c r="L10" s="23" t="s">
        <v>31</v>
      </c>
      <c r="M10" s="23"/>
      <c r="N10" s="23"/>
      <c r="O10" s="23"/>
      <c r="P10" s="23"/>
      <c r="Q10" s="23"/>
    </row>
    <row r="11" spans="1:17" x14ac:dyDescent="0.35">
      <c r="A11" s="3"/>
      <c r="B11" s="10"/>
      <c r="C11" s="10"/>
      <c r="D11" s="10"/>
      <c r="E11" s="10"/>
      <c r="F11" s="10"/>
      <c r="G11" s="10"/>
      <c r="H11" s="4"/>
      <c r="J11" s="22" t="s">
        <v>27</v>
      </c>
      <c r="K11" s="23" t="s">
        <v>29</v>
      </c>
      <c r="L11" s="23" t="s">
        <v>31</v>
      </c>
      <c r="M11" s="22"/>
      <c r="N11" s="22"/>
      <c r="O11" s="22"/>
      <c r="P11" s="22"/>
      <c r="Q11" s="22"/>
    </row>
    <row r="12" spans="1:17" x14ac:dyDescent="0.35">
      <c r="A12" s="11" t="s">
        <v>18</v>
      </c>
      <c r="B12" s="16">
        <v>180</v>
      </c>
      <c r="C12" s="16">
        <v>182.5</v>
      </c>
      <c r="D12" s="16">
        <v>185</v>
      </c>
      <c r="E12" s="16">
        <v>187</v>
      </c>
      <c r="F12" s="16">
        <v>190</v>
      </c>
      <c r="G12" s="16">
        <v>192.5</v>
      </c>
      <c r="H12" s="17">
        <v>195</v>
      </c>
      <c r="J12" s="22"/>
      <c r="K12" s="23"/>
      <c r="L12" s="23"/>
      <c r="M12" s="23"/>
      <c r="N12" s="23"/>
      <c r="O12" s="23"/>
      <c r="P12" s="23"/>
      <c r="Q12" s="23"/>
    </row>
    <row r="13" spans="1:17" x14ac:dyDescent="0.35">
      <c r="A13" s="11" t="s">
        <v>15</v>
      </c>
      <c r="B13" s="16" t="s">
        <v>14</v>
      </c>
      <c r="C13" s="16" t="s">
        <v>14</v>
      </c>
      <c r="D13" s="16" t="s">
        <v>14</v>
      </c>
      <c r="E13" s="16" t="s">
        <v>14</v>
      </c>
      <c r="F13" s="16" t="s">
        <v>14</v>
      </c>
      <c r="G13" s="16" t="s">
        <v>14</v>
      </c>
      <c r="H13" s="17" t="s">
        <v>14</v>
      </c>
      <c r="J13" s="22"/>
      <c r="K13" s="23"/>
      <c r="L13" s="23"/>
      <c r="M13" s="23"/>
      <c r="N13" s="23"/>
      <c r="O13" s="23"/>
      <c r="P13" s="23"/>
      <c r="Q13" s="23"/>
    </row>
    <row r="14" spans="1:17" x14ac:dyDescent="0.35">
      <c r="A14" s="11" t="s">
        <v>16</v>
      </c>
      <c r="B14" s="16" t="s">
        <v>13</v>
      </c>
      <c r="C14" s="16" t="s">
        <v>13</v>
      </c>
      <c r="D14" s="16" t="s">
        <v>13</v>
      </c>
      <c r="E14" s="16" t="s">
        <v>13</v>
      </c>
      <c r="F14" s="16" t="s">
        <v>13</v>
      </c>
      <c r="G14" s="16" t="s">
        <v>13</v>
      </c>
      <c r="H14" s="17" t="s">
        <v>13</v>
      </c>
      <c r="J14" s="22"/>
      <c r="K14" s="23"/>
      <c r="L14" s="23"/>
      <c r="M14" s="23"/>
      <c r="N14" s="23"/>
      <c r="O14" s="23"/>
      <c r="P14" s="23"/>
      <c r="Q14" s="23"/>
    </row>
    <row r="15" spans="1:17" x14ac:dyDescent="0.35">
      <c r="A15" s="3"/>
      <c r="B15" s="10"/>
      <c r="C15" s="10"/>
      <c r="D15" s="10"/>
      <c r="E15" s="10"/>
      <c r="F15" s="10"/>
      <c r="G15" s="10"/>
      <c r="H15" s="4"/>
      <c r="J15" s="22"/>
      <c r="K15" s="22"/>
      <c r="L15" s="22"/>
      <c r="M15" s="22"/>
      <c r="N15" s="22"/>
      <c r="O15" s="22"/>
      <c r="P15" s="22"/>
      <c r="Q15" s="22"/>
    </row>
    <row r="16" spans="1:17" x14ac:dyDescent="0.35">
      <c r="A16" s="12" t="s">
        <v>19</v>
      </c>
      <c r="B16" s="18">
        <v>1745</v>
      </c>
      <c r="C16" s="18">
        <v>1750</v>
      </c>
      <c r="D16" s="18">
        <v>1755</v>
      </c>
      <c r="E16" s="18">
        <v>1760</v>
      </c>
      <c r="F16" s="18">
        <v>1765</v>
      </c>
      <c r="G16" s="18">
        <v>1770</v>
      </c>
      <c r="H16" s="19">
        <v>1775</v>
      </c>
      <c r="J16" s="22"/>
      <c r="K16" s="23"/>
      <c r="L16" s="23"/>
      <c r="M16" s="23"/>
      <c r="N16" s="23"/>
      <c r="O16" s="23"/>
      <c r="P16" s="23"/>
      <c r="Q16" s="23"/>
    </row>
    <row r="17" spans="1:17" x14ac:dyDescent="0.35">
      <c r="A17" s="12" t="s">
        <v>15</v>
      </c>
      <c r="B17" s="18" t="s">
        <v>14</v>
      </c>
      <c r="C17" s="18" t="s">
        <v>14</v>
      </c>
      <c r="D17" s="18" t="s">
        <v>14</v>
      </c>
      <c r="E17" s="18" t="s">
        <v>14</v>
      </c>
      <c r="F17" s="18" t="s">
        <v>14</v>
      </c>
      <c r="G17" s="18" t="s">
        <v>14</v>
      </c>
      <c r="H17" s="19" t="s">
        <v>14</v>
      </c>
      <c r="J17" s="22"/>
      <c r="K17" s="23"/>
      <c r="L17" s="23"/>
      <c r="M17" s="23"/>
      <c r="N17" s="23"/>
      <c r="O17" s="23"/>
      <c r="P17" s="23"/>
      <c r="Q17" s="23"/>
    </row>
    <row r="18" spans="1:17" ht="15" thickBot="1" x14ac:dyDescent="0.4">
      <c r="A18" s="13" t="s">
        <v>16</v>
      </c>
      <c r="B18" s="20" t="s">
        <v>13</v>
      </c>
      <c r="C18" s="20" t="s">
        <v>13</v>
      </c>
      <c r="D18" s="20" t="s">
        <v>13</v>
      </c>
      <c r="E18" s="20" t="s">
        <v>13</v>
      </c>
      <c r="F18" s="20" t="s">
        <v>13</v>
      </c>
      <c r="G18" s="20" t="s">
        <v>13</v>
      </c>
      <c r="H18" s="21" t="s">
        <v>13</v>
      </c>
      <c r="J18" s="22"/>
      <c r="K18" s="23"/>
      <c r="L18" s="23"/>
      <c r="M18" s="23"/>
      <c r="N18" s="23"/>
      <c r="O18" s="23"/>
      <c r="P18" s="23"/>
      <c r="Q18" s="23"/>
    </row>
    <row r="19" spans="1:17" x14ac:dyDescent="0.35">
      <c r="A19" s="7"/>
      <c r="B19" s="7"/>
      <c r="C19" s="7"/>
      <c r="D19" s="7"/>
      <c r="E19" s="7"/>
      <c r="F19" s="7"/>
      <c r="G19" s="7"/>
      <c r="H19" s="7"/>
    </row>
  </sheetData>
  <mergeCells count="9">
    <mergeCell ref="I1:M1"/>
    <mergeCell ref="J2:M2"/>
    <mergeCell ref="J3:M3"/>
    <mergeCell ref="J4:M4"/>
    <mergeCell ref="A7:H7"/>
    <mergeCell ref="A1:E1"/>
    <mergeCell ref="B2:E2"/>
    <mergeCell ref="B3:E3"/>
    <mergeCell ref="B4:E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B29" sqref="B29"/>
    </sheetView>
  </sheetViews>
  <sheetFormatPr defaultRowHeight="14.5" x14ac:dyDescent="0.35"/>
  <cols>
    <col min="1" max="1" width="37.54296875" bestFit="1" customWidth="1"/>
    <col min="2" max="2" width="12" bestFit="1" customWidth="1"/>
  </cols>
  <sheetData>
    <row r="1" spans="1:2" x14ac:dyDescent="0.35">
      <c r="A1" s="30" t="s">
        <v>32</v>
      </c>
      <c r="B1" s="37" t="s">
        <v>41</v>
      </c>
    </row>
    <row r="2" spans="1:2" x14ac:dyDescent="0.35">
      <c r="A2" s="3" t="s">
        <v>36</v>
      </c>
      <c r="B2" s="10">
        <v>186.53</v>
      </c>
    </row>
    <row r="3" spans="1:2" x14ac:dyDescent="0.35">
      <c r="A3" s="3" t="s">
        <v>37</v>
      </c>
      <c r="B3" s="10">
        <v>190</v>
      </c>
    </row>
    <row r="4" spans="1:2" x14ac:dyDescent="0.35">
      <c r="A4" s="3" t="s">
        <v>39</v>
      </c>
      <c r="B4" s="39">
        <v>2.4151470000000001E-2</v>
      </c>
    </row>
    <row r="5" spans="1:2" x14ac:dyDescent="0.35">
      <c r="A5" s="3" t="s">
        <v>38</v>
      </c>
      <c r="B5" s="10">
        <f>'aapl april'!F2</f>
        <v>0.15261191033336197</v>
      </c>
    </row>
    <row r="6" spans="1:2" ht="15" thickBot="1" x14ac:dyDescent="0.4">
      <c r="A6" s="5" t="s">
        <v>40</v>
      </c>
      <c r="B6" s="33">
        <f>22/252</f>
        <v>8.7301587301587297E-2</v>
      </c>
    </row>
    <row r="7" spans="1:2" ht="15" thickBot="1" x14ac:dyDescent="0.4"/>
    <row r="8" spans="1:2" x14ac:dyDescent="0.35">
      <c r="A8" s="30" t="s">
        <v>46</v>
      </c>
      <c r="B8" s="31">
        <f>(LN(B2/B3) + ((B4+(B5^2/2))*B6))/(B5*SQRT(B6))</f>
        <v>-0.33945893261608551</v>
      </c>
    </row>
    <row r="9" spans="1:2" x14ac:dyDescent="0.35">
      <c r="A9" s="3" t="s">
        <v>47</v>
      </c>
      <c r="B9" s="10">
        <f>B8-(B5*SQRT(B6))</f>
        <v>-0.38455093265723411</v>
      </c>
    </row>
    <row r="10" spans="1:2" x14ac:dyDescent="0.35">
      <c r="A10" s="3" t="s">
        <v>48</v>
      </c>
      <c r="B10" s="10">
        <f>_xlfn.NORM.S.DIST(B8,TRUE)</f>
        <v>0.36713201467184264</v>
      </c>
    </row>
    <row r="11" spans="1:2" x14ac:dyDescent="0.35">
      <c r="A11" s="3" t="s">
        <v>49</v>
      </c>
      <c r="B11" s="10">
        <f>_xlfn.NORM.S.DIST(B9,TRUE)</f>
        <v>0.35028507676982124</v>
      </c>
    </row>
    <row r="12" spans="1:2" ht="15" thickBot="1" x14ac:dyDescent="0.4">
      <c r="A12" s="5" t="s">
        <v>50</v>
      </c>
      <c r="B12" s="33">
        <f>B3*EXP(-B4*B6)</f>
        <v>189.59981431967239</v>
      </c>
    </row>
    <row r="13" spans="1:2" ht="15" thickBot="1" x14ac:dyDescent="0.4"/>
    <row r="14" spans="1:2" ht="15" thickBot="1" x14ac:dyDescent="0.4">
      <c r="A14" s="34" t="s">
        <v>45</v>
      </c>
      <c r="B14" s="35">
        <f>(B2*B10) -(B12*B11)</f>
        <v>2.0671491822285049</v>
      </c>
    </row>
    <row r="15" spans="1:2" ht="15" thickBot="1" x14ac:dyDescent="0.4"/>
    <row r="16" spans="1:2" ht="15" thickBot="1" x14ac:dyDescent="0.4">
      <c r="A16" s="34" t="s">
        <v>51</v>
      </c>
      <c r="B16" s="35">
        <f>B14 + B12 - B2</f>
        <v>5.1369635019009081</v>
      </c>
    </row>
    <row r="18" spans="1:2" ht="15" thickBot="1" x14ac:dyDescent="0.4">
      <c r="A18" t="s">
        <v>57</v>
      </c>
    </row>
    <row r="19" spans="1:2" x14ac:dyDescent="0.35">
      <c r="A19" s="30" t="s">
        <v>52</v>
      </c>
      <c r="B19" s="31">
        <f>B10</f>
        <v>0.36713201467184264</v>
      </c>
    </row>
    <row r="20" spans="1:2" x14ac:dyDescent="0.35">
      <c r="A20" s="3" t="s">
        <v>53</v>
      </c>
      <c r="B20" s="10">
        <f>_xlfn.NORM.S.DIST(B8,FALSE)/(B2*B5*SQRT(B6))</f>
        <v>4.4775401239308212E-2</v>
      </c>
    </row>
    <row r="21" spans="1:2" x14ac:dyDescent="0.35">
      <c r="A21" s="3" t="s">
        <v>54</v>
      </c>
      <c r="B21" s="10">
        <f>B2*SQRT(B6)*_xlfn.NORM.S.DIST(B8,FALSE)</f>
        <v>20.756180345585314</v>
      </c>
    </row>
    <row r="22" spans="1:2" x14ac:dyDescent="0.35">
      <c r="A22" s="3" t="s">
        <v>55</v>
      </c>
      <c r="B22" s="10">
        <f>(-1*(B2*B5*_xlfn.NORM.S.DIST(B8,FALSE))) + (B4*B12*_xlfn.NORM.S.DIST(B9,FALSE))</f>
        <v>-9.024138909821108</v>
      </c>
    </row>
    <row r="23" spans="1:2" ht="15" thickBot="1" x14ac:dyDescent="0.4">
      <c r="A23" s="5" t="s">
        <v>56</v>
      </c>
      <c r="B23" s="33">
        <f>B12*B6*_xlfn.NORM.S.DIST(B9, FALSE)</f>
        <v>6.1327958149057968</v>
      </c>
    </row>
    <row r="25" spans="1:2" ht="15" thickBot="1" x14ac:dyDescent="0.4">
      <c r="A25" t="s">
        <v>58</v>
      </c>
    </row>
    <row r="26" spans="1:2" x14ac:dyDescent="0.35">
      <c r="A26" s="30" t="s">
        <v>52</v>
      </c>
      <c r="B26" s="31">
        <f>B19-1</f>
        <v>-0.63286798532815736</v>
      </c>
    </row>
    <row r="27" spans="1:2" x14ac:dyDescent="0.35">
      <c r="A27" s="3" t="s">
        <v>53</v>
      </c>
      <c r="B27" s="10">
        <f>B20</f>
        <v>4.4775401239308212E-2</v>
      </c>
    </row>
    <row r="28" spans="1:2" x14ac:dyDescent="0.35">
      <c r="A28" s="3" t="s">
        <v>54</v>
      </c>
      <c r="B28" s="10">
        <f>B21</f>
        <v>20.756180345585314</v>
      </c>
    </row>
    <row r="29" spans="1:2" x14ac:dyDescent="0.35">
      <c r="A29" s="3" t="s">
        <v>55</v>
      </c>
      <c r="B29" s="10">
        <f>-1*(B2*B5*_xlfn.NORM.S.DIST(B8,FALSE)/2*SQRT(B6)) + (B12*B4*_xlfn.NORM.S.DIST(B9,FALSE))</f>
        <v>0.11278167871982969</v>
      </c>
    </row>
    <row r="30" spans="1:2" ht="15" thickBot="1" x14ac:dyDescent="0.4">
      <c r="A30" s="5" t="s">
        <v>56</v>
      </c>
      <c r="B30" s="33">
        <f>-1*(B12*B6*_xlfn.NORM.S.DIST(-1*B9,FALSE))</f>
        <v>-6.1327958149057968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B19" sqref="B19"/>
    </sheetView>
  </sheetViews>
  <sheetFormatPr defaultRowHeight="14.5" x14ac:dyDescent="0.35"/>
  <cols>
    <col min="1" max="1" width="37.54296875" bestFit="1" customWidth="1"/>
    <col min="2" max="2" width="12.7265625" bestFit="1" customWidth="1"/>
  </cols>
  <sheetData>
    <row r="1" spans="1:2" x14ac:dyDescent="0.35">
      <c r="A1" s="30" t="s">
        <v>32</v>
      </c>
      <c r="B1" s="37" t="s">
        <v>42</v>
      </c>
    </row>
    <row r="2" spans="1:2" x14ac:dyDescent="0.35">
      <c r="A2" s="3" t="s">
        <v>36</v>
      </c>
      <c r="B2" s="10">
        <v>29.65</v>
      </c>
    </row>
    <row r="3" spans="1:2" x14ac:dyDescent="0.35">
      <c r="A3" s="3" t="s">
        <v>37</v>
      </c>
      <c r="B3" s="10">
        <v>30</v>
      </c>
    </row>
    <row r="4" spans="1:2" x14ac:dyDescent="0.35">
      <c r="A4" s="3" t="s">
        <v>39</v>
      </c>
      <c r="B4" s="39">
        <v>2.4151470000000001E-2</v>
      </c>
    </row>
    <row r="5" spans="1:2" x14ac:dyDescent="0.35">
      <c r="A5" s="3" t="s">
        <v>38</v>
      </c>
      <c r="B5" s="10">
        <f>'bac april'!$F$2</f>
        <v>0.15453050018690243</v>
      </c>
    </row>
    <row r="6" spans="1:2" ht="15" thickBot="1" x14ac:dyDescent="0.4">
      <c r="A6" s="5" t="s">
        <v>40</v>
      </c>
      <c r="B6" s="33">
        <f>22/252</f>
        <v>8.7301587301587297E-2</v>
      </c>
    </row>
    <row r="7" spans="1:2" ht="15" thickBot="1" x14ac:dyDescent="0.4"/>
    <row r="8" spans="1:2" x14ac:dyDescent="0.35">
      <c r="A8" s="30" t="s">
        <v>46</v>
      </c>
      <c r="B8">
        <f>(LN(B2/B3) + ((B4+(B5^2/2))*B6))/(B5*SQRT(B6))</f>
        <v>-0.18801221683009212</v>
      </c>
    </row>
    <row r="9" spans="1:2" x14ac:dyDescent="0.35">
      <c r="A9" s="3" t="s">
        <v>47</v>
      </c>
      <c r="B9">
        <f>B8-(B5*SQRT(B6))</f>
        <v>-0.23367109958416801</v>
      </c>
    </row>
    <row r="10" spans="1:2" x14ac:dyDescent="0.35">
      <c r="A10" s="3" t="s">
        <v>48</v>
      </c>
      <c r="B10">
        <f>_xlfn.NORM.S.DIST(B8,TRUE)</f>
        <v>0.42543353715897503</v>
      </c>
    </row>
    <row r="11" spans="1:2" x14ac:dyDescent="0.35">
      <c r="A11" s="3" t="s">
        <v>49</v>
      </c>
      <c r="B11">
        <f>_xlfn.NORM.S.DIST(B9,TRUE)</f>
        <v>0.40762016292401426</v>
      </c>
    </row>
    <row r="12" spans="1:2" ht="15" thickBot="1" x14ac:dyDescent="0.4">
      <c r="A12" s="5" t="s">
        <v>50</v>
      </c>
      <c r="B12">
        <f>B3*EXP(-B4*B6)</f>
        <v>29.936812787316693</v>
      </c>
    </row>
    <row r="13" spans="1:2" ht="15" thickBot="1" x14ac:dyDescent="0.4"/>
    <row r="14" spans="1:2" ht="15" thickBot="1" x14ac:dyDescent="0.4">
      <c r="A14" s="34" t="s">
        <v>45</v>
      </c>
      <c r="B14">
        <f>(B2*B10) -(B12*B11)</f>
        <v>0.41125587097186589</v>
      </c>
    </row>
    <row r="15" spans="1:2" ht="15" thickBot="1" x14ac:dyDescent="0.4"/>
    <row r="16" spans="1:2" ht="15" thickBot="1" x14ac:dyDescent="0.4">
      <c r="A16" s="34" t="s">
        <v>51</v>
      </c>
      <c r="B16">
        <f>B14 + B12 - B2</f>
        <v>0.69806865828856246</v>
      </c>
    </row>
    <row r="18" spans="1:2" ht="15" thickBot="1" x14ac:dyDescent="0.4">
      <c r="A18" t="s">
        <v>57</v>
      </c>
    </row>
    <row r="19" spans="1:2" x14ac:dyDescent="0.35">
      <c r="A19" s="30" t="s">
        <v>52</v>
      </c>
      <c r="B19">
        <f>B10</f>
        <v>0.42543353715897503</v>
      </c>
    </row>
    <row r="20" spans="1:2" x14ac:dyDescent="0.35">
      <c r="A20" s="3" t="s">
        <v>53</v>
      </c>
      <c r="B20">
        <f>_xlfn.NORM.S.DIST(B8,FALSE)/(B2*B5*SQRT(B6))</f>
        <v>0.28952377861697493</v>
      </c>
    </row>
    <row r="21" spans="1:2" x14ac:dyDescent="0.35">
      <c r="A21" s="3" t="s">
        <v>54</v>
      </c>
      <c r="B21">
        <f>B2*SQRT(B6)*_xlfn.NORM.S.DIST(B8,FALSE)</f>
        <v>3.4337603695851904</v>
      </c>
    </row>
    <row r="22" spans="1:2" x14ac:dyDescent="0.35">
      <c r="A22" s="3" t="s">
        <v>55</v>
      </c>
      <c r="B22">
        <f>(-1*(B2*B5*_xlfn.NORM.S.DIST(B8,FALSE))) + (B4*B12*_xlfn.NORM.S.DIST(B9,FALSE))</f>
        <v>-1.5151884816137415</v>
      </c>
    </row>
    <row r="23" spans="1:2" ht="15" thickBot="1" x14ac:dyDescent="0.4">
      <c r="A23" s="5" t="s">
        <v>56</v>
      </c>
      <c r="B23">
        <f>B12*B6*_xlfn.NORM.S.DIST(B9, FALSE)</f>
        <v>1.0145677515497422</v>
      </c>
    </row>
    <row r="25" spans="1:2" ht="15" thickBot="1" x14ac:dyDescent="0.4">
      <c r="A25" t="s">
        <v>58</v>
      </c>
    </row>
    <row r="26" spans="1:2" x14ac:dyDescent="0.35">
      <c r="A26" s="30" t="s">
        <v>52</v>
      </c>
      <c r="B26">
        <f>B19-1</f>
        <v>-0.57456646284102497</v>
      </c>
    </row>
    <row r="27" spans="1:2" x14ac:dyDescent="0.35">
      <c r="A27" s="3" t="s">
        <v>53</v>
      </c>
      <c r="B27">
        <f>B20</f>
        <v>0.28952377861697493</v>
      </c>
    </row>
    <row r="28" spans="1:2" x14ac:dyDescent="0.35">
      <c r="A28" s="3" t="s">
        <v>54</v>
      </c>
      <c r="B28">
        <f>B21</f>
        <v>3.4337603695851904</v>
      </c>
    </row>
    <row r="29" spans="1:2" x14ac:dyDescent="0.35">
      <c r="A29" s="3" t="s">
        <v>55</v>
      </c>
      <c r="B29">
        <f>-1*(B2*B5*_xlfn.NORM.S.DIST(B8,FALSE)/2*SQRT(B6)) + (B12*B4*_xlfn.NORM.S.DIST(-B9,FALSE))</f>
        <v>1.5363839867532647E-2</v>
      </c>
    </row>
    <row r="30" spans="1:2" ht="15" thickBot="1" x14ac:dyDescent="0.4">
      <c r="A30" s="5" t="s">
        <v>56</v>
      </c>
      <c r="B30">
        <f>-1*(B12*B6*_xlfn.NORM.S.DIST(-1*B9,FALSE))</f>
        <v>-1.0145677515497422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sqref="A1:B6"/>
    </sheetView>
  </sheetViews>
  <sheetFormatPr defaultRowHeight="14.5" x14ac:dyDescent="0.35"/>
  <cols>
    <col min="1" max="1" width="37.54296875" bestFit="1" customWidth="1"/>
    <col min="2" max="2" width="12.7265625" bestFit="1" customWidth="1"/>
  </cols>
  <sheetData>
    <row r="1" spans="1:2" x14ac:dyDescent="0.35">
      <c r="A1" s="30" t="s">
        <v>32</v>
      </c>
      <c r="B1" s="37" t="s">
        <v>15</v>
      </c>
    </row>
    <row r="2" spans="1:2" x14ac:dyDescent="0.35">
      <c r="A2" s="3" t="s">
        <v>36</v>
      </c>
      <c r="B2" s="10">
        <v>29.65</v>
      </c>
    </row>
    <row r="3" spans="1:2" x14ac:dyDescent="0.35">
      <c r="A3" s="3" t="s">
        <v>37</v>
      </c>
      <c r="B3" s="10">
        <v>31</v>
      </c>
    </row>
    <row r="4" spans="1:2" x14ac:dyDescent="0.35">
      <c r="A4" s="3" t="s">
        <v>39</v>
      </c>
      <c r="B4" s="39">
        <v>2.4151470000000001E-2</v>
      </c>
    </row>
    <row r="5" spans="1:2" x14ac:dyDescent="0.35">
      <c r="A5" s="3" t="s">
        <v>38</v>
      </c>
      <c r="B5" s="10">
        <f>'bac april'!$F$2</f>
        <v>0.15453050018690243</v>
      </c>
    </row>
    <row r="6" spans="1:2" ht="15" thickBot="1" x14ac:dyDescent="0.4">
      <c r="A6" s="5" t="s">
        <v>40</v>
      </c>
      <c r="B6" s="33">
        <f>22/252</f>
        <v>8.7301587301587297E-2</v>
      </c>
    </row>
    <row r="7" spans="1:2" ht="15" thickBot="1" x14ac:dyDescent="0.4"/>
    <row r="8" spans="1:2" x14ac:dyDescent="0.35">
      <c r="A8" s="30" t="s">
        <v>46</v>
      </c>
      <c r="B8">
        <f>(LN(B2/B3) + ((B4+(B5^2/2))*B6))/(B5*SQRT(B6))</f>
        <v>-0.90615994286186308</v>
      </c>
    </row>
    <row r="9" spans="1:2" x14ac:dyDescent="0.35">
      <c r="A9" s="3" t="s">
        <v>47</v>
      </c>
      <c r="B9">
        <f>B8-(B5*SQRT(B6))</f>
        <v>-0.951818825615939</v>
      </c>
    </row>
    <row r="10" spans="1:2" x14ac:dyDescent="0.35">
      <c r="A10" s="3" t="s">
        <v>48</v>
      </c>
      <c r="B10">
        <f>_xlfn.NORM.S.DIST(B8,TRUE)</f>
        <v>0.18242560080876449</v>
      </c>
    </row>
    <row r="11" spans="1:2" x14ac:dyDescent="0.35">
      <c r="A11" s="3" t="s">
        <v>49</v>
      </c>
      <c r="B11">
        <f>_xlfn.NORM.S.DIST(B9,TRUE)</f>
        <v>0.17059443643149994</v>
      </c>
    </row>
    <row r="12" spans="1:2" ht="15" thickBot="1" x14ac:dyDescent="0.4">
      <c r="A12" s="5" t="s">
        <v>50</v>
      </c>
      <c r="B12">
        <f>B3*EXP(-B4*B6)</f>
        <v>30.934706546893917</v>
      </c>
    </row>
    <row r="13" spans="1:2" ht="15" thickBot="1" x14ac:dyDescent="0.4"/>
    <row r="14" spans="1:2" ht="15" thickBot="1" x14ac:dyDescent="0.4">
      <c r="A14" s="34" t="s">
        <v>45</v>
      </c>
      <c r="B14">
        <f>(B2*B10) -(B12*B11)</f>
        <v>0.13163023443866795</v>
      </c>
    </row>
    <row r="15" spans="1:2" ht="15" thickBot="1" x14ac:dyDescent="0.4"/>
    <row r="16" spans="1:2" ht="15" thickBot="1" x14ac:dyDescent="0.4">
      <c r="A16" s="34" t="s">
        <v>51</v>
      </c>
      <c r="B16">
        <f>B14 + B12 - B2</f>
        <v>1.4163367813325856</v>
      </c>
    </row>
    <row r="18" spans="1:2" ht="15" thickBot="1" x14ac:dyDescent="0.4">
      <c r="A18" t="s">
        <v>57</v>
      </c>
    </row>
    <row r="19" spans="1:2" x14ac:dyDescent="0.35">
      <c r="A19" s="30" t="s">
        <v>52</v>
      </c>
      <c r="B19">
        <f>B10</f>
        <v>0.18242560080876449</v>
      </c>
    </row>
    <row r="20" spans="1:2" x14ac:dyDescent="0.35">
      <c r="A20" s="3" t="s">
        <v>53</v>
      </c>
      <c r="B20">
        <f>_xlfn.NORM.S.DIST(B8,FALSE)/(B2*B5*SQRT(B6))</f>
        <v>0.19545864182950379</v>
      </c>
    </row>
    <row r="21" spans="1:2" x14ac:dyDescent="0.35">
      <c r="A21" s="3" t="s">
        <v>54</v>
      </c>
      <c r="B21">
        <f>B2*SQRT(B6)*_xlfn.NORM.S.DIST(B8,FALSE)</f>
        <v>2.3181451327181111</v>
      </c>
    </row>
    <row r="22" spans="1:2" x14ac:dyDescent="0.35">
      <c r="A22" s="3" t="s">
        <v>55</v>
      </c>
      <c r="B22">
        <f>(-1*(B2*B5*_xlfn.NORM.S.DIST(B8,FALSE))) + (B4*B12*_xlfn.NORM.S.DIST(B9,FALSE))</f>
        <v>-1.0229097041584625</v>
      </c>
    </row>
    <row r="23" spans="1:2" ht="15" thickBot="1" x14ac:dyDescent="0.4">
      <c r="A23" s="5" t="s">
        <v>56</v>
      </c>
      <c r="B23">
        <f>B12*B6*_xlfn.NORM.S.DIST(B9, FALSE)</f>
        <v>0.68493868002556946</v>
      </c>
    </row>
    <row r="25" spans="1:2" ht="15" thickBot="1" x14ac:dyDescent="0.4">
      <c r="A25" t="s">
        <v>58</v>
      </c>
    </row>
    <row r="26" spans="1:2" x14ac:dyDescent="0.35">
      <c r="A26" s="30" t="s">
        <v>52</v>
      </c>
      <c r="B26">
        <f>B19-1</f>
        <v>-0.81757439919123553</v>
      </c>
    </row>
    <row r="27" spans="1:2" x14ac:dyDescent="0.35">
      <c r="A27" s="3" t="s">
        <v>53</v>
      </c>
      <c r="B27">
        <f>B20</f>
        <v>0.19545864182950379</v>
      </c>
    </row>
    <row r="28" spans="1:2" x14ac:dyDescent="0.35">
      <c r="A28" s="3" t="s">
        <v>54</v>
      </c>
      <c r="B28">
        <f>B21</f>
        <v>2.3181451327181111</v>
      </c>
    </row>
    <row r="29" spans="1:2" x14ac:dyDescent="0.35">
      <c r="A29" s="3" t="s">
        <v>55</v>
      </c>
      <c r="B29">
        <f>-1*(B2*B5*_xlfn.NORM.S.DIST(B8,FALSE)/2*SQRT(B6)) + (B12*B4*_xlfn.NORM.S.DIST(-B9,FALSE))</f>
        <v>1.0372188730538467E-2</v>
      </c>
    </row>
    <row r="30" spans="1:2" ht="15" thickBot="1" x14ac:dyDescent="0.4">
      <c r="A30" s="5" t="s">
        <v>56</v>
      </c>
      <c r="B30">
        <f>-1*(B12*B6*_xlfn.NORM.S.DIST(-1*B9,FALSE))</f>
        <v>-0.68493868002556946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D11" sqref="D11"/>
    </sheetView>
  </sheetViews>
  <sheetFormatPr defaultRowHeight="14.5" x14ac:dyDescent="0.35"/>
  <cols>
    <col min="1" max="1" width="37.54296875" bestFit="1" customWidth="1"/>
    <col min="2" max="2" width="12" bestFit="1" customWidth="1"/>
  </cols>
  <sheetData>
    <row r="1" spans="1:2" x14ac:dyDescent="0.35">
      <c r="A1" s="30" t="s">
        <v>32</v>
      </c>
      <c r="B1" s="37" t="s">
        <v>43</v>
      </c>
    </row>
    <row r="2" spans="1:2" x14ac:dyDescent="0.35">
      <c r="A2" s="3" t="s">
        <v>36</v>
      </c>
      <c r="B2" s="10">
        <v>186.53</v>
      </c>
    </row>
    <row r="3" spans="1:2" x14ac:dyDescent="0.35">
      <c r="A3" s="3" t="s">
        <v>37</v>
      </c>
      <c r="B3" s="10">
        <v>180</v>
      </c>
    </row>
    <row r="4" spans="1:2" x14ac:dyDescent="0.35">
      <c r="A4" s="3" t="s">
        <v>39</v>
      </c>
      <c r="B4" s="39">
        <v>2.4151470000000001E-2</v>
      </c>
    </row>
    <row r="5" spans="1:2" x14ac:dyDescent="0.35">
      <c r="A5" s="3" t="s">
        <v>38</v>
      </c>
      <c r="B5" s="10">
        <v>0.37562255278313089</v>
      </c>
    </row>
    <row r="6" spans="1:2" ht="15" thickBot="1" x14ac:dyDescent="0.4">
      <c r="A6" s="5" t="s">
        <v>40</v>
      </c>
      <c r="B6" s="33">
        <v>0.29761904761904762</v>
      </c>
    </row>
    <row r="7" spans="1:2" ht="15" thickBot="1" x14ac:dyDescent="0.4"/>
    <row r="8" spans="1:2" x14ac:dyDescent="0.35">
      <c r="A8" s="30" t="s">
        <v>46</v>
      </c>
      <c r="B8">
        <f>(LN(B2/B3) + ((B4+(B5^2/2))*B6))/(B5*SQRT(B6))</f>
        <v>0.3114356371732116</v>
      </c>
    </row>
    <row r="9" spans="1:2" x14ac:dyDescent="0.35">
      <c r="A9" s="3" t="s">
        <v>47</v>
      </c>
      <c r="B9">
        <f>B8-(B5*SQRT(B6))</f>
        <v>0.10651673468973033</v>
      </c>
    </row>
    <row r="10" spans="1:2" x14ac:dyDescent="0.35">
      <c r="A10" s="3" t="s">
        <v>48</v>
      </c>
      <c r="B10">
        <f>_xlfn.NORM.S.DIST(B8,TRUE)</f>
        <v>0.622265267273307</v>
      </c>
    </row>
    <row r="11" spans="1:2" x14ac:dyDescent="0.35">
      <c r="A11" s="3" t="s">
        <v>49</v>
      </c>
      <c r="B11">
        <f>_xlfn.NORM.S.DIST(B9,TRUE)</f>
        <v>0.5424138107102513</v>
      </c>
    </row>
    <row r="12" spans="1:2" ht="15" thickBot="1" x14ac:dyDescent="0.4">
      <c r="A12" s="5" t="s">
        <v>50</v>
      </c>
      <c r="B12">
        <f>B3*EXP(-B4*B6)</f>
        <v>178.71081010883185</v>
      </c>
    </row>
    <row r="13" spans="1:2" ht="15" thickBot="1" x14ac:dyDescent="0.4"/>
    <row r="14" spans="1:2" ht="15" thickBot="1" x14ac:dyDescent="0.4">
      <c r="A14" s="34" t="s">
        <v>45</v>
      </c>
      <c r="B14">
        <f>(B2*B10) -(B12*B11)</f>
        <v>19.135928778242373</v>
      </c>
    </row>
    <row r="15" spans="1:2" ht="15" thickBot="1" x14ac:dyDescent="0.4"/>
    <row r="16" spans="1:2" ht="15" thickBot="1" x14ac:dyDescent="0.4">
      <c r="A16" s="34" t="s">
        <v>51</v>
      </c>
      <c r="B16">
        <f>B14 + B12 - B2</f>
        <v>11.316738887074223</v>
      </c>
    </row>
    <row r="18" spans="1:2" ht="15" thickBot="1" x14ac:dyDescent="0.4">
      <c r="A18" t="s">
        <v>57</v>
      </c>
    </row>
    <row r="19" spans="1:2" x14ac:dyDescent="0.35">
      <c r="A19" s="30" t="s">
        <v>52</v>
      </c>
      <c r="B19">
        <f>B10</f>
        <v>0.622265267273307</v>
      </c>
    </row>
    <row r="20" spans="1:2" x14ac:dyDescent="0.35">
      <c r="A20" s="3" t="s">
        <v>53</v>
      </c>
      <c r="B20">
        <f>_xlfn.NORM.S.DIST(B8,FALSE)/(B2*B5*SQRT(B6))</f>
        <v>9.943007690187515E-3</v>
      </c>
    </row>
    <row r="21" spans="1:2" x14ac:dyDescent="0.35">
      <c r="A21" s="3" t="s">
        <v>54</v>
      </c>
      <c r="B21">
        <f>B2*SQRT(B6)*_xlfn.NORM.S.DIST(B8,FALSE)</f>
        <v>38.674752069074962</v>
      </c>
    </row>
    <row r="22" spans="1:2" x14ac:dyDescent="0.35">
      <c r="A22" s="3" t="s">
        <v>55</v>
      </c>
      <c r="B22">
        <f>(-1*(B2*B5*_xlfn.NORM.S.DIST(B8,FALSE))) + (B4*B12*_xlfn.NORM.S.DIST(B9,FALSE))</f>
        <v>-24.916485025836622</v>
      </c>
    </row>
    <row r="23" spans="1:2" ht="15" thickBot="1" x14ac:dyDescent="0.4">
      <c r="A23" s="5" t="s">
        <v>56</v>
      </c>
      <c r="B23">
        <f>B12*B6*_xlfn.NORM.S.DIST(B9, FALSE)</f>
        <v>21.098807004784053</v>
      </c>
    </row>
    <row r="25" spans="1:2" ht="15" thickBot="1" x14ac:dyDescent="0.4">
      <c r="A25" t="s">
        <v>58</v>
      </c>
    </row>
    <row r="26" spans="1:2" x14ac:dyDescent="0.35">
      <c r="A26" s="30" t="s">
        <v>52</v>
      </c>
      <c r="B26">
        <f>B19-1</f>
        <v>-0.377734732726693</v>
      </c>
    </row>
    <row r="27" spans="1:2" x14ac:dyDescent="0.35">
      <c r="A27" s="3" t="s">
        <v>53</v>
      </c>
      <c r="B27">
        <f>B20</f>
        <v>9.943007690187515E-3</v>
      </c>
    </row>
    <row r="28" spans="1:2" x14ac:dyDescent="0.35">
      <c r="A28" s="3" t="s">
        <v>54</v>
      </c>
      <c r="B28">
        <f>B21</f>
        <v>38.674752069074962</v>
      </c>
    </row>
    <row r="29" spans="1:2" x14ac:dyDescent="0.35">
      <c r="A29" s="3" t="s">
        <v>55</v>
      </c>
      <c r="B29">
        <f>-1*(B2*B5*_xlfn.NORM.S.DIST(B8,FALSE)/2*SQRT(B6)) + (B12*B4*_xlfn.NORM.S.DIST(-B9,FALSE))</f>
        <v>-5.5514087433965491</v>
      </c>
    </row>
    <row r="30" spans="1:2" ht="15" thickBot="1" x14ac:dyDescent="0.4">
      <c r="A30" s="5" t="s">
        <v>56</v>
      </c>
      <c r="B30">
        <f>-1*(B12*B6*_xlfn.NORM.S.DIST(-1*B9,FALSE))</f>
        <v>-21.098807004784053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E12" sqref="E12"/>
    </sheetView>
  </sheetViews>
  <sheetFormatPr defaultRowHeight="14.5" x14ac:dyDescent="0.35"/>
  <cols>
    <col min="1" max="1" width="37.54296875" bestFit="1" customWidth="1"/>
    <col min="2" max="2" width="12.7265625" bestFit="1" customWidth="1"/>
  </cols>
  <sheetData>
    <row r="1" spans="1:2" x14ac:dyDescent="0.35">
      <c r="A1" s="30" t="s">
        <v>32</v>
      </c>
      <c r="B1" s="38" t="s">
        <v>44</v>
      </c>
    </row>
    <row r="2" spans="1:2" x14ac:dyDescent="0.35">
      <c r="A2" s="3" t="s">
        <v>36</v>
      </c>
      <c r="B2" s="4">
        <v>29.65</v>
      </c>
    </row>
    <row r="3" spans="1:2" x14ac:dyDescent="0.35">
      <c r="A3" s="3" t="s">
        <v>37</v>
      </c>
      <c r="B3" s="4">
        <v>31</v>
      </c>
    </row>
    <row r="4" spans="1:2" x14ac:dyDescent="0.35">
      <c r="A4" s="3" t="s">
        <v>39</v>
      </c>
      <c r="B4" s="40">
        <v>2.4151470000000001E-2</v>
      </c>
    </row>
    <row r="5" spans="1:2" x14ac:dyDescent="0.35">
      <c r="A5" s="3" t="s">
        <v>38</v>
      </c>
      <c r="B5" s="4">
        <v>0.2851679697974871</v>
      </c>
    </row>
    <row r="6" spans="1:2" ht="15" thickBot="1" x14ac:dyDescent="0.4">
      <c r="A6" s="5" t="s">
        <v>40</v>
      </c>
      <c r="B6" s="6">
        <v>0.29761904761904762</v>
      </c>
    </row>
    <row r="7" spans="1:2" ht="15" thickBot="1" x14ac:dyDescent="0.4"/>
    <row r="8" spans="1:2" x14ac:dyDescent="0.35">
      <c r="A8" s="30" t="s">
        <v>46</v>
      </c>
      <c r="B8">
        <f>(LN(B2/B3) + ((B4+(B5^2/2))*B6))/(B5*SQRT(B6))</f>
        <v>-0.16221335138732701</v>
      </c>
    </row>
    <row r="9" spans="1:2" x14ac:dyDescent="0.35">
      <c r="A9" s="3" t="s">
        <v>47</v>
      </c>
      <c r="B9">
        <f>B8-(B5*SQRT(B6))</f>
        <v>-0.31778523321754903</v>
      </c>
    </row>
    <row r="10" spans="1:2" x14ac:dyDescent="0.35">
      <c r="A10" s="3" t="s">
        <v>48</v>
      </c>
      <c r="B10">
        <f>_xlfn.NORM.S.DIST(B8,TRUE)</f>
        <v>0.43556892307994899</v>
      </c>
    </row>
    <row r="11" spans="1:2" x14ac:dyDescent="0.35">
      <c r="A11" s="3" t="s">
        <v>49</v>
      </c>
      <c r="B11">
        <f>_xlfn.NORM.S.DIST(B9,TRUE)</f>
        <v>0.37532392635396777</v>
      </c>
    </row>
    <row r="12" spans="1:2" ht="15" thickBot="1" x14ac:dyDescent="0.4">
      <c r="A12" s="5" t="s">
        <v>50</v>
      </c>
      <c r="B12">
        <f>B3*EXP(-B4*B6)</f>
        <v>30.777972852076594</v>
      </c>
    </row>
    <row r="13" spans="1:2" ht="15" thickBot="1" x14ac:dyDescent="0.4"/>
    <row r="14" spans="1:2" ht="15" thickBot="1" x14ac:dyDescent="0.4">
      <c r="A14" s="34" t="s">
        <v>45</v>
      </c>
      <c r="B14">
        <f>(B2*B10) -(B12*B11)</f>
        <v>1.3629089532632719</v>
      </c>
    </row>
    <row r="15" spans="1:2" ht="15" thickBot="1" x14ac:dyDescent="0.4"/>
    <row r="16" spans="1:2" ht="15" thickBot="1" x14ac:dyDescent="0.4">
      <c r="A16" s="34" t="s">
        <v>51</v>
      </c>
      <c r="B16">
        <f>B14 + B12 - B2</f>
        <v>2.4908818053398676</v>
      </c>
    </row>
    <row r="18" spans="1:2" ht="15" thickBot="1" x14ac:dyDescent="0.4">
      <c r="A18" t="s">
        <v>57</v>
      </c>
    </row>
    <row r="19" spans="1:2" x14ac:dyDescent="0.35">
      <c r="A19" s="30" t="s">
        <v>52</v>
      </c>
      <c r="B19">
        <f>B10</f>
        <v>0.43556892307994899</v>
      </c>
    </row>
    <row r="20" spans="1:2" x14ac:dyDescent="0.35">
      <c r="A20" s="3" t="s">
        <v>53</v>
      </c>
      <c r="B20">
        <f>_xlfn.NORM.S.DIST(B8,FALSE)/(B2*B5*SQRT(B6))</f>
        <v>8.5357253095855179E-2</v>
      </c>
    </row>
    <row r="21" spans="1:2" x14ac:dyDescent="0.35">
      <c r="A21" s="3" t="s">
        <v>54</v>
      </c>
      <c r="B21">
        <f>B2*SQRT(B6)*_xlfn.NORM.S.DIST(B8,FALSE)</f>
        <v>6.3687073395706513</v>
      </c>
    </row>
    <row r="22" spans="1:2" x14ac:dyDescent="0.35">
      <c r="A22" s="3" t="s">
        <v>55</v>
      </c>
      <c r="B22">
        <f>(-1*(B2*B5*_xlfn.NORM.S.DIST(B8,FALSE))) + (B4*B12*_xlfn.NORM.S.DIST(B9,FALSE))</f>
        <v>-3.0471153326824991</v>
      </c>
    </row>
    <row r="23" spans="1:2" ht="15" thickBot="1" x14ac:dyDescent="0.4">
      <c r="A23" s="5" t="s">
        <v>56</v>
      </c>
      <c r="B23">
        <f>B12*B6*_xlfn.NORM.S.DIST(B9, FALSE)</f>
        <v>3.4744146979289701</v>
      </c>
    </row>
    <row r="25" spans="1:2" ht="15" thickBot="1" x14ac:dyDescent="0.4">
      <c r="A25" t="s">
        <v>58</v>
      </c>
    </row>
    <row r="26" spans="1:2" x14ac:dyDescent="0.35">
      <c r="A26" s="30" t="s">
        <v>52</v>
      </c>
      <c r="B26">
        <f>B19-1</f>
        <v>-0.56443107692005101</v>
      </c>
    </row>
    <row r="27" spans="1:2" x14ac:dyDescent="0.35">
      <c r="A27" s="3" t="s">
        <v>53</v>
      </c>
      <c r="B27">
        <f>B20</f>
        <v>8.5357253095855179E-2</v>
      </c>
    </row>
    <row r="28" spans="1:2" x14ac:dyDescent="0.35">
      <c r="A28" s="3" t="s">
        <v>54</v>
      </c>
      <c r="B28">
        <f>B21</f>
        <v>6.3687073395706513</v>
      </c>
    </row>
    <row r="29" spans="1:2" x14ac:dyDescent="0.35">
      <c r="A29" s="3" t="s">
        <v>55</v>
      </c>
      <c r="B29">
        <f>-1*(B2*B5*_xlfn.NORM.S.DIST(B8,FALSE)/2*SQRT(B6)) + (B12*B4*_xlfn.NORM.S.DIST(-B9,FALSE))</f>
        <v>-0.62613060405203469</v>
      </c>
    </row>
    <row r="30" spans="1:2" ht="15" thickBot="1" x14ac:dyDescent="0.4">
      <c r="A30" s="5" t="s">
        <v>56</v>
      </c>
      <c r="B30">
        <f>-1*(B12*B6*_xlfn.NORM.S.DIST(-1*B9,FALSE))</f>
        <v>-3.4744146979289701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D1" workbookViewId="0">
      <selection activeCell="J19" sqref="J19:L20"/>
    </sheetView>
  </sheetViews>
  <sheetFormatPr defaultRowHeight="14.5" x14ac:dyDescent="0.35"/>
  <cols>
    <col min="5" max="5" width="16.54296875" bestFit="1" customWidth="1"/>
    <col min="6" max="6" width="21" bestFit="1" customWidth="1"/>
    <col min="7" max="7" width="17.81640625" bestFit="1" customWidth="1"/>
    <col min="8" max="8" width="12.26953125" bestFit="1" customWidth="1"/>
    <col min="9" max="9" width="12.26953125" customWidth="1"/>
    <col min="11" max="11" width="30.54296875" bestFit="1" customWidth="1"/>
    <col min="12" max="12" width="12" bestFit="1" customWidth="1"/>
  </cols>
  <sheetData>
    <row r="1" spans="1:12" ht="15" thickBot="1" x14ac:dyDescent="0.4">
      <c r="A1" s="34" t="s">
        <v>59</v>
      </c>
      <c r="B1" s="35" t="s">
        <v>65</v>
      </c>
      <c r="C1" s="35" t="s">
        <v>60</v>
      </c>
      <c r="D1" s="35" t="s">
        <v>52</v>
      </c>
      <c r="E1" s="35" t="s">
        <v>61</v>
      </c>
      <c r="F1" s="35" t="s">
        <v>62</v>
      </c>
      <c r="G1" s="35" t="s">
        <v>63</v>
      </c>
      <c r="H1" s="36" t="s">
        <v>64</v>
      </c>
      <c r="I1" t="s">
        <v>7</v>
      </c>
      <c r="K1" s="30" t="s">
        <v>32</v>
      </c>
      <c r="L1" s="38" t="s">
        <v>42</v>
      </c>
    </row>
    <row r="2" spans="1:12" x14ac:dyDescent="0.35">
      <c r="A2" s="30">
        <v>0</v>
      </c>
      <c r="B2" s="31">
        <f>($A$24-A2)/252</f>
        <v>8.7301587301587297E-2</v>
      </c>
      <c r="C2" s="31">
        <v>29.65</v>
      </c>
      <c r="D2" s="31">
        <f>'Option B'!B19</f>
        <v>0.42543353715897503</v>
      </c>
      <c r="E2" s="31">
        <f>D2*I2</f>
        <v>4254.3353715897501</v>
      </c>
      <c r="F2" s="31">
        <f>E2*C2</f>
        <v>126141.04376763609</v>
      </c>
      <c r="G2" s="31">
        <f>F2</f>
        <v>126141.04376763609</v>
      </c>
      <c r="H2" s="32">
        <f>G2*$L$4/252</f>
        <v>12.089252517153771</v>
      </c>
      <c r="I2">
        <v>10000</v>
      </c>
      <c r="K2" s="3" t="s">
        <v>36</v>
      </c>
      <c r="L2" s="4">
        <v>29.65</v>
      </c>
    </row>
    <row r="3" spans="1:12" x14ac:dyDescent="0.35">
      <c r="A3" s="3">
        <f>A2+1</f>
        <v>1</v>
      </c>
      <c r="B3" s="10">
        <f t="shared" ref="B3:B24" si="0">($A$24-A3)/252</f>
        <v>8.3333333333333329E-2</v>
      </c>
      <c r="C3" s="10">
        <v>28.639999</v>
      </c>
      <c r="D3" s="10">
        <f>_xlfn.NORM.S.DIST(((LN(C3/$L$3) + (($L$4 + ($L$5^2/2))*B3)))/($L$5*SQRT(B3)),TRUE)</f>
        <v>0.16538363788719232</v>
      </c>
      <c r="E3" s="10">
        <f>(D3-D2)*$I$2</f>
        <v>-2600.4989927178267</v>
      </c>
      <c r="F3" s="10">
        <f>E3*C3</f>
        <v>-74478.288550939556</v>
      </c>
      <c r="G3" s="10">
        <f>H2+G2+F3</f>
        <v>51674.844469213684</v>
      </c>
      <c r="H3" s="4">
        <f t="shared" ref="H3:H24" si="1">G3*$L$4/252</f>
        <v>4.9524740315590492</v>
      </c>
      <c r="K3" s="3" t="s">
        <v>37</v>
      </c>
      <c r="L3" s="4">
        <v>30</v>
      </c>
    </row>
    <row r="4" spans="1:12" x14ac:dyDescent="0.35">
      <c r="A4" s="3">
        <f t="shared" ref="A4:A22" si="2">A3+1</f>
        <v>2</v>
      </c>
      <c r="B4" s="10">
        <f t="shared" si="0"/>
        <v>7.9365079365079361E-2</v>
      </c>
      <c r="C4" s="10">
        <v>28.18</v>
      </c>
      <c r="D4" s="10">
        <f t="shared" ref="D4:D22" si="3">_xlfn.NORM.S.DIST(((LN(C4/$L$3) + (($L$4 + ($L$5^2/2))*B4)))/($L$5*SQRT(B4)),TRUE)</f>
        <v>8.5061085777525594E-2</v>
      </c>
      <c r="E4" s="10">
        <f t="shared" ref="E4:E23" si="4">(D4-D3)*$I$2</f>
        <v>-803.22552109666731</v>
      </c>
      <c r="F4" s="10">
        <f t="shared" ref="F4:F24" si="5">E4*C4</f>
        <v>-22634.895184504083</v>
      </c>
      <c r="G4" s="10">
        <f t="shared" ref="G4:G24" si="6">H3+G3+F4</f>
        <v>29044.901758741162</v>
      </c>
      <c r="H4" s="4">
        <f t="shared" si="1"/>
        <v>2.7836391804729543</v>
      </c>
      <c r="K4" s="3" t="s">
        <v>39</v>
      </c>
      <c r="L4" s="40">
        <v>2.4151470000000001E-2</v>
      </c>
    </row>
    <row r="5" spans="1:12" x14ac:dyDescent="0.35">
      <c r="A5" s="3">
        <f t="shared" si="2"/>
        <v>3</v>
      </c>
      <c r="B5" s="10">
        <f t="shared" si="0"/>
        <v>7.5396825396825393E-2</v>
      </c>
      <c r="C5" s="10">
        <v>27.01</v>
      </c>
      <c r="D5" s="10">
        <f t="shared" si="3"/>
        <v>7.971843610743606E-3</v>
      </c>
      <c r="E5" s="10">
        <f t="shared" si="4"/>
        <v>-770.89242166781992</v>
      </c>
      <c r="F5" s="10">
        <f t="shared" si="5"/>
        <v>-20821.804309247818</v>
      </c>
      <c r="G5" s="10">
        <f t="shared" si="6"/>
        <v>8225.8810886738174</v>
      </c>
      <c r="H5" s="4">
        <f t="shared" si="1"/>
        <v>0.78836158863759154</v>
      </c>
      <c r="K5" s="3" t="s">
        <v>38</v>
      </c>
      <c r="L5" s="4">
        <f>'bac april'!$F$2</f>
        <v>0.15453050018690243</v>
      </c>
    </row>
    <row r="6" spans="1:12" ht="15" thickBot="1" x14ac:dyDescent="0.4">
      <c r="A6" s="3">
        <f t="shared" si="2"/>
        <v>4</v>
      </c>
      <c r="B6" s="10">
        <f t="shared" si="0"/>
        <v>7.1428571428571425E-2</v>
      </c>
      <c r="C6" s="10">
        <v>26.84</v>
      </c>
      <c r="D6" s="10">
        <f t="shared" si="3"/>
        <v>4.2367932059640574E-3</v>
      </c>
      <c r="E6" s="10">
        <f t="shared" si="4"/>
        <v>-37.350504047795489</v>
      </c>
      <c r="F6" s="10">
        <f t="shared" si="5"/>
        <v>-1002.487528642831</v>
      </c>
      <c r="G6" s="10">
        <f t="shared" si="6"/>
        <v>7224.1819216196236</v>
      </c>
      <c r="H6" s="4">
        <f t="shared" si="1"/>
        <v>0.69235957521642344</v>
      </c>
      <c r="K6" s="5" t="s">
        <v>40</v>
      </c>
      <c r="L6" s="6">
        <f>22/252</f>
        <v>8.7301587301587297E-2</v>
      </c>
    </row>
    <row r="7" spans="1:12" ht="15" thickBot="1" x14ac:dyDescent="0.4">
      <c r="A7" s="3">
        <f t="shared" si="2"/>
        <v>5</v>
      </c>
      <c r="B7" s="10">
        <f t="shared" si="0"/>
        <v>6.7460317460317457E-2</v>
      </c>
      <c r="C7" s="10">
        <v>27.209999</v>
      </c>
      <c r="D7" s="10">
        <f t="shared" si="3"/>
        <v>8.8612097913506847E-3</v>
      </c>
      <c r="E7" s="10">
        <f t="shared" si="4"/>
        <v>46.244165853866271</v>
      </c>
      <c r="F7" s="10">
        <f t="shared" si="5"/>
        <v>1258.3037066395354</v>
      </c>
      <c r="G7" s="10">
        <f t="shared" si="6"/>
        <v>8483.1779878343768</v>
      </c>
      <c r="H7" s="4">
        <f t="shared" si="1"/>
        <v>0.81302070903905688</v>
      </c>
      <c r="K7" s="22"/>
      <c r="L7" s="10"/>
    </row>
    <row r="8" spans="1:12" x14ac:dyDescent="0.35">
      <c r="A8" s="3">
        <f t="shared" si="2"/>
        <v>6</v>
      </c>
      <c r="B8" s="10">
        <f t="shared" si="0"/>
        <v>6.3492063492063489E-2</v>
      </c>
      <c r="C8" s="10">
        <v>27.030000999999999</v>
      </c>
      <c r="D8" s="10">
        <f t="shared" si="3"/>
        <v>4.4161133590484222E-3</v>
      </c>
      <c r="E8" s="10">
        <f t="shared" si="4"/>
        <v>-44.450964323022625</v>
      </c>
      <c r="F8" s="10">
        <f t="shared" si="5"/>
        <v>-1201.5096101022657</v>
      </c>
      <c r="G8" s="10">
        <f t="shared" si="6"/>
        <v>7282.4813984411512</v>
      </c>
      <c r="H8" s="4">
        <f t="shared" si="1"/>
        <v>0.69794694849210126</v>
      </c>
      <c r="J8" t="s">
        <v>73</v>
      </c>
      <c r="K8" s="30" t="s">
        <v>70</v>
      </c>
      <c r="L8" s="32">
        <v>0.57999999999999996</v>
      </c>
    </row>
    <row r="9" spans="1:12" x14ac:dyDescent="0.35">
      <c r="A9" s="3">
        <f t="shared" si="2"/>
        <v>7</v>
      </c>
      <c r="B9" s="10">
        <f t="shared" si="0"/>
        <v>5.9523809523809521E-2</v>
      </c>
      <c r="C9" s="10">
        <v>27.33</v>
      </c>
      <c r="D9" s="10">
        <f t="shared" si="3"/>
        <v>7.8591467061696965E-3</v>
      </c>
      <c r="E9" s="10">
        <f t="shared" si="4"/>
        <v>34.430333471212741</v>
      </c>
      <c r="F9" s="10">
        <f t="shared" si="5"/>
        <v>940.98101376824411</v>
      </c>
      <c r="G9" s="10">
        <f t="shared" si="6"/>
        <v>8224.1603591578878</v>
      </c>
      <c r="H9" s="4">
        <f t="shared" si="1"/>
        <v>0.78819667535472604</v>
      </c>
      <c r="K9" s="3" t="s">
        <v>72</v>
      </c>
      <c r="L9" s="4">
        <v>0</v>
      </c>
    </row>
    <row r="10" spans="1:12" x14ac:dyDescent="0.35">
      <c r="A10" s="3">
        <f t="shared" si="2"/>
        <v>8</v>
      </c>
      <c r="B10" s="10">
        <f t="shared" si="0"/>
        <v>5.5555555555555552E-2</v>
      </c>
      <c r="C10" s="10">
        <v>27.59</v>
      </c>
      <c r="D10" s="10">
        <f t="shared" si="3"/>
        <v>1.2411532200998627E-2</v>
      </c>
      <c r="E10" s="10">
        <f t="shared" si="4"/>
        <v>45.523854948289305</v>
      </c>
      <c r="F10" s="10">
        <f t="shared" si="5"/>
        <v>1256.0031580233019</v>
      </c>
      <c r="G10" s="10">
        <f t="shared" si="6"/>
        <v>9480.9517138565443</v>
      </c>
      <c r="H10" s="4">
        <f t="shared" si="1"/>
        <v>0.90864651146291642</v>
      </c>
      <c r="K10" s="3" t="s">
        <v>69</v>
      </c>
      <c r="L10" s="4">
        <f>(L8*I2)*EXP(L4*23/252)</f>
        <v>5812.7990461248673</v>
      </c>
    </row>
    <row r="11" spans="1:12" x14ac:dyDescent="0.35">
      <c r="A11" s="3">
        <f t="shared" si="2"/>
        <v>9</v>
      </c>
      <c r="B11" s="10">
        <f t="shared" si="0"/>
        <v>5.1587301587301584E-2</v>
      </c>
      <c r="C11" s="10">
        <v>28.540001</v>
      </c>
      <c r="D11" s="10">
        <f t="shared" si="3"/>
        <v>8.5591584016419003E-2</v>
      </c>
      <c r="E11" s="10">
        <f t="shared" si="4"/>
        <v>731.80051815420381</v>
      </c>
      <c r="F11" s="10">
        <f t="shared" si="5"/>
        <v>20885.587519921493</v>
      </c>
      <c r="G11" s="10">
        <f t="shared" si="6"/>
        <v>30367.447880289503</v>
      </c>
      <c r="H11" s="4">
        <f t="shared" si="1"/>
        <v>2.910390898640379</v>
      </c>
      <c r="K11" s="3" t="s">
        <v>75</v>
      </c>
      <c r="L11" s="4">
        <f>G24</f>
        <v>170368.77424961334</v>
      </c>
    </row>
    <row r="12" spans="1:12" ht="15" thickBot="1" x14ac:dyDescent="0.4">
      <c r="A12" s="3">
        <f t="shared" si="2"/>
        <v>10</v>
      </c>
      <c r="B12" s="10">
        <f t="shared" si="0"/>
        <v>4.7619047619047616E-2</v>
      </c>
      <c r="C12" s="10">
        <v>28.870000999999998</v>
      </c>
      <c r="D12" s="10">
        <f t="shared" si="3"/>
        <v>0.13838316534003819</v>
      </c>
      <c r="E12" s="10">
        <f t="shared" si="4"/>
        <v>527.91581323619187</v>
      </c>
      <c r="F12" s="10">
        <f t="shared" si="5"/>
        <v>15240.930056044672</v>
      </c>
      <c r="G12" s="10">
        <f t="shared" si="6"/>
        <v>45611.288327232818</v>
      </c>
      <c r="H12" s="4">
        <f t="shared" si="1"/>
        <v>4.3713478638750534</v>
      </c>
      <c r="K12" s="5" t="s">
        <v>71</v>
      </c>
      <c r="L12" s="6">
        <f>L10-L11</f>
        <v>-164555.97520348849</v>
      </c>
    </row>
    <row r="13" spans="1:12" x14ac:dyDescent="0.35">
      <c r="A13" s="3">
        <f t="shared" si="2"/>
        <v>11</v>
      </c>
      <c r="B13" s="10">
        <f t="shared" si="0"/>
        <v>4.3650793650793648E-2</v>
      </c>
      <c r="C13" s="10">
        <v>28.84</v>
      </c>
      <c r="D13" s="10">
        <f t="shared" si="3"/>
        <v>0.12047541191708457</v>
      </c>
      <c r="E13" s="10">
        <f t="shared" si="4"/>
        <v>-179.0775342295363</v>
      </c>
      <c r="F13" s="10">
        <f t="shared" si="5"/>
        <v>-5164.596087179827</v>
      </c>
      <c r="G13" s="10">
        <f t="shared" si="6"/>
        <v>40451.063587916869</v>
      </c>
      <c r="H13" s="4">
        <f t="shared" si="1"/>
        <v>3.8767962250462964</v>
      </c>
    </row>
    <row r="14" spans="1:12" ht="15" thickBot="1" x14ac:dyDescent="0.4">
      <c r="A14" s="3">
        <f t="shared" si="2"/>
        <v>12</v>
      </c>
      <c r="B14" s="10">
        <f t="shared" si="0"/>
        <v>3.968253968253968E-2</v>
      </c>
      <c r="C14" s="10">
        <v>29.15</v>
      </c>
      <c r="D14" s="10">
        <f t="shared" si="3"/>
        <v>0.18749079221758364</v>
      </c>
      <c r="E14" s="10">
        <f t="shared" si="4"/>
        <v>670.15380300499066</v>
      </c>
      <c r="F14" s="10">
        <f t="shared" si="5"/>
        <v>19534.983357595476</v>
      </c>
      <c r="G14" s="10">
        <f t="shared" si="6"/>
        <v>59989.923741737395</v>
      </c>
      <c r="H14" s="4">
        <f t="shared" si="1"/>
        <v>5.7493842998049942</v>
      </c>
      <c r="K14" s="10"/>
      <c r="L14" s="10"/>
    </row>
    <row r="15" spans="1:12" x14ac:dyDescent="0.35">
      <c r="A15" s="3">
        <f t="shared" si="2"/>
        <v>13</v>
      </c>
      <c r="B15" s="10">
        <f t="shared" si="0"/>
        <v>3.5714285714285712E-2</v>
      </c>
      <c r="C15" s="10">
        <v>29.08</v>
      </c>
      <c r="D15" s="10">
        <f t="shared" si="3"/>
        <v>0.15329519992845547</v>
      </c>
      <c r="E15" s="10">
        <f t="shared" si="4"/>
        <v>-341.9559228912816</v>
      </c>
      <c r="F15" s="10">
        <f t="shared" si="5"/>
        <v>-9944.0782376784682</v>
      </c>
      <c r="G15" s="10">
        <f t="shared" si="6"/>
        <v>50051.594888358733</v>
      </c>
      <c r="H15" s="4">
        <f t="shared" si="1"/>
        <v>4.7969031444378949</v>
      </c>
      <c r="J15" t="s">
        <v>74</v>
      </c>
      <c r="K15" s="30" t="s">
        <v>69</v>
      </c>
      <c r="L15" s="32">
        <f>L16</f>
        <v>5812.7990461248673</v>
      </c>
    </row>
    <row r="16" spans="1:12" ht="15" thickBot="1" x14ac:dyDescent="0.4">
      <c r="A16" s="3">
        <f t="shared" si="2"/>
        <v>14</v>
      </c>
      <c r="B16" s="10">
        <f t="shared" si="0"/>
        <v>3.1746031746031744E-2</v>
      </c>
      <c r="C16" s="10">
        <v>29.17</v>
      </c>
      <c r="D16" s="10">
        <f t="shared" si="3"/>
        <v>0.1641877989866441</v>
      </c>
      <c r="E16" s="10">
        <f t="shared" si="4"/>
        <v>108.92599058188624</v>
      </c>
      <c r="F16" s="10">
        <f t="shared" si="5"/>
        <v>3177.371145273622</v>
      </c>
      <c r="G16" s="10">
        <f t="shared" si="6"/>
        <v>53233.762936776795</v>
      </c>
      <c r="H16" s="4">
        <f t="shared" si="1"/>
        <v>5.1018794783915746</v>
      </c>
      <c r="K16" s="5" t="s">
        <v>71</v>
      </c>
      <c r="L16" s="6">
        <f>L10</f>
        <v>5812.7990461248673</v>
      </c>
    </row>
    <row r="17" spans="1:12" x14ac:dyDescent="0.35">
      <c r="A17" s="3">
        <f t="shared" si="2"/>
        <v>15</v>
      </c>
      <c r="B17" s="10">
        <f t="shared" si="0"/>
        <v>2.7777777777777776E-2</v>
      </c>
      <c r="C17" s="10">
        <v>28.889999</v>
      </c>
      <c r="D17" s="10">
        <f t="shared" si="3"/>
        <v>7.7087738790589028E-2</v>
      </c>
      <c r="E17" s="10">
        <f t="shared" si="4"/>
        <v>-871.00060196055063</v>
      </c>
      <c r="F17" s="10">
        <f t="shared" si="5"/>
        <v>-25163.206519639705</v>
      </c>
      <c r="G17" s="10">
        <f t="shared" si="6"/>
        <v>28075.658296615478</v>
      </c>
      <c r="H17" s="4">
        <f t="shared" si="1"/>
        <v>2.6907476947657138</v>
      </c>
      <c r="K17" s="10"/>
      <c r="L17" s="10"/>
    </row>
    <row r="18" spans="1:12" x14ac:dyDescent="0.35">
      <c r="A18" s="3">
        <f t="shared" si="2"/>
        <v>16</v>
      </c>
      <c r="B18" s="10">
        <f t="shared" si="0"/>
        <v>2.3809523809523808E-2</v>
      </c>
      <c r="C18" s="10">
        <v>29.07</v>
      </c>
      <c r="D18" s="10">
        <f t="shared" si="3"/>
        <v>9.9461572356781228E-2</v>
      </c>
      <c r="E18" s="10">
        <f t="shared" si="4"/>
        <v>223.73833566192201</v>
      </c>
      <c r="F18" s="10">
        <f t="shared" si="5"/>
        <v>6504.0734176920732</v>
      </c>
      <c r="G18" s="10">
        <f t="shared" si="6"/>
        <v>34582.422462002316</v>
      </c>
      <c r="H18" s="4">
        <f t="shared" si="1"/>
        <v>3.3143505500729176</v>
      </c>
      <c r="K18" s="10"/>
      <c r="L18" s="10"/>
    </row>
    <row r="19" spans="1:12" x14ac:dyDescent="0.35">
      <c r="A19" s="3">
        <f t="shared" si="2"/>
        <v>17</v>
      </c>
      <c r="B19" s="10">
        <f t="shared" si="0"/>
        <v>1.984126984126984E-2</v>
      </c>
      <c r="C19" s="10">
        <v>29.07</v>
      </c>
      <c r="D19" s="10">
        <f t="shared" si="3"/>
        <v>7.8707893101436346E-2</v>
      </c>
      <c r="E19" s="10">
        <f t="shared" si="4"/>
        <v>-207.53679255344881</v>
      </c>
      <c r="F19" s="10">
        <f t="shared" si="5"/>
        <v>-6033.0945595287567</v>
      </c>
      <c r="G19" s="10">
        <f t="shared" si="6"/>
        <v>28552.64225302363</v>
      </c>
      <c r="H19" s="4">
        <f t="shared" si="1"/>
        <v>2.7364614396612406</v>
      </c>
      <c r="J19" t="s">
        <v>80</v>
      </c>
      <c r="K19" t="s">
        <v>79</v>
      </c>
      <c r="L19">
        <f>L12/I2*L8</f>
        <v>-9.544246561802332</v>
      </c>
    </row>
    <row r="20" spans="1:12" x14ac:dyDescent="0.35">
      <c r="A20" s="3">
        <f t="shared" si="2"/>
        <v>18</v>
      </c>
      <c r="B20" s="10">
        <f t="shared" si="0"/>
        <v>1.5873015873015872E-2</v>
      </c>
      <c r="C20" s="10">
        <v>30.17</v>
      </c>
      <c r="D20" s="10">
        <f t="shared" si="3"/>
        <v>0.62538860662002416</v>
      </c>
      <c r="E20" s="10">
        <f t="shared" si="4"/>
        <v>5466.807135185878</v>
      </c>
      <c r="F20" s="10">
        <f t="shared" si="5"/>
        <v>164933.57126855795</v>
      </c>
      <c r="G20" s="10">
        <f t="shared" si="6"/>
        <v>193488.94998302124</v>
      </c>
      <c r="H20" s="4">
        <f t="shared" si="1"/>
        <v>18.543819725581105</v>
      </c>
      <c r="J20" t="s">
        <v>81</v>
      </c>
      <c r="K20" t="s">
        <v>79</v>
      </c>
      <c r="L20">
        <f>L16/(I2*L8)</f>
        <v>1.0022067320904944</v>
      </c>
    </row>
    <row r="21" spans="1:12" x14ac:dyDescent="0.35">
      <c r="A21" s="3">
        <f t="shared" si="2"/>
        <v>19</v>
      </c>
      <c r="B21" s="10">
        <f t="shared" si="0"/>
        <v>1.1904761904761904E-2</v>
      </c>
      <c r="C21" s="10">
        <v>29.84</v>
      </c>
      <c r="D21" s="10">
        <f t="shared" si="3"/>
        <v>0.38526495654084425</v>
      </c>
      <c r="E21" s="10">
        <f t="shared" si="4"/>
        <v>-2401.2365007917992</v>
      </c>
      <c r="F21" s="10">
        <f t="shared" si="5"/>
        <v>-71652.897183627283</v>
      </c>
      <c r="G21" s="10">
        <f t="shared" si="6"/>
        <v>121854.59661911953</v>
      </c>
      <c r="H21" s="4">
        <f t="shared" si="1"/>
        <v>11.678442994479235</v>
      </c>
    </row>
    <row r="22" spans="1:12" x14ac:dyDescent="0.35">
      <c r="A22" s="3">
        <f t="shared" si="2"/>
        <v>20</v>
      </c>
      <c r="B22" s="10">
        <f t="shared" si="0"/>
        <v>7.9365079365079361E-3</v>
      </c>
      <c r="C22" s="10">
        <v>29.879999000000002</v>
      </c>
      <c r="D22" s="10">
        <f t="shared" si="3"/>
        <v>0.39345119033893983</v>
      </c>
      <c r="E22" s="10">
        <f t="shared" si="4"/>
        <v>81.862337980955772</v>
      </c>
      <c r="F22" s="10">
        <f t="shared" si="5"/>
        <v>2446.0465770086207</v>
      </c>
      <c r="G22" s="10">
        <f t="shared" si="6"/>
        <v>124312.32163912263</v>
      </c>
      <c r="H22" s="4">
        <f t="shared" si="1"/>
        <v>11.913989312292149</v>
      </c>
    </row>
    <row r="23" spans="1:12" ht="15" thickBot="1" x14ac:dyDescent="0.4">
      <c r="A23" s="5">
        <f>A22+1</f>
        <v>21</v>
      </c>
      <c r="B23" s="33">
        <f t="shared" si="0"/>
        <v>3.968253968253968E-3</v>
      </c>
      <c r="C23" s="33">
        <v>30.030000999999999</v>
      </c>
      <c r="D23" s="33">
        <f>_xlfn.NORM.S.DIST(((LN(C23/$L$3) + (($L$4 + ($L$5^2/2))*B23)))/($L$5*SQRT(B23)),TRUE)</f>
        <v>0.5467252850835268</v>
      </c>
      <c r="E23" s="33">
        <f t="shared" si="4"/>
        <v>1532.7409474458698</v>
      </c>
      <c r="F23" s="33">
        <f t="shared" si="5"/>
        <v>46028.212184540418</v>
      </c>
      <c r="G23" s="33">
        <f t="shared" si="6"/>
        <v>170352.44781297533</v>
      </c>
      <c r="H23" s="6">
        <f t="shared" si="1"/>
        <v>16.326436638022379</v>
      </c>
    </row>
    <row r="24" spans="1:12" x14ac:dyDescent="0.35">
      <c r="A24">
        <f>A23+1</f>
        <v>22</v>
      </c>
      <c r="B24">
        <f t="shared" si="0"/>
        <v>0</v>
      </c>
      <c r="C24">
        <v>30.030000999999999</v>
      </c>
      <c r="D24">
        <v>0.5</v>
      </c>
      <c r="E24">
        <v>0</v>
      </c>
      <c r="F24">
        <f t="shared" si="5"/>
        <v>0</v>
      </c>
      <c r="G24">
        <f t="shared" si="6"/>
        <v>170368.77424961334</v>
      </c>
      <c r="H24">
        <f t="shared" si="1"/>
        <v>16.328001350104401</v>
      </c>
    </row>
    <row r="26" spans="1:12" x14ac:dyDescent="0.35">
      <c r="D26" t="s">
        <v>66</v>
      </c>
    </row>
    <row r="27" spans="1:12" x14ac:dyDescent="0.35">
      <c r="D27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topLeftCell="B8" workbookViewId="0">
      <selection activeCell="E1" sqref="E1"/>
    </sheetView>
  </sheetViews>
  <sheetFormatPr defaultRowHeight="14.5" x14ac:dyDescent="0.35"/>
  <cols>
    <col min="5" max="5" width="16.54296875" bestFit="1" customWidth="1"/>
    <col min="6" max="6" width="21" bestFit="1" customWidth="1"/>
    <col min="7" max="7" width="17.81640625" bestFit="1" customWidth="1"/>
    <col min="8" max="8" width="12.26953125" bestFit="1" customWidth="1"/>
    <col min="9" max="9" width="12.26953125" customWidth="1"/>
    <col min="11" max="11" width="30.54296875" bestFit="1" customWidth="1"/>
    <col min="12" max="12" width="12" bestFit="1" customWidth="1"/>
  </cols>
  <sheetData>
    <row r="1" spans="1:12" x14ac:dyDescent="0.35">
      <c r="A1" t="s">
        <v>59</v>
      </c>
      <c r="B1" t="s">
        <v>65</v>
      </c>
      <c r="C1" t="s">
        <v>60</v>
      </c>
      <c r="D1" t="s">
        <v>52</v>
      </c>
      <c r="E1" t="s">
        <v>61</v>
      </c>
      <c r="F1" t="s">
        <v>62</v>
      </c>
      <c r="G1" t="s">
        <v>63</v>
      </c>
      <c r="H1" t="s">
        <v>64</v>
      </c>
      <c r="I1" t="s">
        <v>7</v>
      </c>
      <c r="K1" s="30" t="s">
        <v>32</v>
      </c>
      <c r="L1" s="38" t="s">
        <v>15</v>
      </c>
    </row>
    <row r="2" spans="1:12" x14ac:dyDescent="0.35">
      <c r="A2">
        <v>0</v>
      </c>
      <c r="B2">
        <f>($A$24-A2)/252</f>
        <v>8.7301587301587297E-2</v>
      </c>
      <c r="C2">
        <v>29.65</v>
      </c>
      <c r="D2">
        <f>'Option C'!B19</f>
        <v>0.18242560080876449</v>
      </c>
      <c r="E2">
        <f>D2*I2</f>
        <v>1824.2560080876449</v>
      </c>
      <c r="F2">
        <f>E2*C2</f>
        <v>54089.190639798668</v>
      </c>
      <c r="G2">
        <f>F2</f>
        <v>54089.190639798668</v>
      </c>
      <c r="H2">
        <f>G2*$L$4/252</f>
        <v>5.1838629565927707</v>
      </c>
      <c r="I2">
        <v>10000</v>
      </c>
      <c r="K2" s="3" t="s">
        <v>36</v>
      </c>
      <c r="L2" s="4">
        <v>29.65</v>
      </c>
    </row>
    <row r="3" spans="1:12" x14ac:dyDescent="0.35">
      <c r="A3">
        <f>A2+1</f>
        <v>1</v>
      </c>
      <c r="B3">
        <f t="shared" ref="B3:B24" si="0">($A$24-A3)/252</f>
        <v>8.3333333333333329E-2</v>
      </c>
      <c r="C3">
        <v>28.639999</v>
      </c>
      <c r="D3">
        <f>_xlfn.NORM.S.DIST(((LN(C3/$L$3) + (($L$4 + ($L$5^2/2))*B3)))/($L$5*SQRT(B3)),TRUE)</f>
        <v>4.3853697811535343E-2</v>
      </c>
      <c r="E3">
        <f>(D3-D2)*$I$2</f>
        <v>-1385.7190299722915</v>
      </c>
      <c r="F3">
        <f>E3*C3</f>
        <v>-39686.991632687401</v>
      </c>
      <c r="G3">
        <f>H2+G2+F3</f>
        <v>14407.382870067857</v>
      </c>
      <c r="H3">
        <f t="shared" ref="H3:H24" si="1">G3*$L$4/252</f>
        <v>1.3807915681149119</v>
      </c>
      <c r="K3" s="3" t="s">
        <v>37</v>
      </c>
      <c r="L3" s="4">
        <v>31</v>
      </c>
    </row>
    <row r="4" spans="1:12" x14ac:dyDescent="0.35">
      <c r="A4">
        <f t="shared" ref="A4:A22" si="2">A3+1</f>
        <v>2</v>
      </c>
      <c r="B4">
        <f t="shared" si="0"/>
        <v>7.9365079365079361E-2</v>
      </c>
      <c r="C4">
        <v>28.18</v>
      </c>
      <c r="D4">
        <f t="shared" ref="D4:D22" si="3">_xlfn.NORM.S.DIST(((LN(C4/$L$3) + (($L$4 + ($L$5^2/2))*B4)))/($L$5*SQRT(B4)),TRUE)</f>
        <v>1.6792845683365212E-2</v>
      </c>
      <c r="E4">
        <f t="shared" ref="E4:E23" si="4">(D4-D3)*$I$2</f>
        <v>-270.60852128170131</v>
      </c>
      <c r="F4">
        <f t="shared" ref="F4:F24" si="5">E4*C4</f>
        <v>-7625.7481297183431</v>
      </c>
      <c r="G4">
        <f t="shared" ref="G4:G24" si="6">H3+G3+F4</f>
        <v>6783.0155319176292</v>
      </c>
      <c r="H4">
        <f t="shared" si="1"/>
        <v>0.65007855606604237</v>
      </c>
      <c r="K4" s="3" t="s">
        <v>39</v>
      </c>
      <c r="L4" s="40">
        <v>2.4151470000000001E-2</v>
      </c>
    </row>
    <row r="5" spans="1:12" x14ac:dyDescent="0.35">
      <c r="A5">
        <f t="shared" si="2"/>
        <v>3</v>
      </c>
      <c r="B5">
        <f t="shared" si="0"/>
        <v>7.5396825396825393E-2</v>
      </c>
      <c r="C5">
        <v>27.01</v>
      </c>
      <c r="D5">
        <f t="shared" si="3"/>
        <v>7.2886699377466781E-4</v>
      </c>
      <c r="E5">
        <f t="shared" si="4"/>
        <v>-160.63978689590544</v>
      </c>
      <c r="F5">
        <f t="shared" si="5"/>
        <v>-4338.8806440584067</v>
      </c>
      <c r="G5">
        <f t="shared" si="6"/>
        <v>2444.7849664152882</v>
      </c>
      <c r="H5">
        <f t="shared" si="1"/>
        <v>0.23430615386043588</v>
      </c>
      <c r="K5" s="3" t="s">
        <v>38</v>
      </c>
      <c r="L5" s="4">
        <f>'bac april'!$F$2</f>
        <v>0.15453050018690243</v>
      </c>
    </row>
    <row r="6" spans="1:12" ht="15" thickBot="1" x14ac:dyDescent="0.4">
      <c r="A6">
        <f t="shared" si="2"/>
        <v>4</v>
      </c>
      <c r="B6">
        <f t="shared" si="0"/>
        <v>7.1428571428571425E-2</v>
      </c>
      <c r="C6">
        <v>26.84</v>
      </c>
      <c r="D6">
        <f t="shared" si="3"/>
        <v>3.0566747344349684E-4</v>
      </c>
      <c r="E6">
        <f t="shared" si="4"/>
        <v>-4.2319952033117101</v>
      </c>
      <c r="F6">
        <f t="shared" si="5"/>
        <v>-113.5867512568863</v>
      </c>
      <c r="G6">
        <f t="shared" si="6"/>
        <v>2331.4325213122625</v>
      </c>
      <c r="H6">
        <f t="shared" si="1"/>
        <v>0.22344254998213281</v>
      </c>
      <c r="K6" s="5" t="s">
        <v>40</v>
      </c>
      <c r="L6" s="6">
        <f>22/252</f>
        <v>8.7301587301587297E-2</v>
      </c>
    </row>
    <row r="7" spans="1:12" ht="15" thickBot="1" x14ac:dyDescent="0.4">
      <c r="A7">
        <f t="shared" si="2"/>
        <v>5</v>
      </c>
      <c r="B7">
        <f t="shared" si="0"/>
        <v>6.7460317460317457E-2</v>
      </c>
      <c r="C7">
        <v>27.209999</v>
      </c>
      <c r="D7">
        <f t="shared" si="3"/>
        <v>7.1549340776267247E-4</v>
      </c>
      <c r="E7">
        <f t="shared" si="4"/>
        <v>4.0982593431917564</v>
      </c>
      <c r="F7">
        <f t="shared" si="5"/>
        <v>111.51363262998835</v>
      </c>
      <c r="G7">
        <f t="shared" si="6"/>
        <v>2443.1695964922333</v>
      </c>
      <c r="H7">
        <f t="shared" si="1"/>
        <v>0.23415133815315192</v>
      </c>
      <c r="K7" s="22"/>
    </row>
    <row r="8" spans="1:12" x14ac:dyDescent="0.35">
      <c r="A8">
        <f t="shared" si="2"/>
        <v>6</v>
      </c>
      <c r="B8">
        <f t="shared" si="0"/>
        <v>6.3492063492063489E-2</v>
      </c>
      <c r="C8">
        <v>27.030000999999999</v>
      </c>
      <c r="D8">
        <f t="shared" si="3"/>
        <v>2.6950288919335807E-4</v>
      </c>
      <c r="E8">
        <f t="shared" si="4"/>
        <v>-4.4599051856931435</v>
      </c>
      <c r="F8">
        <f t="shared" si="5"/>
        <v>-120.55124162919086</v>
      </c>
      <c r="G8">
        <f t="shared" si="6"/>
        <v>2322.8525062011954</v>
      </c>
      <c r="H8">
        <f t="shared" si="1"/>
        <v>0.22262024848390075</v>
      </c>
      <c r="J8" t="s">
        <v>73</v>
      </c>
      <c r="K8" s="30" t="s">
        <v>70</v>
      </c>
      <c r="L8" s="32">
        <v>0.22</v>
      </c>
    </row>
    <row r="9" spans="1:12" x14ac:dyDescent="0.35">
      <c r="A9">
        <f t="shared" si="2"/>
        <v>7</v>
      </c>
      <c r="B9">
        <f t="shared" si="0"/>
        <v>5.9523809523809521E-2</v>
      </c>
      <c r="C9">
        <v>27.33</v>
      </c>
      <c r="D9">
        <f t="shared" si="3"/>
        <v>5.0970947487872446E-4</v>
      </c>
      <c r="E9">
        <f t="shared" si="4"/>
        <v>2.4020658568536639</v>
      </c>
      <c r="F9">
        <f t="shared" si="5"/>
        <v>65.648459867810629</v>
      </c>
      <c r="G9">
        <f t="shared" si="6"/>
        <v>2388.7235863174901</v>
      </c>
      <c r="H9">
        <f t="shared" si="1"/>
        <v>0.22893327790967966</v>
      </c>
      <c r="K9" s="3" t="s">
        <v>72</v>
      </c>
      <c r="L9" s="4">
        <v>0</v>
      </c>
    </row>
    <row r="10" spans="1:12" x14ac:dyDescent="0.35">
      <c r="A10">
        <f t="shared" si="2"/>
        <v>8</v>
      </c>
      <c r="B10">
        <f t="shared" si="0"/>
        <v>5.5555555555555552E-2</v>
      </c>
      <c r="C10">
        <v>27.59</v>
      </c>
      <c r="D10">
        <f t="shared" si="3"/>
        <v>8.3216462270488411E-4</v>
      </c>
      <c r="E10">
        <f t="shared" si="4"/>
        <v>3.2245514782615965</v>
      </c>
      <c r="F10">
        <f t="shared" si="5"/>
        <v>88.965375285237442</v>
      </c>
      <c r="G10">
        <f t="shared" si="6"/>
        <v>2477.917894880637</v>
      </c>
      <c r="H10">
        <f t="shared" si="1"/>
        <v>0.2374815861137812</v>
      </c>
      <c r="K10" s="3" t="s">
        <v>69</v>
      </c>
      <c r="L10" s="4">
        <f>(L8*I2)*EXP(L4*23/252)</f>
        <v>2204.8548105990876</v>
      </c>
    </row>
    <row r="11" spans="1:12" x14ac:dyDescent="0.35">
      <c r="A11">
        <f t="shared" si="2"/>
        <v>9</v>
      </c>
      <c r="B11">
        <f t="shared" si="0"/>
        <v>5.1587301587301584E-2</v>
      </c>
      <c r="C11">
        <v>28.540001</v>
      </c>
      <c r="D11">
        <f t="shared" si="3"/>
        <v>1.0649520131016159E-2</v>
      </c>
      <c r="E11">
        <f t="shared" si="4"/>
        <v>98.173555083112745</v>
      </c>
      <c r="F11">
        <f t="shared" si="5"/>
        <v>2801.8733602455927</v>
      </c>
      <c r="G11">
        <f t="shared" si="6"/>
        <v>5280.0287367123437</v>
      </c>
      <c r="H11">
        <f t="shared" si="1"/>
        <v>0.50603355410256379</v>
      </c>
      <c r="K11" s="3" t="s">
        <v>75</v>
      </c>
      <c r="L11" s="4">
        <f>G24</f>
        <v>2642.0508393339019</v>
      </c>
    </row>
    <row r="12" spans="1:12" ht="15" thickBot="1" x14ac:dyDescent="0.4">
      <c r="A12">
        <f t="shared" si="2"/>
        <v>10</v>
      </c>
      <c r="B12">
        <f t="shared" si="0"/>
        <v>4.7619047619047616E-2</v>
      </c>
      <c r="C12">
        <v>28.870000999999998</v>
      </c>
      <c r="D12">
        <f t="shared" si="3"/>
        <v>1.9699803631064668E-2</v>
      </c>
      <c r="E12">
        <f t="shared" si="4"/>
        <v>90.502835000485092</v>
      </c>
      <c r="F12">
        <f t="shared" si="5"/>
        <v>2612.8169369668394</v>
      </c>
      <c r="G12">
        <f t="shared" si="6"/>
        <v>7893.3517072332861</v>
      </c>
      <c r="H12">
        <f t="shared" si="1"/>
        <v>0.75649224982814878</v>
      </c>
      <c r="K12" s="5" t="s">
        <v>71</v>
      </c>
      <c r="L12" s="6">
        <f>L10-L11</f>
        <v>-437.19602873481426</v>
      </c>
    </row>
    <row r="13" spans="1:12" ht="15" thickBot="1" x14ac:dyDescent="0.4">
      <c r="A13">
        <f t="shared" si="2"/>
        <v>11</v>
      </c>
      <c r="B13">
        <f t="shared" si="0"/>
        <v>4.3650793650793648E-2</v>
      </c>
      <c r="C13">
        <v>28.84</v>
      </c>
      <c r="D13">
        <f t="shared" si="3"/>
        <v>1.4326507354355181E-2</v>
      </c>
      <c r="E13">
        <f t="shared" si="4"/>
        <v>-53.732962767094868</v>
      </c>
      <c r="F13">
        <f t="shared" si="5"/>
        <v>-1549.6586462030159</v>
      </c>
      <c r="G13">
        <f t="shared" si="6"/>
        <v>6344.4495532800975</v>
      </c>
      <c r="H13">
        <f t="shared" si="1"/>
        <v>0.60804675814507025</v>
      </c>
    </row>
    <row r="14" spans="1:12" x14ac:dyDescent="0.35">
      <c r="A14">
        <f t="shared" si="2"/>
        <v>12</v>
      </c>
      <c r="B14">
        <f t="shared" si="0"/>
        <v>3.968253968253968E-2</v>
      </c>
      <c r="C14">
        <v>29.15</v>
      </c>
      <c r="D14">
        <f t="shared" si="3"/>
        <v>2.5447384245250955E-2</v>
      </c>
      <c r="E14">
        <f t="shared" si="4"/>
        <v>111.20876890895774</v>
      </c>
      <c r="F14">
        <f t="shared" si="5"/>
        <v>3241.735613696118</v>
      </c>
      <c r="G14">
        <f t="shared" si="6"/>
        <v>9586.7932137343596</v>
      </c>
      <c r="H14">
        <f t="shared" si="1"/>
        <v>0.91879027260995627</v>
      </c>
      <c r="J14" t="s">
        <v>76</v>
      </c>
      <c r="K14" s="30" t="s">
        <v>69</v>
      </c>
      <c r="L14" s="32">
        <f>L10</f>
        <v>2204.8548105990876</v>
      </c>
    </row>
    <row r="15" spans="1:12" ht="15" thickBot="1" x14ac:dyDescent="0.4">
      <c r="A15">
        <f t="shared" si="2"/>
        <v>13</v>
      </c>
      <c r="B15">
        <f t="shared" si="0"/>
        <v>3.5714285714285712E-2</v>
      </c>
      <c r="C15">
        <v>29.08</v>
      </c>
      <c r="D15">
        <f t="shared" si="3"/>
        <v>1.5968174701539033E-2</v>
      </c>
      <c r="E15">
        <f t="shared" si="4"/>
        <v>-94.792095437119215</v>
      </c>
      <c r="F15">
        <f t="shared" si="5"/>
        <v>-2756.5541353114268</v>
      </c>
      <c r="G15">
        <f t="shared" si="6"/>
        <v>6831.1578686955427</v>
      </c>
      <c r="H15">
        <f t="shared" si="1"/>
        <v>0.65469247750422366</v>
      </c>
      <c r="K15" s="5" t="s">
        <v>77</v>
      </c>
      <c r="L15" s="6">
        <f>L14</f>
        <v>2204.8548105990876</v>
      </c>
    </row>
    <row r="16" spans="1:12" x14ac:dyDescent="0.35">
      <c r="A16">
        <f t="shared" si="2"/>
        <v>14</v>
      </c>
      <c r="B16">
        <f t="shared" si="0"/>
        <v>3.1746031746031744E-2</v>
      </c>
      <c r="C16">
        <v>29.17</v>
      </c>
      <c r="D16">
        <f t="shared" si="3"/>
        <v>1.5067770215357316E-2</v>
      </c>
      <c r="E16">
        <f t="shared" si="4"/>
        <v>-9.0040448618171691</v>
      </c>
      <c r="F16">
        <f t="shared" si="5"/>
        <v>-262.64798861920684</v>
      </c>
      <c r="G16">
        <f t="shared" si="6"/>
        <v>6569.1645725538401</v>
      </c>
      <c r="H16">
        <f t="shared" si="1"/>
        <v>0.62958325832974971</v>
      </c>
    </row>
    <row r="17" spans="1:12" x14ac:dyDescent="0.35">
      <c r="A17">
        <f t="shared" si="2"/>
        <v>15</v>
      </c>
      <c r="B17">
        <f t="shared" si="0"/>
        <v>2.7777777777777776E-2</v>
      </c>
      <c r="C17">
        <v>28.889999</v>
      </c>
      <c r="D17">
        <f t="shared" si="3"/>
        <v>3.4870693330995659E-3</v>
      </c>
      <c r="E17">
        <f t="shared" si="4"/>
        <v>-115.8070088225775</v>
      </c>
      <c r="F17">
        <f t="shared" si="5"/>
        <v>-3345.6643690772553</v>
      </c>
      <c r="G17">
        <f t="shared" si="6"/>
        <v>3224.1297867349149</v>
      </c>
      <c r="H17">
        <f t="shared" si="1"/>
        <v>0.30899791198585197</v>
      </c>
      <c r="J17" t="s">
        <v>80</v>
      </c>
      <c r="K17" t="s">
        <v>79</v>
      </c>
      <c r="L17">
        <f>L12/(I2*L8)</f>
        <v>-0.19872546760673376</v>
      </c>
    </row>
    <row r="18" spans="1:12" x14ac:dyDescent="0.35">
      <c r="A18">
        <f t="shared" si="2"/>
        <v>16</v>
      </c>
      <c r="B18">
        <f t="shared" si="0"/>
        <v>2.3809523809523808E-2</v>
      </c>
      <c r="C18">
        <v>29.07</v>
      </c>
      <c r="D18">
        <f t="shared" si="3"/>
        <v>3.9096571862016214E-3</v>
      </c>
      <c r="E18">
        <f t="shared" si="4"/>
        <v>4.2258785310205544</v>
      </c>
      <c r="F18">
        <f t="shared" si="5"/>
        <v>122.84628889676752</v>
      </c>
      <c r="G18">
        <f t="shared" si="6"/>
        <v>3347.2850735436682</v>
      </c>
      <c r="H18">
        <f t="shared" si="1"/>
        <v>0.3208010120441972</v>
      </c>
      <c r="J18" t="s">
        <v>81</v>
      </c>
      <c r="K18" t="s">
        <v>79</v>
      </c>
      <c r="L18">
        <f>L15/(I2*L8)</f>
        <v>1.0022067320904944</v>
      </c>
    </row>
    <row r="19" spans="1:12" x14ac:dyDescent="0.35">
      <c r="A19">
        <f t="shared" si="2"/>
        <v>17</v>
      </c>
      <c r="B19">
        <f t="shared" si="0"/>
        <v>1.984126984126984E-2</v>
      </c>
      <c r="C19">
        <v>29.07</v>
      </c>
      <c r="D19">
        <f t="shared" si="3"/>
        <v>1.7489449119883966E-3</v>
      </c>
      <c r="E19">
        <f t="shared" si="4"/>
        <v>-21.607122742132244</v>
      </c>
      <c r="F19">
        <f t="shared" si="5"/>
        <v>-628.11905811378438</v>
      </c>
      <c r="G19">
        <f t="shared" si="6"/>
        <v>2719.4868164419281</v>
      </c>
      <c r="H19">
        <f t="shared" si="1"/>
        <v>0.2606333502487807</v>
      </c>
    </row>
    <row r="20" spans="1:12" x14ac:dyDescent="0.35">
      <c r="A20">
        <f t="shared" si="2"/>
        <v>18</v>
      </c>
      <c r="B20">
        <f t="shared" si="0"/>
        <v>1.5873015873015872E-2</v>
      </c>
      <c r="C20">
        <v>30.17</v>
      </c>
      <c r="D20">
        <f t="shared" si="3"/>
        <v>8.6198623858254636E-2</v>
      </c>
      <c r="E20">
        <f t="shared" si="4"/>
        <v>844.49678946266249</v>
      </c>
      <c r="F20">
        <f t="shared" si="5"/>
        <v>25478.46813808853</v>
      </c>
      <c r="G20">
        <f t="shared" si="6"/>
        <v>28198.215587880706</v>
      </c>
      <c r="H20">
        <f t="shared" si="1"/>
        <v>2.7024934834294969</v>
      </c>
    </row>
    <row r="21" spans="1:12" x14ac:dyDescent="0.35">
      <c r="A21">
        <f t="shared" si="2"/>
        <v>19</v>
      </c>
      <c r="B21">
        <f t="shared" si="0"/>
        <v>1.1904761904761904E-2</v>
      </c>
      <c r="C21">
        <v>29.84</v>
      </c>
      <c r="D21">
        <f t="shared" si="3"/>
        <v>1.2661643608803364E-2</v>
      </c>
      <c r="E21">
        <f t="shared" si="4"/>
        <v>-735.36980249451267</v>
      </c>
      <c r="F21">
        <f t="shared" si="5"/>
        <v>-21943.434906436258</v>
      </c>
      <c r="G21">
        <f t="shared" si="6"/>
        <v>6257.4831749278783</v>
      </c>
      <c r="H21">
        <f t="shared" si="1"/>
        <v>0.59971197291577549</v>
      </c>
    </row>
    <row r="22" spans="1:12" x14ac:dyDescent="0.35">
      <c r="A22">
        <f t="shared" si="2"/>
        <v>20</v>
      </c>
      <c r="B22">
        <f t="shared" si="0"/>
        <v>7.9365079365079361E-3</v>
      </c>
      <c r="C22">
        <v>29.879999000000002</v>
      </c>
      <c r="D22">
        <f t="shared" si="3"/>
        <v>3.9989107700858185E-3</v>
      </c>
      <c r="E22">
        <f t="shared" si="4"/>
        <v>-86.627328387175467</v>
      </c>
      <c r="F22">
        <f t="shared" si="5"/>
        <v>-2588.4244855814745</v>
      </c>
      <c r="G22">
        <f t="shared" si="6"/>
        <v>3669.6584013193192</v>
      </c>
      <c r="H22">
        <f t="shared" si="1"/>
        <v>0.35169700313377578</v>
      </c>
    </row>
    <row r="23" spans="1:12" x14ac:dyDescent="0.35">
      <c r="A23">
        <f>A22+1</f>
        <v>21</v>
      </c>
      <c r="B23">
        <f t="shared" si="0"/>
        <v>3.968253968253968E-3</v>
      </c>
      <c r="C23">
        <v>30.030000999999999</v>
      </c>
      <c r="D23">
        <f>_xlfn.NORM.S.DIST(((LN(C23/$L$3) + (($L$4 + ($L$5^2/2))*B23)))/($L$5*SQRT(B23)),TRUE)</f>
        <v>5.7496001272824555E-4</v>
      </c>
      <c r="E23">
        <f t="shared" si="4"/>
        <v>-34.239507573575729</v>
      </c>
      <c r="F23">
        <f t="shared" si="5"/>
        <v>-1028.2124466739867</v>
      </c>
      <c r="G23">
        <f t="shared" si="6"/>
        <v>2641.7976516484659</v>
      </c>
      <c r="H23">
        <f t="shared" si="1"/>
        <v>0.25318768543594594</v>
      </c>
    </row>
    <row r="24" spans="1:12" x14ac:dyDescent="0.35">
      <c r="A24">
        <f>A23+1</f>
        <v>22</v>
      </c>
      <c r="B24">
        <f t="shared" si="0"/>
        <v>0</v>
      </c>
      <c r="C24">
        <v>30.030000999999999</v>
      </c>
      <c r="D24">
        <v>0</v>
      </c>
      <c r="E24">
        <v>0</v>
      </c>
      <c r="F24">
        <f t="shared" si="5"/>
        <v>0</v>
      </c>
      <c r="G24">
        <f t="shared" si="6"/>
        <v>2642.0508393339019</v>
      </c>
      <c r="H24">
        <f t="shared" si="1"/>
        <v>0.2532119507327284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workbookViewId="0">
      <selection activeCell="F33" sqref="F33"/>
    </sheetView>
  </sheetViews>
  <sheetFormatPr defaultRowHeight="14.5" x14ac:dyDescent="0.35"/>
  <cols>
    <col min="1" max="1" width="10.7265625" bestFit="1" customWidth="1"/>
    <col min="3" max="3" width="12.7265625" bestFit="1" customWidth="1"/>
    <col min="4" max="4" width="28" bestFit="1" customWidth="1"/>
    <col min="5" max="5" width="17.54296875" bestFit="1" customWidth="1"/>
    <col min="6" max="6" width="19.7265625" bestFit="1" customWidth="1"/>
    <col min="8" max="8" width="13.7265625" bestFit="1" customWidth="1"/>
    <col min="10" max="10" width="16.81640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8</v>
      </c>
      <c r="J1" t="s">
        <v>9</v>
      </c>
    </row>
    <row r="2" spans="1:10" x14ac:dyDescent="0.35">
      <c r="A2" s="1">
        <v>43431</v>
      </c>
      <c r="B2">
        <v>173.49591100000001</v>
      </c>
      <c r="D2">
        <f>_xlfn.STDEV.S(C3:C76)</f>
        <v>2.366199670217612E-2</v>
      </c>
      <c r="E2">
        <f>1/252</f>
        <v>3.968253968253968E-3</v>
      </c>
      <c r="F2">
        <f>D2/SQRT(E2)</f>
        <v>0.37562255278313089</v>
      </c>
      <c r="G2">
        <f>COUNT(C3:C76)</f>
        <v>74</v>
      </c>
      <c r="H2">
        <f>F2/(SQRT(2*G2))</f>
        <v>3.0875983643299919E-2</v>
      </c>
      <c r="I2">
        <f>AVERAGE(C3:C76)</f>
        <v>1.0864098653903861E-3</v>
      </c>
      <c r="J2">
        <f>(I2/E2) + (0.5*F2^2)</f>
        <v>0.34432143715803532</v>
      </c>
    </row>
    <row r="3" spans="1:10" x14ac:dyDescent="0.35">
      <c r="A3" s="1">
        <v>43432</v>
      </c>
      <c r="B3">
        <v>180.16729699999999</v>
      </c>
      <c r="C3">
        <f t="shared" ref="C3:C34" si="0">LN(B3/B2)</f>
        <v>3.7731815631581178E-2</v>
      </c>
    </row>
    <row r="4" spans="1:10" x14ac:dyDescent="0.35">
      <c r="A4" s="1">
        <v>43433</v>
      </c>
      <c r="B4">
        <v>178.78323399999999</v>
      </c>
      <c r="C4">
        <f t="shared" si="0"/>
        <v>-7.7117582496008504E-3</v>
      </c>
    </row>
    <row r="5" spans="1:10" x14ac:dyDescent="0.35">
      <c r="A5" s="1">
        <v>43434</v>
      </c>
      <c r="B5">
        <v>177.81738300000001</v>
      </c>
      <c r="C5">
        <f t="shared" si="0"/>
        <v>-5.4170033128149156E-3</v>
      </c>
    </row>
    <row r="6" spans="1:10" x14ac:dyDescent="0.35">
      <c r="A6" s="1">
        <v>43437</v>
      </c>
      <c r="B6">
        <v>184.030731</v>
      </c>
      <c r="C6">
        <f t="shared" si="0"/>
        <v>3.4345674512649985E-2</v>
      </c>
    </row>
    <row r="7" spans="1:10" x14ac:dyDescent="0.35">
      <c r="A7" s="1">
        <v>43438</v>
      </c>
      <c r="B7">
        <v>175.93545499999999</v>
      </c>
      <c r="C7">
        <f t="shared" si="0"/>
        <v>-4.4985565147032454E-2</v>
      </c>
    </row>
    <row r="8" spans="1:10" x14ac:dyDescent="0.35">
      <c r="A8" s="1">
        <v>43440</v>
      </c>
      <c r="B8">
        <v>173.973862</v>
      </c>
      <c r="C8">
        <f t="shared" si="0"/>
        <v>-1.1212125280818904E-2</v>
      </c>
    </row>
    <row r="9" spans="1:10" x14ac:dyDescent="0.35">
      <c r="A9" s="1">
        <v>43441</v>
      </c>
      <c r="B9">
        <v>167.770477</v>
      </c>
      <c r="C9">
        <f t="shared" si="0"/>
        <v>-3.6308232583384066E-2</v>
      </c>
    </row>
    <row r="10" spans="1:10" x14ac:dyDescent="0.35">
      <c r="A10" s="1">
        <v>43444</v>
      </c>
      <c r="B10">
        <v>168.875732</v>
      </c>
      <c r="C10">
        <f t="shared" si="0"/>
        <v>6.5662938815282722E-3</v>
      </c>
    </row>
    <row r="11" spans="1:10" x14ac:dyDescent="0.35">
      <c r="A11" s="1">
        <v>43445</v>
      </c>
      <c r="B11">
        <v>167.90986599999999</v>
      </c>
      <c r="C11">
        <f t="shared" si="0"/>
        <v>-5.7358073134692418E-3</v>
      </c>
    </row>
    <row r="12" spans="1:10" x14ac:dyDescent="0.35">
      <c r="A12" s="1">
        <v>43446</v>
      </c>
      <c r="B12">
        <v>168.377869</v>
      </c>
      <c r="C12">
        <f t="shared" si="0"/>
        <v>2.7833504075696087E-3</v>
      </c>
    </row>
    <row r="13" spans="1:10" x14ac:dyDescent="0.35">
      <c r="A13" s="1">
        <v>43447</v>
      </c>
      <c r="B13">
        <v>170.219955</v>
      </c>
      <c r="C13">
        <f t="shared" si="0"/>
        <v>1.0880779752959126E-2</v>
      </c>
    </row>
    <row r="14" spans="1:10" x14ac:dyDescent="0.35">
      <c r="A14" s="1">
        <v>43448</v>
      </c>
      <c r="B14">
        <v>164.773315</v>
      </c>
      <c r="C14">
        <f t="shared" si="0"/>
        <v>-3.252077286436586E-2</v>
      </c>
    </row>
    <row r="15" spans="1:10" x14ac:dyDescent="0.35">
      <c r="A15" s="1">
        <v>43451</v>
      </c>
      <c r="B15">
        <v>163.23989900000001</v>
      </c>
      <c r="C15">
        <f t="shared" si="0"/>
        <v>-9.3497890041378349E-3</v>
      </c>
    </row>
    <row r="16" spans="1:10" x14ac:dyDescent="0.35">
      <c r="A16" s="1">
        <v>43452</v>
      </c>
      <c r="B16">
        <v>165.36080899999999</v>
      </c>
      <c r="C16">
        <f t="shared" si="0"/>
        <v>1.2908915901104878E-2</v>
      </c>
    </row>
    <row r="17" spans="1:3" x14ac:dyDescent="0.35">
      <c r="A17" s="1">
        <v>43453</v>
      </c>
      <c r="B17">
        <v>160.20292699999999</v>
      </c>
      <c r="C17">
        <f t="shared" si="0"/>
        <v>-3.1688502338908318E-2</v>
      </c>
    </row>
    <row r="18" spans="1:3" x14ac:dyDescent="0.35">
      <c r="A18" s="1">
        <v>43454</v>
      </c>
      <c r="B18">
        <v>156.16026299999999</v>
      </c>
      <c r="C18">
        <f t="shared" si="0"/>
        <v>-2.5558498545262483E-2</v>
      </c>
    </row>
    <row r="19" spans="1:3" x14ac:dyDescent="0.35">
      <c r="A19" s="1">
        <v>43455</v>
      </c>
      <c r="B19">
        <v>150.08630400000001</v>
      </c>
      <c r="C19">
        <f t="shared" si="0"/>
        <v>-3.9672318193293463E-2</v>
      </c>
    </row>
    <row r="20" spans="1:3" x14ac:dyDescent="0.35">
      <c r="A20" s="1">
        <v>43458</v>
      </c>
      <c r="B20">
        <v>146.20297199999999</v>
      </c>
      <c r="C20">
        <f t="shared" si="0"/>
        <v>-2.621461321371844E-2</v>
      </c>
    </row>
    <row r="21" spans="1:3" x14ac:dyDescent="0.35">
      <c r="A21" s="1">
        <v>43460</v>
      </c>
      <c r="B21">
        <v>156.49880999999999</v>
      </c>
      <c r="C21">
        <f t="shared" si="0"/>
        <v>6.8052530690998647E-2</v>
      </c>
    </row>
    <row r="22" spans="1:3" x14ac:dyDescent="0.35">
      <c r="A22" s="1">
        <v>43461</v>
      </c>
      <c r="B22">
        <v>155.48315400000001</v>
      </c>
      <c r="C22">
        <f t="shared" si="0"/>
        <v>-6.5110147718840557E-3</v>
      </c>
    </row>
    <row r="23" spans="1:3" x14ac:dyDescent="0.35">
      <c r="A23" s="1">
        <v>43462</v>
      </c>
      <c r="B23">
        <v>155.56281999999999</v>
      </c>
      <c r="C23">
        <f t="shared" si="0"/>
        <v>5.1224583117072105E-4</v>
      </c>
    </row>
    <row r="24" spans="1:3" x14ac:dyDescent="0.35">
      <c r="A24" s="1">
        <v>43465</v>
      </c>
      <c r="B24">
        <v>157.06637599999999</v>
      </c>
      <c r="C24">
        <f t="shared" si="0"/>
        <v>9.6188558966078218E-3</v>
      </c>
    </row>
    <row r="25" spans="1:3" x14ac:dyDescent="0.35">
      <c r="A25" s="1">
        <v>43467</v>
      </c>
      <c r="B25">
        <v>157.24560500000001</v>
      </c>
      <c r="C25">
        <f t="shared" si="0"/>
        <v>1.1404529910422872E-3</v>
      </c>
    </row>
    <row r="26" spans="1:3" x14ac:dyDescent="0.35">
      <c r="A26" s="1">
        <v>43468</v>
      </c>
      <c r="B26">
        <v>141.58277899999999</v>
      </c>
      <c r="C26">
        <f t="shared" si="0"/>
        <v>-0.104924389432364</v>
      </c>
    </row>
    <row r="27" spans="1:3" x14ac:dyDescent="0.35">
      <c r="A27" s="1">
        <v>43469</v>
      </c>
      <c r="B27">
        <v>147.626846</v>
      </c>
      <c r="C27">
        <f t="shared" si="0"/>
        <v>4.1803222464408409E-2</v>
      </c>
    </row>
    <row r="28" spans="1:3" x14ac:dyDescent="0.35">
      <c r="A28" s="1">
        <v>43472</v>
      </c>
      <c r="B28">
        <v>147.29826399999999</v>
      </c>
      <c r="C28">
        <f t="shared" si="0"/>
        <v>-2.2282411691049802E-3</v>
      </c>
    </row>
    <row r="29" spans="1:3" x14ac:dyDescent="0.35">
      <c r="A29" s="1">
        <v>43473</v>
      </c>
      <c r="B29">
        <v>150.10621599999999</v>
      </c>
      <c r="C29">
        <f t="shared" si="0"/>
        <v>1.8883612246376521E-2</v>
      </c>
    </row>
    <row r="30" spans="1:3" x14ac:dyDescent="0.35">
      <c r="A30" s="1">
        <v>43474</v>
      </c>
      <c r="B30">
        <v>152.65528900000001</v>
      </c>
      <c r="C30">
        <f t="shared" si="0"/>
        <v>1.6839216294300997E-2</v>
      </c>
    </row>
    <row r="31" spans="1:3" x14ac:dyDescent="0.35">
      <c r="A31" s="1">
        <v>43475</v>
      </c>
      <c r="B31">
        <v>153.143204</v>
      </c>
      <c r="C31">
        <f t="shared" si="0"/>
        <v>3.1910910302555173E-3</v>
      </c>
    </row>
    <row r="32" spans="1:3" x14ac:dyDescent="0.35">
      <c r="A32" s="1">
        <v>43476</v>
      </c>
      <c r="B32">
        <v>151.639633</v>
      </c>
      <c r="C32">
        <f t="shared" si="0"/>
        <v>-9.8665870587872715E-3</v>
      </c>
    </row>
    <row r="33" spans="1:3" x14ac:dyDescent="0.35">
      <c r="A33" s="1">
        <v>43479</v>
      </c>
      <c r="B33">
        <v>149.359421</v>
      </c>
      <c r="C33">
        <f t="shared" si="0"/>
        <v>-1.5151247753405216E-2</v>
      </c>
    </row>
    <row r="34" spans="1:3" x14ac:dyDescent="0.35">
      <c r="A34" s="1">
        <v>43480</v>
      </c>
      <c r="B34">
        <v>152.41632100000001</v>
      </c>
      <c r="C34">
        <f t="shared" si="0"/>
        <v>2.0260108008284421E-2</v>
      </c>
    </row>
    <row r="35" spans="1:3" x14ac:dyDescent="0.35">
      <c r="A35" s="1">
        <v>43481</v>
      </c>
      <c r="B35">
        <v>154.278336</v>
      </c>
      <c r="C35">
        <f t="shared" ref="C35:C66" si="1">LN(B35/B34)</f>
        <v>1.2142617002876586E-2</v>
      </c>
    </row>
    <row r="36" spans="1:3" x14ac:dyDescent="0.35">
      <c r="A36" s="1">
        <v>43482</v>
      </c>
      <c r="B36">
        <v>155.19439700000001</v>
      </c>
      <c r="C36">
        <f t="shared" si="1"/>
        <v>5.920157596097906E-3</v>
      </c>
    </row>
    <row r="37" spans="1:3" x14ac:dyDescent="0.35">
      <c r="A37" s="1">
        <v>43483</v>
      </c>
      <c r="B37">
        <v>156.15031400000001</v>
      </c>
      <c r="C37">
        <f t="shared" si="1"/>
        <v>6.14058932072452E-3</v>
      </c>
    </row>
    <row r="38" spans="1:3" x14ac:dyDescent="0.35">
      <c r="A38" s="1">
        <v>43487</v>
      </c>
      <c r="B38">
        <v>152.64534</v>
      </c>
      <c r="C38">
        <f t="shared" si="1"/>
        <v>-2.2701903249263074E-2</v>
      </c>
    </row>
    <row r="39" spans="1:3" x14ac:dyDescent="0.35">
      <c r="A39" s="1">
        <v>43488</v>
      </c>
      <c r="B39">
        <v>153.26267999999999</v>
      </c>
      <c r="C39">
        <f t="shared" si="1"/>
        <v>4.0361206486361142E-3</v>
      </c>
    </row>
    <row r="40" spans="1:3" x14ac:dyDescent="0.35">
      <c r="A40" s="1">
        <v>43489</v>
      </c>
      <c r="B40">
        <v>152.04789700000001</v>
      </c>
      <c r="C40">
        <f t="shared" si="1"/>
        <v>-7.9577289623340656E-3</v>
      </c>
    </row>
    <row r="41" spans="1:3" x14ac:dyDescent="0.35">
      <c r="A41" s="1">
        <v>43490</v>
      </c>
      <c r="B41">
        <v>157.086288</v>
      </c>
      <c r="C41">
        <f t="shared" si="1"/>
        <v>3.2599676415212546E-2</v>
      </c>
    </row>
    <row r="42" spans="1:3" x14ac:dyDescent="0.35">
      <c r="A42" s="1">
        <v>43493</v>
      </c>
      <c r="B42">
        <v>155.63252299999999</v>
      </c>
      <c r="C42">
        <f t="shared" si="1"/>
        <v>-9.2976528534314228E-3</v>
      </c>
    </row>
    <row r="43" spans="1:3" x14ac:dyDescent="0.35">
      <c r="A43" s="1">
        <v>43494</v>
      </c>
      <c r="B43">
        <v>154.01944</v>
      </c>
      <c r="C43">
        <f t="shared" si="1"/>
        <v>-1.0418778399802143E-2</v>
      </c>
    </row>
    <row r="44" spans="1:3" x14ac:dyDescent="0.35">
      <c r="A44" s="1">
        <v>43495</v>
      </c>
      <c r="B44">
        <v>164.544296</v>
      </c>
      <c r="C44">
        <f t="shared" si="1"/>
        <v>6.6100982339684367E-2</v>
      </c>
    </row>
    <row r="45" spans="1:3" x14ac:dyDescent="0.35">
      <c r="A45" s="1">
        <v>43496</v>
      </c>
      <c r="B45">
        <v>165.729218</v>
      </c>
      <c r="C45">
        <f t="shared" si="1"/>
        <v>7.1754290535129793E-3</v>
      </c>
    </row>
    <row r="46" spans="1:3" x14ac:dyDescent="0.35">
      <c r="A46" s="1">
        <v>43497</v>
      </c>
      <c r="B46">
        <v>165.80888400000001</v>
      </c>
      <c r="C46">
        <f t="shared" si="1"/>
        <v>4.8058428912228985E-4</v>
      </c>
    </row>
    <row r="47" spans="1:3" x14ac:dyDescent="0.35">
      <c r="A47" s="1">
        <v>43500</v>
      </c>
      <c r="B47">
        <v>170.518677</v>
      </c>
      <c r="C47">
        <f t="shared" si="1"/>
        <v>2.8009009350850572E-2</v>
      </c>
    </row>
    <row r="48" spans="1:3" x14ac:dyDescent="0.35">
      <c r="A48" s="1">
        <v>43501</v>
      </c>
      <c r="B48">
        <v>173.43615700000001</v>
      </c>
      <c r="C48">
        <f t="shared" si="1"/>
        <v>1.6964727241128266E-2</v>
      </c>
    </row>
    <row r="49" spans="1:3" x14ac:dyDescent="0.35">
      <c r="A49" s="1">
        <v>43502</v>
      </c>
      <c r="B49">
        <v>173.49591100000001</v>
      </c>
      <c r="C49">
        <f t="shared" si="1"/>
        <v>3.4447089849799322E-4</v>
      </c>
    </row>
    <row r="50" spans="1:3" x14ac:dyDescent="0.35">
      <c r="A50" s="1">
        <v>43503</v>
      </c>
      <c r="B50">
        <v>170.21000699999999</v>
      </c>
      <c r="C50">
        <f t="shared" si="1"/>
        <v>-1.9121021440298758E-2</v>
      </c>
    </row>
    <row r="51" spans="1:3" x14ac:dyDescent="0.35">
      <c r="A51" s="1">
        <v>43504</v>
      </c>
      <c r="B51">
        <v>170.41000399999999</v>
      </c>
      <c r="C51">
        <f t="shared" si="1"/>
        <v>1.1743116465526518E-3</v>
      </c>
    </row>
    <row r="52" spans="1:3" x14ac:dyDescent="0.35">
      <c r="A52" s="1">
        <v>43507</v>
      </c>
      <c r="B52">
        <v>169.429993</v>
      </c>
      <c r="C52">
        <f t="shared" si="1"/>
        <v>-5.767500737085156E-3</v>
      </c>
    </row>
    <row r="53" spans="1:3" x14ac:dyDescent="0.35">
      <c r="A53" s="1">
        <v>43508</v>
      </c>
      <c r="B53">
        <v>170.88999899999999</v>
      </c>
      <c r="C53">
        <f t="shared" si="1"/>
        <v>8.5802479520832396E-3</v>
      </c>
    </row>
    <row r="54" spans="1:3" x14ac:dyDescent="0.35">
      <c r="A54" s="1">
        <v>43509</v>
      </c>
      <c r="B54">
        <v>170.179993</v>
      </c>
      <c r="C54">
        <f t="shared" si="1"/>
        <v>-4.1634095186075526E-3</v>
      </c>
    </row>
    <row r="55" spans="1:3" x14ac:dyDescent="0.35">
      <c r="A55" s="1">
        <v>43510</v>
      </c>
      <c r="B55">
        <v>170.800003</v>
      </c>
      <c r="C55">
        <f t="shared" si="1"/>
        <v>3.6366396303799532E-3</v>
      </c>
    </row>
    <row r="56" spans="1:3" x14ac:dyDescent="0.35">
      <c r="A56" s="1">
        <v>43511</v>
      </c>
      <c r="B56">
        <v>170.41999799999999</v>
      </c>
      <c r="C56">
        <f t="shared" si="1"/>
        <v>-2.2273322547741344E-3</v>
      </c>
    </row>
    <row r="57" spans="1:3" x14ac:dyDescent="0.35">
      <c r="A57" s="1">
        <v>43515</v>
      </c>
      <c r="B57">
        <v>170.929993</v>
      </c>
      <c r="C57">
        <f t="shared" si="1"/>
        <v>2.9881083516410667E-3</v>
      </c>
    </row>
    <row r="58" spans="1:3" x14ac:dyDescent="0.35">
      <c r="A58" s="1">
        <v>43516</v>
      </c>
      <c r="B58">
        <v>172.029999</v>
      </c>
      <c r="C58">
        <f t="shared" si="1"/>
        <v>6.4147993802691899E-3</v>
      </c>
    </row>
    <row r="59" spans="1:3" x14ac:dyDescent="0.35">
      <c r="A59" s="1">
        <v>43517</v>
      </c>
      <c r="B59">
        <v>171.05999800000001</v>
      </c>
      <c r="C59">
        <f t="shared" si="1"/>
        <v>-5.6545139351767606E-3</v>
      </c>
    </row>
    <row r="60" spans="1:3" x14ac:dyDescent="0.35">
      <c r="A60" s="1">
        <v>43518</v>
      </c>
      <c r="B60">
        <v>172.970001</v>
      </c>
      <c r="C60">
        <f t="shared" si="1"/>
        <v>1.1103814376349695E-2</v>
      </c>
    </row>
    <row r="61" spans="1:3" x14ac:dyDescent="0.35">
      <c r="A61" s="1">
        <v>43521</v>
      </c>
      <c r="B61">
        <v>174.229996</v>
      </c>
      <c r="C61">
        <f t="shared" si="1"/>
        <v>7.2580676394735444E-3</v>
      </c>
    </row>
    <row r="62" spans="1:3" x14ac:dyDescent="0.35">
      <c r="A62" s="1">
        <v>43522</v>
      </c>
      <c r="B62">
        <v>174.33000200000001</v>
      </c>
      <c r="C62">
        <f t="shared" si="1"/>
        <v>5.7382375096372165E-4</v>
      </c>
    </row>
    <row r="63" spans="1:3" x14ac:dyDescent="0.35">
      <c r="A63" s="1">
        <v>43523</v>
      </c>
      <c r="B63">
        <v>174.86999499999999</v>
      </c>
      <c r="C63">
        <f t="shared" si="1"/>
        <v>3.0927459052802284E-3</v>
      </c>
    </row>
    <row r="64" spans="1:3" x14ac:dyDescent="0.35">
      <c r="A64" s="1">
        <v>43524</v>
      </c>
      <c r="B64">
        <v>173.14999399999999</v>
      </c>
      <c r="C64">
        <f t="shared" si="1"/>
        <v>-9.8845759365042453E-3</v>
      </c>
    </row>
    <row r="65" spans="1:3" x14ac:dyDescent="0.35">
      <c r="A65" s="1">
        <v>43525</v>
      </c>
      <c r="B65">
        <v>174.970001</v>
      </c>
      <c r="C65">
        <f t="shared" si="1"/>
        <v>1.0456300175399403E-2</v>
      </c>
    </row>
    <row r="66" spans="1:3" x14ac:dyDescent="0.35">
      <c r="A66" s="1">
        <v>43528</v>
      </c>
      <c r="B66">
        <v>175.85000600000001</v>
      </c>
      <c r="C66">
        <f t="shared" si="1"/>
        <v>5.0168566681856345E-3</v>
      </c>
    </row>
    <row r="67" spans="1:3" x14ac:dyDescent="0.35">
      <c r="A67" s="1">
        <v>43529</v>
      </c>
      <c r="B67">
        <v>175.529999</v>
      </c>
      <c r="C67">
        <f t="shared" ref="C67:C76" si="2">LN(B67/B66)</f>
        <v>-1.8214302687569962E-3</v>
      </c>
    </row>
    <row r="68" spans="1:3" x14ac:dyDescent="0.35">
      <c r="A68" s="1">
        <v>43530</v>
      </c>
      <c r="B68">
        <v>174.520004</v>
      </c>
      <c r="C68">
        <f t="shared" si="2"/>
        <v>-5.7705915958047816E-3</v>
      </c>
    </row>
    <row r="69" spans="1:3" x14ac:dyDescent="0.35">
      <c r="A69" s="1">
        <v>43531</v>
      </c>
      <c r="B69">
        <v>172.5</v>
      </c>
      <c r="C69">
        <f t="shared" si="2"/>
        <v>-1.1642134704003349E-2</v>
      </c>
    </row>
    <row r="70" spans="1:3" x14ac:dyDescent="0.35">
      <c r="A70" s="1">
        <v>43532</v>
      </c>
      <c r="B70">
        <v>172.91000399999999</v>
      </c>
      <c r="C70">
        <f t="shared" si="2"/>
        <v>2.3740145787050993E-3</v>
      </c>
    </row>
    <row r="71" spans="1:3" x14ac:dyDescent="0.35">
      <c r="A71" s="1">
        <v>43535</v>
      </c>
      <c r="B71">
        <v>178.89999399999999</v>
      </c>
      <c r="C71">
        <f t="shared" si="2"/>
        <v>3.4055705926263675E-2</v>
      </c>
    </row>
    <row r="72" spans="1:3" x14ac:dyDescent="0.35">
      <c r="A72" s="1">
        <v>43536</v>
      </c>
      <c r="B72">
        <v>180.91000399999999</v>
      </c>
      <c r="C72">
        <f t="shared" si="2"/>
        <v>1.1172735167227743E-2</v>
      </c>
    </row>
    <row r="73" spans="1:3" x14ac:dyDescent="0.35">
      <c r="A73" s="1">
        <v>43537</v>
      </c>
      <c r="B73">
        <v>181.71000699999999</v>
      </c>
      <c r="C73">
        <f t="shared" si="2"/>
        <v>4.4123560402746752E-3</v>
      </c>
    </row>
    <row r="74" spans="1:3" x14ac:dyDescent="0.35">
      <c r="A74" s="1">
        <v>43538</v>
      </c>
      <c r="B74">
        <v>183.729996</v>
      </c>
      <c r="C74">
        <f t="shared" si="2"/>
        <v>1.1055218676680252E-2</v>
      </c>
    </row>
    <row r="75" spans="1:3" x14ac:dyDescent="0.35">
      <c r="A75" s="1">
        <v>43539</v>
      </c>
      <c r="B75">
        <v>186.11999499999999</v>
      </c>
      <c r="C75">
        <f t="shared" si="2"/>
        <v>1.2924333251492641E-2</v>
      </c>
    </row>
    <row r="76" spans="1:3" x14ac:dyDescent="0.35">
      <c r="A76" s="1">
        <v>43542</v>
      </c>
      <c r="B76">
        <v>188.020004</v>
      </c>
      <c r="C76">
        <f t="shared" si="2"/>
        <v>1.0156761312678439E-2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workbookViewId="0">
      <selection activeCell="J2" sqref="J2"/>
    </sheetView>
  </sheetViews>
  <sheetFormatPr defaultRowHeight="14.5" x14ac:dyDescent="0.35"/>
  <cols>
    <col min="1" max="1" width="10.7265625" bestFit="1" customWidth="1"/>
    <col min="3" max="3" width="12.7265625" bestFit="1" customWidth="1"/>
    <col min="4" max="4" width="28" bestFit="1" customWidth="1"/>
    <col min="5" max="5" width="17.54296875" bestFit="1" customWidth="1"/>
    <col min="6" max="6" width="19.7265625" bestFit="1" customWidth="1"/>
    <col min="8" max="8" width="13.7265625" bestFit="1" customWidth="1"/>
    <col min="10" max="10" width="16.81640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8</v>
      </c>
      <c r="J1" t="s">
        <v>9</v>
      </c>
    </row>
    <row r="2" spans="1:10" x14ac:dyDescent="0.35">
      <c r="A2" s="1">
        <v>43431</v>
      </c>
      <c r="B2">
        <v>27.445709000000001</v>
      </c>
      <c r="D2">
        <f>_xlfn.STDEV.S(C3:C76)</f>
        <v>1.7963893570603073E-2</v>
      </c>
      <c r="E2">
        <f>1/252</f>
        <v>3.968253968253968E-3</v>
      </c>
      <c r="F2">
        <f>D2/SQRT(E2)</f>
        <v>0.2851679697974871</v>
      </c>
      <c r="G2">
        <f>COUNT(C3:C76)</f>
        <v>74</v>
      </c>
      <c r="H2">
        <f>F2/SQRT(2*G2)</f>
        <v>2.3440662723315797E-2</v>
      </c>
      <c r="I2">
        <f>AVERAGE(C3:C76)</f>
        <v>1.1212091105846742E-3</v>
      </c>
      <c r="J2">
        <f>(I2/E2) + (0.5*F2^2)</f>
        <v>0.32320508136654819</v>
      </c>
    </row>
    <row r="3" spans="1:10" x14ac:dyDescent="0.35">
      <c r="A3" s="1">
        <v>43432</v>
      </c>
      <c r="B3">
        <v>28.128387</v>
      </c>
      <c r="C3">
        <f t="shared" ref="C3:C34" si="0">LN(B3/B2)</f>
        <v>2.4569444787215917E-2</v>
      </c>
    </row>
    <row r="4" spans="1:10" x14ac:dyDescent="0.35">
      <c r="A4" s="1">
        <v>43433</v>
      </c>
      <c r="B4">
        <v>27.742526999999999</v>
      </c>
      <c r="C4">
        <f t="shared" si="0"/>
        <v>-1.381277331242417E-2</v>
      </c>
    </row>
    <row r="5" spans="1:10" x14ac:dyDescent="0.35">
      <c r="A5" s="1">
        <v>43434</v>
      </c>
      <c r="B5">
        <v>28.098707000000001</v>
      </c>
      <c r="C5">
        <f t="shared" si="0"/>
        <v>1.2757054418019517E-2</v>
      </c>
    </row>
    <row r="6" spans="1:10" x14ac:dyDescent="0.35">
      <c r="A6" s="1">
        <v>43437</v>
      </c>
      <c r="B6">
        <v>28.237223</v>
      </c>
      <c r="C6">
        <f t="shared" si="0"/>
        <v>4.9175110495816767E-3</v>
      </c>
    </row>
    <row r="7" spans="1:10" x14ac:dyDescent="0.35">
      <c r="A7" s="1">
        <v>43438</v>
      </c>
      <c r="B7">
        <v>26.703665000000001</v>
      </c>
      <c r="C7">
        <f t="shared" si="0"/>
        <v>-5.5840250192016126E-2</v>
      </c>
    </row>
    <row r="8" spans="1:10" x14ac:dyDescent="0.35">
      <c r="A8" s="1">
        <v>43440</v>
      </c>
      <c r="B8">
        <v>26.146509000000002</v>
      </c>
      <c r="C8">
        <f t="shared" si="0"/>
        <v>-2.108513934853843E-2</v>
      </c>
    </row>
    <row r="9" spans="1:10" x14ac:dyDescent="0.35">
      <c r="A9" s="1">
        <v>43441</v>
      </c>
      <c r="B9">
        <v>25.300827000000002</v>
      </c>
      <c r="C9">
        <f t="shared" si="0"/>
        <v>-3.2878599608886935E-2</v>
      </c>
    </row>
    <row r="10" spans="1:10" x14ac:dyDescent="0.35">
      <c r="A10" s="1">
        <v>43444</v>
      </c>
      <c r="B10">
        <v>24.634229999999999</v>
      </c>
      <c r="C10">
        <f t="shared" si="0"/>
        <v>-2.6700143781442757E-2</v>
      </c>
    </row>
    <row r="11" spans="1:10" x14ac:dyDescent="0.35">
      <c r="A11" s="1">
        <v>43445</v>
      </c>
      <c r="B11">
        <v>24.455145000000002</v>
      </c>
      <c r="C11">
        <f t="shared" si="0"/>
        <v>-7.2963159332716642E-3</v>
      </c>
    </row>
    <row r="12" spans="1:10" x14ac:dyDescent="0.35">
      <c r="A12" s="1">
        <v>43446</v>
      </c>
      <c r="B12">
        <v>24.395448999999999</v>
      </c>
      <c r="C12">
        <f t="shared" si="0"/>
        <v>-2.4440247221952081E-3</v>
      </c>
    </row>
    <row r="13" spans="1:10" x14ac:dyDescent="0.35">
      <c r="A13" s="1">
        <v>43447</v>
      </c>
      <c r="B13">
        <v>24.276057999999999</v>
      </c>
      <c r="C13">
        <f t="shared" si="0"/>
        <v>-4.9060013476427819E-3</v>
      </c>
    </row>
    <row r="14" spans="1:10" x14ac:dyDescent="0.35">
      <c r="A14" s="1">
        <v>43448</v>
      </c>
      <c r="B14">
        <v>24.355651999999999</v>
      </c>
      <c r="C14">
        <f t="shared" si="0"/>
        <v>3.2733404220902638E-3</v>
      </c>
    </row>
    <row r="15" spans="1:10" x14ac:dyDescent="0.35">
      <c r="A15" s="1">
        <v>43451</v>
      </c>
      <c r="B15">
        <v>24.345703</v>
      </c>
      <c r="C15">
        <f t="shared" si="0"/>
        <v>-4.085718000412651E-4</v>
      </c>
    </row>
    <row r="16" spans="1:10" x14ac:dyDescent="0.35">
      <c r="A16" s="1">
        <v>43452</v>
      </c>
      <c r="B16">
        <v>24.345703</v>
      </c>
      <c r="C16">
        <f t="shared" si="0"/>
        <v>0</v>
      </c>
    </row>
    <row r="17" spans="1:3" x14ac:dyDescent="0.35">
      <c r="A17" s="1">
        <v>43453</v>
      </c>
      <c r="B17">
        <v>24.057176999999999</v>
      </c>
      <c r="C17">
        <f t="shared" si="0"/>
        <v>-1.1921993791963372E-2</v>
      </c>
    </row>
    <row r="18" spans="1:3" x14ac:dyDescent="0.35">
      <c r="A18" s="1">
        <v>43454</v>
      </c>
      <c r="B18">
        <v>23.987532000000002</v>
      </c>
      <c r="C18">
        <f t="shared" si="0"/>
        <v>-2.8991766307426862E-3</v>
      </c>
    </row>
    <row r="19" spans="1:3" x14ac:dyDescent="0.35">
      <c r="A19" s="1">
        <v>43455</v>
      </c>
      <c r="B19">
        <v>23.251290999999998</v>
      </c>
      <c r="C19">
        <f t="shared" si="0"/>
        <v>-3.1173537987542813E-2</v>
      </c>
    </row>
    <row r="20" spans="1:3" x14ac:dyDescent="0.35">
      <c r="A20" s="1">
        <v>43458</v>
      </c>
      <c r="B20">
        <v>22.614540000000002</v>
      </c>
      <c r="C20">
        <f t="shared" si="0"/>
        <v>-2.7767595132570249E-2</v>
      </c>
    </row>
    <row r="21" spans="1:3" x14ac:dyDescent="0.35">
      <c r="A21" s="1">
        <v>43460</v>
      </c>
      <c r="B21">
        <v>23.987532000000002</v>
      </c>
      <c r="C21">
        <f t="shared" si="0"/>
        <v>5.8941133120112968E-2</v>
      </c>
    </row>
    <row r="22" spans="1:3" x14ac:dyDescent="0.35">
      <c r="A22" s="1">
        <v>43461</v>
      </c>
      <c r="B22">
        <v>24.246212</v>
      </c>
      <c r="C22">
        <f t="shared" si="0"/>
        <v>1.0726203635400134E-2</v>
      </c>
    </row>
    <row r="23" spans="1:3" x14ac:dyDescent="0.35">
      <c r="A23" s="1">
        <v>43462</v>
      </c>
      <c r="B23">
        <v>24.266109</v>
      </c>
      <c r="C23">
        <f t="shared" si="0"/>
        <v>8.202865047696081E-4</v>
      </c>
    </row>
    <row r="24" spans="1:3" x14ac:dyDescent="0.35">
      <c r="A24" s="1">
        <v>43465</v>
      </c>
      <c r="B24">
        <v>24.514838999999998</v>
      </c>
      <c r="C24">
        <f t="shared" si="0"/>
        <v>1.0197922172683574E-2</v>
      </c>
    </row>
    <row r="25" spans="1:3" x14ac:dyDescent="0.35">
      <c r="A25" s="1">
        <v>43467</v>
      </c>
      <c r="B25">
        <v>24.833214000000002</v>
      </c>
      <c r="C25">
        <f t="shared" si="0"/>
        <v>1.2903423662809506E-2</v>
      </c>
    </row>
    <row r="26" spans="1:3" x14ac:dyDescent="0.35">
      <c r="A26" s="1">
        <v>43468</v>
      </c>
      <c r="B26">
        <v>24.435245999999999</v>
      </c>
      <c r="C26">
        <f t="shared" si="0"/>
        <v>-1.6155433139200277E-2</v>
      </c>
    </row>
    <row r="27" spans="1:3" x14ac:dyDescent="0.35">
      <c r="A27" s="1">
        <v>43469</v>
      </c>
      <c r="B27">
        <v>25.450064000000001</v>
      </c>
      <c r="C27">
        <f t="shared" si="0"/>
        <v>4.0691659530613364E-2</v>
      </c>
    </row>
    <row r="28" spans="1:3" x14ac:dyDescent="0.35">
      <c r="A28" s="1">
        <v>43472</v>
      </c>
      <c r="B28">
        <v>25.430166</v>
      </c>
      <c r="C28">
        <f t="shared" si="0"/>
        <v>-7.8215059225949591E-4</v>
      </c>
    </row>
    <row r="29" spans="1:3" x14ac:dyDescent="0.35">
      <c r="A29" s="1">
        <v>43473</v>
      </c>
      <c r="B29">
        <v>25.380420999999998</v>
      </c>
      <c r="C29">
        <f t="shared" si="0"/>
        <v>-1.9580571227597052E-3</v>
      </c>
    </row>
    <row r="30" spans="1:3" x14ac:dyDescent="0.35">
      <c r="A30" s="1">
        <v>43474</v>
      </c>
      <c r="B30">
        <v>25.629149999999999</v>
      </c>
      <c r="C30">
        <f t="shared" si="0"/>
        <v>9.7523255522767374E-3</v>
      </c>
    </row>
    <row r="31" spans="1:3" x14ac:dyDescent="0.35">
      <c r="A31" s="1">
        <v>43475</v>
      </c>
      <c r="B31">
        <v>25.599302000000002</v>
      </c>
      <c r="C31">
        <f t="shared" si="0"/>
        <v>-1.1652900765984589E-3</v>
      </c>
    </row>
    <row r="32" spans="1:3" x14ac:dyDescent="0.35">
      <c r="A32" s="1">
        <v>43476</v>
      </c>
      <c r="B32">
        <v>25.897779</v>
      </c>
      <c r="C32">
        <f t="shared" si="0"/>
        <v>1.1592126643946368E-2</v>
      </c>
    </row>
    <row r="33" spans="1:3" x14ac:dyDescent="0.35">
      <c r="A33" s="1">
        <v>43479</v>
      </c>
      <c r="B33">
        <v>26.236052999999998</v>
      </c>
      <c r="C33">
        <f t="shared" si="0"/>
        <v>1.2977321421718212E-2</v>
      </c>
    </row>
    <row r="34" spans="1:3" x14ac:dyDescent="0.35">
      <c r="A34" s="1">
        <v>43480</v>
      </c>
      <c r="B34">
        <v>26.415136</v>
      </c>
      <c r="C34">
        <f t="shared" si="0"/>
        <v>6.8026456383739201E-3</v>
      </c>
    </row>
    <row r="35" spans="1:3" x14ac:dyDescent="0.35">
      <c r="A35" s="1">
        <v>43481</v>
      </c>
      <c r="B35">
        <v>28.305486999999999</v>
      </c>
      <c r="C35">
        <f t="shared" ref="C35:C66" si="1">LN(B35/B34)</f>
        <v>6.9118493588504651E-2</v>
      </c>
    </row>
    <row r="36" spans="1:3" x14ac:dyDescent="0.35">
      <c r="A36" s="1">
        <v>43482</v>
      </c>
      <c r="B36">
        <v>28.842742999999999</v>
      </c>
      <c r="C36">
        <f t="shared" si="1"/>
        <v>1.8802746069645899E-2</v>
      </c>
    </row>
    <row r="37" spans="1:3" x14ac:dyDescent="0.35">
      <c r="A37" s="1">
        <v>43483</v>
      </c>
      <c r="B37">
        <v>29.151168999999999</v>
      </c>
      <c r="C37">
        <f t="shared" si="1"/>
        <v>1.0636596057360703E-2</v>
      </c>
    </row>
    <row r="38" spans="1:3" x14ac:dyDescent="0.35">
      <c r="A38" s="1">
        <v>43487</v>
      </c>
      <c r="B38">
        <v>28.942236000000001</v>
      </c>
      <c r="C38">
        <f t="shared" si="1"/>
        <v>-7.1930333862840791E-3</v>
      </c>
    </row>
    <row r="39" spans="1:3" x14ac:dyDescent="0.35">
      <c r="A39" s="1">
        <v>43488</v>
      </c>
      <c r="B39">
        <v>28.773099999999999</v>
      </c>
      <c r="C39">
        <f t="shared" si="1"/>
        <v>-5.8610586336994086E-3</v>
      </c>
    </row>
    <row r="40" spans="1:3" x14ac:dyDescent="0.35">
      <c r="A40" s="1">
        <v>43489</v>
      </c>
      <c r="B40">
        <v>28.932285</v>
      </c>
      <c r="C40">
        <f t="shared" si="1"/>
        <v>5.517176734510458E-3</v>
      </c>
    </row>
    <row r="41" spans="1:3" x14ac:dyDescent="0.35">
      <c r="A41" s="1">
        <v>43490</v>
      </c>
      <c r="B41">
        <v>29.429746999999999</v>
      </c>
      <c r="C41">
        <f t="shared" si="1"/>
        <v>1.7047865915485218E-2</v>
      </c>
    </row>
    <row r="42" spans="1:3" x14ac:dyDescent="0.35">
      <c r="A42" s="1">
        <v>43493</v>
      </c>
      <c r="B42">
        <v>29.479492</v>
      </c>
      <c r="C42">
        <f t="shared" si="1"/>
        <v>1.6888696125880876E-3</v>
      </c>
    </row>
    <row r="43" spans="1:3" x14ac:dyDescent="0.35">
      <c r="A43" s="1">
        <v>43494</v>
      </c>
      <c r="B43">
        <v>29.240711000000001</v>
      </c>
      <c r="C43">
        <f t="shared" si="1"/>
        <v>-8.1328845595327638E-3</v>
      </c>
    </row>
    <row r="44" spans="1:3" x14ac:dyDescent="0.35">
      <c r="A44" s="1">
        <v>43495</v>
      </c>
      <c r="B44">
        <v>28.922336999999999</v>
      </c>
      <c r="C44">
        <f t="shared" si="1"/>
        <v>-1.0947747437107585E-2</v>
      </c>
    </row>
    <row r="45" spans="1:3" x14ac:dyDescent="0.35">
      <c r="A45" s="1">
        <v>43496</v>
      </c>
      <c r="B45">
        <v>28.325384</v>
      </c>
      <c r="C45">
        <f t="shared" si="1"/>
        <v>-2.085583940362876E-2</v>
      </c>
    </row>
    <row r="46" spans="1:3" x14ac:dyDescent="0.35">
      <c r="A46" s="1">
        <v>43497</v>
      </c>
      <c r="B46">
        <v>28.235842000000002</v>
      </c>
      <c r="C46">
        <f t="shared" si="1"/>
        <v>-3.1661999265551687E-3</v>
      </c>
    </row>
    <row r="47" spans="1:3" x14ac:dyDescent="0.35">
      <c r="A47" s="1">
        <v>43500</v>
      </c>
      <c r="B47">
        <v>28.733301000000001</v>
      </c>
      <c r="C47">
        <f t="shared" si="1"/>
        <v>1.7464599886752471E-2</v>
      </c>
    </row>
    <row r="48" spans="1:3" x14ac:dyDescent="0.35">
      <c r="A48" s="1">
        <v>43501</v>
      </c>
      <c r="B48">
        <v>28.63381</v>
      </c>
      <c r="C48">
        <f t="shared" si="1"/>
        <v>-3.4685762630848171E-3</v>
      </c>
    </row>
    <row r="49" spans="1:3" x14ac:dyDescent="0.35">
      <c r="A49" s="1">
        <v>43502</v>
      </c>
      <c r="B49">
        <v>28.584064000000001</v>
      </c>
      <c r="C49">
        <f t="shared" si="1"/>
        <v>-1.7388277143609691E-3</v>
      </c>
    </row>
    <row r="50" spans="1:3" x14ac:dyDescent="0.35">
      <c r="A50" s="1">
        <v>43503</v>
      </c>
      <c r="B50">
        <v>28.096551999999999</v>
      </c>
      <c r="C50">
        <f t="shared" si="1"/>
        <v>-1.7202495548898637E-2</v>
      </c>
    </row>
    <row r="51" spans="1:3" x14ac:dyDescent="0.35">
      <c r="A51" s="1">
        <v>43504</v>
      </c>
      <c r="B51">
        <v>28.146298999999999</v>
      </c>
      <c r="C51">
        <f t="shared" si="1"/>
        <v>1.7690075125508231E-3</v>
      </c>
    </row>
    <row r="52" spans="1:3" x14ac:dyDescent="0.35">
      <c r="A52" s="1">
        <v>43507</v>
      </c>
      <c r="B52">
        <v>28.265689999999999</v>
      </c>
      <c r="C52">
        <f t="shared" si="1"/>
        <v>4.2328299489372652E-3</v>
      </c>
    </row>
    <row r="53" spans="1:3" x14ac:dyDescent="0.35">
      <c r="A53" s="1">
        <v>43508</v>
      </c>
      <c r="B53">
        <v>28.544267999999999</v>
      </c>
      <c r="C53">
        <f t="shared" si="1"/>
        <v>9.8074437209501319E-3</v>
      </c>
    </row>
    <row r="54" spans="1:3" x14ac:dyDescent="0.35">
      <c r="A54" s="1">
        <v>43509</v>
      </c>
      <c r="B54">
        <v>28.554216</v>
      </c>
      <c r="C54">
        <f t="shared" si="1"/>
        <v>3.4845058585643459E-4</v>
      </c>
    </row>
    <row r="55" spans="1:3" x14ac:dyDescent="0.35">
      <c r="A55" s="1">
        <v>43510</v>
      </c>
      <c r="B55">
        <v>28.24579</v>
      </c>
      <c r="C55">
        <f t="shared" si="1"/>
        <v>-1.0860176014613709E-2</v>
      </c>
    </row>
    <row r="56" spans="1:3" x14ac:dyDescent="0.35">
      <c r="A56" s="1">
        <v>43511</v>
      </c>
      <c r="B56">
        <v>28.962135</v>
      </c>
      <c r="C56">
        <f t="shared" si="1"/>
        <v>2.5044867237627489E-2</v>
      </c>
    </row>
    <row r="57" spans="1:3" x14ac:dyDescent="0.35">
      <c r="A57" s="1">
        <v>43515</v>
      </c>
      <c r="B57">
        <v>28.982030999999999</v>
      </c>
      <c r="C57">
        <f t="shared" si="1"/>
        <v>6.8673007674000506E-4</v>
      </c>
    </row>
    <row r="58" spans="1:3" x14ac:dyDescent="0.35">
      <c r="A58" s="1">
        <v>43516</v>
      </c>
      <c r="B58">
        <v>29.260611000000001</v>
      </c>
      <c r="C58">
        <f t="shared" si="1"/>
        <v>9.5662598712012853E-3</v>
      </c>
    </row>
    <row r="59" spans="1:3" x14ac:dyDescent="0.35">
      <c r="A59" s="1">
        <v>43517</v>
      </c>
      <c r="B59">
        <v>29.141220000000001</v>
      </c>
      <c r="C59">
        <f t="shared" si="1"/>
        <v>-4.0886103834288506E-3</v>
      </c>
    </row>
    <row r="60" spans="1:3" x14ac:dyDescent="0.35">
      <c r="A60" s="1">
        <v>43518</v>
      </c>
      <c r="B60">
        <v>28.932285</v>
      </c>
      <c r="C60">
        <f t="shared" si="1"/>
        <v>-7.1955671174778347E-3</v>
      </c>
    </row>
    <row r="61" spans="1:3" x14ac:dyDescent="0.35">
      <c r="A61" s="1">
        <v>43521</v>
      </c>
      <c r="B61">
        <v>29.121320999999998</v>
      </c>
      <c r="C61">
        <f t="shared" si="1"/>
        <v>6.5124866876784615E-3</v>
      </c>
    </row>
    <row r="62" spans="1:3" x14ac:dyDescent="0.35">
      <c r="A62" s="1">
        <v>43522</v>
      </c>
      <c r="B62">
        <v>29.141220000000001</v>
      </c>
      <c r="C62">
        <f t="shared" si="1"/>
        <v>6.8308042979923762E-4</v>
      </c>
    </row>
    <row r="63" spans="1:3" x14ac:dyDescent="0.35">
      <c r="A63" s="1">
        <v>43523</v>
      </c>
      <c r="B63">
        <v>29.380001</v>
      </c>
      <c r="C63">
        <f t="shared" si="1"/>
        <v>8.1605380421324088E-3</v>
      </c>
    </row>
    <row r="64" spans="1:3" x14ac:dyDescent="0.35">
      <c r="A64" s="1">
        <v>43524</v>
      </c>
      <c r="B64">
        <v>29.08</v>
      </c>
      <c r="C64">
        <f t="shared" si="1"/>
        <v>-1.0263552117171802E-2</v>
      </c>
    </row>
    <row r="65" spans="1:3" x14ac:dyDescent="0.35">
      <c r="A65" s="1">
        <v>43525</v>
      </c>
      <c r="B65">
        <v>29.309999000000001</v>
      </c>
      <c r="C65">
        <f t="shared" si="1"/>
        <v>7.8780679394334484E-3</v>
      </c>
    </row>
    <row r="66" spans="1:3" x14ac:dyDescent="0.35">
      <c r="A66" s="1">
        <v>43528</v>
      </c>
      <c r="B66">
        <v>29.030000999999999</v>
      </c>
      <c r="C66">
        <f t="shared" si="1"/>
        <v>-9.5989081210905332E-3</v>
      </c>
    </row>
    <row r="67" spans="1:3" x14ac:dyDescent="0.35">
      <c r="A67" s="1">
        <v>43529</v>
      </c>
      <c r="B67">
        <v>29.08</v>
      </c>
      <c r="C67">
        <f t="shared" ref="C67:C76" si="2">LN(B67/B66)</f>
        <v>1.720840181657098E-3</v>
      </c>
    </row>
    <row r="68" spans="1:3" x14ac:dyDescent="0.35">
      <c r="A68" s="1">
        <v>43530</v>
      </c>
      <c r="B68">
        <v>28.84</v>
      </c>
      <c r="C68">
        <f t="shared" si="2"/>
        <v>-8.2873402485702692E-3</v>
      </c>
    </row>
    <row r="69" spans="1:3" x14ac:dyDescent="0.35">
      <c r="A69" s="1">
        <v>43531</v>
      </c>
      <c r="B69">
        <v>28.549999</v>
      </c>
      <c r="C69">
        <f t="shared" si="2"/>
        <v>-1.0106411340999457E-2</v>
      </c>
    </row>
    <row r="70" spans="1:3" x14ac:dyDescent="0.35">
      <c r="A70" s="1">
        <v>43532</v>
      </c>
      <c r="B70">
        <v>28.65</v>
      </c>
      <c r="C70">
        <f t="shared" si="2"/>
        <v>3.4965420849995895E-3</v>
      </c>
    </row>
    <row r="71" spans="1:3" x14ac:dyDescent="0.35">
      <c r="A71" s="1">
        <v>43535</v>
      </c>
      <c r="B71">
        <v>28.940000999999999</v>
      </c>
      <c r="C71">
        <f t="shared" si="2"/>
        <v>1.0071312596838916E-2</v>
      </c>
    </row>
    <row r="72" spans="1:3" x14ac:dyDescent="0.35">
      <c r="A72" s="1">
        <v>43536</v>
      </c>
      <c r="B72">
        <v>28.940000999999999</v>
      </c>
      <c r="C72">
        <f t="shared" si="2"/>
        <v>0</v>
      </c>
    </row>
    <row r="73" spans="1:3" x14ac:dyDescent="0.35">
      <c r="A73" s="1">
        <v>43537</v>
      </c>
      <c r="B73">
        <v>29.290001</v>
      </c>
      <c r="C73">
        <f t="shared" si="2"/>
        <v>1.2021439223399408E-2</v>
      </c>
    </row>
    <row r="74" spans="1:3" x14ac:dyDescent="0.35">
      <c r="A74" s="1">
        <v>43538</v>
      </c>
      <c r="B74">
        <v>29.459999</v>
      </c>
      <c r="C74">
        <f t="shared" si="2"/>
        <v>5.7871821091655864E-3</v>
      </c>
    </row>
    <row r="75" spans="1:3" x14ac:dyDescent="0.35">
      <c r="A75" s="1">
        <v>43539</v>
      </c>
      <c r="B75">
        <v>29.299999</v>
      </c>
      <c r="C75">
        <f t="shared" si="2"/>
        <v>-5.4458951968241083E-3</v>
      </c>
    </row>
    <row r="76" spans="1:3" x14ac:dyDescent="0.35">
      <c r="A76" s="1">
        <v>43542</v>
      </c>
      <c r="B76">
        <v>29.82</v>
      </c>
      <c r="C76">
        <f t="shared" si="2"/>
        <v>1.7591827443264218E-2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opLeftCell="A43" workbookViewId="0">
      <selection sqref="A1:A76"/>
    </sheetView>
  </sheetViews>
  <sheetFormatPr defaultRowHeight="14.5" x14ac:dyDescent="0.35"/>
  <cols>
    <col min="1" max="1" width="10.7265625" bestFit="1" customWidth="1"/>
    <col min="3" max="3" width="12.7265625" bestFit="1" customWidth="1"/>
    <col min="4" max="4" width="28" bestFit="1" customWidth="1"/>
    <col min="5" max="5" width="17.54296875" bestFit="1" customWidth="1"/>
    <col min="6" max="6" width="19.7265625" bestFit="1" customWidth="1"/>
    <col min="7" max="7" width="8.26953125" customWidth="1"/>
    <col min="8" max="8" width="13.7265625" bestFit="1" customWidth="1"/>
    <col min="9" max="9" width="12" bestFit="1" customWidth="1"/>
    <col min="10" max="10" width="16.81640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8</v>
      </c>
      <c r="J1" t="s">
        <v>9</v>
      </c>
    </row>
    <row r="2" spans="1:10" x14ac:dyDescent="0.35">
      <c r="A2" s="1">
        <v>43431</v>
      </c>
      <c r="B2">
        <v>1581.420044</v>
      </c>
      <c r="D2">
        <f>_xlfn.STDEV.S(C3:C76)</f>
        <v>2.6465607740712434E-2</v>
      </c>
      <c r="E2">
        <f>1/252</f>
        <v>3.968253968253968E-3</v>
      </c>
      <c r="F2">
        <f>D2/SQRT(E2)</f>
        <v>0.42012849826866655</v>
      </c>
      <c r="G2">
        <f>COUNT(C3:C76)</f>
        <v>74</v>
      </c>
      <c r="H2">
        <f>F2/(SQRT(2*G2))</f>
        <v>3.4534349826744672E-2</v>
      </c>
      <c r="I2">
        <f>AVERAGE(C3:C76)</f>
        <v>1.308064743267671E-3</v>
      </c>
      <c r="J2">
        <f>(I2/E2) + (0.5*F2^2)</f>
        <v>0.41788629283219558</v>
      </c>
    </row>
    <row r="3" spans="1:10" x14ac:dyDescent="0.35">
      <c r="A3" s="1">
        <v>43432</v>
      </c>
      <c r="B3">
        <v>1677.75</v>
      </c>
      <c r="C3">
        <f t="shared" ref="C3:C34" si="0">LN(B3/B2)</f>
        <v>5.9130404636773194E-2</v>
      </c>
    </row>
    <row r="4" spans="1:10" x14ac:dyDescent="0.35">
      <c r="A4" s="1">
        <v>43433</v>
      </c>
      <c r="B4">
        <v>1673.5699460000001</v>
      </c>
      <c r="C4">
        <f t="shared" si="0"/>
        <v>-2.4945730249709276E-3</v>
      </c>
    </row>
    <row r="5" spans="1:10" x14ac:dyDescent="0.35">
      <c r="A5" s="1">
        <v>43434</v>
      </c>
      <c r="B5">
        <v>1690.170044</v>
      </c>
      <c r="C5">
        <f t="shared" si="0"/>
        <v>9.8701045935941471E-3</v>
      </c>
    </row>
    <row r="6" spans="1:10" x14ac:dyDescent="0.35">
      <c r="A6" s="1">
        <v>43437</v>
      </c>
      <c r="B6">
        <v>1772.3599850000001</v>
      </c>
      <c r="C6">
        <f t="shared" si="0"/>
        <v>4.7482841731389502E-2</v>
      </c>
    </row>
    <row r="7" spans="1:10" x14ac:dyDescent="0.35">
      <c r="A7" s="1">
        <v>43438</v>
      </c>
      <c r="B7">
        <v>1668.400024</v>
      </c>
      <c r="C7">
        <f t="shared" si="0"/>
        <v>-6.0446885630531931E-2</v>
      </c>
    </row>
    <row r="8" spans="1:10" x14ac:dyDescent="0.35">
      <c r="A8" s="1">
        <v>43440</v>
      </c>
      <c r="B8">
        <v>1699.1899410000001</v>
      </c>
      <c r="C8">
        <f t="shared" si="0"/>
        <v>1.8286534477634973E-2</v>
      </c>
    </row>
    <row r="9" spans="1:10" x14ac:dyDescent="0.35">
      <c r="A9" s="1">
        <v>43441</v>
      </c>
      <c r="B9">
        <v>1629.130005</v>
      </c>
      <c r="C9">
        <f t="shared" si="0"/>
        <v>-4.210549913796488E-2</v>
      </c>
    </row>
    <row r="10" spans="1:10" x14ac:dyDescent="0.35">
      <c r="A10" s="1">
        <v>43444</v>
      </c>
      <c r="B10">
        <v>1641.030029</v>
      </c>
      <c r="C10">
        <f t="shared" si="0"/>
        <v>7.2779780829628033E-3</v>
      </c>
    </row>
    <row r="11" spans="1:10" x14ac:dyDescent="0.35">
      <c r="A11" s="1">
        <v>43445</v>
      </c>
      <c r="B11">
        <v>1643.23999</v>
      </c>
      <c r="C11">
        <f t="shared" si="0"/>
        <v>1.3457854078748001E-3</v>
      </c>
    </row>
    <row r="12" spans="1:10" x14ac:dyDescent="0.35">
      <c r="A12" s="1">
        <v>43446</v>
      </c>
      <c r="B12">
        <v>1663.540039</v>
      </c>
      <c r="C12">
        <f t="shared" si="0"/>
        <v>1.2277988761886648E-2</v>
      </c>
    </row>
    <row r="13" spans="1:10" x14ac:dyDescent="0.35">
      <c r="A13" s="1">
        <v>43447</v>
      </c>
      <c r="B13">
        <v>1658.380005</v>
      </c>
      <c r="C13">
        <f t="shared" si="0"/>
        <v>-3.1066600530747072E-3</v>
      </c>
    </row>
    <row r="14" spans="1:10" x14ac:dyDescent="0.35">
      <c r="A14" s="1">
        <v>43448</v>
      </c>
      <c r="B14">
        <v>1591.910034</v>
      </c>
      <c r="C14">
        <f t="shared" si="0"/>
        <v>-4.0906650746177803E-2</v>
      </c>
    </row>
    <row r="15" spans="1:10" x14ac:dyDescent="0.35">
      <c r="A15" s="1">
        <v>43451</v>
      </c>
      <c r="B15">
        <v>1520.910034</v>
      </c>
      <c r="C15">
        <f t="shared" si="0"/>
        <v>-4.5625712234982747E-2</v>
      </c>
    </row>
    <row r="16" spans="1:10" x14ac:dyDescent="0.35">
      <c r="A16" s="1">
        <v>43452</v>
      </c>
      <c r="B16">
        <v>1551.4799800000001</v>
      </c>
      <c r="C16">
        <f t="shared" si="0"/>
        <v>1.9900438897556275E-2</v>
      </c>
    </row>
    <row r="17" spans="1:3" x14ac:dyDescent="0.35">
      <c r="A17" s="1">
        <v>43453</v>
      </c>
      <c r="B17">
        <v>1495.079956</v>
      </c>
      <c r="C17">
        <f t="shared" si="0"/>
        <v>-3.7029613494636626E-2</v>
      </c>
    </row>
    <row r="18" spans="1:3" x14ac:dyDescent="0.35">
      <c r="A18" s="1">
        <v>43454</v>
      </c>
      <c r="B18">
        <v>1460.829956</v>
      </c>
      <c r="C18">
        <f t="shared" si="0"/>
        <v>-2.3174950466719819E-2</v>
      </c>
    </row>
    <row r="19" spans="1:3" x14ac:dyDescent="0.35">
      <c r="A19" s="1">
        <v>43455</v>
      </c>
      <c r="B19">
        <v>1377.4499510000001</v>
      </c>
      <c r="C19">
        <f t="shared" si="0"/>
        <v>-5.8770809047527468E-2</v>
      </c>
    </row>
    <row r="20" spans="1:3" x14ac:dyDescent="0.35">
      <c r="A20" s="1">
        <v>43458</v>
      </c>
      <c r="B20">
        <v>1343.959961</v>
      </c>
      <c r="C20">
        <f t="shared" si="0"/>
        <v>-2.4613477437943794E-2</v>
      </c>
    </row>
    <row r="21" spans="1:3" x14ac:dyDescent="0.35">
      <c r="A21" s="1">
        <v>43460</v>
      </c>
      <c r="B21">
        <v>1470.900024</v>
      </c>
      <c r="C21">
        <f t="shared" si="0"/>
        <v>9.0254023925120497E-2</v>
      </c>
    </row>
    <row r="22" spans="1:3" x14ac:dyDescent="0.35">
      <c r="A22" s="1">
        <v>43461</v>
      </c>
      <c r="B22">
        <v>1461.6400149999999</v>
      </c>
      <c r="C22">
        <f t="shared" si="0"/>
        <v>-6.3153714213265624E-3</v>
      </c>
    </row>
    <row r="23" spans="1:3" x14ac:dyDescent="0.35">
      <c r="A23" s="1">
        <v>43462</v>
      </c>
      <c r="B23">
        <v>1478.0200199999999</v>
      </c>
      <c r="C23">
        <f t="shared" si="0"/>
        <v>1.1144264527427469E-2</v>
      </c>
    </row>
    <row r="24" spans="1:3" x14ac:dyDescent="0.35">
      <c r="A24" s="1">
        <v>43465</v>
      </c>
      <c r="B24">
        <v>1501.969971</v>
      </c>
      <c r="C24">
        <f t="shared" si="0"/>
        <v>1.6074192699853464E-2</v>
      </c>
    </row>
    <row r="25" spans="1:3" x14ac:dyDescent="0.35">
      <c r="A25" s="1">
        <v>43467</v>
      </c>
      <c r="B25">
        <v>1539.130005</v>
      </c>
      <c r="C25">
        <f t="shared" si="0"/>
        <v>2.4439764507596568E-2</v>
      </c>
    </row>
    <row r="26" spans="1:3" x14ac:dyDescent="0.35">
      <c r="A26" s="1">
        <v>43468</v>
      </c>
      <c r="B26">
        <v>1500.280029</v>
      </c>
      <c r="C26">
        <f t="shared" si="0"/>
        <v>-2.5565548288750416E-2</v>
      </c>
    </row>
    <row r="27" spans="1:3" x14ac:dyDescent="0.35">
      <c r="A27" s="1">
        <v>43469</v>
      </c>
      <c r="B27">
        <v>1575.3900149999999</v>
      </c>
      <c r="C27">
        <f t="shared" si="0"/>
        <v>4.8851093509629295E-2</v>
      </c>
    </row>
    <row r="28" spans="1:3" x14ac:dyDescent="0.35">
      <c r="A28" s="1">
        <v>43472</v>
      </c>
      <c r="B28">
        <v>1629.51001</v>
      </c>
      <c r="C28">
        <f t="shared" si="0"/>
        <v>3.3776492071127089E-2</v>
      </c>
    </row>
    <row r="29" spans="1:3" x14ac:dyDescent="0.35">
      <c r="A29" s="1">
        <v>43473</v>
      </c>
      <c r="B29">
        <v>1656.579956</v>
      </c>
      <c r="C29">
        <f t="shared" si="0"/>
        <v>1.6475847362705087E-2</v>
      </c>
    </row>
    <row r="30" spans="1:3" x14ac:dyDescent="0.35">
      <c r="A30" s="1">
        <v>43474</v>
      </c>
      <c r="B30">
        <v>1659.420044</v>
      </c>
      <c r="C30">
        <f t="shared" si="0"/>
        <v>1.7129606118558376E-3</v>
      </c>
    </row>
    <row r="31" spans="1:3" x14ac:dyDescent="0.35">
      <c r="A31" s="1">
        <v>43475</v>
      </c>
      <c r="B31">
        <v>1656.219971</v>
      </c>
      <c r="C31">
        <f t="shared" si="0"/>
        <v>-1.9302903687679999E-3</v>
      </c>
    </row>
    <row r="32" spans="1:3" x14ac:dyDescent="0.35">
      <c r="A32" s="1">
        <v>43476</v>
      </c>
      <c r="B32">
        <v>1640.5600589999999</v>
      </c>
      <c r="C32">
        <f t="shared" si="0"/>
        <v>-9.5001969423445191E-3</v>
      </c>
    </row>
    <row r="33" spans="1:3" x14ac:dyDescent="0.35">
      <c r="A33" s="1">
        <v>43479</v>
      </c>
      <c r="B33">
        <v>1617.209961</v>
      </c>
      <c r="C33">
        <f t="shared" si="0"/>
        <v>-1.4335264751868299E-2</v>
      </c>
    </row>
    <row r="34" spans="1:3" x14ac:dyDescent="0.35">
      <c r="A34" s="1">
        <v>43480</v>
      </c>
      <c r="B34">
        <v>1674.5600589999999</v>
      </c>
      <c r="C34">
        <f t="shared" si="0"/>
        <v>3.4848061258003216E-2</v>
      </c>
    </row>
    <row r="35" spans="1:3" x14ac:dyDescent="0.35">
      <c r="A35" s="1">
        <v>43481</v>
      </c>
      <c r="B35">
        <v>1683.780029</v>
      </c>
      <c r="C35">
        <f t="shared" ref="C35:C66" si="1">LN(B35/B34)</f>
        <v>5.4908037439582334E-3</v>
      </c>
    </row>
    <row r="36" spans="1:3" x14ac:dyDescent="0.35">
      <c r="A36" s="1">
        <v>43482</v>
      </c>
      <c r="B36">
        <v>1693.219971</v>
      </c>
      <c r="C36">
        <f t="shared" si="1"/>
        <v>5.5907412426379963E-3</v>
      </c>
    </row>
    <row r="37" spans="1:3" x14ac:dyDescent="0.35">
      <c r="A37" s="1">
        <v>43483</v>
      </c>
      <c r="B37">
        <v>1696.1999510000001</v>
      </c>
      <c r="C37">
        <f t="shared" si="1"/>
        <v>1.7584016359218657E-3</v>
      </c>
    </row>
    <row r="38" spans="1:3" x14ac:dyDescent="0.35">
      <c r="A38" s="1">
        <v>43487</v>
      </c>
      <c r="B38">
        <v>1632.170044</v>
      </c>
      <c r="C38">
        <f t="shared" si="1"/>
        <v>-3.8479981315772196E-2</v>
      </c>
    </row>
    <row r="39" spans="1:3" x14ac:dyDescent="0.35">
      <c r="A39" s="1">
        <v>43488</v>
      </c>
      <c r="B39">
        <v>1640.0200199999999</v>
      </c>
      <c r="C39">
        <f t="shared" si="1"/>
        <v>4.7980043370841417E-3</v>
      </c>
    </row>
    <row r="40" spans="1:3" x14ac:dyDescent="0.35">
      <c r="A40" s="1">
        <v>43489</v>
      </c>
      <c r="B40">
        <v>1654.9300539999999</v>
      </c>
      <c r="C40">
        <f t="shared" si="1"/>
        <v>9.0502954131213859E-3</v>
      </c>
    </row>
    <row r="41" spans="1:3" x14ac:dyDescent="0.35">
      <c r="A41" s="1">
        <v>43490</v>
      </c>
      <c r="B41">
        <v>1670.5699460000001</v>
      </c>
      <c r="C41">
        <f t="shared" si="1"/>
        <v>9.40610874232224E-3</v>
      </c>
    </row>
    <row r="42" spans="1:3" x14ac:dyDescent="0.35">
      <c r="A42" s="1">
        <v>43493</v>
      </c>
      <c r="B42">
        <v>1637.8900149999999</v>
      </c>
      <c r="C42">
        <f t="shared" si="1"/>
        <v>-1.9756015967270946E-2</v>
      </c>
    </row>
    <row r="43" spans="1:3" x14ac:dyDescent="0.35">
      <c r="A43" s="1">
        <v>43494</v>
      </c>
      <c r="B43">
        <v>1593.880005</v>
      </c>
      <c r="C43">
        <f t="shared" si="1"/>
        <v>-2.7237538904334599E-2</v>
      </c>
    </row>
    <row r="44" spans="1:3" x14ac:dyDescent="0.35">
      <c r="A44" s="1">
        <v>43495</v>
      </c>
      <c r="B44">
        <v>1670.4300539999999</v>
      </c>
      <c r="C44">
        <f t="shared" si="1"/>
        <v>4.6909812279518091E-2</v>
      </c>
    </row>
    <row r="45" spans="1:3" x14ac:dyDescent="0.35">
      <c r="A45" s="1">
        <v>43496</v>
      </c>
      <c r="B45">
        <v>1718.7299800000001</v>
      </c>
      <c r="C45">
        <f t="shared" si="1"/>
        <v>2.8504523722878091E-2</v>
      </c>
    </row>
    <row r="46" spans="1:3" x14ac:dyDescent="0.35">
      <c r="A46" s="1">
        <v>43497</v>
      </c>
      <c r="B46">
        <v>1626.2299800000001</v>
      </c>
      <c r="C46">
        <f t="shared" si="1"/>
        <v>-5.5321194126464426E-2</v>
      </c>
    </row>
    <row r="47" spans="1:3" x14ac:dyDescent="0.35">
      <c r="A47" s="1">
        <v>43500</v>
      </c>
      <c r="B47">
        <v>1633.3100589999999</v>
      </c>
      <c r="C47">
        <f t="shared" si="1"/>
        <v>4.3442265166665495E-3</v>
      </c>
    </row>
    <row r="48" spans="1:3" x14ac:dyDescent="0.35">
      <c r="A48" s="1">
        <v>43501</v>
      </c>
      <c r="B48">
        <v>1658.8100589999999</v>
      </c>
      <c r="C48">
        <f t="shared" si="1"/>
        <v>1.549184663877975E-2</v>
      </c>
    </row>
    <row r="49" spans="1:3" x14ac:dyDescent="0.35">
      <c r="A49" s="1">
        <v>43502</v>
      </c>
      <c r="B49">
        <v>1640.26001</v>
      </c>
      <c r="C49">
        <f t="shared" si="1"/>
        <v>-1.1245741441416848E-2</v>
      </c>
    </row>
    <row r="50" spans="1:3" x14ac:dyDescent="0.35">
      <c r="A50" s="1">
        <v>43503</v>
      </c>
      <c r="B50">
        <v>1614.369995</v>
      </c>
      <c r="C50">
        <f t="shared" si="1"/>
        <v>-1.5909987360311625E-2</v>
      </c>
    </row>
    <row r="51" spans="1:3" x14ac:dyDescent="0.35">
      <c r="A51" s="1">
        <v>43504</v>
      </c>
      <c r="B51">
        <v>1588.219971</v>
      </c>
      <c r="C51">
        <f t="shared" si="1"/>
        <v>-1.6330910579476377E-2</v>
      </c>
    </row>
    <row r="52" spans="1:3" x14ac:dyDescent="0.35">
      <c r="A52" s="1">
        <v>43507</v>
      </c>
      <c r="B52">
        <v>1591</v>
      </c>
      <c r="C52">
        <f t="shared" si="1"/>
        <v>1.748875342966938E-3</v>
      </c>
    </row>
    <row r="53" spans="1:3" x14ac:dyDescent="0.35">
      <c r="A53" s="1">
        <v>43508</v>
      </c>
      <c r="B53">
        <v>1638.01001</v>
      </c>
      <c r="C53">
        <f t="shared" si="1"/>
        <v>2.9119347167666201E-2</v>
      </c>
    </row>
    <row r="54" spans="1:3" x14ac:dyDescent="0.35">
      <c r="A54" s="1">
        <v>43509</v>
      </c>
      <c r="B54">
        <v>1640</v>
      </c>
      <c r="C54">
        <f t="shared" si="1"/>
        <v>1.2141453127910938E-3</v>
      </c>
    </row>
    <row r="55" spans="1:3" x14ac:dyDescent="0.35">
      <c r="A55" s="1">
        <v>43510</v>
      </c>
      <c r="B55">
        <v>1622.650024</v>
      </c>
      <c r="C55">
        <f t="shared" si="1"/>
        <v>-1.0635611799651161E-2</v>
      </c>
    </row>
    <row r="56" spans="1:3" x14ac:dyDescent="0.35">
      <c r="A56" s="1">
        <v>43511</v>
      </c>
      <c r="B56">
        <v>1607.9499510000001</v>
      </c>
      <c r="C56">
        <f t="shared" si="1"/>
        <v>-9.1005847640740403E-3</v>
      </c>
    </row>
    <row r="57" spans="1:3" x14ac:dyDescent="0.35">
      <c r="A57" s="1">
        <v>43515</v>
      </c>
      <c r="B57">
        <v>1627.579956</v>
      </c>
      <c r="C57">
        <f t="shared" si="1"/>
        <v>1.2134176732058367E-2</v>
      </c>
    </row>
    <row r="58" spans="1:3" x14ac:dyDescent="0.35">
      <c r="A58" s="1">
        <v>43516</v>
      </c>
      <c r="B58">
        <v>1622.099976</v>
      </c>
      <c r="C58">
        <f t="shared" si="1"/>
        <v>-3.3726307261438327E-3</v>
      </c>
    </row>
    <row r="59" spans="1:3" x14ac:dyDescent="0.35">
      <c r="A59" s="1">
        <v>43517</v>
      </c>
      <c r="B59">
        <v>1619.4399410000001</v>
      </c>
      <c r="C59">
        <f t="shared" si="1"/>
        <v>-1.6412172394592022E-3</v>
      </c>
    </row>
    <row r="60" spans="1:3" x14ac:dyDescent="0.35">
      <c r="A60" s="1">
        <v>43518</v>
      </c>
      <c r="B60">
        <v>1631.5600589999999</v>
      </c>
      <c r="C60">
        <f t="shared" si="1"/>
        <v>7.4562744709221135E-3</v>
      </c>
    </row>
    <row r="61" spans="1:3" x14ac:dyDescent="0.35">
      <c r="A61" s="1">
        <v>43521</v>
      </c>
      <c r="B61">
        <v>1633</v>
      </c>
      <c r="C61">
        <f t="shared" si="1"/>
        <v>8.8216547856874417E-4</v>
      </c>
    </row>
    <row r="62" spans="1:3" x14ac:dyDescent="0.35">
      <c r="A62" s="1">
        <v>43522</v>
      </c>
      <c r="B62">
        <v>1636.400024</v>
      </c>
      <c r="C62">
        <f t="shared" si="1"/>
        <v>2.0799077511190543E-3</v>
      </c>
    </row>
    <row r="63" spans="1:3" x14ac:dyDescent="0.35">
      <c r="A63" s="1">
        <v>43523</v>
      </c>
      <c r="B63">
        <v>1641.089966</v>
      </c>
      <c r="C63">
        <f t="shared" si="1"/>
        <v>2.8619127536056378E-3</v>
      </c>
    </row>
    <row r="64" spans="1:3" x14ac:dyDescent="0.35">
      <c r="A64" s="1">
        <v>43524</v>
      </c>
      <c r="B64">
        <v>1639.829956</v>
      </c>
      <c r="C64">
        <f t="shared" si="1"/>
        <v>-7.680833984984026E-4</v>
      </c>
    </row>
    <row r="65" spans="1:3" x14ac:dyDescent="0.35">
      <c r="A65" s="1">
        <v>43525</v>
      </c>
      <c r="B65">
        <v>1671.7299800000001</v>
      </c>
      <c r="C65">
        <f t="shared" si="1"/>
        <v>1.9266455310888241E-2</v>
      </c>
    </row>
    <row r="66" spans="1:3" x14ac:dyDescent="0.35">
      <c r="A66" s="1">
        <v>43528</v>
      </c>
      <c r="B66">
        <v>1696.170044</v>
      </c>
      <c r="C66">
        <f t="shared" si="1"/>
        <v>1.4513787730843957E-2</v>
      </c>
    </row>
    <row r="67" spans="1:3" x14ac:dyDescent="0.35">
      <c r="A67" s="1">
        <v>43529</v>
      </c>
      <c r="B67">
        <v>1692.4300539999999</v>
      </c>
      <c r="C67">
        <f t="shared" ref="C67:C76" si="2">LN(B67/B66)</f>
        <v>-2.2073962169980792E-3</v>
      </c>
    </row>
    <row r="68" spans="1:3" x14ac:dyDescent="0.35">
      <c r="A68" s="1">
        <v>43530</v>
      </c>
      <c r="B68">
        <v>1668.9499510000001</v>
      </c>
      <c r="C68">
        <f t="shared" si="2"/>
        <v>-1.3970741106837369E-2</v>
      </c>
    </row>
    <row r="69" spans="1:3" x14ac:dyDescent="0.35">
      <c r="A69" s="1">
        <v>43531</v>
      </c>
      <c r="B69">
        <v>1625.9499510000001</v>
      </c>
      <c r="C69">
        <f t="shared" si="2"/>
        <v>-2.6102426603364169E-2</v>
      </c>
    </row>
    <row r="70" spans="1:3" x14ac:dyDescent="0.35">
      <c r="A70" s="1">
        <v>43532</v>
      </c>
      <c r="B70">
        <v>1620.8000489999999</v>
      </c>
      <c r="C70">
        <f t="shared" si="2"/>
        <v>-3.1723454648213173E-3</v>
      </c>
    </row>
    <row r="71" spans="1:3" x14ac:dyDescent="0.35">
      <c r="A71" s="1">
        <v>43535</v>
      </c>
      <c r="B71">
        <v>1670.619995</v>
      </c>
      <c r="C71">
        <f t="shared" si="2"/>
        <v>3.0274927277519393E-2</v>
      </c>
    </row>
    <row r="72" spans="1:3" x14ac:dyDescent="0.35">
      <c r="A72" s="1">
        <v>43536</v>
      </c>
      <c r="B72">
        <v>1673.099976</v>
      </c>
      <c r="C72">
        <f t="shared" si="2"/>
        <v>1.4833667150657382E-3</v>
      </c>
    </row>
    <row r="73" spans="1:3" x14ac:dyDescent="0.35">
      <c r="A73" s="1">
        <v>43537</v>
      </c>
      <c r="B73">
        <v>1690.8100589999999</v>
      </c>
      <c r="C73">
        <f t="shared" si="2"/>
        <v>1.0529560210740819E-2</v>
      </c>
    </row>
    <row r="74" spans="1:3" x14ac:dyDescent="0.35">
      <c r="A74" s="1">
        <v>43538</v>
      </c>
      <c r="B74">
        <v>1686.219971</v>
      </c>
      <c r="C74">
        <f t="shared" si="2"/>
        <v>-2.7184187205184077E-3</v>
      </c>
    </row>
    <row r="75" spans="1:3" x14ac:dyDescent="0.35">
      <c r="A75" s="1">
        <v>43539</v>
      </c>
      <c r="B75">
        <v>1712.3599850000001</v>
      </c>
      <c r="C75">
        <f t="shared" si="2"/>
        <v>1.5383207000649806E-2</v>
      </c>
    </row>
    <row r="76" spans="1:3" x14ac:dyDescent="0.35">
      <c r="A76" s="1">
        <v>43542</v>
      </c>
      <c r="B76">
        <v>1742.150024</v>
      </c>
      <c r="C76">
        <f t="shared" si="2"/>
        <v>1.7247469193523837E-2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H9" sqref="H9"/>
    </sheetView>
  </sheetViews>
  <sheetFormatPr defaultRowHeight="14.5" x14ac:dyDescent="0.35"/>
  <cols>
    <col min="1" max="1" width="9.7265625" bestFit="1" customWidth="1"/>
    <col min="3" max="3" width="13.453125" bestFit="1" customWidth="1"/>
    <col min="4" max="4" width="28" bestFit="1" customWidth="1"/>
    <col min="5" max="5" width="17.54296875" bestFit="1" customWidth="1"/>
    <col min="6" max="6" width="19.7265625" bestFit="1" customWidth="1"/>
    <col min="7" max="7" width="6" customWidth="1"/>
    <col min="8" max="8" width="13.7265625" bestFit="1" customWidth="1"/>
    <col min="9" max="9" width="12" bestFit="1" customWidth="1"/>
    <col min="10" max="10" width="16.81640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8</v>
      </c>
      <c r="J1" t="s">
        <v>9</v>
      </c>
    </row>
    <row r="2" spans="1:10" x14ac:dyDescent="0.35">
      <c r="A2" s="1">
        <v>43509</v>
      </c>
      <c r="B2">
        <v>170.18</v>
      </c>
      <c r="D2">
        <f>_xlfn.STDEV.S(C3:C24)</f>
        <v>9.6136467106800998E-3</v>
      </c>
      <c r="E2">
        <f>1/252</f>
        <v>3.968253968253968E-3</v>
      </c>
      <c r="F2">
        <f>D2/SQRT(E2)</f>
        <v>0.15261191033336197</v>
      </c>
      <c r="G2">
        <v>22</v>
      </c>
      <c r="H2">
        <f>F2/SQRT(2*G2)</f>
        <v>2.3007111141596533E-2</v>
      </c>
      <c r="I2" s="2">
        <f>AVERAGE(C3:C24)</f>
        <v>4.5314391365148038E-3</v>
      </c>
      <c r="J2">
        <f>(I2/E2) + (0.5*F2^2)</f>
        <v>1.1535678599895298</v>
      </c>
    </row>
    <row r="3" spans="1:10" x14ac:dyDescent="0.35">
      <c r="A3" s="1">
        <v>43510</v>
      </c>
      <c r="B3">
        <v>170.800003</v>
      </c>
      <c r="C3" s="2">
        <f>LN(B3/B2)</f>
        <v>3.6365984974609457E-3</v>
      </c>
      <c r="I3" s="2"/>
    </row>
    <row r="4" spans="1:10" x14ac:dyDescent="0.35">
      <c r="A4" s="1">
        <v>43511</v>
      </c>
      <c r="B4">
        <v>170.41999799999999</v>
      </c>
      <c r="C4" s="2">
        <f>LN(B4/B3)</f>
        <v>-2.2273322547741344E-3</v>
      </c>
    </row>
    <row r="5" spans="1:10" x14ac:dyDescent="0.35">
      <c r="A5" s="1">
        <v>43515</v>
      </c>
      <c r="B5">
        <v>170.929993</v>
      </c>
      <c r="C5" s="2">
        <f t="shared" ref="C5:C24" si="0">LN(B5/B4)</f>
        <v>2.9881083516410667E-3</v>
      </c>
    </row>
    <row r="6" spans="1:10" x14ac:dyDescent="0.35">
      <c r="A6" s="1">
        <v>43516</v>
      </c>
      <c r="B6">
        <v>172.029999</v>
      </c>
      <c r="C6" s="2">
        <f t="shared" si="0"/>
        <v>6.4147993802691899E-3</v>
      </c>
    </row>
    <row r="7" spans="1:10" x14ac:dyDescent="0.35">
      <c r="A7" s="1">
        <v>43517</v>
      </c>
      <c r="B7">
        <v>171.05999800000001</v>
      </c>
      <c r="C7" s="2">
        <f t="shared" si="0"/>
        <v>-5.6545139351767606E-3</v>
      </c>
    </row>
    <row r="8" spans="1:10" x14ac:dyDescent="0.35">
      <c r="A8" s="1">
        <v>43518</v>
      </c>
      <c r="B8">
        <v>172.970001</v>
      </c>
      <c r="C8" s="2">
        <f t="shared" si="0"/>
        <v>1.1103814376349695E-2</v>
      </c>
    </row>
    <row r="9" spans="1:10" x14ac:dyDescent="0.35">
      <c r="A9" s="1">
        <v>43521</v>
      </c>
      <c r="B9">
        <v>174.229996</v>
      </c>
      <c r="C9" s="2">
        <f t="shared" si="0"/>
        <v>7.2580676394735444E-3</v>
      </c>
    </row>
    <row r="10" spans="1:10" x14ac:dyDescent="0.35">
      <c r="A10" s="1">
        <v>43522</v>
      </c>
      <c r="B10">
        <v>174.33000200000001</v>
      </c>
      <c r="C10" s="2">
        <f t="shared" si="0"/>
        <v>5.7382375096372165E-4</v>
      </c>
    </row>
    <row r="11" spans="1:10" x14ac:dyDescent="0.35">
      <c r="A11" s="1">
        <v>43523</v>
      </c>
      <c r="B11">
        <v>174.86999499999999</v>
      </c>
      <c r="C11" s="2">
        <f t="shared" si="0"/>
        <v>3.0927459052802284E-3</v>
      </c>
    </row>
    <row r="12" spans="1:10" x14ac:dyDescent="0.35">
      <c r="A12" s="1">
        <v>43524</v>
      </c>
      <c r="B12">
        <v>173.14999399999999</v>
      </c>
      <c r="C12" s="2">
        <f t="shared" si="0"/>
        <v>-9.8845759365042453E-3</v>
      </c>
    </row>
    <row r="13" spans="1:10" x14ac:dyDescent="0.35">
      <c r="A13" s="1">
        <v>43525</v>
      </c>
      <c r="B13">
        <v>174.970001</v>
      </c>
      <c r="C13" s="2">
        <f t="shared" si="0"/>
        <v>1.0456300175399403E-2</v>
      </c>
    </row>
    <row r="14" spans="1:10" x14ac:dyDescent="0.35">
      <c r="A14" s="1">
        <v>43528</v>
      </c>
      <c r="B14">
        <v>175.85000600000001</v>
      </c>
      <c r="C14" s="2">
        <f t="shared" si="0"/>
        <v>5.0168566681856345E-3</v>
      </c>
    </row>
    <row r="15" spans="1:10" x14ac:dyDescent="0.35">
      <c r="A15" s="1">
        <v>43529</v>
      </c>
      <c r="B15">
        <v>175.529999</v>
      </c>
      <c r="C15" s="2">
        <f t="shared" si="0"/>
        <v>-1.8214302687569962E-3</v>
      </c>
    </row>
    <row r="16" spans="1:10" x14ac:dyDescent="0.35">
      <c r="A16" s="1">
        <v>43530</v>
      </c>
      <c r="B16">
        <v>174.520004</v>
      </c>
      <c r="C16" s="2">
        <f t="shared" si="0"/>
        <v>-5.7705915958047816E-3</v>
      </c>
    </row>
    <row r="17" spans="1:3" x14ac:dyDescent="0.35">
      <c r="A17" s="1">
        <v>43531</v>
      </c>
      <c r="B17">
        <v>172.5</v>
      </c>
      <c r="C17" s="2">
        <f t="shared" si="0"/>
        <v>-1.1642134704003349E-2</v>
      </c>
    </row>
    <row r="18" spans="1:3" x14ac:dyDescent="0.35">
      <c r="A18" s="1">
        <v>43532</v>
      </c>
      <c r="B18">
        <v>172.91000399999999</v>
      </c>
      <c r="C18" s="2">
        <f t="shared" si="0"/>
        <v>2.3740145787050993E-3</v>
      </c>
    </row>
    <row r="19" spans="1:3" x14ac:dyDescent="0.35">
      <c r="A19" s="1">
        <v>43535</v>
      </c>
      <c r="B19">
        <v>178.89999399999999</v>
      </c>
      <c r="C19" s="2">
        <f t="shared" si="0"/>
        <v>3.4055705926263675E-2</v>
      </c>
    </row>
    <row r="20" spans="1:3" x14ac:dyDescent="0.35">
      <c r="A20" s="1">
        <v>43536</v>
      </c>
      <c r="B20">
        <v>180.91000399999999</v>
      </c>
      <c r="C20" s="2">
        <f t="shared" si="0"/>
        <v>1.1172735167227743E-2</v>
      </c>
    </row>
    <row r="21" spans="1:3" x14ac:dyDescent="0.35">
      <c r="A21" s="1">
        <v>43537</v>
      </c>
      <c r="B21">
        <v>181.71000699999999</v>
      </c>
      <c r="C21" s="2">
        <f t="shared" si="0"/>
        <v>4.4123560402746752E-3</v>
      </c>
    </row>
    <row r="22" spans="1:3" x14ac:dyDescent="0.35">
      <c r="A22" s="1">
        <v>43538</v>
      </c>
      <c r="B22">
        <v>183.729996</v>
      </c>
      <c r="C22" s="2">
        <f t="shared" si="0"/>
        <v>1.1055218676680252E-2</v>
      </c>
    </row>
    <row r="23" spans="1:3" x14ac:dyDescent="0.35">
      <c r="A23" s="1">
        <v>43539</v>
      </c>
      <c r="B23">
        <v>186.11999499999999</v>
      </c>
      <c r="C23" s="2">
        <f t="shared" si="0"/>
        <v>1.2924333251492641E-2</v>
      </c>
    </row>
    <row r="24" spans="1:3" x14ac:dyDescent="0.35">
      <c r="A24" s="1">
        <v>43542</v>
      </c>
      <c r="B24">
        <v>188.020004</v>
      </c>
      <c r="C24" s="2">
        <f t="shared" si="0"/>
        <v>1.0156761312678439E-2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D12" sqref="D12"/>
    </sheetView>
  </sheetViews>
  <sheetFormatPr defaultRowHeight="14.5" x14ac:dyDescent="0.35"/>
  <cols>
    <col min="1" max="1" width="9.7265625" bestFit="1" customWidth="1"/>
    <col min="3" max="3" width="12.7265625" bestFit="1" customWidth="1"/>
    <col min="4" max="4" width="28" bestFit="1" customWidth="1"/>
    <col min="5" max="5" width="17.54296875" bestFit="1" customWidth="1"/>
    <col min="6" max="6" width="19.7265625" bestFit="1" customWidth="1"/>
    <col min="7" max="7" width="8.453125" customWidth="1"/>
    <col min="8" max="8" width="13.7265625" bestFit="1" customWidth="1"/>
    <col min="9" max="9" width="12" bestFit="1" customWidth="1"/>
    <col min="10" max="10" width="16.81640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8</v>
      </c>
      <c r="J1" t="s">
        <v>9</v>
      </c>
    </row>
    <row r="2" spans="1:10" x14ac:dyDescent="0.35">
      <c r="A2" s="1">
        <v>43509</v>
      </c>
      <c r="B2">
        <v>28.55</v>
      </c>
      <c r="D2">
        <f>_xlfn.STDEV.S(C3:C24)</f>
        <v>9.7345065111658115E-3</v>
      </c>
      <c r="E2">
        <f>1/252</f>
        <v>3.968253968253968E-3</v>
      </c>
      <c r="F2">
        <f>D2/SQRT(E2)</f>
        <v>0.15453050018690243</v>
      </c>
      <c r="G2">
        <v>22</v>
      </c>
      <c r="H2">
        <f>F2/SQRT(2*G2)</f>
        <v>2.3296349444813652E-2</v>
      </c>
      <c r="I2" s="2">
        <f>AVERAGE(C3:C24)</f>
        <v>1.9782896924805866E-3</v>
      </c>
      <c r="J2">
        <f>(I2/E2) + (0.5*F2^2)</f>
        <v>0.51046884024911499</v>
      </c>
    </row>
    <row r="3" spans="1:10" x14ac:dyDescent="0.35">
      <c r="A3" s="1">
        <v>43510</v>
      </c>
      <c r="B3">
        <v>28.24579</v>
      </c>
      <c r="C3">
        <f>LN(B3/B2)</f>
        <v>-1.0712516163801389E-2</v>
      </c>
      <c r="I3" s="2"/>
    </row>
    <row r="4" spans="1:10" x14ac:dyDescent="0.35">
      <c r="A4" s="1">
        <v>43511</v>
      </c>
      <c r="B4">
        <v>28.962135</v>
      </c>
      <c r="C4">
        <f>LN(B4/B3)</f>
        <v>2.5044867237627489E-2</v>
      </c>
    </row>
    <row r="5" spans="1:10" x14ac:dyDescent="0.35">
      <c r="A5" s="1">
        <v>43515</v>
      </c>
      <c r="B5">
        <v>28.982030999999999</v>
      </c>
      <c r="C5">
        <f t="shared" ref="C5:C24" si="0">LN(B5/B4)</f>
        <v>6.8673007674000506E-4</v>
      </c>
    </row>
    <row r="6" spans="1:10" x14ac:dyDescent="0.35">
      <c r="A6" s="1">
        <v>43516</v>
      </c>
      <c r="B6">
        <v>29.260611000000001</v>
      </c>
      <c r="C6">
        <f t="shared" si="0"/>
        <v>9.5662598712012853E-3</v>
      </c>
    </row>
    <row r="7" spans="1:10" x14ac:dyDescent="0.35">
      <c r="A7" s="1">
        <v>43517</v>
      </c>
      <c r="B7">
        <v>29.141220000000001</v>
      </c>
      <c r="C7">
        <f t="shared" si="0"/>
        <v>-4.0886103834288506E-3</v>
      </c>
    </row>
    <row r="8" spans="1:10" x14ac:dyDescent="0.35">
      <c r="A8" s="1">
        <v>43518</v>
      </c>
      <c r="B8">
        <v>28.932285</v>
      </c>
      <c r="C8">
        <f t="shared" si="0"/>
        <v>-7.1955671174778347E-3</v>
      </c>
    </row>
    <row r="9" spans="1:10" x14ac:dyDescent="0.35">
      <c r="A9" s="1">
        <v>43521</v>
      </c>
      <c r="B9">
        <v>29.121320999999998</v>
      </c>
      <c r="C9">
        <f t="shared" si="0"/>
        <v>6.5124866876784615E-3</v>
      </c>
    </row>
    <row r="10" spans="1:10" x14ac:dyDescent="0.35">
      <c r="A10" s="1">
        <v>43522</v>
      </c>
      <c r="B10">
        <v>29.141220000000001</v>
      </c>
      <c r="C10">
        <f t="shared" si="0"/>
        <v>6.8308042979923762E-4</v>
      </c>
    </row>
    <row r="11" spans="1:10" x14ac:dyDescent="0.35">
      <c r="A11" s="1">
        <v>43523</v>
      </c>
      <c r="B11">
        <v>29.380001</v>
      </c>
      <c r="C11">
        <f t="shared" si="0"/>
        <v>8.1605380421324088E-3</v>
      </c>
    </row>
    <row r="12" spans="1:10" x14ac:dyDescent="0.35">
      <c r="A12" s="1">
        <v>43524</v>
      </c>
      <c r="B12">
        <v>29.08</v>
      </c>
      <c r="C12">
        <f t="shared" si="0"/>
        <v>-1.0263552117171802E-2</v>
      </c>
    </row>
    <row r="13" spans="1:10" x14ac:dyDescent="0.35">
      <c r="A13" s="1">
        <v>43525</v>
      </c>
      <c r="B13">
        <v>29.309999000000001</v>
      </c>
      <c r="C13">
        <f t="shared" si="0"/>
        <v>7.8780679394334484E-3</v>
      </c>
    </row>
    <row r="14" spans="1:10" x14ac:dyDescent="0.35">
      <c r="A14" s="1">
        <v>43528</v>
      </c>
      <c r="B14">
        <v>29.030000999999999</v>
      </c>
      <c r="C14">
        <f t="shared" si="0"/>
        <v>-9.5989081210905332E-3</v>
      </c>
    </row>
    <row r="15" spans="1:10" x14ac:dyDescent="0.35">
      <c r="A15" s="1">
        <v>43529</v>
      </c>
      <c r="B15">
        <v>29.08</v>
      </c>
      <c r="C15">
        <f t="shared" si="0"/>
        <v>1.720840181657098E-3</v>
      </c>
    </row>
    <row r="16" spans="1:10" x14ac:dyDescent="0.35">
      <c r="A16" s="1">
        <v>43530</v>
      </c>
      <c r="B16">
        <v>28.84</v>
      </c>
      <c r="C16">
        <f t="shared" si="0"/>
        <v>-8.2873402485702692E-3</v>
      </c>
    </row>
    <row r="17" spans="1:3" x14ac:dyDescent="0.35">
      <c r="A17" s="1">
        <v>43531</v>
      </c>
      <c r="B17">
        <v>28.549999</v>
      </c>
      <c r="C17">
        <f t="shared" si="0"/>
        <v>-1.0106411340999457E-2</v>
      </c>
    </row>
    <row r="18" spans="1:3" x14ac:dyDescent="0.35">
      <c r="A18" s="1">
        <v>43532</v>
      </c>
      <c r="B18">
        <v>28.65</v>
      </c>
      <c r="C18">
        <f t="shared" si="0"/>
        <v>3.4965420849995895E-3</v>
      </c>
    </row>
    <row r="19" spans="1:3" x14ac:dyDescent="0.35">
      <c r="A19" s="1">
        <v>43535</v>
      </c>
      <c r="B19">
        <v>28.940000999999999</v>
      </c>
      <c r="C19">
        <f t="shared" si="0"/>
        <v>1.0071312596838916E-2</v>
      </c>
    </row>
    <row r="20" spans="1:3" x14ac:dyDescent="0.35">
      <c r="A20" s="1">
        <v>43536</v>
      </c>
      <c r="B20">
        <v>28.940000999999999</v>
      </c>
      <c r="C20">
        <f t="shared" si="0"/>
        <v>0</v>
      </c>
    </row>
    <row r="21" spans="1:3" x14ac:dyDescent="0.35">
      <c r="A21" s="1">
        <v>43537</v>
      </c>
      <c r="B21">
        <v>29.290001</v>
      </c>
      <c r="C21">
        <f t="shared" si="0"/>
        <v>1.2021439223399408E-2</v>
      </c>
    </row>
    <row r="22" spans="1:3" x14ac:dyDescent="0.35">
      <c r="A22" s="1">
        <v>43538</v>
      </c>
      <c r="B22">
        <v>29.459999</v>
      </c>
      <c r="C22">
        <f t="shared" si="0"/>
        <v>5.7871821091655864E-3</v>
      </c>
    </row>
    <row r="23" spans="1:3" x14ac:dyDescent="0.35">
      <c r="A23" s="1">
        <v>43539</v>
      </c>
      <c r="B23">
        <v>29.299999</v>
      </c>
      <c r="C23">
        <f t="shared" si="0"/>
        <v>-5.4458951968241083E-3</v>
      </c>
    </row>
    <row r="24" spans="1:3" x14ac:dyDescent="0.35">
      <c r="A24" s="1">
        <v>43542</v>
      </c>
      <c r="B24">
        <v>29.82</v>
      </c>
      <c r="C24">
        <f t="shared" si="0"/>
        <v>1.7591827443264218E-2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J2" sqref="J2"/>
    </sheetView>
  </sheetViews>
  <sheetFormatPr defaultRowHeight="14.5" x14ac:dyDescent="0.35"/>
  <cols>
    <col min="1" max="1" width="9.7265625" bestFit="1" customWidth="1"/>
    <col min="3" max="3" width="12.7265625" bestFit="1" customWidth="1"/>
    <col min="4" max="4" width="28" bestFit="1" customWidth="1"/>
    <col min="5" max="5" width="17.54296875" bestFit="1" customWidth="1"/>
    <col min="6" max="6" width="19.7265625" bestFit="1" customWidth="1"/>
    <col min="7" max="7" width="6.7265625" customWidth="1"/>
    <col min="8" max="8" width="13.7265625" bestFit="1" customWidth="1"/>
    <col min="9" max="9" width="12" bestFit="1" customWidth="1"/>
    <col min="10" max="10" width="16.81640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8</v>
      </c>
      <c r="J1" t="s">
        <v>9</v>
      </c>
    </row>
    <row r="2" spans="1:10" x14ac:dyDescent="0.35">
      <c r="A2" s="1">
        <v>43509</v>
      </c>
      <c r="B2">
        <v>1640</v>
      </c>
      <c r="D2">
        <f>_xlfn.STDEV.S(C3:C24)</f>
        <v>1.2545574974181137E-2</v>
      </c>
      <c r="E2">
        <f>1/252</f>
        <v>3.968253968253968E-3</v>
      </c>
      <c r="F2">
        <f>D2/SQRT(E2)</f>
        <v>0.19915482861599315</v>
      </c>
      <c r="G2">
        <v>22</v>
      </c>
      <c r="H2">
        <f>F2/SQRT(2*G2)</f>
        <v>3.0023720077581084E-2</v>
      </c>
      <c r="I2" s="2">
        <f>AVERAGE(C3:C24)</f>
        <v>2.7465342993245327E-3</v>
      </c>
      <c r="J2">
        <f>(I2/E2) + (0.5*F2^2)</f>
        <v>0.71195796631031505</v>
      </c>
    </row>
    <row r="3" spans="1:10" x14ac:dyDescent="0.35">
      <c r="A3" s="1">
        <v>43510</v>
      </c>
      <c r="B3">
        <v>1622.650024</v>
      </c>
      <c r="C3">
        <f>LN(B3/B2)</f>
        <v>-1.0635611799651161E-2</v>
      </c>
      <c r="I3" s="2"/>
    </row>
    <row r="4" spans="1:10" x14ac:dyDescent="0.35">
      <c r="A4" s="1">
        <v>43511</v>
      </c>
      <c r="B4">
        <v>1607.9499510000001</v>
      </c>
      <c r="C4">
        <f>LN(B4/B3)</f>
        <v>-9.1005847640740403E-3</v>
      </c>
    </row>
    <row r="5" spans="1:10" x14ac:dyDescent="0.35">
      <c r="A5" s="1">
        <v>43515</v>
      </c>
      <c r="B5">
        <v>1627.579956</v>
      </c>
      <c r="C5">
        <f t="shared" ref="C5:C24" si="0">LN(B5/B4)</f>
        <v>1.2134176732058367E-2</v>
      </c>
    </row>
    <row r="6" spans="1:10" x14ac:dyDescent="0.35">
      <c r="A6" s="1">
        <v>43516</v>
      </c>
      <c r="B6">
        <v>1622.099976</v>
      </c>
      <c r="C6">
        <f t="shared" si="0"/>
        <v>-3.3726307261438327E-3</v>
      </c>
    </row>
    <row r="7" spans="1:10" x14ac:dyDescent="0.35">
      <c r="A7" s="1">
        <v>43517</v>
      </c>
      <c r="B7">
        <v>1619.4399410000001</v>
      </c>
      <c r="C7">
        <f t="shared" si="0"/>
        <v>-1.6412172394592022E-3</v>
      </c>
    </row>
    <row r="8" spans="1:10" x14ac:dyDescent="0.35">
      <c r="A8" s="1">
        <v>43518</v>
      </c>
      <c r="B8">
        <v>1631.5600589999999</v>
      </c>
      <c r="C8">
        <f t="shared" si="0"/>
        <v>7.4562744709221135E-3</v>
      </c>
    </row>
    <row r="9" spans="1:10" x14ac:dyDescent="0.35">
      <c r="A9" s="1">
        <v>43521</v>
      </c>
      <c r="B9">
        <v>1633</v>
      </c>
      <c r="C9">
        <f t="shared" si="0"/>
        <v>8.8216547856874417E-4</v>
      </c>
    </row>
    <row r="10" spans="1:10" x14ac:dyDescent="0.35">
      <c r="A10" s="1">
        <v>43522</v>
      </c>
      <c r="B10">
        <v>1636.400024</v>
      </c>
      <c r="C10">
        <f t="shared" si="0"/>
        <v>2.0799077511190543E-3</v>
      </c>
    </row>
    <row r="11" spans="1:10" x14ac:dyDescent="0.35">
      <c r="A11" s="1">
        <v>43523</v>
      </c>
      <c r="B11">
        <v>1641.089966</v>
      </c>
      <c r="C11">
        <f t="shared" si="0"/>
        <v>2.8619127536056378E-3</v>
      </c>
    </row>
    <row r="12" spans="1:10" x14ac:dyDescent="0.35">
      <c r="A12" s="1">
        <v>43524</v>
      </c>
      <c r="B12">
        <v>1639.829956</v>
      </c>
      <c r="C12">
        <f t="shared" si="0"/>
        <v>-7.680833984984026E-4</v>
      </c>
    </row>
    <row r="13" spans="1:10" x14ac:dyDescent="0.35">
      <c r="A13" s="1">
        <v>43525</v>
      </c>
      <c r="B13">
        <v>1671.7299800000001</v>
      </c>
      <c r="C13">
        <f t="shared" si="0"/>
        <v>1.9266455310888241E-2</v>
      </c>
    </row>
    <row r="14" spans="1:10" x14ac:dyDescent="0.35">
      <c r="A14" s="1">
        <v>43528</v>
      </c>
      <c r="B14">
        <v>1696.170044</v>
      </c>
      <c r="C14">
        <f t="shared" si="0"/>
        <v>1.4513787730843957E-2</v>
      </c>
    </row>
    <row r="15" spans="1:10" x14ac:dyDescent="0.35">
      <c r="A15" s="1">
        <v>43529</v>
      </c>
      <c r="B15">
        <v>1692.4300539999999</v>
      </c>
      <c r="C15">
        <f t="shared" si="0"/>
        <v>-2.2073962169980792E-3</v>
      </c>
    </row>
    <row r="16" spans="1:10" x14ac:dyDescent="0.35">
      <c r="A16" s="1">
        <v>43530</v>
      </c>
      <c r="B16">
        <v>1668.9499510000001</v>
      </c>
      <c r="C16">
        <f t="shared" si="0"/>
        <v>-1.3970741106837369E-2</v>
      </c>
    </row>
    <row r="17" spans="1:3" x14ac:dyDescent="0.35">
      <c r="A17" s="1">
        <v>43531</v>
      </c>
      <c r="B17">
        <v>1625.9499510000001</v>
      </c>
      <c r="C17">
        <f t="shared" si="0"/>
        <v>-2.6102426603364169E-2</v>
      </c>
    </row>
    <row r="18" spans="1:3" x14ac:dyDescent="0.35">
      <c r="A18" s="1">
        <v>43532</v>
      </c>
      <c r="B18">
        <v>1620.8000489999999</v>
      </c>
      <c r="C18">
        <f t="shared" si="0"/>
        <v>-3.1723454648213173E-3</v>
      </c>
    </row>
    <row r="19" spans="1:3" x14ac:dyDescent="0.35">
      <c r="A19" s="1">
        <v>43535</v>
      </c>
      <c r="B19">
        <v>1670.619995</v>
      </c>
      <c r="C19">
        <f t="shared" si="0"/>
        <v>3.0274927277519393E-2</v>
      </c>
    </row>
    <row r="20" spans="1:3" x14ac:dyDescent="0.35">
      <c r="A20" s="1">
        <v>43536</v>
      </c>
      <c r="B20">
        <v>1673.099976</v>
      </c>
      <c r="C20">
        <f t="shared" si="0"/>
        <v>1.4833667150657382E-3</v>
      </c>
    </row>
    <row r="21" spans="1:3" x14ac:dyDescent="0.35">
      <c r="A21" s="1">
        <v>43537</v>
      </c>
      <c r="B21">
        <v>1690.8100589999999</v>
      </c>
      <c r="C21">
        <f t="shared" si="0"/>
        <v>1.0529560210740819E-2</v>
      </c>
    </row>
    <row r="22" spans="1:3" x14ac:dyDescent="0.35">
      <c r="A22" s="1">
        <v>43538</v>
      </c>
      <c r="B22">
        <v>1686.219971</v>
      </c>
      <c r="C22">
        <f t="shared" si="0"/>
        <v>-2.7184187205184077E-3</v>
      </c>
    </row>
    <row r="23" spans="1:3" x14ac:dyDescent="0.35">
      <c r="A23" s="1">
        <v>43539</v>
      </c>
      <c r="B23">
        <v>1712.3599850000001</v>
      </c>
      <c r="C23">
        <f t="shared" si="0"/>
        <v>1.5383207000649806E-2</v>
      </c>
    </row>
    <row r="24" spans="1:3" x14ac:dyDescent="0.35">
      <c r="A24" s="1">
        <v>43542</v>
      </c>
      <c r="B24">
        <v>1742.150024</v>
      </c>
      <c r="C24">
        <f t="shared" si="0"/>
        <v>1.7247469193523837E-2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Option A Hedge</vt:lpstr>
      <vt:lpstr>Option B Hedge</vt:lpstr>
      <vt:lpstr>Option C Hedge</vt:lpstr>
      <vt:lpstr>jun aapl</vt:lpstr>
      <vt:lpstr>Jun bac</vt:lpstr>
      <vt:lpstr>jun amzn</vt:lpstr>
      <vt:lpstr>aapl april</vt:lpstr>
      <vt:lpstr>bac april</vt:lpstr>
      <vt:lpstr>amzn april</vt:lpstr>
      <vt:lpstr>Hedging Historical</vt:lpstr>
      <vt:lpstr>Option Selection</vt:lpstr>
      <vt:lpstr>Option A</vt:lpstr>
      <vt:lpstr>Option B</vt:lpstr>
      <vt:lpstr>Option C</vt:lpstr>
      <vt:lpstr>Option D</vt:lpstr>
      <vt:lpstr>Option 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Studentuser</dc:creator>
  <cp:lastModifiedBy>john steer</cp:lastModifiedBy>
  <dcterms:created xsi:type="dcterms:W3CDTF">2019-05-02T21:43:25Z</dcterms:created>
  <dcterms:modified xsi:type="dcterms:W3CDTF">2019-09-13T02:33:01Z</dcterms:modified>
</cp:coreProperties>
</file>