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08b0212c56f7a5/Desktop/UNC CLASS Project/Module 1 Homework/"/>
    </mc:Choice>
  </mc:AlternateContent>
  <xr:revisionPtr revIDLastSave="0" documentId="8_{E9D216C2-9D74-4071-8B83-C4A3223379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Theater Outcomes by Launch Date" sheetId="2" r:id="rId2"/>
    <sheet name="Outcomes Based on Goals" sheetId="4" r:id="rId3"/>
    <sheet name="Chart Theater Outcomes Launch D" sheetId="3" r:id="rId4"/>
    <sheet name="Outcomes Based on Goals Pivot" sheetId="6" r:id="rId5"/>
    <sheet name="Chart Outcomes vs Goals" sheetId="9" r:id="rId6"/>
  </sheets>
  <definedNames>
    <definedName name="_xlnm._FilterDatabase" localSheetId="0" hidden="1">Kickstarter!$A$1:$R$4115</definedName>
  </definedNames>
  <calcPr calcId="191029"/>
  <pivotCaches>
    <pivotCache cacheId="42" r:id="rId7"/>
    <pivotCache cacheId="6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4" l="1"/>
  <c r="D13" i="4"/>
  <c r="D12" i="4"/>
  <c r="D11" i="4"/>
  <c r="D10" i="4"/>
  <c r="D9" i="4"/>
  <c r="D8" i="4"/>
  <c r="D7" i="4"/>
  <c r="D6" i="4"/>
  <c r="D5" i="4"/>
  <c r="D4" i="4"/>
  <c r="D3" i="4"/>
  <c r="D2" i="4"/>
  <c r="C2" i="4"/>
  <c r="B2" i="4"/>
  <c r="C11" i="4"/>
  <c r="C13" i="4"/>
  <c r="B13" i="4"/>
  <c r="C12" i="4"/>
  <c r="C10" i="4"/>
  <c r="C9" i="4"/>
  <c r="C8" i="4"/>
  <c r="C6" i="4"/>
  <c r="C5" i="4"/>
  <c r="C4" i="4"/>
  <c r="C3" i="4"/>
  <c r="B3" i="4"/>
  <c r="B12" i="4"/>
  <c r="B11" i="4"/>
  <c r="B10" i="4"/>
  <c r="B9" i="4"/>
  <c r="B8" i="4"/>
  <c r="B7" i="4"/>
  <c r="B6" i="4"/>
  <c r="B5" i="4"/>
  <c r="B4" i="4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E2" i="4" l="1"/>
  <c r="G2" i="4" s="1"/>
  <c r="E4" i="4"/>
  <c r="G4" i="4" s="1"/>
  <c r="E10" i="4"/>
  <c r="F10" i="4" s="1"/>
  <c r="E12" i="4"/>
  <c r="H12" i="4" s="1"/>
  <c r="E6" i="4"/>
  <c r="F6" i="4" s="1"/>
  <c r="E11" i="4"/>
  <c r="H11" i="4" s="1"/>
  <c r="E3" i="4"/>
  <c r="F3" i="4" s="1"/>
  <c r="E5" i="4"/>
  <c r="G5" i="4" s="1"/>
  <c r="E8" i="4"/>
  <c r="F8" i="4" s="1"/>
  <c r="E9" i="4"/>
  <c r="H9" i="4" s="1"/>
  <c r="E7" i="4"/>
  <c r="H7" i="4" s="1"/>
  <c r="E13" i="4"/>
  <c r="F2" i="4" l="1"/>
  <c r="H10" i="4"/>
  <c r="G3" i="4"/>
  <c r="H3" i="4"/>
  <c r="F4" i="4"/>
  <c r="H2" i="4"/>
  <c r="H4" i="4"/>
  <c r="G9" i="4"/>
  <c r="F7" i="4"/>
  <c r="H8" i="4"/>
  <c r="G8" i="4"/>
  <c r="G12" i="4"/>
  <c r="F12" i="4"/>
  <c r="G10" i="4"/>
  <c r="F11" i="4"/>
  <c r="G11" i="4"/>
  <c r="G6" i="4"/>
  <c r="H6" i="4"/>
  <c r="F13" i="4"/>
  <c r="H13" i="4"/>
  <c r="G7" i="4"/>
  <c r="G13" i="4"/>
  <c r="F5" i="4"/>
  <c r="H5" i="4"/>
  <c r="F9" i="4"/>
</calcChain>
</file>

<file path=xl/sharedStrings.xml><?xml version="1.0" encoding="utf-8"?>
<sst xmlns="http://schemas.openxmlformats.org/spreadsheetml/2006/main" count="24760" uniqueCount="8351">
  <si>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</si>
  <si>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</si>
  <si>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</si>
  <si>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</si>
  <si>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</si>
  <si>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</si>
  <si>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</si>
  <si>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</si>
  <si>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</si>
  <si>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</si>
  <si>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</si>
  <si>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</si>
  <si>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</si>
  <si>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</si>
  <si>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</si>
  <si>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</si>
  <si>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</si>
  <si>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</si>
  <si>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</si>
  <si>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</si>
  <si>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</si>
  <si>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</si>
  <si>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</si>
  <si>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</si>
  <si>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</si>
  <si>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</si>
  <si>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</si>
  <si>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</si>
  <si>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</si>
  <si>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</si>
  <si>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</si>
  <si>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</si>
  <si>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</si>
  <si>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</si>
  <si>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</si>
  <si>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</si>
  <si>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</si>
  <si>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</si>
  <si>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</si>
  <si>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</si>
  <si>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</si>
  <si>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</si>
  <si>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</si>
  <si>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</si>
  <si>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</si>
  <si>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</si>
  <si>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</si>
  <si>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</si>
  <si>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</si>
  <si>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</si>
  <si>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</si>
  <si>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</si>
  <si>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</si>
  <si>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</si>
  <si>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</si>
  <si>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</si>
  <si>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</si>
  <si>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</si>
  <si>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</si>
  <si>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</si>
  <si>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</si>
  <si>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</si>
  <si>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</si>
  <si>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</si>
  <si>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</si>
  <si>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</si>
  <si>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</si>
  <si>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</si>
  <si>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</si>
  <si>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</si>
  <si>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</si>
  <si>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</si>
  <si>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</si>
  <si>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</si>
  <si>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</si>
  <si>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</si>
  <si>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</si>
  <si>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</si>
  <si>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</si>
  <si>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</si>
  <si>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</si>
  <si>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</si>
  <si>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</si>
  <si>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</si>
  <si>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</si>
  <si>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</si>
  <si>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</si>
  <si>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</si>
  <si>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</si>
  <si>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</si>
  <si>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</si>
  <si>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</si>
  <si>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</si>
  <si>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</si>
  <si>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</si>
  <si>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</si>
  <si>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</si>
  <si>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</si>
  <si>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</si>
  <si>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</si>
  <si>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</si>
  <si>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</si>
  <si>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</si>
  <si>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</si>
  <si>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</si>
  <si>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</si>
  <si>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</si>
  <si>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</si>
  <si>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</si>
  <si>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</si>
  <si>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</si>
  <si>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</si>
  <si>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</si>
  <si>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</si>
  <si>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</si>
  <si>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</si>
  <si>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</si>
  <si>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</si>
  <si>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</si>
  <si>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</si>
  <si>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</si>
  <si>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</si>
  <si>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</si>
  <si>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</si>
  <si>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</si>
  <si>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</si>
  <si>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</si>
  <si>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</si>
  <si>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</si>
  <si>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</si>
  <si>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</si>
  <si>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</si>
  <si>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</si>
  <si>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</si>
  <si>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</si>
  <si>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</si>
  <si>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</si>
  <si>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</si>
  <si>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</si>
  <si>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</si>
  <si>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</si>
  <si>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</si>
  <si>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</si>
  <si>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</si>
  <si>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</si>
  <si>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</si>
  <si>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</si>
  <si>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</si>
  <si>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</si>
  <si>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</si>
  <si>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</si>
  <si>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</si>
  <si>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</si>
  <si>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</si>
  <si>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</si>
  <si>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</si>
  <si>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</si>
  <si>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</si>
  <si>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</si>
  <si>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</si>
  <si>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</si>
  <si>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</si>
  <si>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</si>
  <si>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</si>
  <si>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</si>
  <si>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</si>
  <si>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</si>
  <si>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</si>
  <si>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</si>
  <si>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</si>
  <si>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</si>
  <si>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</si>
  <si>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</si>
  <si>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</si>
  <si>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</si>
  <si>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</si>
  <si>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</si>
  <si>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</si>
  <si>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</si>
  <si>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</si>
  <si>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</si>
  <si>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</si>
  <si>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</si>
  <si>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</si>
  <si>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</si>
  <si>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</si>
  <si>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</si>
  <si>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</si>
  <si>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</si>
  <si>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</si>
  <si>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</si>
  <si>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</si>
  <si>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</si>
  <si>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</si>
  <si>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</si>
  <si>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</si>
  <si>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</si>
  <si>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</si>
  <si>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</si>
  <si>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</si>
  <si>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</si>
  <si>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</si>
  <si>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</si>
  <si>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</si>
  <si>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</si>
  <si>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</si>
  <si>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</si>
  <si>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</si>
  <si>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</si>
  <si>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</si>
  <si>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</si>
  <si>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</si>
  <si>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</si>
  <si>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</si>
  <si>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</si>
  <si>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</si>
  <si>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</si>
  <si>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</si>
  <si>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</si>
  <si>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</si>
  <si>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</si>
  <si>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</si>
  <si>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</si>
  <si>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</si>
  <si>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</si>
  <si>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</si>
  <si>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</si>
  <si>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</si>
  <si>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</si>
  <si>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</si>
  <si>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</si>
  <si>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</si>
  <si>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</si>
  <si>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</si>
  <si>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</si>
  <si>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</si>
  <si>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</si>
  <si>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</si>
  <si>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</si>
  <si>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</si>
  <si>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</si>
  <si>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</si>
  <si>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</si>
  <si>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</si>
  <si>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</si>
  <si>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</si>
  <si>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</si>
  <si>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</si>
  <si>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</si>
  <si>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</si>
  <si>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</si>
  <si>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</si>
  <si>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</si>
  <si>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</si>
  <si>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</si>
  <si>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</si>
  <si>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</si>
  <si>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</si>
  <si>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</si>
  <si>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</si>
  <si>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</si>
  <si>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</si>
  <si>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</si>
  <si>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</si>
  <si>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</si>
  <si>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</si>
  <si>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</si>
  <si>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</si>
  <si>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</si>
  <si>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</si>
  <si>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</si>
  <si>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</si>
  <si>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</si>
  <si>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</si>
  <si>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</si>
  <si>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</si>
  <si>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</si>
  <si>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</si>
  <si>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</si>
  <si>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</si>
  <si>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</si>
  <si>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</si>
  <si>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</si>
  <si>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</si>
  <si>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</si>
  <si>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</si>
  <si>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</si>
  <si>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</si>
  <si>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</si>
  <si>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</si>
  <si>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</si>
  <si>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</si>
  <si>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</si>
  <si>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</si>
  <si>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</si>
  <si>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</si>
  <si>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</si>
  <si>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</si>
  <si>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</si>
  <si>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</si>
  <si>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</si>
  <si>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</si>
  <si>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</si>
  <si>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</si>
  <si>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</si>
  <si>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</si>
  <si>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</si>
  <si>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</si>
  <si>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</si>
  <si>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</si>
  <si>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</si>
  <si>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</si>
  <si>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</si>
  <si>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</si>
  <si>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</si>
  <si>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</si>
  <si>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</si>
  <si>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</si>
  <si>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</si>
  <si>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</si>
  <si>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</si>
  <si>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</si>
  <si>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</si>
  <si>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</si>
  <si>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</si>
  <si>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</si>
  <si>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</si>
  <si>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</si>
  <si>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</si>
  <si>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</si>
  <si>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</si>
  <si>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</si>
  <si>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</si>
  <si>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</si>
  <si>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</si>
  <si>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</si>
  <si>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</si>
  <si>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</si>
  <si>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</si>
  <si>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</si>
  <si>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</si>
  <si>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</si>
  <si>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</si>
  <si>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</si>
  <si>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</si>
  <si>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</si>
  <si>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</si>
  <si>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</si>
  <si>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</si>
  <si>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</si>
  <si>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</si>
  <si>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</si>
  <si>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</si>
  <si>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</si>
  <si>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</si>
  <si>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</si>
  <si>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</si>
  <si>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</si>
  <si>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</si>
  <si>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</si>
  <si>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</si>
  <si>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</si>
  <si>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</si>
  <si>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</si>
  <si>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</si>
  <si>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</si>
  <si>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</si>
  <si>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</si>
  <si>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</si>
  <si>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</si>
  <si>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</si>
  <si>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</si>
  <si>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</si>
  <si>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</si>
  <si>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</si>
  <si>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</si>
  <si>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</si>
  <si>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</si>
  <si>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</si>
  <si>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</si>
  <si>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</si>
  <si>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</si>
  <si>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</si>
  <si>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</si>
  <si>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</si>
  <si>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</si>
  <si>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</si>
  <si>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</si>
  <si>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</si>
  <si>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</si>
  <si>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</si>
  <si>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</si>
  <si>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</si>
  <si>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</si>
  <si>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</si>
  <si>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</si>
  <si>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</si>
  <si>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</si>
  <si>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</si>
  <si>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</si>
  <si>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</si>
  <si>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</si>
  <si>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</si>
  <si>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</si>
  <si>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</si>
  <si>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</si>
  <si>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</si>
  <si>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</si>
  <si>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</si>
  <si>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</si>
  <si>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</si>
  <si>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</si>
  <si>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</si>
  <si>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</si>
  <si>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</si>
  <si>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</si>
  <si>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</si>
  <si>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</si>
  <si>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</si>
  <si>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</si>
  <si>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</si>
  <si>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</si>
  <si>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</si>
  <si>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</si>
  <si>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</si>
  <si>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</si>
  <si>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</si>
  <si>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</si>
  <si>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</si>
  <si>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</si>
  <si>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</si>
  <si>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</si>
  <si>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</si>
  <si>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</si>
  <si>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</si>
  <si>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</si>
  <si>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</si>
  <si>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</si>
  <si>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</si>
  <si>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</si>
  <si>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</si>
  <si>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</si>
  <si>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</si>
  <si>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</si>
  <si>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</si>
  <si>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</si>
  <si>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</si>
  <si>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</si>
  <si>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</si>
  <si>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</si>
  <si>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</si>
  <si>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</si>
  <si>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</si>
  <si>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</si>
  <si>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</si>
  <si>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</si>
  <si>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</si>
  <si>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</si>
  <si>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</si>
  <si>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</si>
  <si>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</si>
  <si>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</si>
  <si>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</si>
  <si>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</si>
  <si>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</si>
  <si>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</si>
  <si>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</si>
  <si>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</si>
  <si>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</si>
  <si>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</si>
  <si>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</si>
  <si>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</si>
  <si>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</si>
  <si>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</si>
  <si>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</si>
  <si>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</si>
  <si>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</si>
  <si>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</si>
  <si>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</si>
  <si>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</si>
  <si>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</si>
  <si>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</si>
  <si>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</si>
  <si>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</si>
  <si>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</si>
  <si>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</si>
  <si>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</si>
  <si>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</si>
  <si>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</si>
  <si>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</si>
  <si>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</si>
  <si>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</si>
  <si>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</si>
  <si>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</si>
  <si>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</si>
  <si>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</si>
  <si>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</si>
  <si>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</si>
  <si>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</si>
  <si>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</si>
  <si>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</si>
  <si>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</si>
  <si>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</si>
  <si>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</si>
  <si>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</si>
  <si>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</si>
  <si>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</si>
  <si>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</si>
  <si>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</si>
  <si>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</si>
  <si>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</si>
  <si>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</si>
  <si>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</si>
  <si>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</si>
  <si>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</si>
  <si>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</si>
  <si>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</si>
  <si>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</si>
  <si>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</si>
  <si>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</si>
  <si>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</si>
  <si>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</si>
  <si>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</si>
  <si>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</si>
  <si>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</si>
  <si>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</si>
  <si>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</si>
  <si>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</si>
  <si>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</si>
  <si>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</si>
  <si>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</si>
  <si>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</si>
  <si>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</si>
  <si>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</si>
  <si>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</si>
  <si>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</si>
  <si>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</si>
  <si>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</si>
  <si>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</si>
  <si>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</si>
  <si>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</si>
  <si>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</si>
  <si>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</si>
  <si>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</si>
  <si>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</si>
  <si>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</si>
  <si>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</si>
  <si>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</si>
  <si>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</si>
  <si>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</si>
  <si>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</si>
  <si>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</si>
  <si>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</si>
  <si>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</si>
  <si>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</si>
  <si>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</si>
  <si>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</si>
  <si>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</si>
  <si>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</si>
  <si>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</si>
  <si>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</si>
  <si>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</si>
  <si>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</si>
  <si>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</si>
  <si>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</si>
  <si>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</si>
  <si>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</si>
  <si>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</si>
  <si>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</si>
  <si>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</si>
  <si>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</si>
  <si>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</si>
  <si>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</si>
  <si>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</si>
  <si>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</si>
  <si>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</si>
  <si>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</si>
  <si>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</si>
  <si>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</si>
  <si>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</si>
  <si>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</si>
  <si>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</si>
  <si>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</si>
  <si>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</si>
  <si>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</si>
  <si>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</si>
  <si>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</si>
  <si>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</si>
  <si>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</si>
  <si>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</si>
  <si>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</si>
  <si>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</si>
  <si>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</si>
  <si>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</si>
  <si>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</si>
  <si>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</si>
  <si>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</si>
  <si>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</si>
  <si>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</si>
  <si>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</si>
  <si>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</si>
  <si>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</si>
  <si>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</si>
  <si>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</si>
  <si>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</si>
  <si>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</si>
  <si>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</si>
  <si>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</si>
  <si>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</si>
  <si>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</si>
  <si>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</si>
  <si>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</si>
  <si>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</si>
  <si>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</si>
  <si>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</si>
  <si>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</si>
  <si>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</si>
  <si>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</si>
  <si>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</si>
  <si>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</si>
  <si>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</si>
  <si>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</si>
  <si>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</si>
  <si>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</si>
  <si>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</si>
  <si>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</si>
  <si>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</si>
  <si>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</si>
  <si>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</si>
  <si>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</si>
  <si>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</si>
  <si>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</si>
  <si>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</si>
  <si>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</si>
  <si>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</si>
  <si>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</si>
  <si>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</si>
  <si>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</si>
  <si>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</si>
  <si>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</si>
  <si>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</si>
  <si>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</si>
  <si>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</si>
  <si>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</si>
  <si>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</si>
  <si>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</si>
  <si>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</si>
  <si>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</si>
  <si>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</si>
  <si>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</si>
  <si>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</si>
  <si>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</si>
  <si>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</si>
  <si>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</si>
  <si>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</si>
  <si>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</si>
  <si>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</si>
  <si>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</si>
  <si>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</si>
  <si>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</si>
  <si>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</si>
  <si>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</si>
  <si>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</si>
  <si>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</si>
  <si>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</si>
  <si>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</si>
  <si>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</si>
  <si>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</si>
  <si>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</si>
  <si>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</si>
  <si>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</si>
  <si>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</si>
  <si>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</si>
  <si>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</si>
  <si>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</si>
  <si>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</si>
  <si>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</si>
  <si>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</si>
  <si>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</si>
  <si>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</si>
  <si>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</si>
  <si>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</si>
  <si>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</si>
  <si>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</si>
  <si>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</si>
  <si>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</si>
  <si>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</si>
  <si>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</si>
  <si>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</si>
  <si>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</si>
  <si>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</si>
  <si>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</si>
  <si>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</si>
  <si>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</si>
  <si>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</si>
  <si>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</si>
  <si>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</si>
  <si>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</si>
  <si>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</si>
  <si>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</si>
  <si>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</si>
  <si>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</si>
  <si>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</si>
  <si>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</si>
  <si>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</si>
  <si>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</si>
  <si>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</si>
  <si>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</si>
  <si>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</si>
  <si>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</si>
  <si>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</si>
  <si>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</si>
  <si>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</si>
  <si>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</si>
  <si>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</si>
  <si>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</si>
  <si>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</si>
  <si>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</si>
  <si>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</si>
  <si>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</si>
  <si>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</si>
  <si>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</si>
  <si>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</si>
  <si>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</si>
  <si>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</si>
  <si>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</si>
  <si>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</si>
  <si>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</si>
  <si>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</si>
  <si>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</si>
  <si>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</si>
  <si>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</si>
  <si>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</si>
  <si>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</si>
  <si>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</si>
  <si>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</si>
  <si>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</si>
  <si>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</si>
  <si>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</si>
  <si>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</si>
  <si>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</si>
  <si>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</si>
  <si>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</si>
  <si>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</si>
  <si>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</si>
  <si>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</si>
  <si>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</si>
  <si>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</si>
  <si>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</si>
  <si>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</si>
  <si>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</si>
  <si>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</si>
  <si>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</si>
  <si>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</si>
  <si>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</si>
  <si>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</si>
  <si>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</si>
  <si>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</si>
  <si>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</si>
  <si>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</si>
  <si>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</si>
  <si>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</si>
  <si>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</si>
  <si>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</si>
  <si>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</si>
  <si>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</si>
  <si>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</si>
  <si>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</si>
  <si>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</si>
  <si>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</si>
  <si>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</si>
  <si>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</si>
  <si>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</si>
  <si>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</si>
  <si>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</si>
  <si>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</si>
  <si>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</si>
  <si>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</si>
  <si>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</si>
  <si>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</si>
  <si>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</si>
  <si>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</si>
  <si>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</si>
  <si>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</si>
  <si>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</si>
  <si>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</si>
  <si>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</si>
  <si>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</si>
  <si>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</si>
  <si>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</si>
  <si>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</si>
  <si>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</si>
  <si>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</si>
  <si>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</si>
  <si>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</si>
  <si>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</si>
  <si>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</si>
  <si>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</si>
  <si>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</si>
  <si>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</si>
  <si>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</si>
  <si>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</si>
  <si>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</si>
  <si>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</si>
  <si>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</si>
  <si>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</si>
  <si>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</si>
  <si>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</si>
  <si>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</si>
  <si>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</si>
  <si>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</si>
  <si>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</si>
  <si>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</si>
  <si>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</si>
  <si>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</si>
  <si>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</si>
  <si>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</si>
  <si>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</si>
  <si>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</si>
  <si>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</si>
  <si>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</si>
  <si>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</si>
  <si>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</si>
  <si>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</si>
  <si>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</si>
  <si>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</si>
  <si>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</si>
  <si>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</si>
  <si>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</si>
  <si>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</si>
  <si>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</si>
  <si>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</si>
  <si>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</si>
  <si>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</si>
  <si>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</si>
  <si>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</si>
  <si>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</si>
  <si>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</si>
  <si>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</si>
  <si>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</si>
  <si>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</si>
  <si>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</si>
  <si>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</si>
  <si>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</si>
  <si>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</si>
  <si>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</si>
  <si>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</si>
  <si>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</si>
  <si>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</si>
  <si>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</si>
  <si>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</si>
  <si>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</si>
  <si>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</si>
  <si>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</si>
  <si>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</si>
  <si>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</si>
  <si>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</si>
  <si>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</si>
  <si>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</si>
  <si>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</si>
  <si>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</si>
  <si>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</si>
  <si>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</si>
  <si>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</si>
  <si>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</si>
  <si>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</si>
  <si>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</si>
  <si>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</si>
  <si>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</si>
  <si>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</si>
  <si>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</si>
  <si>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</si>
  <si>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</si>
  <si>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</si>
  <si>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</si>
  <si>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</si>
  <si>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</si>
  <si>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</si>
  <si>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</si>
  <si>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</si>
  <si>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</si>
  <si>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</si>
  <si>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</si>
  <si>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</si>
  <si>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</si>
  <si>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</si>
  <si>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</si>
  <si>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</si>
  <si>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</si>
  <si>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</si>
  <si>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</si>
  <si>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</si>
  <si>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</si>
  <si>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</si>
  <si>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</si>
  <si>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</si>
  <si>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</si>
  <si>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</si>
  <si>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</si>
  <si>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</si>
  <si>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</si>
  <si>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</si>
  <si>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</si>
  <si>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</si>
  <si>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</si>
  <si>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</si>
  <si>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</si>
  <si>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</si>
  <si>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</si>
  <si>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</si>
  <si>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</si>
  <si>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</si>
  <si>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</si>
  <si>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</si>
  <si>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</si>
  <si>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</si>
  <si>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</si>
  <si>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</si>
  <si>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</si>
  <si>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</si>
  <si>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</si>
  <si>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</si>
  <si>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</si>
  <si>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</si>
  <si>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</si>
  <si>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</si>
  <si>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</si>
  <si>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</si>
  <si>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</si>
  <si>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</si>
  <si>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</si>
  <si>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</si>
  <si>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</si>
  <si>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</si>
  <si>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</si>
  <si>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</si>
  <si>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</si>
  <si>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</si>
  <si>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</si>
  <si>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</si>
  <si>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</si>
  <si>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</si>
  <si>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</si>
  <si>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</si>
  <si>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</si>
  <si>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</si>
  <si>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</si>
  <si>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</si>
  <si>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</si>
  <si>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</si>
  <si>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</si>
  <si>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</si>
  <si>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</si>
  <si>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</si>
  <si>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</si>
  <si>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</si>
  <si>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</si>
  <si>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</si>
  <si>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</si>
  <si>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</si>
  <si>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</si>
  <si>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</si>
  <si>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</si>
  <si>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</si>
  <si>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</si>
  <si>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</si>
  <si>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</si>
  <si>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</si>
  <si>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</si>
  <si>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</si>
  <si>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</si>
  <si>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</si>
  <si>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</si>
  <si>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</si>
  <si>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</si>
  <si>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</si>
  <si>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</si>
  <si>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</si>
  <si>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</si>
  <si>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</si>
  <si>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</si>
  <si>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</si>
  <si>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</si>
  <si>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</si>
  <si>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</si>
  <si>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</si>
  <si>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</si>
  <si>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</si>
  <si>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</si>
  <si>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</si>
  <si>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</si>
  <si>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</si>
  <si>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</si>
  <si>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</si>
  <si>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</si>
  <si>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</si>
  <si>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</si>
  <si>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</si>
  <si>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</si>
  <si>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</si>
  <si>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</si>
  <si>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</si>
  <si>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</si>
  <si>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</si>
  <si>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</si>
  <si>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</si>
  <si>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</si>
  <si>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</si>
  <si>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</si>
  <si>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</si>
  <si>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</si>
  <si>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</si>
  <si>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</si>
  <si>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</si>
  <si>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</si>
  <si>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</si>
  <si>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</si>
  <si>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</si>
  <si>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</si>
  <si>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</si>
  <si>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</si>
  <si>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</si>
  <si>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</si>
  <si>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</si>
  <si>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</si>
  <si>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</si>
  <si>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</si>
  <si>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</si>
  <si>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</si>
  <si>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</si>
  <si>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</si>
  <si>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</si>
  <si>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</si>
  <si>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</si>
  <si>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</si>
  <si>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</si>
  <si>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</si>
  <si>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</si>
  <si>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</si>
  <si>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</si>
  <si>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</si>
  <si>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</si>
  <si>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</si>
  <si>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</si>
  <si>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</si>
  <si>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</si>
  <si>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</si>
  <si>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</si>
  <si>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</si>
  <si>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</si>
  <si>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</si>
  <si>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</si>
  <si>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</si>
  <si>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</si>
  <si>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</si>
  <si>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</si>
  <si>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</si>
  <si>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</si>
  <si>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</si>
  <si>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</si>
  <si>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</si>
  <si>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</si>
  <si>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</si>
  <si>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</si>
  <si>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</si>
  <si>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</si>
  <si>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</si>
  <si>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</si>
  <si>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</si>
  <si>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</si>
  <si>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</si>
  <si>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</si>
  <si>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</si>
  <si>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</si>
  <si>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</si>
  <si>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</si>
  <si>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</si>
  <si>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</si>
  <si>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</si>
  <si>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</si>
  <si>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</si>
  <si>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</si>
  <si>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</si>
  <si>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</si>
  <si>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</si>
  <si>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</si>
  <si>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</si>
  <si>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</si>
  <si>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</si>
  <si>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</si>
  <si>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</si>
  <si>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</si>
  <si>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</si>
  <si>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</si>
  <si>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</si>
  <si>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</si>
  <si>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</si>
  <si>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</si>
  <si>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</si>
  <si>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</si>
  <si>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</si>
  <si>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</si>
  <si>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</si>
  <si>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</si>
  <si>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</si>
  <si>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</si>
  <si>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</si>
  <si>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</si>
  <si>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</si>
  <si>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</si>
  <si>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</si>
  <si>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</si>
  <si>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</si>
  <si>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</si>
  <si>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</si>
  <si>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</si>
  <si>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</si>
  <si>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</si>
  <si>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</si>
  <si>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</si>
  <si>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</si>
  <si>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</si>
  <si>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</si>
  <si>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</si>
  <si>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</si>
  <si>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</si>
  <si>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</si>
  <si>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</si>
  <si>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</si>
  <si>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</si>
  <si>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</si>
  <si>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</si>
  <si>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</si>
  <si>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</si>
  <si>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</si>
  <si>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</si>
  <si>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</si>
  <si>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</si>
  <si>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</si>
  <si>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</si>
  <si>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</si>
  <si>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</si>
  <si>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</si>
  <si>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</si>
  <si>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</si>
  <si>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</si>
  <si>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</si>
  <si>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</si>
  <si>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</si>
  <si>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</si>
  <si>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</si>
  <si>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</si>
  <si>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</si>
  <si>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</si>
  <si>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</si>
  <si>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</si>
  <si>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</si>
  <si>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</si>
  <si>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</si>
  <si>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</si>
  <si>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</si>
  <si>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</si>
  <si>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</si>
  <si>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</si>
  <si>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</si>
  <si>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</si>
  <si>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</si>
  <si>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</si>
  <si>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</si>
  <si>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</si>
  <si>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</si>
  <si>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</si>
  <si>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</si>
  <si>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</si>
  <si>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</si>
  <si>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</si>
  <si>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</si>
  <si>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</si>
  <si>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</si>
  <si>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</si>
  <si>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</si>
  <si>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</si>
  <si>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</si>
  <si>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</si>
  <si>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</si>
  <si>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</si>
  <si>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</si>
  <si>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</si>
  <si>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</si>
  <si>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</si>
  <si>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</si>
  <si>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</si>
  <si>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</si>
  <si>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</si>
  <si>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</si>
  <si>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</si>
  <si>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</si>
  <si>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</si>
  <si>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</si>
  <si>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</si>
  <si>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</si>
  <si>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</si>
  <si>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</si>
  <si>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</si>
  <si>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</si>
  <si>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</si>
  <si>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</si>
  <si>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</si>
  <si>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</si>
  <si>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</si>
  <si>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</si>
  <si>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</si>
  <si>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</si>
  <si>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</si>
  <si>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</si>
  <si>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</si>
  <si>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</si>
  <si>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</si>
  <si>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</si>
  <si>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</si>
  <si>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</si>
  <si>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</si>
  <si>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</si>
  <si>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</si>
  <si>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</si>
  <si>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</si>
  <si>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</si>
  <si>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</si>
  <si>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</si>
  <si>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</si>
  <si>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</si>
  <si>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</si>
  <si>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</si>
  <si>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</si>
  <si>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</si>
  <si>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</si>
  <si>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</si>
  <si>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</si>
  <si>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</si>
  <si>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</si>
  <si>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</si>
  <si>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</si>
  <si>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</si>
  <si>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</si>
  <si>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</si>
  <si>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</si>
  <si>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</si>
  <si>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</si>
  <si>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</si>
  <si>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</si>
  <si>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</si>
  <si>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</si>
  <si>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</si>
  <si>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</si>
  <si>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</si>
  <si>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</si>
  <si>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</si>
  <si>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</si>
  <si>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</si>
  <si>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</si>
  <si>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</si>
  <si>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</si>
  <si>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</si>
  <si>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</si>
  <si>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</si>
  <si>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</si>
  <si>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</si>
  <si>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</si>
  <si>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</si>
  <si>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</si>
  <si>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</si>
  <si>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</si>
  <si>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</si>
  <si>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</si>
  <si>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</si>
  <si>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</si>
  <si>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</si>
  <si>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</si>
  <si>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</si>
  <si>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</si>
  <si>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</si>
  <si>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</si>
  <si>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</si>
  <si>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</si>
  <si>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</si>
  <si>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</si>
  <si>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</si>
  <si>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</si>
  <si>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</si>
  <si>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</si>
  <si>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</si>
  <si>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</si>
  <si>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</si>
  <si>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</si>
  <si>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</si>
  <si>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</si>
  <si>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</si>
  <si>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</si>
  <si>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</si>
  <si>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</si>
  <si>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</si>
  <si>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</si>
  <si>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</si>
  <si>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</si>
  <si>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</si>
  <si>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</si>
  <si>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</si>
  <si>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</si>
  <si>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</si>
  <si>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</si>
  <si>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</si>
  <si>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</si>
  <si>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</si>
  <si>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</si>
  <si>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</si>
  <si>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</si>
  <si>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</si>
  <si>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</si>
  <si>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</si>
  <si>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</si>
  <si>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</si>
  <si>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</si>
  <si>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</si>
  <si>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</si>
  <si>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</si>
  <si>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</si>
  <si>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</si>
  <si>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</si>
  <si>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</si>
  <si>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</si>
  <si>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</si>
  <si>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</si>
  <si>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</si>
  <si>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</si>
  <si>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</si>
  <si>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</si>
  <si>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</si>
  <si>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</si>
  <si>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</si>
  <si>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</si>
  <si>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</si>
  <si>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</si>
  <si>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</si>
  <si>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</si>
  <si>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</si>
  <si>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</si>
  <si>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</si>
  <si>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</si>
  <si>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</si>
  <si>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</si>
  <si>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</si>
  <si>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</si>
  <si>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</si>
  <si>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</si>
  <si>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</si>
  <si>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</si>
  <si>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</si>
  <si>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</si>
  <si>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</si>
  <si>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</si>
  <si>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</si>
  <si>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</si>
  <si>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</si>
  <si>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</si>
  <si>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</si>
  <si>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</si>
  <si>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</si>
  <si>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</si>
  <si>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</si>
  <si>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</si>
  <si>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</si>
  <si>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</si>
  <si>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</si>
  <si>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</si>
  <si>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</si>
  <si>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</si>
  <si>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</si>
  <si>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</si>
  <si>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</si>
  <si>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</si>
  <si>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</si>
  <si>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</si>
  <si>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</si>
  <si>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</si>
  <si>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</si>
  <si>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</si>
  <si>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</si>
  <si>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</si>
  <si>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</si>
  <si>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</si>
  <si>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</si>
  <si>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</si>
  <si>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</si>
  <si>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</si>
  <si>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</si>
  <si>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</si>
  <si>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</si>
  <si>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</si>
  <si>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</si>
  <si>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</si>
  <si>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</si>
  <si>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</si>
  <si>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</si>
  <si>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</si>
  <si>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</si>
  <si>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</si>
  <si>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</si>
  <si>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</si>
  <si>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</si>
  <si>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</si>
  <si>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</si>
  <si>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</si>
  <si>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</si>
  <si>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</si>
  <si>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</si>
  <si>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</si>
  <si>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</si>
  <si>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</si>
  <si>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</si>
  <si>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</si>
  <si>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</si>
  <si>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</si>
  <si>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</si>
  <si>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</si>
  <si>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</si>
  <si>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</si>
  <si>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</si>
  <si>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</si>
  <si>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</si>
  <si>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</si>
  <si>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</si>
  <si>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</si>
  <si>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</si>
  <si>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</si>
  <si>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</si>
  <si>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</si>
  <si>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</si>
  <si>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</si>
  <si>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</si>
  <si>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</si>
  <si>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</si>
  <si>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</si>
  <si>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</si>
  <si>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</si>
  <si>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</si>
  <si>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</si>
  <si>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</si>
  <si>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</si>
  <si>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</si>
  <si>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</si>
  <si>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</si>
  <si>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</si>
  <si>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</si>
  <si>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</si>
  <si>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</si>
  <si>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</si>
  <si>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</si>
  <si>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</si>
  <si>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</si>
  <si>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</si>
  <si>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</si>
  <si>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</si>
  <si>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</si>
  <si>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</si>
  <si>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</si>
  <si>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</si>
  <si>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</si>
  <si>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</si>
  <si>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</si>
  <si>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</si>
  <si>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</si>
  <si>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</si>
  <si>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</si>
  <si>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</si>
  <si>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</si>
  <si>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</si>
  <si>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</si>
  <si>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</si>
  <si>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</si>
  <si>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</si>
  <si>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</si>
  <si>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</si>
  <si>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</si>
  <si>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</si>
  <si>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</si>
  <si>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</si>
  <si>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</si>
  <si>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</si>
  <si>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</si>
  <si>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</si>
  <si>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</si>
  <si>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</si>
  <si>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</si>
  <si>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</si>
  <si>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</si>
  <si>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</si>
  <si>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</si>
  <si>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</si>
  <si>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</si>
  <si>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</si>
  <si>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</si>
  <si>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</si>
  <si>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</si>
  <si>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</si>
  <si>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</si>
  <si>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</si>
  <si>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</si>
  <si>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</si>
  <si>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</si>
  <si>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</si>
  <si>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</si>
  <si>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</si>
  <si>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</si>
  <si>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</si>
  <si>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</si>
  <si>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</si>
  <si>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</si>
  <si>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</si>
  <si>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</si>
  <si>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</si>
  <si>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</si>
  <si>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</si>
  <si>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</si>
  <si>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</si>
  <si>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</si>
  <si>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</si>
  <si>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</si>
  <si>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</si>
  <si>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</si>
  <si>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</si>
  <si>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</si>
  <si>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</si>
  <si>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</si>
  <si>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</si>
  <si>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</si>
  <si>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</si>
  <si>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</si>
  <si>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</si>
  <si>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</si>
  <si>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</si>
  <si>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</si>
  <si>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</si>
  <si>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</si>
  <si>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</si>
  <si>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</si>
  <si>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</si>
  <si>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</si>
  <si>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</si>
  <si>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</si>
  <si>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</si>
  <si>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</si>
  <si>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</si>
  <si>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</si>
  <si>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</si>
  <si>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</si>
  <si>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</si>
  <si>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</si>
  <si>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</si>
  <si>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</si>
  <si>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</si>
  <si>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</si>
  <si>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</si>
  <si>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</si>
  <si>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</si>
  <si>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</si>
  <si>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</si>
  <si>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</si>
  <si>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</si>
  <si>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</si>
  <si>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</si>
  <si>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</si>
  <si>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</si>
  <si>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</si>
  <si>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</si>
  <si>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</si>
  <si>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</si>
  <si>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</si>
  <si>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</si>
  <si>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</si>
  <si>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</si>
  <si>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</si>
  <si>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</si>
  <si>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</si>
  <si>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</si>
  <si>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</si>
  <si>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</si>
  <si>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</si>
  <si>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</si>
  <si>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</si>
  <si>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</si>
  <si>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</si>
  <si>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</si>
  <si>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</si>
  <si>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</si>
  <si>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</si>
  <si>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</si>
  <si>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</si>
  <si>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</si>
  <si>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</si>
  <si>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</si>
  <si>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</si>
  <si>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</si>
  <si>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</si>
  <si>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</si>
  <si>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</si>
  <si>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</si>
  <si>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</si>
  <si>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</si>
  <si>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</si>
  <si>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</si>
  <si>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</si>
  <si>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</si>
  <si>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</si>
  <si>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</si>
  <si>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</si>
  <si>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</si>
  <si>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</si>
  <si>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</si>
  <si>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</si>
  <si>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</si>
  <si>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</si>
  <si>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</si>
  <si>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</si>
  <si>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</si>
  <si>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</si>
  <si>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</si>
  <si>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</si>
  <si>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</si>
  <si>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</si>
  <si>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</si>
  <si>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</si>
  <si>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</si>
  <si>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</si>
  <si>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</si>
  <si>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</si>
  <si>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</si>
  <si>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</si>
  <si>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</si>
  <si>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</si>
  <si>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</si>
  <si>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</si>
  <si>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</si>
  <si>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</si>
  <si>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</si>
  <si>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</si>
  <si>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</si>
  <si>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</si>
  <si>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</si>
  <si>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</si>
  <si>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</si>
  <si>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</si>
  <si>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</si>
  <si>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</si>
  <si>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</si>
  <si>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</si>
  <si>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</si>
  <si>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</si>
  <si>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</si>
  <si>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</si>
  <si>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</si>
  <si>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</si>
  <si>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</si>
  <si>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</si>
  <si>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</si>
  <si>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</si>
  <si>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</si>
  <si>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</si>
  <si>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</si>
  <si>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</si>
  <si>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</si>
  <si>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</si>
  <si>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</si>
  <si>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</si>
  <si>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</si>
  <si>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</si>
  <si>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</si>
  <si>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</si>
  <si>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</si>
  <si>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</si>
  <si>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</si>
  <si>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</si>
  <si>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</si>
  <si>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</si>
  <si>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</si>
  <si>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</si>
  <si>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</si>
  <si>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</si>
  <si>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</si>
  <si>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</si>
  <si>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</si>
  <si>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</si>
  <si>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</si>
  <si>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</si>
  <si>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</si>
  <si>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</si>
  <si>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</si>
  <si>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</si>
  <si>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</si>
  <si>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</si>
  <si>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</si>
  <si>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</si>
  <si>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</si>
  <si>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</si>
  <si>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</si>
  <si>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</si>
  <si>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</si>
  <si>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</si>
  <si>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</si>
  <si>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</si>
  <si>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</si>
  <si>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</si>
  <si>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</si>
  <si>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</si>
  <si>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</si>
  <si>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</si>
  <si>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</si>
  <si>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</si>
  <si>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</si>
  <si>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</si>
  <si>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</si>
  <si>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</si>
  <si>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</si>
  <si>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</si>
  <si>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</si>
  <si>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</si>
  <si>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</si>
  <si>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</si>
  <si>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</si>
  <si>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</si>
  <si>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</si>
  <si>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</si>
  <si>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</si>
  <si>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</si>
  <si>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</si>
  <si>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</si>
  <si>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</si>
  <si>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</si>
  <si>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</si>
  <si>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</si>
  <si>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</si>
  <si>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</si>
  <si>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</si>
  <si>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</si>
  <si>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</si>
  <si>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</si>
  <si>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</si>
  <si>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</si>
  <si>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</si>
  <si>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</si>
  <si>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</si>
  <si>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</si>
  <si>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</si>
  <si>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</si>
  <si>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</si>
  <si>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</si>
  <si>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</si>
  <si>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</si>
  <si>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</si>
  <si>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</si>
  <si>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</si>
  <si>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</si>
  <si>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</si>
  <si>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</si>
  <si>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</si>
  <si>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</si>
  <si>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</si>
  <si>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</si>
  <si>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</si>
  <si>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</si>
  <si>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</si>
  <si>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</si>
  <si>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</si>
  <si>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</si>
  <si>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</si>
  <si>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</si>
  <si>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</si>
  <si>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</si>
  <si>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</si>
  <si>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</si>
  <si>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</si>
  <si>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</si>
  <si>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</si>
  <si>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</si>
  <si>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</si>
  <si>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</si>
  <si>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</si>
  <si>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</si>
  <si>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</si>
  <si>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</si>
  <si>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</si>
  <si>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</si>
  <si>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</si>
  <si>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</si>
  <si>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</si>
  <si>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</si>
  <si>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</si>
  <si>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</si>
  <si>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</si>
  <si>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</si>
  <si>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</si>
  <si>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</si>
  <si>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</si>
  <si>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</si>
  <si>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</si>
  <si>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</si>
  <si>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</si>
  <si>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</si>
  <si>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</si>
  <si>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</si>
  <si>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</si>
  <si>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</si>
  <si>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</si>
  <si>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</si>
  <si>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</si>
  <si>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</si>
  <si>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</si>
  <si>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</si>
  <si>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</si>
  <si>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</si>
  <si>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</si>
  <si>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</si>
  <si>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</si>
  <si>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</si>
  <si>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</si>
  <si>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</si>
  <si>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</si>
  <si>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</si>
  <si>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</si>
  <si>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</si>
  <si>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</si>
  <si>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</si>
  <si>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</si>
  <si>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</si>
  <si>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</si>
  <si>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</si>
  <si>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</si>
  <si>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</si>
  <si>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</si>
  <si>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</si>
  <si>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</si>
  <si>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</si>
  <si>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</si>
  <si>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</si>
  <si>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</si>
  <si>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</si>
  <si>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</si>
  <si>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</si>
  <si>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</si>
  <si>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</si>
  <si>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</si>
  <si>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</si>
  <si>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</si>
  <si>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</si>
  <si>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</si>
  <si>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</si>
  <si>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</si>
  <si>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</si>
  <si>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</si>
  <si>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</si>
  <si>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</si>
  <si>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</si>
  <si>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</si>
  <si>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</si>
  <si>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</si>
  <si>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</si>
  <si>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</si>
  <si>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</si>
  <si>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</si>
  <si>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</si>
  <si>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</si>
  <si>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</si>
  <si>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</si>
  <si>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</si>
  <si>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</si>
  <si>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</si>
  <si>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</si>
  <si>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</si>
  <si>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</si>
  <si>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</si>
  <si>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</si>
  <si>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</si>
  <si>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</si>
  <si>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</si>
  <si>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</si>
  <si>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</si>
  <si>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</si>
  <si>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</si>
  <si>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</si>
  <si>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</si>
  <si>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</si>
  <si>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</si>
  <si>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</si>
  <si>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</si>
  <si>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</si>
  <si>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</si>
  <si>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</si>
  <si>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</si>
  <si>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</si>
  <si>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</si>
  <si>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</si>
  <si>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</si>
  <si>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</si>
  <si>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</si>
  <si>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</si>
  <si>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</si>
  <si>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</si>
  <si>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</si>
  <si>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</si>
  <si>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</si>
  <si>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</si>
  <si>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</si>
  <si>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</si>
  <si>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</si>
  <si>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</si>
  <si>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</si>
  <si>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</si>
  <si>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</si>
  <si>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</si>
  <si>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</si>
  <si>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</si>
  <si>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</si>
  <si>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</si>
  <si>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</si>
  <si>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</si>
  <si>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</si>
  <si>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</si>
  <si>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</si>
  <si>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</si>
  <si>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</si>
  <si>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</si>
  <si>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</si>
  <si>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</si>
  <si>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</si>
  <si>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</si>
  <si>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</si>
  <si>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</si>
  <si>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</si>
  <si>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</si>
  <si>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</si>
  <si>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</si>
  <si>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</si>
  <si>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</si>
  <si>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</si>
  <si>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</si>
  <si>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</si>
  <si>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</si>
  <si>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</si>
  <si>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</si>
  <si>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</si>
  <si>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</si>
  <si>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</si>
  <si>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</si>
  <si>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</si>
  <si>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</si>
  <si>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</si>
  <si>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</si>
  <si>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</si>
  <si>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</si>
  <si>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</si>
  <si>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</si>
  <si>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</si>
  <si>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</si>
  <si>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</si>
  <si>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</si>
  <si>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</si>
  <si>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</si>
  <si>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</si>
  <si>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</si>
  <si>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</si>
  <si>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</si>
  <si>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</si>
  <si>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</si>
  <si>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</si>
  <si>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</si>
  <si>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</si>
  <si>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</si>
  <si>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</si>
  <si>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</si>
  <si>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</si>
  <si>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</si>
  <si>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</si>
  <si>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</si>
  <si>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</si>
  <si>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</si>
  <si>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</si>
  <si>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</si>
  <si>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</si>
  <si>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</si>
  <si>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</si>
  <si>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</si>
  <si>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</si>
  <si>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</si>
  <si>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</si>
  <si>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</si>
  <si>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</si>
  <si>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</si>
  <si>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</si>
  <si>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</si>
  <si>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</si>
  <si>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</si>
  <si>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</si>
  <si>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</si>
  <si>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</si>
  <si>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</si>
  <si>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</si>
  <si>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</si>
  <si>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</si>
  <si>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</si>
  <si>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</si>
  <si>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</si>
  <si>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</si>
  <si>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</si>
  <si>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</si>
  <si>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</si>
  <si>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</si>
  <si>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</si>
  <si>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</si>
  <si>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</si>
  <si>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</si>
  <si>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</si>
  <si>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</si>
  <si>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</si>
  <si>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</si>
  <si>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</si>
  <si>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</si>
  <si>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</si>
  <si>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</si>
  <si>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</si>
  <si>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</si>
  <si>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</si>
  <si>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</si>
  <si>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</si>
  <si>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</si>
  <si>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</si>
  <si>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</si>
  <si>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</si>
  <si>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</si>
  <si>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</si>
  <si>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</si>
  <si>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</si>
  <si>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</si>
  <si>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</si>
  <si>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</si>
  <si>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</si>
  <si>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</si>
  <si>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</si>
  <si>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</si>
  <si>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</si>
  <si>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</si>
  <si>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</si>
  <si>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</si>
  <si>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</si>
  <si>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</si>
  <si>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</si>
  <si>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</si>
  <si>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</si>
  <si>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</si>
  <si>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</si>
  <si>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</si>
  <si>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</si>
  <si>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</si>
  <si>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</si>
  <si>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</si>
  <si>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</si>
  <si>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</si>
  <si>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</si>
  <si>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</si>
  <si>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</si>
  <si>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</si>
  <si>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</si>
  <si>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</si>
  <si>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</si>
  <si>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</si>
  <si>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</si>
  <si>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</si>
  <si>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</si>
  <si>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</si>
  <si>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</si>
  <si>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</si>
  <si>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</si>
  <si>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</si>
  <si>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</si>
  <si>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</si>
  <si>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</si>
  <si>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</si>
  <si>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</si>
  <si>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</si>
  <si>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</si>
  <si>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</si>
  <si>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</si>
  <si>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</si>
  <si>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</si>
  <si>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</si>
  <si>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</si>
  <si>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</si>
  <si>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</si>
  <si>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</si>
  <si>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</si>
  <si>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</si>
  <si>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</si>
  <si>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</si>
  <si>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</si>
  <si>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</si>
  <si>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</si>
  <si>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</si>
  <si>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</si>
  <si>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</si>
  <si>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</si>
  <si>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</si>
  <si>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</si>
  <si>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</si>
  <si>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</si>
  <si>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</si>
  <si>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</si>
  <si>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</si>
  <si>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</si>
  <si>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</si>
  <si>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</si>
  <si>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</si>
  <si>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</si>
  <si>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</si>
  <si>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</si>
  <si>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</si>
  <si>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</si>
  <si>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</si>
  <si>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</si>
  <si>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</si>
  <si>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</si>
  <si>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</si>
  <si>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</si>
  <si>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</si>
  <si>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</si>
  <si>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</si>
  <si>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</si>
  <si>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</si>
  <si>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</si>
  <si>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</si>
  <si>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</si>
  <si>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</si>
  <si>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</si>
  <si>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</si>
  <si>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</si>
  <si>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</si>
  <si>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</si>
  <si>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</si>
  <si>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</si>
  <si>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</si>
  <si>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</si>
  <si>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</si>
  <si>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</si>
  <si>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</si>
  <si>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</si>
  <si>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</si>
  <si>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</si>
  <si>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</si>
  <si>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</si>
  <si>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</si>
  <si>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</si>
  <si>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</si>
  <si>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</si>
  <si>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</si>
  <si>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</si>
  <si>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</si>
  <si>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</si>
  <si>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</si>
  <si>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</si>
  <si>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</si>
  <si>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</si>
  <si>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</si>
  <si>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</si>
  <si>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</si>
  <si>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</si>
  <si>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</si>
  <si>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</si>
  <si>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</si>
  <si>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</si>
  <si>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</si>
  <si>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</si>
  <si>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</si>
  <si>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</si>
  <si>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</si>
  <si>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</si>
  <si>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</si>
  <si>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</si>
  <si>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</si>
  <si>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</si>
  <si>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</si>
  <si>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</si>
  <si>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</si>
  <si>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</si>
  <si>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</si>
  <si>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</si>
  <si>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</si>
  <si>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</si>
  <si>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</si>
  <si>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</si>
  <si>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</si>
  <si>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</si>
  <si>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</si>
  <si>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</si>
  <si>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</si>
  <si>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</si>
  <si>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</si>
  <si>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</si>
  <si>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</si>
  <si>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</si>
  <si>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</si>
  <si>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</si>
  <si>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</si>
  <si>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</si>
  <si>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</si>
  <si>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</si>
  <si>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</si>
  <si>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</si>
  <si>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</si>
  <si>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</si>
  <si>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</si>
  <si>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</si>
  <si>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</si>
  <si>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</si>
  <si>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</si>
  <si>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</si>
  <si>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</si>
  <si>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</si>
  <si>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</si>
  <si>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</si>
  <si>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</si>
  <si>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</si>
  <si>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</si>
  <si>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</si>
  <si>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</si>
  <si>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</si>
  <si>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</si>
  <si>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</si>
  <si>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</si>
  <si>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</si>
  <si>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</si>
  <si>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</si>
  <si>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</si>
  <si>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</si>
  <si>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</si>
  <si>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</si>
  <si>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</si>
  <si>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</si>
  <si>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</si>
  <si>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</si>
  <si>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</si>
  <si>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</si>
  <si>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</si>
  <si>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</si>
  <si>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</si>
  <si>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</si>
  <si>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</si>
  <si>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</si>
  <si>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</si>
  <si>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</si>
  <si>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</si>
  <si>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</si>
  <si>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</si>
  <si>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</si>
  <si>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</si>
  <si>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</si>
  <si>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</si>
  <si>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</si>
  <si>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</si>
  <si>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</si>
  <si>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</si>
  <si>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</si>
  <si>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</si>
  <si>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</si>
  <si>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</si>
  <si>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</si>
  <si>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</si>
  <si>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</si>
  <si>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</si>
  <si>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</si>
  <si>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</si>
  <si>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</si>
  <si>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</si>
  <si>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</si>
  <si>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</si>
  <si>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</si>
  <si>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</si>
  <si>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</si>
  <si>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</si>
  <si>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</si>
  <si>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</si>
  <si>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</si>
  <si>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</si>
  <si>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</si>
  <si>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</si>
  <si>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</si>
  <si>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</si>
  <si>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</si>
  <si>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</si>
  <si>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</si>
  <si>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</si>
  <si>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</si>
  <si>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</si>
  <si>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</si>
  <si>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</si>
  <si>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</si>
  <si>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</si>
  <si>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</si>
  <si>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</si>
  <si>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</si>
  <si>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</si>
  <si>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</si>
  <si>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</si>
  <si>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</si>
  <si>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</si>
  <si>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</si>
  <si>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</si>
  <si>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</si>
  <si>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</si>
  <si>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</si>
  <si>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</si>
  <si>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</si>
  <si>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</si>
  <si>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</si>
  <si>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</si>
  <si>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</si>
  <si>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</si>
  <si>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</si>
  <si>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</si>
  <si>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</si>
  <si>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</si>
  <si>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</si>
  <si>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</si>
  <si>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</si>
  <si>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</si>
  <si>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</si>
  <si>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</si>
  <si>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</si>
  <si>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</si>
  <si>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</si>
  <si>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</si>
  <si>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</si>
  <si>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</si>
  <si>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</si>
  <si>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</si>
  <si>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</si>
  <si>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</si>
  <si>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</si>
  <si>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</si>
  <si>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</si>
  <si>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</si>
  <si>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</si>
  <si>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</si>
  <si>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</si>
  <si>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</si>
  <si>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</si>
  <si>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</si>
  <si>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</si>
  <si>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</si>
  <si>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</si>
  <si>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</si>
  <si>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</si>
  <si>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</si>
  <si>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</si>
  <si>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</si>
  <si>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</si>
  <si>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</si>
  <si>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</si>
  <si>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</si>
  <si>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</si>
  <si>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</si>
  <si>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</si>
  <si>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</si>
  <si>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</si>
  <si>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</si>
  <si>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</si>
  <si>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</si>
  <si>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</si>
  <si>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</si>
  <si>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</si>
  <si>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</si>
  <si>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</si>
  <si>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</si>
  <si>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</si>
  <si>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</si>
  <si>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</si>
  <si>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</si>
  <si>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</si>
  <si>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</si>
  <si>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</si>
  <si>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</si>
  <si>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</si>
  <si>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</si>
  <si>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</si>
  <si>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</si>
  <si>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</si>
  <si>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</si>
  <si>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</si>
  <si>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</si>
  <si>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</si>
  <si>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</si>
  <si>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</si>
  <si>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</si>
  <si>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</si>
  <si>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</si>
  <si>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</si>
  <si>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</si>
  <si>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</si>
  <si>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</si>
  <si>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</si>
  <si>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</si>
  <si>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</si>
  <si>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</si>
  <si>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</si>
  <si>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</si>
  <si>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</si>
  <si>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</si>
  <si>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</si>
  <si>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</si>
  <si>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</si>
  <si>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</si>
  <si>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</si>
  <si>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</si>
  <si>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</si>
  <si>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</si>
  <si>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</si>
  <si>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</si>
  <si>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</si>
  <si>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</si>
  <si>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</si>
  <si>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</si>
  <si>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</si>
  <si>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</si>
  <si>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</si>
  <si>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</si>
  <si>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</si>
  <si>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</si>
  <si>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</si>
  <si>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</si>
  <si>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</si>
  <si>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</si>
  <si>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</si>
  <si>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</si>
  <si>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</si>
  <si>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</si>
  <si>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</si>
  <si>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</si>
  <si>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</si>
  <si>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</si>
  <si>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</si>
  <si>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</si>
  <si>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</si>
  <si>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</si>
  <si>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</si>
  <si>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</si>
  <si>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</si>
  <si>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</si>
  <si>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</si>
  <si>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</si>
  <si>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</si>
  <si>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</si>
  <si>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</si>
  <si>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</si>
  <si>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</si>
  <si>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</si>
  <si>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</si>
  <si>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</si>
  <si>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</si>
  <si>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</si>
  <si>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</si>
  <si>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</si>
  <si>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</si>
  <si>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</si>
  <si>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</si>
  <si>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</si>
  <si>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</si>
  <si>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</si>
  <si>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</si>
  <si>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</si>
  <si>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</si>
  <si>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</si>
  <si>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</si>
  <si>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</si>
  <si>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</si>
  <si>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</si>
  <si>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</si>
  <si>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</si>
  <si>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</si>
  <si>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</si>
  <si>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</si>
  <si>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</si>
  <si>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</si>
  <si>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</si>
  <si>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</si>
  <si>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</si>
  <si>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</si>
  <si>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</si>
  <si>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</si>
  <si>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</si>
  <si>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</si>
  <si>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</si>
  <si>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</si>
  <si>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</si>
  <si>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</si>
  <si>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</si>
  <si>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</si>
  <si>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</si>
  <si>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</si>
  <si>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</si>
  <si>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</si>
  <si>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</si>
  <si>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</si>
  <si>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</si>
  <si>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</si>
  <si>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</si>
  <si>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</si>
  <si>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</si>
  <si>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</si>
  <si>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</si>
  <si>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</si>
  <si>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</si>
  <si>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</si>
  <si>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</si>
  <si>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</si>
  <si>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</si>
  <si>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</si>
  <si>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</si>
  <si>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</si>
  <si>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</si>
  <si>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</si>
  <si>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</si>
  <si>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</si>
  <si>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</si>
  <si>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</si>
  <si>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</si>
  <si>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</si>
  <si>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</si>
  <si>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</si>
  <si>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</si>
  <si>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</si>
  <si>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</si>
  <si>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</si>
  <si>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</si>
  <si>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</si>
  <si>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</si>
  <si>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</si>
  <si>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</si>
  <si>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</si>
  <si>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</si>
  <si>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</si>
  <si>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</si>
  <si>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</si>
  <si>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</si>
  <si>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</si>
  <si>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</si>
  <si>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</si>
  <si>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</si>
  <si>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</si>
  <si>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</si>
  <si>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</si>
  <si>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</si>
  <si>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</si>
  <si>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</si>
  <si>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</si>
  <si>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</si>
  <si>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</si>
  <si>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</si>
  <si>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</si>
  <si>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</si>
  <si>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</si>
  <si>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</si>
  <si>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</si>
  <si>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</si>
  <si>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</si>
  <si>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</si>
  <si>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</si>
  <si>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</si>
  <si>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</si>
  <si>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</si>
  <si>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</si>
  <si>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</si>
  <si>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</si>
  <si>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</si>
  <si>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</si>
  <si>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</si>
  <si>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</si>
  <si>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</si>
  <si>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</si>
  <si>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</si>
  <si>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</si>
  <si>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</si>
  <si>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</si>
  <si>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</si>
  <si>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</si>
  <si>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</si>
  <si>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</si>
  <si>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</si>
  <si>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</si>
  <si>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</si>
  <si>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</si>
  <si>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</si>
  <si>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</si>
  <si>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</si>
  <si>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</si>
  <si>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</si>
  <si>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</si>
  <si>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</si>
  <si>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</si>
  <si>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</si>
  <si>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</si>
  <si>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</si>
  <si>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</si>
  <si>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</si>
  <si>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</si>
  <si>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</si>
  <si>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</si>
  <si>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</si>
  <si>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</si>
  <si>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</si>
  <si>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</si>
  <si>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</si>
  <si>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</si>
  <si>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</si>
  <si>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</si>
  <si>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</si>
  <si>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</si>
  <si>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</si>
  <si>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</si>
  <si>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</si>
  <si>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</si>
  <si>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</si>
  <si>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</si>
  <si>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</si>
  <si>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</si>
  <si>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</si>
  <si>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</si>
  <si>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</si>
  <si>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</si>
  <si>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</si>
  <si>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</si>
  <si>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</si>
  <si>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</si>
  <si>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</si>
  <si>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</si>
  <si>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</si>
  <si>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</si>
  <si>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</si>
  <si>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</si>
  <si>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</si>
  <si>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</si>
  <si>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</si>
  <si>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</si>
  <si>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</si>
  <si>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</si>
  <si>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</si>
  <si>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</si>
  <si>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</si>
  <si>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</si>
  <si>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</si>
  <si>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</si>
  <si>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</si>
  <si>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</si>
  <si>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</si>
  <si>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</si>
  <si>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</si>
  <si>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</si>
  <si>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</si>
  <si>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</si>
  <si>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</si>
  <si>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</si>
  <si>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</si>
  <si>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</si>
  <si>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</si>
  <si>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</si>
  <si>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</si>
  <si>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</si>
  <si>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</si>
  <si>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</si>
  <si>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</si>
  <si>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</si>
  <si>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</si>
  <si>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</si>
  <si>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</si>
  <si>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</si>
  <si>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</si>
  <si>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</si>
  <si>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</si>
  <si>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</si>
  <si>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</si>
  <si>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</si>
  <si>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</si>
  <si>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</si>
  <si>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</si>
  <si>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</si>
  <si>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</si>
  <si>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</si>
  <si>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</si>
  <si>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</si>
  <si>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</si>
  <si>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</si>
  <si>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</si>
  <si>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</si>
  <si>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</si>
  <si>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</si>
  <si>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</si>
  <si>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</si>
  <si>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</si>
  <si>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</si>
  <si>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</si>
  <si>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</si>
  <si>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</si>
  <si>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</si>
  <si>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</si>
  <si>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</si>
  <si>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</si>
  <si>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</si>
  <si>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</si>
  <si>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</si>
  <si>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</si>
  <si>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</si>
  <si>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</si>
  <si>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</si>
  <si>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</si>
  <si>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</si>
  <si>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</si>
  <si>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</si>
  <si>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</si>
  <si>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</si>
  <si>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</si>
  <si>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</si>
  <si>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</si>
  <si>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</si>
  <si>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</si>
  <si>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</si>
  <si>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</si>
  <si>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</si>
  <si>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</si>
  <si>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</si>
  <si>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</si>
  <si>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</si>
  <si>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</si>
  <si>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</si>
  <si>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</si>
  <si>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</si>
  <si>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</si>
  <si>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</si>
  <si>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</si>
  <si>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</si>
  <si>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</si>
  <si>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</si>
  <si>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</si>
  <si>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</si>
  <si>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</si>
  <si>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</si>
  <si>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</si>
  <si>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</si>
  <si>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</si>
  <si>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</si>
  <si>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</si>
  <si>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</si>
  <si>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</si>
  <si>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</si>
  <si>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</si>
  <si>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</si>
  <si>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</si>
  <si>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</si>
  <si>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</si>
  <si>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</si>
  <si>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</si>
  <si>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</si>
  <si>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</si>
  <si>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</si>
  <si>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</si>
  <si>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</si>
  <si>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</si>
  <si>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</si>
  <si>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</si>
  <si>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</si>
  <si>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</si>
  <si>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</si>
  <si>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</si>
  <si>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</si>
  <si>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</si>
  <si>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</si>
  <si>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</si>
  <si>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</si>
  <si>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</si>
  <si>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</si>
  <si>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</si>
  <si>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</si>
  <si>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</si>
  <si>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</si>
  <si>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</si>
  <si>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</si>
  <si>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</si>
  <si>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</si>
  <si>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</si>
  <si>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</si>
  <si>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</si>
  <si>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</si>
  <si>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</si>
  <si>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</si>
  <si>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</si>
  <si>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</si>
  <si>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</si>
  <si>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</si>
  <si>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</si>
  <si>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</si>
  <si>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</si>
  <si>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</si>
  <si>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</si>
  <si>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</si>
  <si>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</si>
  <si>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</si>
  <si>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</si>
  <si>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</si>
  <si>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</si>
  <si>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</si>
  <si>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</si>
  <si>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</si>
  <si>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</si>
  <si>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</si>
  <si>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</si>
  <si>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</si>
  <si>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</si>
  <si>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</si>
  <si>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</si>
  <si>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</si>
  <si>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</si>
  <si>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</si>
  <si>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</si>
  <si>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</si>
  <si>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</si>
  <si>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</si>
  <si>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</si>
  <si>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</si>
  <si>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</si>
  <si>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</si>
  <si>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</si>
  <si>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</si>
  <si>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</si>
  <si>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</si>
  <si>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</si>
  <si>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</si>
  <si>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</si>
  <si>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</si>
  <si>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</si>
  <si>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</si>
  <si>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</si>
  <si>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</si>
  <si>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</si>
  <si>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</si>
  <si>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</si>
  <si>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</si>
  <si>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</si>
  <si>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</si>
  <si>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</si>
  <si>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</si>
  <si>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</si>
  <si>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</si>
  <si>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</si>
  <si>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</si>
  <si>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</si>
  <si>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</si>
  <si>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</si>
  <si>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</si>
  <si>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</si>
  <si>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</si>
  <si>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</si>
  <si>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</si>
  <si>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</si>
  <si>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</si>
  <si>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</si>
  <si>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</si>
  <si>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</si>
  <si>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</si>
  <si>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</si>
  <si>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</si>
  <si>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</si>
  <si>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</si>
  <si>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</si>
  <si>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</si>
  <si>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</si>
  <si>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</si>
  <si>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</si>
  <si>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</si>
  <si>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</si>
  <si>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</si>
  <si>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</si>
  <si>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</si>
  <si>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</si>
  <si>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</si>
  <si>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</si>
  <si>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</si>
  <si>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</si>
  <si>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</si>
  <si>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</si>
  <si>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</si>
  <si>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</si>
  <si>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</si>
  <si>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</si>
  <si>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</si>
  <si>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</si>
  <si>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</si>
  <si>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</si>
  <si>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</si>
  <si>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</si>
  <si>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</si>
  <si>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</si>
  <si>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</si>
  <si>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</si>
  <si>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</si>
  <si>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</si>
  <si>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</si>
  <si>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</si>
  <si>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</si>
  <si>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</si>
  <si>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</si>
  <si>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</si>
  <si>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</si>
  <si>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</si>
  <si>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</si>
  <si>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</si>
  <si>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</si>
  <si>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</si>
  <si>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</si>
  <si>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</si>
  <si>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</si>
  <si>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</si>
  <si>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</si>
  <si>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</si>
  <si>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</si>
  <si>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</si>
  <si>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</si>
  <si>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</si>
  <si>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</si>
  <si>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</si>
  <si>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</si>
  <si>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</si>
  <si>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</si>
  <si>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</si>
  <si>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</si>
  <si>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</si>
  <si>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</si>
  <si>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</si>
  <si>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</si>
  <si>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</si>
  <si>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</si>
  <si>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</si>
  <si>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</si>
  <si>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</si>
  <si>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</si>
  <si>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</si>
  <si>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</si>
  <si>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</si>
  <si>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</si>
  <si>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</si>
  <si>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</si>
  <si>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</si>
  <si>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</si>
  <si>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</si>
  <si>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</si>
  <si>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</si>
  <si>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</si>
  <si>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</si>
  <si>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</si>
  <si>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</si>
  <si>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</si>
  <si>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</si>
  <si>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</si>
  <si>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</si>
  <si>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</si>
  <si>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</si>
  <si>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</si>
  <si>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</si>
  <si>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</si>
  <si>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</si>
  <si>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</si>
  <si>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</si>
  <si>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</si>
  <si>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</si>
  <si>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</si>
  <si>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</si>
  <si>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</si>
  <si>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</si>
  <si>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</si>
  <si>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</si>
  <si>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</si>
  <si>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</si>
  <si>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</si>
  <si>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</si>
  <si>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</si>
  <si>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</si>
  <si>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</si>
  <si>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</si>
  <si>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</si>
  <si>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</si>
  <si>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</si>
  <si>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</si>
  <si>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</si>
  <si>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</si>
  <si>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</si>
  <si>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</si>
  <si>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</si>
  <si>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</si>
  <si>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</si>
  <si>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</si>
  <si>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</si>
  <si>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</si>
  <si>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</si>
  <si>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</si>
  <si>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</si>
  <si>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</si>
  <si>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</si>
  <si>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</si>
  <si>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</si>
  <si>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</si>
  <si>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</si>
  <si>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</si>
  <si>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</si>
  <si>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</si>
  <si>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</si>
  <si>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</si>
  <si>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</si>
  <si>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</si>
  <si>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</si>
  <si>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</si>
  <si>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</si>
  <si>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</si>
  <si>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</si>
  <si>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</si>
  <si>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</si>
  <si>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</si>
  <si>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</si>
  <si>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</si>
  <si>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</si>
  <si>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</si>
  <si>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</si>
  <si>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</si>
  <si>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</si>
  <si>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</si>
  <si>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</si>
  <si>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</si>
  <si>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</si>
  <si>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</si>
  <si>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</si>
  <si>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</si>
  <si>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</si>
  <si>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</si>
  <si>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</si>
  <si>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</si>
  <si>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</si>
  <si>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</si>
  <si>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</si>
  <si>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</si>
  <si>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</si>
  <si>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</si>
  <si>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</si>
  <si>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</si>
  <si>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</si>
  <si>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</si>
  <si>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</si>
  <si>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</si>
  <si>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</si>
  <si>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</si>
  <si>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</si>
  <si>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</si>
  <si>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</si>
  <si>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</si>
  <si>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</si>
  <si>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</si>
  <si>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</si>
  <si>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</si>
  <si>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</si>
  <si>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</si>
  <si>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</si>
  <si>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</si>
  <si>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</si>
  <si>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</si>
  <si>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</si>
  <si>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</si>
  <si>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</si>
  <si>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</si>
  <si>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</si>
  <si>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</si>
  <si>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</si>
  <si>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</si>
  <si>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</si>
  <si>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</si>
  <si>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</si>
  <si>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</si>
  <si>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</si>
  <si>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</si>
  <si>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</si>
  <si>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</si>
  <si>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</si>
  <si>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</si>
  <si>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</si>
  <si>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</si>
  <si>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</si>
  <si>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</si>
  <si>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</si>
  <si>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</si>
  <si>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</si>
  <si>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</si>
  <si>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</si>
  <si>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</si>
  <si>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</si>
  <si>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</si>
  <si>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</si>
  <si>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</si>
  <si>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</si>
  <si>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</si>
  <si>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</si>
  <si>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</si>
  <si>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</si>
  <si>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</si>
  <si>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</si>
  <si>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</si>
  <si>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</si>
  <si>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</si>
  <si>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</si>
  <si>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</si>
  <si>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</si>
  <si>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</si>
  <si>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</si>
  <si>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</si>
  <si>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</si>
  <si>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</si>
  <si>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</si>
  <si>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</si>
  <si>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</si>
  <si>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</si>
  <si>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</si>
  <si>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</si>
  <si>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</si>
  <si>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</si>
  <si>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</si>
  <si>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</si>
  <si>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</si>
  <si>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</si>
  <si>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</si>
  <si>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</si>
  <si>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</si>
  <si>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</si>
  <si>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</si>
  <si>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</si>
  <si>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</si>
  <si>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</si>
  <si>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</si>
  <si>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</si>
  <si>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</si>
  <si>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</si>
  <si>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</si>
  <si>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</si>
  <si>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</si>
  <si>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</si>
  <si>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</si>
  <si>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</si>
  <si>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</si>
  <si>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</si>
  <si>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</si>
  <si>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</si>
  <si>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</si>
  <si>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</si>
  <si>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</si>
  <si>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</si>
  <si>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</si>
  <si>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</si>
  <si>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</si>
  <si>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</si>
  <si>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</si>
  <si>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</si>
  <si>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</si>
  <si>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</si>
  <si>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</si>
  <si>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</si>
  <si>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</si>
  <si>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</si>
  <si>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</si>
  <si>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</si>
  <si>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</si>
  <si>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</si>
  <si>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</si>
  <si>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</si>
  <si>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</si>
  <si>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</si>
  <si>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</si>
  <si>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</si>
  <si>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</si>
  <si>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</si>
  <si>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</si>
  <si>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</si>
  <si>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</si>
  <si>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</si>
  <si>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</si>
  <si>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</si>
  <si>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</si>
  <si>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</si>
  <si>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</si>
  <si>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</si>
  <si>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</si>
  <si>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</si>
  <si>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</si>
  <si>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</si>
  <si>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</si>
  <si>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</si>
  <si>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</si>
  <si>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</si>
  <si>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</si>
  <si>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</si>
  <si>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</si>
  <si>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</si>
  <si>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</si>
  <si>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</si>
  <si>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</si>
  <si>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</si>
  <si>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</si>
  <si>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</si>
  <si>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</si>
  <si>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</si>
  <si>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</si>
  <si>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</si>
  <si>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</si>
  <si>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</si>
  <si>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</si>
  <si>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</si>
  <si>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</si>
  <si>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</si>
  <si>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</si>
  <si>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</si>
  <si>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</si>
  <si>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</si>
  <si>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</si>
  <si>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</si>
  <si>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</si>
  <si>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</si>
  <si>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</si>
  <si>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</si>
  <si>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</si>
  <si>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</si>
  <si>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</si>
  <si>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</si>
  <si>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</si>
  <si>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</si>
  <si>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</si>
  <si>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</si>
  <si>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</si>
  <si>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</si>
  <si>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</si>
  <si>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</si>
  <si>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</si>
  <si>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</si>
  <si>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</si>
  <si>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</si>
  <si>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</si>
  <si>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</si>
  <si>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</si>
  <si>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</si>
  <si>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</si>
  <si>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</si>
  <si>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</si>
  <si>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</si>
  <si>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</si>
  <si>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</si>
  <si>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</si>
  <si>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</si>
  <si>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</si>
  <si>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</si>
  <si>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</si>
  <si>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</si>
  <si>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</si>
  <si>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</si>
  <si>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</si>
  <si>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</si>
  <si>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</si>
  <si>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</si>
  <si>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</si>
  <si>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</si>
  <si>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</si>
  <si>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</si>
  <si>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</si>
  <si>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</si>
  <si>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</si>
  <si>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</si>
  <si>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</si>
  <si>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</si>
  <si>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</si>
  <si>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</si>
  <si>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</si>
  <si>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</si>
  <si>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</si>
  <si>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</si>
  <si>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</si>
  <si>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</si>
  <si>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</si>
  <si>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</si>
  <si>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</si>
  <si>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</si>
  <si>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</si>
  <si>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</si>
  <si>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</si>
  <si>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</si>
  <si>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</si>
  <si>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</si>
  <si>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</si>
  <si>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</si>
  <si>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</si>
  <si>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</si>
  <si>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</si>
  <si>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</si>
  <si>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</si>
  <si>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</si>
  <si>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</si>
  <si>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</si>
  <si>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</si>
  <si>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</si>
  <si>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</si>
  <si>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</si>
  <si>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</si>
  <si>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</si>
  <si>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</si>
  <si>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</si>
  <si>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</si>
  <si>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</si>
  <si>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</si>
  <si>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</si>
  <si>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</si>
  <si>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</si>
  <si>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</si>
  <si>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</si>
  <si>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</si>
  <si>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</si>
  <si>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</si>
  <si>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</si>
  <si>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</si>
  <si>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</si>
  <si>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</si>
  <si>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</si>
  <si>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</si>
  <si>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</si>
  <si>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</si>
  <si>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</si>
  <si>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</si>
  <si>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</si>
  <si>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</si>
  <si>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</si>
  <si>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</si>
  <si>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</si>
  <si>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</si>
  <si>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</si>
  <si>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</si>
  <si>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</si>
  <si>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</si>
  <si>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</si>
  <si>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</si>
  <si>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</si>
  <si>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</si>
  <si>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</si>
  <si>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</si>
  <si>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</si>
  <si>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</si>
  <si>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</si>
  <si>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</si>
  <si>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</si>
  <si>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</si>
  <si>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</si>
  <si>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</si>
  <si>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</si>
  <si>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</si>
  <si>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</si>
  <si>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</si>
  <si>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</si>
  <si>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</si>
  <si>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</si>
  <si>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</si>
  <si>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</si>
  <si>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</si>
  <si>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</si>
  <si>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</si>
  <si>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</si>
  <si>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</si>
  <si>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</si>
  <si>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</si>
  <si>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</si>
  <si>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</si>
  <si>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</si>
  <si>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</si>
  <si>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</si>
  <si>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</si>
  <si>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</si>
  <si>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</si>
  <si>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</si>
  <si>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</si>
  <si>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</si>
  <si>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</si>
  <si>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</si>
  <si>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</si>
  <si>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</si>
  <si>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</si>
  <si>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</si>
  <si>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</si>
  <si>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</si>
  <si>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</si>
  <si>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</si>
  <si>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</si>
  <si>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</si>
  <si>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</si>
  <si>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</si>
  <si>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</si>
  <si>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</si>
  <si>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</si>
  <si>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</si>
  <si>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</si>
  <si>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</si>
  <si>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</si>
  <si>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</si>
  <si>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</si>
  <si>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</si>
  <si>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</si>
  <si>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</si>
  <si>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</si>
  <si>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</si>
  <si>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</si>
  <si>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</si>
  <si>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</si>
  <si>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</si>
  <si>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</si>
  <si>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</si>
  <si>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</si>
  <si>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</si>
  <si>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</si>
  <si>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</si>
  <si>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</si>
  <si>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</si>
  <si>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</si>
  <si>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</si>
  <si>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</si>
  <si>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</si>
  <si>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</si>
  <si>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</si>
  <si>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</si>
  <si>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</si>
  <si>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</si>
  <si>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</si>
  <si>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</si>
  <si>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</si>
  <si>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</si>
  <si>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</si>
  <si>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</si>
  <si>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</si>
  <si>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</si>
  <si>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</si>
  <si>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</si>
  <si>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</si>
  <si>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</si>
  <si>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</si>
  <si>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</si>
  <si>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</si>
  <si>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</si>
  <si>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</si>
  <si>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</si>
  <si>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</si>
  <si>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</si>
  <si>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</si>
  <si>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</si>
  <si>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</si>
  <si>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</si>
  <si>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</si>
  <si>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</si>
  <si>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</si>
  <si>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</si>
  <si>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</si>
  <si>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</si>
  <si>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</si>
  <si>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</si>
  <si>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</si>
  <si>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</si>
  <si>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</si>
  <si>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</si>
  <si>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</si>
  <si>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</si>
  <si>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</si>
  <si>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</si>
  <si>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</si>
  <si>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</si>
  <si>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</si>
  <si>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</si>
  <si>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</si>
  <si>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</si>
  <si>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</si>
  <si>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</si>
  <si>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</si>
  <si>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</si>
  <si>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</si>
  <si>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</si>
  <si>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</si>
  <si>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</si>
  <si>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</si>
  <si>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</si>
  <si>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</si>
  <si>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</si>
  <si>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</si>
  <si>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</si>
  <si>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</si>
  <si>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</si>
  <si>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</si>
  <si>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</si>
  <si>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</si>
  <si>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</si>
  <si>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</si>
  <si>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</si>
  <si>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</si>
  <si>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</si>
  <si>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</si>
  <si>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</si>
  <si>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</si>
  <si>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</si>
  <si>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</si>
  <si>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</si>
  <si>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</si>
  <si>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</si>
  <si>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</si>
  <si>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</si>
  <si>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</si>
  <si>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</si>
  <si>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</si>
  <si>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</si>
  <si>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</si>
  <si>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</si>
  <si>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</si>
  <si>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</si>
  <si>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</si>
  <si>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</si>
  <si>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</si>
  <si>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</si>
  <si>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</si>
  <si>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</si>
  <si>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</si>
  <si>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</si>
  <si>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</si>
  <si>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</si>
  <si>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</si>
  <si>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</si>
  <si>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</si>
  <si>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</si>
  <si>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</si>
  <si>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</si>
  <si>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</si>
  <si>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</si>
  <si>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</si>
  <si>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</si>
  <si>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</si>
  <si>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</si>
  <si>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</si>
  <si>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</si>
  <si>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</si>
  <si>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</si>
  <si>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</si>
  <si>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</si>
  <si>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</si>
  <si>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</si>
  <si>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</si>
  <si>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</si>
  <si>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</si>
  <si>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</si>
  <si>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</si>
  <si>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</si>
  <si>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</si>
  <si>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</si>
  <si>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</si>
  <si>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</si>
  <si>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</si>
  <si>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</si>
  <si>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</si>
  <si>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</si>
  <si>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</si>
  <si>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</si>
  <si>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</si>
  <si>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</si>
  <si>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</si>
  <si>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</si>
  <si>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</si>
  <si>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</si>
  <si>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</si>
  <si>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</si>
  <si>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</si>
  <si>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</si>
  <si>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</si>
  <si>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</si>
  <si>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</si>
  <si>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</si>
  <si>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</si>
  <si>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</si>
  <si>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</si>
  <si>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</si>
  <si>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</si>
  <si>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</si>
  <si>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</si>
  <si>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</si>
  <si>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</si>
  <si>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</si>
  <si>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</si>
  <si>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</si>
  <si>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</si>
  <si>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</si>
  <si>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</si>
  <si>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</si>
  <si>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</si>
  <si>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</si>
  <si>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</si>
  <si>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</si>
  <si>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</si>
  <si>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</si>
  <si>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</si>
  <si>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</si>
  <si>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</si>
  <si>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</si>
  <si>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</si>
  <si>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</si>
  <si>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</si>
  <si>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</si>
  <si>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</si>
  <si>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</si>
  <si>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</si>
  <si>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</si>
  <si>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</si>
  <si>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</si>
  <si>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</si>
  <si>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</si>
  <si>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</si>
  <si>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</si>
  <si>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</si>
  <si>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</si>
  <si>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</si>
  <si>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</si>
  <si>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</si>
  <si>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</si>
  <si>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</si>
  <si>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</si>
  <si>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</si>
  <si>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</si>
  <si>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</si>
  <si>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</si>
  <si>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</si>
  <si>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</si>
  <si>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</si>
  <si>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</si>
  <si>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</si>
  <si>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</si>
  <si>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</si>
  <si>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</si>
  <si>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</si>
  <si>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</si>
  <si>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</si>
  <si>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</si>
  <si>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</si>
  <si>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</si>
  <si>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</si>
  <si>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</si>
  <si>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</si>
  <si>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</si>
  <si>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</si>
  <si>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</si>
  <si>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</si>
  <si>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</si>
  <si>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</si>
  <si>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</si>
  <si>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</si>
  <si>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</si>
  <si>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</si>
  <si>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</si>
  <si>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</si>
  <si>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</si>
  <si>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</si>
  <si>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</si>
  <si>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</si>
  <si>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</si>
  <si>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</si>
  <si>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</si>
  <si>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</si>
  <si>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</si>
  <si>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</si>
  <si>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</si>
  <si>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</si>
  <si>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</si>
  <si>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</si>
  <si>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</si>
  <si>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</si>
  <si>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</si>
  <si>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</si>
  <si>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</si>
  <si>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</si>
  <si>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</si>
  <si>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</si>
  <si>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</si>
  <si>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</si>
  <si>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</si>
  <si>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</si>
  <si>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</si>
  <si>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</si>
  <si>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</si>
  <si>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</si>
  <si>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</si>
  <si>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</si>
  <si>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</si>
  <si>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</si>
  <si>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</si>
  <si>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</si>
  <si>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</si>
  <si>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</si>
  <si>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</si>
  <si>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</si>
  <si>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</si>
  <si>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</si>
  <si>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</si>
  <si>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</si>
  <si>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</si>
  <si>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</si>
  <si>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</si>
  <si>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</si>
  <si>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</si>
  <si>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</si>
  <si>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</si>
  <si>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</si>
  <si>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</si>
  <si>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</si>
  <si>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</si>
  <si>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</si>
  <si>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</si>
  <si>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</si>
  <si>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</si>
  <si>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</si>
  <si>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</si>
  <si>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</si>
  <si>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</si>
  <si>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</si>
  <si>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</si>
  <si>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</si>
  <si>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</si>
  <si>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</si>
  <si>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</si>
  <si>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</si>
  <si>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</si>
  <si>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</si>
  <si>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</si>
  <si>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</si>
  <si>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</si>
  <si>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</si>
  <si>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</si>
  <si>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</si>
  <si>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</si>
  <si>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</si>
  <si>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</si>
  <si>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</si>
  <si>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</si>
  <si>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</si>
  <si>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</si>
  <si>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</si>
  <si>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</si>
  <si>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</si>
  <si>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</si>
  <si>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</si>
  <si>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</si>
  <si>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</si>
  <si>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</si>
  <si>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</si>
  <si>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</si>
  <si>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</si>
  <si>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</si>
  <si>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</si>
  <si>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</si>
  <si>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</si>
  <si>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</si>
  <si>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</si>
  <si>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</si>
  <si>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</si>
  <si>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</si>
  <si>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</si>
  <si>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</si>
  <si>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</si>
  <si>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</si>
  <si>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</si>
  <si>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</si>
  <si>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</si>
  <si>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</si>
  <si>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</si>
  <si>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</si>
  <si>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</si>
  <si>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</si>
  <si>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</si>
  <si>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</si>
  <si>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</si>
  <si>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</si>
  <si>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</si>
  <si>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</si>
  <si>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</si>
  <si>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</si>
  <si>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</si>
  <si>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</si>
  <si>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</si>
  <si>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</si>
  <si>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</si>
  <si>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</si>
  <si>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</si>
  <si>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</si>
  <si>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</si>
  <si>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</si>
  <si>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</si>
  <si>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</si>
  <si>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</si>
  <si>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</si>
  <si>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</si>
  <si>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</si>
  <si>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</si>
  <si>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</si>
  <si>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</si>
  <si>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</si>
  <si>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</si>
  <si>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</si>
  <si>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</si>
  <si>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</si>
  <si>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</si>
  <si>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</si>
  <si>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</si>
  <si>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</si>
  <si>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</si>
  <si>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</si>
  <si>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</si>
  <si>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</si>
  <si>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</si>
  <si>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</si>
  <si>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</si>
  <si>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</si>
  <si>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</si>
  <si>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</si>
  <si>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</si>
  <si>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</si>
  <si>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</si>
  <si>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</si>
  <si>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</si>
  <si>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</si>
  <si>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</si>
  <si>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</si>
  <si>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</si>
  <si>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</si>
  <si>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</si>
  <si>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</si>
  <si>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</si>
  <si>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</si>
  <si>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</si>
  <si>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</si>
  <si>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</si>
  <si>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</si>
  <si>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</si>
  <si>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</si>
  <si>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</si>
  <si>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</si>
  <si>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</si>
  <si>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</si>
  <si>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</si>
  <si>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</si>
  <si>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</si>
  <si>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</si>
  <si>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</si>
  <si>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</si>
  <si>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</si>
  <si>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</si>
  <si>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</si>
  <si>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</si>
  <si>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</si>
  <si>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</si>
  <si>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</si>
  <si>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</si>
  <si>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</si>
  <si>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</si>
  <si>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</si>
  <si>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</si>
  <si>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</si>
  <si>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</si>
  <si>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</si>
  <si>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</si>
  <si>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</si>
  <si>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</si>
  <si>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</si>
  <si>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</si>
  <si>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</si>
  <si>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</si>
  <si>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</si>
  <si>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</si>
  <si>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</si>
  <si>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</si>
  <si>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</si>
  <si>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</si>
  <si>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</si>
  <si>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</si>
  <si>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</si>
  <si>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</si>
  <si>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</si>
  <si>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</si>
  <si>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</si>
  <si>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</si>
  <si>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</si>
  <si>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</si>
  <si>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</si>
  <si>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</si>
  <si>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</si>
  <si>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</si>
  <si>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</si>
  <si>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</si>
  <si>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</si>
  <si>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</si>
  <si>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</si>
  <si>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</si>
  <si>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</si>
  <si>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</si>
  <si>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</si>
  <si>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</si>
  <si>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</si>
  <si>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</si>
  <si>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</si>
  <si>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</si>
  <si>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</si>
  <si>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</si>
  <si>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</si>
  <si>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</si>
  <si>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</si>
  <si>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</si>
  <si>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</si>
  <si>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</si>
  <si>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</si>
  <si>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</si>
  <si>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</si>
  <si>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</si>
  <si>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</si>
  <si>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</si>
  <si>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</si>
  <si>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</si>
  <si>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</si>
  <si>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</si>
  <si>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</si>
  <si>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</si>
  <si>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</si>
  <si>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</si>
  <si>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</si>
  <si>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</si>
  <si>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</si>
  <si>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</si>
  <si>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</si>
  <si>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</si>
  <si>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</si>
  <si>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</si>
  <si>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</si>
  <si>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</si>
  <si>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</si>
  <si>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</si>
  <si>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</si>
  <si>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</si>
  <si>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</si>
  <si>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</si>
  <si>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</si>
  <si>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</si>
  <si>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</si>
  <si>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</si>
  <si>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</si>
  <si>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</si>
  <si>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</si>
  <si>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</si>
  <si>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</si>
  <si>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</si>
  <si>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</si>
  <si>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</si>
  <si>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</si>
  <si>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</si>
  <si>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</si>
  <si>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</si>
  <si>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</si>
  <si>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</si>
  <si>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</si>
  <si>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</si>
  <si>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</si>
  <si>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</si>
  <si>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</si>
  <si>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</si>
  <si>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</si>
  <si>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</si>
  <si>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</si>
  <si>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</si>
  <si>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</si>
  <si>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</si>
  <si>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</si>
  <si>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</si>
  <si>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</si>
  <si>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</si>
  <si>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</si>
  <si>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</si>
  <si>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</si>
  <si>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</si>
  <si>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</si>
  <si>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</si>
  <si>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</si>
  <si>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</si>
  <si>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</si>
  <si>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</si>
  <si>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</si>
  <si>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</si>
  <si>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</si>
  <si>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</si>
  <si>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</si>
  <si>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</si>
  <si>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</si>
  <si>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</si>
  <si>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</si>
  <si>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</si>
  <si>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</si>
  <si>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</si>
  <si>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</si>
  <si>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</si>
  <si>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</si>
  <si>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</si>
  <si>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</si>
  <si>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</si>
  <si>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</si>
  <si>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</si>
  <si>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</si>
  <si>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</si>
  <si>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</si>
  <si>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</si>
  <si>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</si>
  <si>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</si>
  <si>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</si>
  <si>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</si>
  <si>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</si>
  <si>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</si>
  <si>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</si>
  <si>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</si>
  <si>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</si>
  <si>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</si>
  <si>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</si>
  <si>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</si>
  <si>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</si>
  <si>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</si>
  <si>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</si>
  <si>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</si>
  <si>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</si>
  <si>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</si>
  <si>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</si>
  <si>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</si>
  <si>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</si>
  <si>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</si>
  <si>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</si>
  <si>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</si>
  <si>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</si>
  <si>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</si>
  <si>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</si>
  <si>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</si>
  <si>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</si>
  <si>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</si>
  <si>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</si>
  <si>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</si>
  <si>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</si>
  <si>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</si>
  <si>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</si>
  <si>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</si>
  <si>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</si>
  <si>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</si>
  <si>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</si>
  <si>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</si>
  <si>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</si>
  <si>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</si>
  <si>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</si>
  <si>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</si>
  <si>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</si>
  <si>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</si>
  <si>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</si>
  <si>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</si>
  <si>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</si>
  <si>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</si>
  <si>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</si>
  <si>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</si>
  <si>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</si>
  <si>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</si>
  <si>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</si>
  <si>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</si>
  <si>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</si>
  <si>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</si>
  <si>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</si>
  <si>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</si>
  <si>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</si>
  <si>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</si>
  <si>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</si>
  <si>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</si>
  <si>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</si>
  <si>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</si>
  <si>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</si>
  <si>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</si>
  <si>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</si>
  <si>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</si>
  <si>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</si>
  <si>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</si>
  <si>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</si>
  <si>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</si>
  <si>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</si>
  <si>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</si>
  <si>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</si>
  <si>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</si>
  <si>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</si>
  <si>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</si>
  <si>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</si>
  <si>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</si>
  <si>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</si>
  <si>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</si>
  <si>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</si>
  <si>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</si>
  <si>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</si>
  <si>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</si>
  <si>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</si>
  <si>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</si>
  <si>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</si>
  <si>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</si>
  <si>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</si>
  <si>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</si>
  <si>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</si>
  <si>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</si>
  <si>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</si>
  <si>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</si>
  <si>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</si>
  <si>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</si>
  <si>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</si>
  <si>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</si>
  <si>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</si>
  <si>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</si>
  <si>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</si>
  <si>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</si>
  <si>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</si>
  <si>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</si>
  <si>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</si>
  <si>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</si>
  <si>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</si>
  <si>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</si>
  <si>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</si>
  <si>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</si>
  <si>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</si>
  <si>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</si>
  <si>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</si>
  <si>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</si>
  <si>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</si>
  <si>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</si>
  <si>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</si>
  <si>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</si>
  <si>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</si>
  <si>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</si>
  <si>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</si>
  <si>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</si>
  <si>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</si>
  <si>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</si>
  <si>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</si>
  <si>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</si>
  <si>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</si>
  <si>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</si>
  <si>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</si>
  <si>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</si>
  <si>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</si>
  <si>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</si>
  <si>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</si>
  <si>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</si>
  <si>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</si>
  <si>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</si>
  <si>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</si>
  <si>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</si>
  <si>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</si>
  <si>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</si>
  <si>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</si>
  <si>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</si>
  <si>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</si>
  <si>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</si>
  <si>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</si>
  <si>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</si>
  <si>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</si>
  <si>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</si>
  <si>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</si>
  <si>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</si>
  <si>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</si>
  <si>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</si>
  <si>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</si>
  <si>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</si>
  <si>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</si>
  <si>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</si>
  <si>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</si>
  <si>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</si>
  <si>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</si>
  <si>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</si>
  <si>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</si>
  <si>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</si>
  <si>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</si>
  <si>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</si>
  <si>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</si>
  <si>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</si>
  <si>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</si>
  <si>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</si>
  <si>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</si>
  <si>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</si>
  <si>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</si>
  <si>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</si>
  <si>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</si>
  <si>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</si>
  <si>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</si>
  <si>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</si>
  <si>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</si>
  <si>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</si>
  <si>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</si>
  <si>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</si>
  <si>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</si>
  <si>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</si>
  <si>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</si>
  <si>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</si>
  <si>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</si>
  <si>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</si>
  <si>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</si>
  <si>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</si>
  <si>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</si>
  <si>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</si>
  <si>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</si>
  <si>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</si>
  <si>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</si>
  <si>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</si>
  <si>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</si>
  <si>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</si>
  <si>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</si>
  <si>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</si>
  <si>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</si>
  <si>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</si>
  <si>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</si>
  <si>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</si>
  <si>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</si>
  <si>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</si>
  <si>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</si>
  <si>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</si>
  <si>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</si>
  <si>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</si>
  <si>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</si>
  <si>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</si>
  <si>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</si>
  <si>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</si>
  <si>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</si>
  <si>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</si>
  <si>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</si>
  <si>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</si>
  <si>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</si>
  <si>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</si>
  <si>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</si>
  <si>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</si>
  <si>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</si>
  <si>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</si>
  <si>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</si>
  <si>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</si>
  <si>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</si>
  <si>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</si>
  <si>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</si>
  <si>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</si>
  <si>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</si>
  <si>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</si>
  <si>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</si>
  <si>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</si>
  <si>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</si>
  <si>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</si>
  <si>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</si>
  <si>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</si>
  <si>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</si>
  <si>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</si>
  <si>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</si>
  <si>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</si>
  <si>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</si>
  <si>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</si>
  <si>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</si>
  <si>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</si>
  <si>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</si>
  <si>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</si>
  <si>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</si>
  <si>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</si>
  <si>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</si>
  <si>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</si>
  <si>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</si>
  <si>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</si>
  <si>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</si>
  <si>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</si>
  <si>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</si>
  <si>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</si>
  <si>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</si>
  <si>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</si>
  <si>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</si>
  <si>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</si>
  <si>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</si>
  <si>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</si>
  <si>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</si>
  <si>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</si>
  <si>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</si>
  <si>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</si>
  <si>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</si>
  <si>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</si>
  <si>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</si>
  <si>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</si>
  <si>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</si>
  <si>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</si>
  <si>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</si>
  <si>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</si>
  <si>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</si>
  <si>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</si>
  <si>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</si>
  <si>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</si>
  <si>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</si>
  <si>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</si>
  <si>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</si>
  <si>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</si>
  <si>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</si>
  <si>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</si>
  <si>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</si>
  <si>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</si>
  <si>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</si>
  <si>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</si>
  <si>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</si>
  <si>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</si>
  <si>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</si>
  <si>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</si>
  <si>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</si>
  <si>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</si>
  <si>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</si>
  <si>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</si>
  <si>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</si>
  <si>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</si>
  <si>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</si>
  <si>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</si>
  <si>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</si>
  <si>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</si>
  <si>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</si>
  <si>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</si>
  <si>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</si>
  <si>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</si>
  <si>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</si>
  <si>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</si>
  <si>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</si>
  <si>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</si>
  <si>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</si>
  <si>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</si>
  <si>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</si>
  <si>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</si>
  <si>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</si>
  <si>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</si>
  <si>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</si>
  <si>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</si>
  <si>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</si>
  <si>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</si>
  <si>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</si>
  <si>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</si>
  <si>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</si>
  <si>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</si>
  <si>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</si>
  <si>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</si>
  <si>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</si>
  <si>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</si>
  <si>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</si>
  <si>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</si>
  <si>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</si>
  <si>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</si>
  <si>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</si>
  <si>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</si>
  <si>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</si>
  <si>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</si>
  <si>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</si>
  <si>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</si>
  <si>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</si>
  <si>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</si>
  <si>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</si>
  <si>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</si>
  <si>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</si>
  <si>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</si>
  <si>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</si>
  <si>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</si>
  <si>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</si>
  <si>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</si>
  <si>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</si>
  <si>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</si>
  <si>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</si>
  <si>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</si>
  <si>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</si>
  <si>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</si>
  <si>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</si>
  <si>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</si>
  <si>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</si>
  <si>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</si>
  <si>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</si>
  <si>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</si>
  <si>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</si>
  <si>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</si>
  <si>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</si>
  <si>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</si>
  <si>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</si>
  <si>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</si>
  <si>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</si>
  <si>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</si>
  <si>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</si>
  <si>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</si>
  <si>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</si>
  <si>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</si>
  <si>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</si>
  <si>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</si>
  <si>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</si>
  <si>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</si>
  <si>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</si>
  <si>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</si>
  <si>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</si>
  <si>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</si>
  <si>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</si>
  <si>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</si>
  <si>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</si>
  <si>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</si>
  <si>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</si>
  <si>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</si>
  <si>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</si>
  <si>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</si>
  <si>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</si>
  <si>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</si>
  <si>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</si>
  <si>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</si>
  <si>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</si>
  <si>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</si>
  <si>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</si>
  <si>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</si>
  <si>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</si>
  <si>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</si>
  <si>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</si>
  <si>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</si>
  <si>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</si>
  <si>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</si>
  <si>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</si>
  <si>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</si>
  <si>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</si>
  <si>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</si>
  <si>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</si>
  <si>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</si>
  <si>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</si>
  <si>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</si>
  <si>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</si>
  <si>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</si>
  <si>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</si>
  <si>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</si>
  <si>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</si>
  <si>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</si>
  <si>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</si>
  <si>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</si>
  <si>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</si>
  <si>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</si>
  <si>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</si>
  <si>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</si>
  <si>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</si>
  <si>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</si>
  <si>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</si>
  <si>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</si>
  <si>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</si>
  <si>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</si>
  <si>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</si>
  <si>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</si>
  <si>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</si>
  <si>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</si>
  <si>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</si>
  <si>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</si>
  <si>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</si>
  <si>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</si>
  <si>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</si>
  <si>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</si>
  <si>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</si>
  <si>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</si>
  <si>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</si>
  <si>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</si>
  <si>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</si>
  <si>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</si>
  <si>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</si>
  <si>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</si>
  <si>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</si>
  <si>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</si>
  <si>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</si>
  <si>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</si>
  <si>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</si>
  <si>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</si>
  <si>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</si>
  <si>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</si>
  <si>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</si>
  <si>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</si>
  <si>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</si>
  <si>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</si>
  <si>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</si>
  <si>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</si>
  <si>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</si>
  <si>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</si>
  <si>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</si>
  <si>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</si>
  <si>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</si>
  <si>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</si>
  <si>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</si>
  <si>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</si>
  <si>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</si>
  <si>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</si>
  <si>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</si>
  <si>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</si>
  <si>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</si>
  <si>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</si>
  <si>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</si>
  <si>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</si>
  <si>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</si>
  <si>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</si>
  <si>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</si>
  <si>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</si>
  <si>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</si>
  <si>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</si>
  <si>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</si>
  <si>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</si>
  <si>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</si>
  <si>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</si>
  <si>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</si>
  <si>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</si>
  <si>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</si>
  <si>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</si>
  <si>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</si>
  <si>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</si>
  <si>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</si>
  <si>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</si>
  <si>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</si>
  <si>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</si>
  <si>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</si>
  <si>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</si>
  <si>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</si>
  <si>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</si>
  <si>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</si>
  <si>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</si>
  <si>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</si>
  <si>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</si>
  <si>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</si>
  <si>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</si>
  <si>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</si>
  <si>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</si>
  <si>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</si>
  <si>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</si>
  <si>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</si>
  <si>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</si>
  <si>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</si>
  <si>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</si>
  <si>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</si>
  <si>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</si>
  <si>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</si>
  <si>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</si>
  <si>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</si>
  <si>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</si>
  <si>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</si>
  <si>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</si>
  <si>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</si>
  <si>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</si>
  <si>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</si>
  <si>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</si>
  <si>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</si>
  <si>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</si>
  <si>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</si>
  <si>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</si>
  <si>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</si>
  <si>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</si>
  <si>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</si>
  <si>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</si>
  <si>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</si>
  <si>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</si>
  <si>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</si>
  <si>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</si>
  <si>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</si>
  <si>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</si>
  <si>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</si>
  <si>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</si>
  <si>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</si>
  <si>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</si>
  <si>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</si>
  <si>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</si>
  <si>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</si>
  <si>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</si>
  <si>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</si>
  <si>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</si>
  <si>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</si>
  <si>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</si>
  <si>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</si>
  <si>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</si>
  <si>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</si>
  <si>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</si>
  <si>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</si>
  <si>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</si>
  <si>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</si>
  <si>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</si>
  <si>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</si>
  <si>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</si>
  <si>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</si>
  <si>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</si>
  <si>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</si>
  <si>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</si>
  <si>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</si>
  <si>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</si>
  <si>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</si>
  <si>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</si>
  <si>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</si>
  <si>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</si>
  <si>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</si>
  <si>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</si>
  <si>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</si>
  <si>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</si>
  <si>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</si>
  <si>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</si>
  <si>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</si>
  <si>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</si>
  <si>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</si>
  <si>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</si>
  <si>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</si>
  <si>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</si>
  <si>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</si>
  <si>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</si>
  <si>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</si>
  <si>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</si>
  <si>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</si>
  <si>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</si>
  <si>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</si>
  <si>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</si>
  <si>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</si>
  <si>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</si>
  <si>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</si>
  <si>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</si>
  <si>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</si>
  <si>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</si>
  <si>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</si>
  <si>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</si>
  <si>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</si>
  <si>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</si>
  <si>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</si>
  <si>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</si>
  <si>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</si>
  <si>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</si>
  <si>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</si>
  <si>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</si>
  <si>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</si>
  <si>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</si>
  <si>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</si>
  <si>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</si>
  <si>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</si>
  <si>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</si>
  <si>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</si>
  <si>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</si>
  <si>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</si>
  <si>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</si>
  <si>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</si>
  <si>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</si>
  <si>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</si>
  <si>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</si>
  <si>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</si>
  <si>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</si>
  <si>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</si>
  <si>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</si>
  <si>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</si>
  <si>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</si>
  <si>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</si>
  <si>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</si>
  <si>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</si>
  <si>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</si>
  <si>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</si>
  <si>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</si>
  <si>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</si>
  <si>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</si>
  <si>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</si>
  <si>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</si>
  <si>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</si>
  <si>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</si>
  <si>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</si>
  <si>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</si>
  <si>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</si>
  <si>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</si>
  <si>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</si>
  <si>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</si>
  <si>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</si>
  <si>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</si>
  <si>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</si>
  <si>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</si>
  <si>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</si>
  <si>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</si>
  <si>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</si>
  <si>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</si>
  <si>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</si>
  <si>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</si>
  <si>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</si>
  <si>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</si>
  <si>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</si>
  <si>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</si>
  <si>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</si>
  <si>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</si>
  <si>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</si>
  <si>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</si>
  <si>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</si>
  <si>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</si>
  <si>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</si>
  <si>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</si>
  <si>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</si>
  <si>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</si>
  <si>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</si>
  <si>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</si>
  <si>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</si>
  <si>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</si>
  <si>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</si>
  <si>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</si>
  <si>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</si>
  <si>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</si>
  <si>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</si>
  <si>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</si>
  <si>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</si>
  <si>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</si>
  <si>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</si>
  <si>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</si>
  <si>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</si>
  <si>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</si>
  <si>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</si>
  <si>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</si>
  <si>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</si>
  <si>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</si>
  <si>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</si>
  <si>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</si>
  <si>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</si>
  <si>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</si>
  <si>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</si>
  <si>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</si>
  <si>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</si>
  <si>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</si>
  <si>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</si>
  <si>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</si>
  <si>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</si>
  <si>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</si>
  <si>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</si>
  <si>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</si>
  <si>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</si>
  <si>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</si>
  <si>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</si>
  <si>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</si>
  <si>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</si>
  <si>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</si>
  <si>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</si>
  <si>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</si>
  <si>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</si>
  <si>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</si>
  <si>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</si>
  <si>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</si>
  <si>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</si>
  <si>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</si>
  <si>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</si>
  <si>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</si>
  <si>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</si>
  <si>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</si>
  <si>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</si>
  <si>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</si>
  <si>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</si>
  <si>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</si>
  <si>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</si>
  <si>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</si>
  <si>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</si>
  <si>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</si>
  <si>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</si>
  <si>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</si>
  <si>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</si>
  <si>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</si>
  <si>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</si>
  <si>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</si>
  <si>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</si>
  <si>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</si>
  <si>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</si>
  <si>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</si>
  <si>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</si>
  <si>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</si>
  <si>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</si>
  <si>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</si>
  <si>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</si>
  <si>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</si>
  <si>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</si>
  <si>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</si>
  <si>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</si>
  <si>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</si>
  <si>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</si>
  <si>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</si>
  <si>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</si>
  <si>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</si>
  <si>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</si>
  <si>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</si>
  <si>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</si>
  <si>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</si>
  <si>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</si>
  <si>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</si>
  <si>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</si>
  <si>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</si>
  <si>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</si>
  <si>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</si>
  <si>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</si>
  <si>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</si>
  <si>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</si>
  <si>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</si>
  <si>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</si>
  <si>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</si>
  <si>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</si>
  <si>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</si>
  <si>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</si>
  <si>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</si>
  <si>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</si>
  <si>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</si>
  <si>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</si>
  <si>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</si>
  <si>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</si>
  <si>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</si>
  <si>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</si>
  <si>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</si>
  <si>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</si>
  <si>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</si>
  <si>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</si>
  <si>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</si>
  <si>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</si>
  <si>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</si>
  <si>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</si>
  <si>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</si>
  <si>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</si>
  <si>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</si>
  <si>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</si>
  <si>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</si>
  <si>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</si>
  <si>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</si>
  <si>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</si>
  <si>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</si>
  <si>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</si>
  <si>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</si>
  <si>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</si>
  <si>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</si>
  <si>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</si>
  <si>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</si>
  <si>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</si>
  <si>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</si>
  <si>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</si>
  <si>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</si>
  <si>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</si>
  <si>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</si>
  <si>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</si>
  <si>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</si>
  <si>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</si>
  <si>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</si>
  <si>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</si>
  <si>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</si>
  <si>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</si>
  <si>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</si>
  <si>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</si>
  <si>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</si>
  <si>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</si>
  <si>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</si>
  <si>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</si>
  <si>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</si>
  <si>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</si>
  <si>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</si>
  <si>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</si>
  <si>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</si>
  <si>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</si>
  <si>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</si>
  <si>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</si>
  <si>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</si>
  <si>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</si>
  <si>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</si>
  <si>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</si>
  <si>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</si>
  <si>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</si>
  <si>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</si>
  <si>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</si>
  <si>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</si>
  <si>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</si>
  <si>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</si>
  <si>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</si>
  <si>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</si>
  <si>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</si>
  <si>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</si>
  <si>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</si>
  <si>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</si>
  <si>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</si>
  <si>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</si>
  <si>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</si>
  <si>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</si>
  <si>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</si>
  <si>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</si>
  <si>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</si>
  <si>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</si>
  <si>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</si>
  <si>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</si>
  <si>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</si>
  <si>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</si>
  <si>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</si>
  <si>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</si>
  <si>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</si>
  <si>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</si>
  <si>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</si>
  <si>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</si>
  <si>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</si>
  <si>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</si>
  <si>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</si>
  <si>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</si>
  <si>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</si>
  <si>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</si>
  <si>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</si>
  <si>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</si>
  <si>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</si>
  <si>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</si>
  <si>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</si>
  <si>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</si>
  <si>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</si>
  <si>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</si>
  <si>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</si>
  <si>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</si>
  <si>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</si>
  <si>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</si>
  <si>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</si>
  <si>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</si>
  <si>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</si>
  <si>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</si>
  <si>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</si>
  <si>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</si>
  <si>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</si>
  <si>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</si>
  <si>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</si>
  <si>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</si>
  <si>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</si>
  <si>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</si>
  <si>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</si>
  <si>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</si>
  <si>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</si>
  <si>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</si>
  <si>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</si>
  <si>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</si>
  <si>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</si>
  <si>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</si>
  <si>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</si>
  <si>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</si>
  <si>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</si>
  <si>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</si>
  <si>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</si>
  <si>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</si>
  <si>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</si>
  <si>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</si>
  <si>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</si>
  <si>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</si>
  <si>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</si>
  <si>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</si>
  <si>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</si>
  <si>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</si>
  <si>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</si>
  <si>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</si>
  <si>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</si>
  <si>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</si>
  <si>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</si>
  <si>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</si>
  <si>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</si>
  <si>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</si>
  <si>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</si>
  <si>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</si>
  <si>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</si>
  <si>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</si>
  <si>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</si>
  <si>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</si>
  <si>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</si>
  <si>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</si>
  <si>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</si>
  <si>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</si>
  <si>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</si>
  <si>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</si>
  <si>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</si>
  <si>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</si>
  <si>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</si>
  <si>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</si>
  <si>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</si>
  <si>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</si>
  <si>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</si>
  <si>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</si>
  <si>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</si>
  <si>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</si>
  <si>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</si>
  <si>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</si>
  <si>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</si>
  <si>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</si>
  <si>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</si>
  <si>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</si>
  <si>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</si>
  <si>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</si>
  <si>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</si>
  <si>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</si>
  <si>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</si>
  <si>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</si>
  <si>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</si>
  <si>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</si>
  <si>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</si>
  <si>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</si>
  <si>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</si>
  <si>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</si>
  <si>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</si>
  <si>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</si>
  <si>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</si>
  <si>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</si>
  <si>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</si>
  <si>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</si>
  <si>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</si>
  <si>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</si>
  <si>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</si>
  <si>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</si>
  <si>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</si>
  <si>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</si>
  <si>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</si>
  <si>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</si>
  <si>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</si>
  <si>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</si>
  <si>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</si>
  <si>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</si>
  <si>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</si>
  <si>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</si>
  <si>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</si>
  <si>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</si>
  <si>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</si>
  <si>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</si>
  <si>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</si>
  <si>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</si>
  <si>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</si>
  <si>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</si>
  <si>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</si>
  <si>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</si>
  <si>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</si>
  <si>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</si>
  <si>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</si>
  <si>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</si>
  <si>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</si>
  <si>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</si>
  <si>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</si>
  <si>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</si>
  <si>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</si>
  <si>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</si>
  <si>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</si>
  <si>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</si>
  <si>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</si>
  <si>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</si>
  <si>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</si>
  <si>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</si>
  <si>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</si>
  <si>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</si>
  <si>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</si>
  <si>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</si>
  <si>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</si>
  <si>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</si>
  <si>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</si>
  <si>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</si>
  <si>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</si>
  <si>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</si>
  <si>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</si>
  <si>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</si>
  <si>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</si>
  <si>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</si>
  <si>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</si>
  <si>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</si>
  <si>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</si>
  <si>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</si>
  <si>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</si>
  <si>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</si>
  <si>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</si>
  <si>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</si>
  <si>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</si>
  <si>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</si>
  <si>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</si>
  <si>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</si>
  <si>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</si>
  <si>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</si>
  <si>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</si>
  <si>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</si>
  <si>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</si>
  <si>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</si>
  <si>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</si>
  <si>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</si>
  <si>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</si>
  <si>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</si>
  <si>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</si>
  <si>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</si>
  <si>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</si>
  <si>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</si>
  <si>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</si>
  <si>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</si>
  <si>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</si>
  <si>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</si>
  <si>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</si>
  <si>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</si>
  <si>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</si>
  <si>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</si>
  <si>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</si>
  <si>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</si>
  <si>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</si>
  <si>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</si>
  <si>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</si>
  <si>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</si>
  <si>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</si>
  <si>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</si>
  <si>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</si>
  <si>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</si>
  <si>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</si>
  <si>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</si>
  <si>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</si>
  <si>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</si>
  <si>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</si>
  <si>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</si>
  <si>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</si>
  <si>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</si>
  <si>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</si>
  <si>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</si>
  <si>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</si>
  <si>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</si>
  <si>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</si>
  <si>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</si>
  <si>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</si>
  <si>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</si>
  <si>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</si>
  <si>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</si>
  <si>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</si>
  <si>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</si>
  <si>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</si>
  <si>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</si>
  <si>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</si>
  <si>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</si>
  <si>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</si>
  <si>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</si>
  <si>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</si>
  <si>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</si>
  <si>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</si>
  <si>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</si>
  <si>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</si>
  <si>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</si>
  <si>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</si>
  <si>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</si>
  <si>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</si>
  <si>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</si>
  <si>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</si>
  <si>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</si>
  <si>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</si>
  <si>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</si>
  <si>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</si>
  <si>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</si>
  <si>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</si>
  <si>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</si>
  <si>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</si>
  <si>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</si>
  <si>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</si>
  <si>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</si>
  <si>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</si>
  <si>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</si>
  <si>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</si>
  <si>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</si>
  <si>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</si>
  <si>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</si>
  <si>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</si>
  <si>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</si>
  <si>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</si>
  <si>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</si>
  <si>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</si>
  <si>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</si>
  <si>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</si>
  <si>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</si>
  <si>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</si>
  <si>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</si>
  <si>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</si>
  <si>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</si>
  <si>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</si>
  <si>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</si>
  <si>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</si>
  <si>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</si>
  <si>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</si>
  <si>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</si>
  <si>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</si>
  <si>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</si>
  <si>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</si>
  <si>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</si>
  <si>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</si>
  <si>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</si>
  <si>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</si>
  <si>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</si>
  <si>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</si>
  <si>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</si>
  <si>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</si>
  <si>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</si>
  <si>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</si>
  <si>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</si>
  <si>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</si>
  <si>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</si>
  <si>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</si>
  <si>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</si>
  <si>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</si>
  <si>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</si>
  <si>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</si>
  <si>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</si>
  <si>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</si>
  <si>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</si>
  <si>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</si>
  <si>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</si>
  <si>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</si>
  <si>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</si>
  <si>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</si>
  <si>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</si>
  <si>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</si>
  <si>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</si>
  <si>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</si>
  <si>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</si>
  <si>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</si>
  <si>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</si>
  <si>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</si>
  <si>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</si>
  <si>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</si>
  <si>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</si>
  <si>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</si>
  <si>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</si>
  <si>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</si>
  <si>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</si>
  <si>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</si>
  <si>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</si>
  <si>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</si>
  <si>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</si>
  <si>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</si>
  <si>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</si>
  <si>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</si>
  <si>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</si>
  <si>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</si>
  <si>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</si>
  <si>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</si>
  <si>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</si>
  <si>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</si>
  <si>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</si>
  <si>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</si>
  <si>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</si>
  <si>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</si>
  <si>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</si>
  <si>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</si>
  <si>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</si>
  <si>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</si>
  <si>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</si>
  <si>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</si>
  <si>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</si>
  <si>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</si>
  <si>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</si>
  <si>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</si>
  <si>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</si>
  <si>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</si>
  <si>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</si>
  <si>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</si>
  <si>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</si>
  <si>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</si>
  <si>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</si>
  <si>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</si>
  <si>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</si>
  <si>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</si>
  <si>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</si>
  <si>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</si>
  <si>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</si>
  <si>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</si>
  <si>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</si>
  <si>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</si>
  <si>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</si>
  <si>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</si>
  <si>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</si>
  <si>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</si>
  <si>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</si>
  <si>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</si>
  <si>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</si>
  <si>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</si>
  <si>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</si>
  <si>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</si>
  <si>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</si>
  <si>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</si>
  <si>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</si>
  <si>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</si>
  <si>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</si>
  <si>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</si>
  <si>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</si>
  <si>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</si>
  <si>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</si>
  <si>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</si>
  <si>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</si>
  <si>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</si>
  <si>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</si>
  <si>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</si>
  <si>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</si>
  <si>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</si>
  <si>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</si>
  <si>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</si>
  <si>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</si>
  <si>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</si>
  <si>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</si>
  <si>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</si>
  <si>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</si>
  <si>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</si>
  <si>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</si>
  <si>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</si>
  <si>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</si>
  <si>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</si>
  <si>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</si>
  <si>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</si>
  <si>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</si>
  <si>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</si>
  <si>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</si>
  <si>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</si>
  <si>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</si>
  <si>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</si>
  <si>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</si>
  <si>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</si>
  <si>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</si>
  <si>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</si>
  <si>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</si>
  <si>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</si>
  <si>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</si>
  <si>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</si>
  <si>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</si>
  <si>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</si>
  <si>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</si>
  <si>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</si>
  <si>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</si>
  <si>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</si>
  <si>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</si>
  <si>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</si>
  <si>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</si>
  <si>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</si>
  <si>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</si>
  <si>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</si>
  <si>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</si>
  <si>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</si>
  <si>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</si>
  <si>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</si>
  <si>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</si>
  <si>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</si>
  <si>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</si>
  <si>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</si>
  <si>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</si>
  <si>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</si>
  <si>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</si>
  <si>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</si>
  <si>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</si>
  <si>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</si>
  <si>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</si>
  <si>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</si>
  <si>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</si>
  <si>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</si>
  <si>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</si>
  <si>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</si>
  <si>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</si>
  <si>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</si>
  <si>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</si>
  <si>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</si>
  <si>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</si>
  <si>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</si>
  <si>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</si>
  <si>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</si>
  <si>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</si>
  <si>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</si>
  <si>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</si>
  <si>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</si>
  <si>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</si>
  <si>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</si>
  <si>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</si>
  <si>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</si>
  <si>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</si>
  <si>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</si>
  <si>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</si>
  <si>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</si>
  <si>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</si>
  <si>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</si>
  <si>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</si>
  <si>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</si>
  <si>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</si>
  <si>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</si>
  <si>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</si>
  <si>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</si>
  <si>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</si>
  <si>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</si>
  <si>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</si>
  <si>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</si>
  <si>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</si>
  <si>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</si>
  <si>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</si>
  <si>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</si>
  <si>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</si>
  <si>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</si>
  <si>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</si>
  <si>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</si>
  <si>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</si>
  <si>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</si>
  <si>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</si>
  <si>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</si>
  <si>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</si>
  <si>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</si>
  <si>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</si>
  <si>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</si>
  <si>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</si>
  <si>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</si>
  <si>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</si>
  <si>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</si>
  <si>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</si>
  <si>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</si>
  <si>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</si>
  <si>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</si>
  <si>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</si>
  <si>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</si>
  <si>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</si>
  <si>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</si>
  <si>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</si>
  <si>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</si>
  <si>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</si>
  <si>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</si>
  <si>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</si>
  <si>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</si>
  <si>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</si>
  <si>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</si>
  <si>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</si>
  <si>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</si>
  <si>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</si>
  <si>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</si>
  <si>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</si>
  <si>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</si>
  <si>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</si>
  <si>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</si>
  <si>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</si>
  <si>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</si>
  <si>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</si>
  <si>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</si>
  <si>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</si>
  <si>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</si>
  <si>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</si>
  <si>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</si>
  <si>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</si>
  <si>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</si>
  <si>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</si>
  <si>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</si>
  <si>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</si>
  <si>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</si>
  <si>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</si>
  <si>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</si>
  <si>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</si>
  <si>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</si>
  <si>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</si>
  <si>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</si>
  <si>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</si>
  <si>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</si>
  <si>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</si>
  <si>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</si>
  <si>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</si>
  <si>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</si>
  <si>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</si>
  <si>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</si>
  <si>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</si>
  <si>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</si>
  <si>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</si>
  <si>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</si>
  <si>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</si>
  <si>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</si>
  <si>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</si>
  <si>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</si>
  <si>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</si>
  <si>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</si>
  <si>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</si>
  <si>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</si>
  <si>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</si>
  <si>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</si>
  <si>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</si>
  <si>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</si>
  <si>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</si>
  <si>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</si>
  <si>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</si>
  <si>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</si>
  <si>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</si>
  <si>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</si>
  <si>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</si>
  <si>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</si>
  <si>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</si>
  <si>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</si>
  <si>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</si>
  <si>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</si>
  <si>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</si>
  <si>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</si>
  <si>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</si>
  <si>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</si>
  <si>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</si>
  <si>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</si>
  <si>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</si>
  <si>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</si>
  <si>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</si>
  <si>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</si>
  <si>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</si>
  <si>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</si>
  <si>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</si>
  <si>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</si>
  <si>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</si>
  <si>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</si>
  <si>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</si>
  <si>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</si>
  <si>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</si>
  <si>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</si>
  <si>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</si>
  <si>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</si>
  <si>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</si>
  <si>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</si>
  <si>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</si>
  <si>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</si>
  <si>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</si>
  <si>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</si>
  <si>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</si>
  <si>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</si>
  <si>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</si>
  <si>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</si>
  <si>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</si>
  <si>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</si>
  <si>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</si>
  <si>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</si>
  <si>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</si>
  <si>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</si>
  <si>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</si>
  <si>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</si>
  <si>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</si>
  <si>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</si>
  <si>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</si>
  <si>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</si>
  <si>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</si>
  <si>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</si>
  <si>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</si>
  <si>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</si>
  <si>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</si>
  <si>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</si>
  <si>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</si>
  <si>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</si>
  <si>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</si>
  <si>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</si>
  <si>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</si>
  <si>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</si>
  <si>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</si>
  <si>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</si>
  <si>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</si>
  <si>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</si>
  <si>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</si>
  <si>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</si>
  <si>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</si>
  <si>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</si>
  <si>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</si>
  <si>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</si>
  <si>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</si>
  <si>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</si>
  <si>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</si>
  <si>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</si>
  <si>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</si>
  <si>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</si>
  <si>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</si>
  <si>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</si>
  <si>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</si>
  <si>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</si>
  <si>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</si>
  <si>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</si>
  <si>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</si>
  <si>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</si>
  <si>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</si>
  <si>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</si>
  <si>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</si>
  <si>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</si>
  <si>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</si>
  <si>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</si>
  <si>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</si>
  <si>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</si>
  <si>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</si>
  <si>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</si>
  <si>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</si>
  <si>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</si>
  <si>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</si>
  <si>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</si>
  <si>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</si>
  <si>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</si>
  <si>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</si>
  <si>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</si>
  <si>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</si>
  <si>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</si>
  <si>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</si>
  <si>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</si>
  <si>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</si>
  <si>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</si>
  <si>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</si>
  <si>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</si>
  <si>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</si>
  <si>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</si>
  <si>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</si>
  <si>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</si>
  <si>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</si>
  <si>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</si>
  <si>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</si>
  <si>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</si>
  <si>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</si>
  <si>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</si>
  <si>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</si>
  <si>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</si>
  <si>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</si>
  <si>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</si>
  <si>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</si>
  <si>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</si>
  <si>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</si>
  <si>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</si>
  <si>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</si>
  <si>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</si>
  <si>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</si>
  <si>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</si>
  <si>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</si>
  <si>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</si>
  <si>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</si>
  <si>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</si>
  <si>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</si>
  <si>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</si>
  <si>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</si>
  <si>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</si>
  <si>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</si>
  <si>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</si>
  <si>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</si>
  <si>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</si>
  <si>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</si>
  <si>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</si>
  <si>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</si>
  <si>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</si>
  <si>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</si>
  <si>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</si>
  <si>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</si>
  <si>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</si>
  <si>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</si>
  <si>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</si>
  <si>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</si>
  <si>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</si>
  <si>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</si>
  <si>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</si>
  <si>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</si>
  <si>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</si>
  <si>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</si>
  <si>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</si>
  <si>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</si>
  <si>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</si>
  <si>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</si>
  <si>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</si>
  <si>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</si>
  <si>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</si>
  <si>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</si>
  <si>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</si>
  <si>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</si>
  <si>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</si>
  <si>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</si>
  <si>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</si>
  <si>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</si>
  <si>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</si>
  <si>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</si>
  <si>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</si>
  <si>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</si>
  <si>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</si>
  <si>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</si>
  <si>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</si>
  <si>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</si>
  <si>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</si>
  <si>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</si>
  <si>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</si>
  <si>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</si>
  <si>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</si>
  <si>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</si>
  <si>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</si>
  <si>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</si>
  <si>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</si>
  <si>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</si>
  <si>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</si>
  <si>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</si>
  <si>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</si>
  <si>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</si>
  <si>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</si>
  <si>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</si>
  <si>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</si>
  <si>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</si>
  <si>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</si>
  <si>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</si>
  <si>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</si>
  <si>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</si>
  <si>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</si>
  <si>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</si>
  <si>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</si>
  <si>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</si>
  <si>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</si>
  <si>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</si>
  <si>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</si>
  <si>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</si>
  <si>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</si>
  <si>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</si>
  <si>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</si>
  <si>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</si>
  <si>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</si>
  <si>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</si>
  <si>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</si>
  <si>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</si>
  <si>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</si>
  <si>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</si>
  <si>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</si>
  <si>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</si>
  <si>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</si>
  <si>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</si>
  <si>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</si>
  <si>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</si>
  <si>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</si>
  <si>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</si>
  <si>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</si>
  <si>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</si>
  <si>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</si>
  <si>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</si>
  <si>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</si>
  <si>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</si>
  <si>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</si>
  <si>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</si>
  <si>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</si>
  <si>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</si>
  <si>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</si>
  <si>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</si>
  <si>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</si>
  <si>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</si>
  <si>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</si>
  <si>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</si>
  <si>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</si>
  <si>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</si>
  <si>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</si>
  <si>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</si>
  <si>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</si>
  <si>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</si>
  <si>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</si>
  <si>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</si>
  <si>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</si>
  <si>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</si>
  <si>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</si>
  <si>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</si>
  <si>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</si>
  <si>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</si>
  <si>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</si>
  <si>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</si>
  <si>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</si>
  <si>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</si>
  <si>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</si>
  <si>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</si>
  <si>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</si>
  <si>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</si>
  <si>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</si>
  <si>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</si>
  <si>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</si>
  <si>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</si>
  <si>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</si>
  <si>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</si>
  <si>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</si>
  <si>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</si>
  <si>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</si>
  <si>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</si>
  <si>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</si>
  <si>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</si>
  <si>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</si>
  <si>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</si>
  <si>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</si>
  <si>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</si>
  <si>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</si>
  <si>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</si>
  <si>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</si>
  <si>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</si>
  <si>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</si>
  <si>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</si>
  <si>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</si>
  <si>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</si>
  <si>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</si>
  <si>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</si>
  <si>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</si>
  <si>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</si>
  <si>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</si>
  <si>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</si>
  <si>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</si>
  <si>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</si>
  <si>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</si>
  <si>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</si>
  <si>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</si>
  <si>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</si>
  <si>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</si>
  <si>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</si>
  <si>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</si>
  <si>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</si>
  <si>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</si>
  <si>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</si>
  <si>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</si>
  <si>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</si>
  <si>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</si>
  <si>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</si>
  <si>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</si>
  <si>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</si>
  <si>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</si>
  <si>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</si>
  <si>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</si>
  <si>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</si>
  <si>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</si>
  <si>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</si>
  <si>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</si>
  <si>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</si>
  <si>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</si>
  <si>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</si>
  <si>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</si>
  <si>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</si>
  <si>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</si>
  <si>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</si>
  <si>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</si>
  <si>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</si>
  <si>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</si>
  <si>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</si>
  <si>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</si>
  <si>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</si>
  <si>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</si>
  <si>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</si>
  <si>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</si>
  <si>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</si>
  <si>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</si>
  <si>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</si>
  <si>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</si>
  <si>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</si>
  <si>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</si>
  <si>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</si>
  <si>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</si>
  <si>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</si>
  <si>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</si>
  <si>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</si>
  <si>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</si>
  <si>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</si>
  <si>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</si>
  <si>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</si>
  <si>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</si>
  <si>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</si>
  <si>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</si>
  <si>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</si>
  <si>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</si>
  <si>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</si>
  <si>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</si>
  <si>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</si>
  <si>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</si>
  <si>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</si>
  <si>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</si>
  <si>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</si>
  <si>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</si>
  <si>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</si>
  <si>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</si>
  <si>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</si>
  <si>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</si>
  <si>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</si>
  <si>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</si>
  <si>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</si>
  <si>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</si>
  <si>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</si>
  <si>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</si>
  <si>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</si>
  <si>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</si>
  <si>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</si>
  <si>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</si>
  <si>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</si>
  <si>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</si>
  <si>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</si>
  <si>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</si>
  <si>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</si>
  <si>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</si>
  <si>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</si>
  <si>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</si>
  <si>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</si>
  <si>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</si>
  <si>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</si>
  <si>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</si>
  <si>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</si>
  <si>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</si>
  <si>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</si>
  <si>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</si>
  <si>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</si>
  <si>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</si>
  <si>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</si>
  <si>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</si>
  <si>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</si>
  <si>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</si>
  <si>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</si>
  <si>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</si>
  <si>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</si>
  <si>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</si>
  <si>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</si>
  <si>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</si>
  <si>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</si>
  <si>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</si>
  <si>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</si>
  <si>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</si>
  <si>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</si>
  <si>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</si>
  <si>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</si>
  <si>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</si>
  <si>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</si>
  <si>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</si>
  <si>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</si>
  <si>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</si>
  <si>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</si>
  <si>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</si>
  <si>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</si>
  <si>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</si>
  <si>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</si>
  <si>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</si>
  <si>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</si>
  <si>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</si>
  <si>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</si>
  <si>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</si>
  <si>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</si>
  <si>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</si>
  <si>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</si>
  <si>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</si>
  <si>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</si>
  <si>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</si>
  <si>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</si>
  <si>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</si>
  <si>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</si>
  <si>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</si>
  <si>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</si>
  <si>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</si>
  <si>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</si>
  <si>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</si>
  <si>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</si>
  <si>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</si>
  <si>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</si>
  <si>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</si>
  <si>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</si>
  <si>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</si>
  <si>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</si>
  <si>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</si>
  <si>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</si>
  <si>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</si>
  <si>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</si>
  <si>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</si>
  <si>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</si>
  <si>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</si>
  <si>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</si>
  <si>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</si>
  <si>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</si>
  <si>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</si>
  <si>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</si>
  <si>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</si>
  <si>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</si>
  <si>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</si>
  <si>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</si>
  <si>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</si>
  <si>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</si>
  <si>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</si>
  <si>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</si>
  <si>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</si>
  <si>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</si>
  <si>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</si>
  <si>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</si>
  <si>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</si>
  <si>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</si>
  <si>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</si>
  <si>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</si>
  <si>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</si>
  <si>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</si>
  <si>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</si>
  <si>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</si>
  <si>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</si>
  <si>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</si>
  <si>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</si>
  <si>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</si>
  <si>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</si>
  <si>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</si>
  <si>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</si>
  <si>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</si>
  <si>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</si>
  <si>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</si>
  <si>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</si>
  <si>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</si>
  <si>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</si>
  <si>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</si>
  <si>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</si>
  <si>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</si>
  <si>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</si>
  <si>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</si>
  <si>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</si>
  <si>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</si>
  <si>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</si>
  <si>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</si>
  <si>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</si>
  <si>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</si>
  <si>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</si>
  <si>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</si>
  <si>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</si>
  <si>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</si>
  <si>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</si>
  <si>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</si>
  <si>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</si>
  <si>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</si>
  <si>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</si>
  <si>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</si>
  <si>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</si>
  <si>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</si>
  <si>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</si>
  <si>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</si>
  <si>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</si>
  <si>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</si>
  <si>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</si>
  <si>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</si>
  <si>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</si>
  <si>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</si>
  <si>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</si>
  <si>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</si>
  <si>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</si>
  <si>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</si>
  <si>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</si>
  <si>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</si>
  <si>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</si>
  <si>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</si>
  <si>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</si>
  <si>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</si>
  <si>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</si>
  <si>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</si>
  <si>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</si>
  <si>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</si>
  <si>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</si>
  <si>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</si>
  <si>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</si>
  <si>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</si>
  <si>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</si>
  <si>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</si>
  <si>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</si>
  <si>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</si>
  <si>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</si>
  <si>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</si>
  <si>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</si>
  <si>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</si>
  <si>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</si>
  <si>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</si>
  <si>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</si>
  <si>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</si>
  <si>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</si>
  <si>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</si>
  <si>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</si>
  <si>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</si>
  <si>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</si>
  <si>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</si>
  <si>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</si>
  <si>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</si>
  <si>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</si>
  <si>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</si>
  <si>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</si>
  <si>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</si>
  <si>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</si>
  <si>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</si>
  <si>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</si>
  <si>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</si>
  <si>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</si>
  <si>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</si>
  <si>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</si>
  <si>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</si>
  <si>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</si>
  <si>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</si>
  <si>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</si>
  <si>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</si>
  <si>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</si>
  <si>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</si>
  <si>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</si>
  <si>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</si>
  <si>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</si>
  <si>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</si>
  <si>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</si>
  <si>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</si>
  <si>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</si>
  <si>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</si>
  <si>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</si>
  <si>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</si>
  <si>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</si>
  <si>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</si>
  <si>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</si>
  <si>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</si>
  <si>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</si>
  <si>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</si>
  <si>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</si>
  <si>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</si>
  <si>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</si>
  <si>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</si>
  <si>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</si>
  <si>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</si>
  <si>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</si>
  <si>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</si>
  <si>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</si>
  <si>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</si>
  <si>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</si>
  <si>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</si>
  <si>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</si>
  <si>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</si>
  <si>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</si>
  <si>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</si>
  <si>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</si>
  <si>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</si>
  <si>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</si>
  <si>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</si>
  <si>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</si>
  <si>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</si>
  <si>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</si>
  <si>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</si>
  <si>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</si>
  <si>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</si>
  <si>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</si>
  <si>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</si>
  <si>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</si>
  <si>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</si>
  <si>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</si>
  <si>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</si>
  <si>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</si>
  <si>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</si>
  <si>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</si>
  <si>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</si>
  <si>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</si>
  <si>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</si>
  <si>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</si>
  <si>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</si>
  <si>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</si>
  <si>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</si>
  <si>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</si>
  <si>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</si>
  <si>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</si>
  <si>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</si>
  <si>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</si>
  <si>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</si>
  <si>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</si>
  <si>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</si>
  <si>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</si>
  <si>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</si>
  <si>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</si>
  <si>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</si>
  <si>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</si>
  <si>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</si>
  <si>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</si>
  <si>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</si>
  <si>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</si>
  <si>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</si>
  <si>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</si>
  <si>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</si>
  <si>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</si>
  <si>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</si>
  <si>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</si>
  <si>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</si>
  <si>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</si>
  <si>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</si>
  <si>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</si>
  <si>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</si>
  <si>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</si>
  <si>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</si>
  <si>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</si>
  <si>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</si>
  <si>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</si>
  <si>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</si>
  <si>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</si>
  <si>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</si>
  <si>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</si>
  <si>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</si>
  <si>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</si>
  <si>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</si>
  <si>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</si>
  <si>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</si>
  <si>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</si>
  <si>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</si>
  <si>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</si>
  <si>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</si>
  <si>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</si>
  <si>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</si>
  <si>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</si>
  <si>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</si>
  <si>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</si>
  <si>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</si>
  <si>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</si>
  <si>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</si>
  <si>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</si>
  <si>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</si>
  <si>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</si>
  <si>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</si>
  <si>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</si>
  <si>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</si>
  <si>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</si>
  <si>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</si>
  <si>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</si>
  <si>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</si>
  <si>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</si>
  <si>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</si>
  <si>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</si>
  <si>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</si>
  <si>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</si>
  <si>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</si>
  <si>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</si>
  <si>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</si>
  <si>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</si>
  <si>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</si>
  <si>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</si>
  <si>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</si>
  <si>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</si>
  <si>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</si>
  <si>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</si>
  <si>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</si>
  <si>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</si>
  <si>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</si>
  <si>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</si>
  <si>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</si>
  <si>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</si>
  <si>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</si>
  <si>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</si>
  <si>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</si>
  <si>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</si>
  <si>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</si>
  <si>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</si>
  <si>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</si>
  <si>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</si>
  <si>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</si>
  <si>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</si>
  <si>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</si>
  <si>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</si>
  <si>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</si>
  <si>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</si>
  <si>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</si>
  <si>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</si>
  <si>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</si>
  <si>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</si>
  <si>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</si>
  <si>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</si>
  <si>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</si>
  <si>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</si>
  <si>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</si>
  <si>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</si>
  <si>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</si>
  <si>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</si>
  <si>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</si>
  <si>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</si>
  <si>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</si>
  <si>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</si>
  <si>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</si>
  <si>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</si>
  <si>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</si>
  <si>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</si>
  <si>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</si>
  <si>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</si>
  <si>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</si>
  <si>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</si>
  <si>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</si>
  <si>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</si>
  <si>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</si>
  <si>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</si>
  <si>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</si>
  <si>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</si>
  <si>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</si>
  <si>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</si>
  <si>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</si>
  <si>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</si>
  <si>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</si>
  <si>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</si>
  <si>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</si>
  <si>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</si>
  <si>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</si>
  <si>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</si>
  <si>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</si>
  <si>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</si>
  <si>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</si>
  <si>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</si>
  <si>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</si>
  <si>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</si>
  <si>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</si>
  <si>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</si>
  <si>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</si>
  <si>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</si>
  <si>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</si>
  <si>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</si>
  <si>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</si>
  <si>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</si>
  <si>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</si>
  <si>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</si>
  <si>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</si>
  <si>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</si>
  <si>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</si>
  <si>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</si>
  <si>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</si>
  <si>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</si>
  <si>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</si>
  <si>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</si>
  <si>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</si>
  <si>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</si>
  <si>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</si>
  <si>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</si>
  <si>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</si>
  <si>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</si>
  <si>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</si>
  <si>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</si>
  <si>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</si>
  <si>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</si>
  <si>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</si>
  <si>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</si>
  <si>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</si>
  <si>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</si>
  <si>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</si>
  <si>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</si>
  <si>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</si>
  <si>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</si>
  <si>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</si>
  <si>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</si>
  <si>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</si>
  <si>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</si>
  <si>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</si>
  <si>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</si>
  <si>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</si>
  <si>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</si>
  <si>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</si>
  <si>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</si>
  <si>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</si>
  <si>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</si>
  <si>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</si>
  <si>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</si>
  <si>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</si>
  <si>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</si>
  <si>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</si>
  <si>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</si>
  <si>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</si>
  <si>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</si>
  <si>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</si>
  <si>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</si>
  <si>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</si>
  <si>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</si>
  <si>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</si>
  <si>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</si>
  <si>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</si>
  <si>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</si>
  <si>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</si>
  <si>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</si>
  <si>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</si>
  <si>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</si>
  <si>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</si>
  <si>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</si>
  <si>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</si>
  <si>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</si>
  <si>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</si>
  <si>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</si>
  <si>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</si>
  <si>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</si>
  <si>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</si>
  <si>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</si>
  <si>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</si>
  <si>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</si>
  <si>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</si>
  <si>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</si>
  <si>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</si>
  <si>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</si>
  <si>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</si>
  <si>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</si>
  <si>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</si>
  <si>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</si>
  <si>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</si>
  <si>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</si>
  <si>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</si>
  <si>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</si>
  <si>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</si>
  <si>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</si>
  <si>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</si>
  <si>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</si>
  <si>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</si>
  <si>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</si>
  <si>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</si>
  <si>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</si>
  <si>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</si>
  <si>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</si>
  <si>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</si>
  <si>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</si>
  <si>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</si>
  <si>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</si>
  <si>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</si>
  <si>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</si>
  <si>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</si>
  <si>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</si>
  <si>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</si>
  <si>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</si>
  <si>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</si>
  <si>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</si>
  <si>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</si>
  <si>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</si>
  <si>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</si>
  <si>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</si>
  <si>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</si>
  <si>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</si>
  <si>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</si>
  <si>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</si>
  <si>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</si>
  <si>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</si>
  <si>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</si>
  <si>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</si>
  <si>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</si>
  <si>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</si>
  <si>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</si>
  <si>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</si>
  <si>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</si>
  <si>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</si>
  <si>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</si>
  <si>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</si>
  <si>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</si>
  <si>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</si>
  <si>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</si>
  <si>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</si>
  <si>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</si>
  <si>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</si>
  <si>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</si>
  <si>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</si>
  <si>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</si>
  <si>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</si>
  <si>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</si>
  <si>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</si>
  <si>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</si>
  <si>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</si>
  <si>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</si>
  <si>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</si>
  <si>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</si>
  <si>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</si>
  <si>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</si>
  <si>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</si>
  <si>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</si>
  <si>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</si>
  <si>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</si>
  <si>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</si>
  <si>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</si>
  <si>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</si>
  <si>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</si>
  <si>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</si>
  <si>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</si>
  <si>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</si>
  <si>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</si>
  <si>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</si>
  <si>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</si>
  <si>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</si>
  <si>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</si>
  <si>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</si>
  <si>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</si>
  <si>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</si>
  <si>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</si>
  <si>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</si>
  <si>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</si>
  <si>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</si>
  <si>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</si>
  <si>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</si>
  <si>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</si>
  <si>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</si>
  <si>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</si>
  <si>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</si>
  <si>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</si>
  <si>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</si>
  <si>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</si>
  <si>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</si>
  <si>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</si>
  <si>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</si>
  <si>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</si>
  <si>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</si>
  <si>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</si>
  <si>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</si>
  <si>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</si>
  <si>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</si>
  <si>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</si>
  <si>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</si>
  <si>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</si>
  <si>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</si>
  <si>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</si>
  <si>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</si>
  <si>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</si>
  <si>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</si>
  <si>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</si>
  <si>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</si>
  <si>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</si>
  <si>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</si>
  <si>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</si>
  <si>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</si>
  <si>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</si>
  <si>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</si>
  <si>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</si>
  <si>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</si>
  <si>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</si>
  <si>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</si>
  <si>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</si>
  <si>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</si>
  <si>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</si>
  <si>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</si>
  <si>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</si>
  <si>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</si>
  <si>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</si>
  <si>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</si>
  <si>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</si>
  <si>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</si>
  <si>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</si>
  <si>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</si>
  <si>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</si>
  <si>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</si>
  <si>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</si>
  <si>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</si>
  <si>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</si>
  <si>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</si>
  <si>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</si>
  <si>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</si>
  <si>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</si>
  <si>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</si>
  <si>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</si>
  <si>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</si>
  <si>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</si>
  <si>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</si>
  <si>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</si>
  <si>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</si>
  <si>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</si>
  <si>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</si>
  <si>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</si>
  <si>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</si>
  <si>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</si>
  <si>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</si>
  <si>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</si>
  <si>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</si>
  <si>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</si>
  <si>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</si>
  <si>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</si>
  <si>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</si>
  <si>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</si>
  <si>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</si>
  <si>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</si>
  <si>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</si>
  <si>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</si>
  <si>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</si>
  <si>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</si>
  <si>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</si>
  <si>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</si>
  <si>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</si>
  <si>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</si>
  <si>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</si>
  <si>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</si>
  <si>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</si>
  <si>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</si>
  <si>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</si>
  <si>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</si>
  <si>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</si>
  <si>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</si>
  <si>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</si>
  <si>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</si>
  <si>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</si>
  <si>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</si>
  <si>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</si>
  <si>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</si>
  <si>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</si>
  <si>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</si>
  <si>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</si>
  <si>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</si>
  <si>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</si>
  <si>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</si>
  <si>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</si>
  <si>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</si>
  <si>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</si>
  <si>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</si>
  <si>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</si>
  <si>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</si>
  <si>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</si>
  <si>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</si>
  <si>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</si>
  <si>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</si>
  <si>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</si>
  <si>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</si>
  <si>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</si>
  <si>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</si>
  <si>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</si>
  <si>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</si>
  <si>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</si>
  <si>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</si>
  <si>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</si>
  <si>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</si>
  <si>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</si>
  <si>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</si>
  <si>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</si>
  <si>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</si>
  <si>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</si>
  <si>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</si>
  <si>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</si>
  <si>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</si>
  <si>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</si>
  <si>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</si>
  <si>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</si>
  <si>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</si>
  <si>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</si>
  <si>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</si>
  <si>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</si>
  <si>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</si>
  <si>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</si>
  <si>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</si>
  <si>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</si>
  <si>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</si>
  <si>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</si>
  <si>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</si>
  <si>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</si>
  <si>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</si>
  <si>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</si>
  <si>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</si>
  <si>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</si>
  <si>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</si>
  <si>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</si>
  <si>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</si>
  <si>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</si>
  <si>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</si>
  <si>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</si>
  <si>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</si>
  <si>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</si>
  <si>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</si>
  <si>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</si>
  <si>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</si>
  <si>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</si>
  <si>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</si>
  <si>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</si>
  <si>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</si>
  <si>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</si>
  <si>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</si>
  <si>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</si>
  <si>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</si>
  <si>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</si>
  <si>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</si>
  <si>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</si>
  <si>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</si>
  <si>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</si>
  <si>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</si>
  <si>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</si>
  <si>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</si>
  <si>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</si>
  <si>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</si>
  <si>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</si>
  <si>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</si>
  <si>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</si>
  <si>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</si>
  <si>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</si>
  <si>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</si>
  <si>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</si>
  <si>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</si>
  <si>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</si>
  <si>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</si>
  <si>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</si>
  <si>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</si>
  <si>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</si>
  <si>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</si>
  <si>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</si>
  <si>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</si>
  <si>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</si>
  <si>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</si>
  <si>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</si>
  <si>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</si>
  <si>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</si>
  <si>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</si>
  <si>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</si>
  <si>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</si>
  <si>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</si>
  <si>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</si>
  <si>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</si>
  <si>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</si>
  <si>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</si>
  <si>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</si>
  <si>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</si>
  <si>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</si>
  <si>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</si>
  <si>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</si>
  <si>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</si>
  <si>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</si>
  <si>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</si>
  <si>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</si>
  <si>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</si>
  <si>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</si>
  <si>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</si>
  <si>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</si>
  <si>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</si>
  <si>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</si>
  <si>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</si>
  <si>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</si>
  <si>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</si>
  <si>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</si>
  <si>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</si>
  <si>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</si>
  <si>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</si>
  <si>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</si>
  <si>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</si>
  <si>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</si>
  <si>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</si>
  <si>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</si>
  <si>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</si>
  <si>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</si>
  <si>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</si>
  <si>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</si>
  <si>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</si>
  <si>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</si>
  <si>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</si>
  <si>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</si>
  <si>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</si>
  <si>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</si>
  <si>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</si>
  <si>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</si>
  <si>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</si>
  <si>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</si>
  <si>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</si>
  <si>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</si>
  <si>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</si>
  <si>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</si>
  <si>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</si>
  <si>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</si>
  <si>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</si>
  <si>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</si>
  <si>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</si>
  <si>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</si>
  <si>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</si>
  <si>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</si>
  <si>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</si>
  <si>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</si>
  <si>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</si>
  <si>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</si>
  <si>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</si>
  <si>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</si>
  <si>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</si>
  <si>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</si>
  <si>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</si>
  <si>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</si>
  <si>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</si>
  <si>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</si>
  <si>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</si>
  <si>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</si>
  <si>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</si>
  <si>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</si>
  <si>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</si>
  <si>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</si>
  <si>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</si>
  <si>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</si>
  <si>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</si>
  <si>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</si>
  <si>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</si>
  <si>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</si>
  <si>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</si>
  <si>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</si>
  <si>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</si>
  <si>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</si>
  <si>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</si>
  <si>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</si>
  <si>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</si>
  <si>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</si>
  <si>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</si>
  <si>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</si>
  <si>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</si>
  <si>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</si>
  <si>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</si>
  <si>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</si>
  <si>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</si>
  <si>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</si>
  <si>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</si>
  <si>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</si>
  <si>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</si>
  <si>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</si>
  <si>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</si>
  <si>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</si>
  <si>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</si>
  <si>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</si>
  <si>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</si>
  <si>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</si>
  <si>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</si>
  <si>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</si>
  <si>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</si>
  <si>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</si>
  <si>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</si>
  <si>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</si>
  <si>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</si>
  <si>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</si>
  <si>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</si>
  <si>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</si>
  <si>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</si>
  <si>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</si>
  <si>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</si>
  <si>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</si>
  <si>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</si>
  <si>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</si>
  <si>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</si>
  <si>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</si>
  <si>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</si>
  <si>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</si>
  <si>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</si>
  <si>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</si>
  <si>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</si>
  <si>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</si>
  <si>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</si>
  <si>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</si>
  <si>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</si>
  <si>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</si>
  <si>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</si>
  <si>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</si>
  <si>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</si>
  <si>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</si>
  <si>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</si>
  <si>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</si>
  <si>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</si>
  <si>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</si>
  <si>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</si>
  <si>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</si>
  <si>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</si>
  <si>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</si>
  <si>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</si>
  <si>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</si>
  <si>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</si>
  <si>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</si>
  <si>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</si>
  <si>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</si>
  <si>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</si>
  <si>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</si>
  <si>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</si>
  <si>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</si>
  <si>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</si>
  <si>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</si>
  <si>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</si>
  <si>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</si>
  <si>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</si>
  <si>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</si>
  <si>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</si>
  <si>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</si>
  <si>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</si>
  <si>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</si>
  <si>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</si>
  <si>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</si>
  <si>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</si>
  <si>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</si>
  <si>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</si>
  <si>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</si>
  <si>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</si>
  <si>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</si>
  <si>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</si>
  <si>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</si>
  <si>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</si>
  <si>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</si>
  <si>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</si>
  <si>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</si>
  <si>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</si>
  <si>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</si>
  <si>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</si>
  <si>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</si>
  <si>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</si>
  <si>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</si>
  <si>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</si>
  <si>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</si>
  <si>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</si>
  <si>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</si>
  <si>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</si>
  <si>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</si>
  <si>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</si>
  <si>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</si>
  <si>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</si>
  <si>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</si>
  <si>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</si>
  <si>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</si>
  <si>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</si>
  <si>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</si>
  <si>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</si>
  <si>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</si>
  <si>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</si>
  <si>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</si>
  <si>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</si>
  <si>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</si>
  <si>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</si>
  <si>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</si>
  <si>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</si>
  <si>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</si>
  <si>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</si>
  <si>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</si>
  <si>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</si>
  <si>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</si>
  <si>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</si>
  <si>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</si>
  <si>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</si>
  <si>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</si>
  <si>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</si>
  <si>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</si>
  <si>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</si>
  <si>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</si>
  <si>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</si>
  <si>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</si>
  <si>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</si>
  <si>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</si>
  <si>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</si>
  <si>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</si>
  <si>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</si>
  <si>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</si>
  <si>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</si>
  <si>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</si>
  <si>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</si>
  <si>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</si>
  <si>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</si>
  <si>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</si>
  <si>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</si>
  <si>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</si>
  <si>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</si>
  <si>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</si>
  <si>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</si>
  <si>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</si>
  <si>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</si>
  <si>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</si>
  <si>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</si>
  <si>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</si>
  <si>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</si>
  <si>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</si>
  <si>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</si>
  <si>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</si>
  <si>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</si>
  <si>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</si>
  <si>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</si>
  <si>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</si>
  <si>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</si>
  <si>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</si>
  <si>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</si>
  <si>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</si>
  <si>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</si>
  <si>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</si>
  <si>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</si>
  <si>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</si>
  <si>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</si>
  <si>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</si>
  <si>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</si>
  <si>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</si>
  <si>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</si>
  <si>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</si>
  <si>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</si>
  <si>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</si>
  <si>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</si>
  <si>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</si>
  <si>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</si>
  <si>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</si>
  <si>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</si>
  <si>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</si>
  <si>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</si>
  <si>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</si>
  <si>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</si>
  <si>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</si>
  <si>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</si>
  <si>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</si>
  <si>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</si>
  <si>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</si>
  <si>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</si>
  <si>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</si>
  <si>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</si>
  <si>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</si>
  <si>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</si>
  <si>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</si>
  <si>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</si>
  <si>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</si>
  <si>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</si>
  <si>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</si>
  <si>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</si>
  <si>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</si>
  <si>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</si>
  <si>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</si>
  <si>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</si>
  <si>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</si>
  <si>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</si>
  <si>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</si>
  <si>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</si>
  <si>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</si>
  <si>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</si>
  <si>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</si>
  <si>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</si>
  <si>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</si>
  <si>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</si>
  <si>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</si>
  <si>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</si>
  <si>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</si>
  <si>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</si>
  <si>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</si>
  <si>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</si>
  <si>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</si>
  <si>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</si>
  <si>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</si>
  <si>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</si>
  <si>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</si>
  <si>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</si>
  <si>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</si>
  <si>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</si>
  <si>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</si>
  <si>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</si>
  <si>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</si>
  <si>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</si>
  <si>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</si>
  <si>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</si>
  <si>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</si>
  <si>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</si>
  <si>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</si>
  <si>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</si>
  <si>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</si>
  <si>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</si>
  <si>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</si>
  <si>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</si>
  <si>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</si>
  <si>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</si>
  <si>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</si>
  <si>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</si>
  <si>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</si>
  <si>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</si>
  <si>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</si>
  <si>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</si>
  <si>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</si>
  <si>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</si>
  <si>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</si>
  <si>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</si>
  <si>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</si>
  <si>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</si>
  <si>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</si>
  <si>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</si>
  <si>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</si>
  <si>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</si>
  <si>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</si>
  <si>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</si>
  <si>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</si>
  <si>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</si>
  <si>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</si>
  <si>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</si>
  <si>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</si>
  <si>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</si>
  <si>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</si>
  <si>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</si>
  <si>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</si>
  <si>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</si>
  <si>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</si>
  <si>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</si>
  <si>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</si>
  <si>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</si>
  <si>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</si>
  <si>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</si>
  <si>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</si>
  <si>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</si>
  <si>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</si>
  <si>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</si>
  <si>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</si>
  <si>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</si>
  <si>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</si>
  <si>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</si>
  <si>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</si>
  <si>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</si>
  <si>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</si>
  <si>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</si>
  <si>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</si>
  <si>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</si>
  <si>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</si>
  <si>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</si>
  <si>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</si>
  <si>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</si>
  <si>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</si>
  <si>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</si>
  <si>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</si>
  <si>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</si>
  <si>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</si>
  <si>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</si>
  <si>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</si>
  <si>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</si>
  <si>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</si>
  <si>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</si>
  <si>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</si>
  <si>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</si>
  <si>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</si>
  <si>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</si>
  <si>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</si>
  <si>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</si>
  <si>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</si>
  <si>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</si>
  <si>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</si>
  <si>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</si>
  <si>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</si>
  <si>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</si>
  <si>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</si>
  <si>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</si>
  <si>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</si>
  <si>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</si>
  <si>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</si>
  <si>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</si>
  <si>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</si>
  <si>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</si>
  <si>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</si>
  <si>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</si>
  <si>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</si>
  <si>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</si>
  <si>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</si>
  <si>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</si>
  <si>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</si>
  <si>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</si>
  <si>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</si>
  <si>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</si>
  <si>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</si>
  <si>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</si>
  <si>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</si>
  <si>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</si>
  <si>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</si>
  <si>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</si>
  <si>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</si>
  <si>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</si>
  <si>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</si>
  <si>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</si>
  <si>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</si>
  <si>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</si>
  <si>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</si>
  <si>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</si>
  <si>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</si>
  <si>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</si>
  <si>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</si>
  <si>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</si>
  <si>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</si>
  <si>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</si>
  <si>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</si>
  <si>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</si>
  <si>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</si>
  <si>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</si>
  <si>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</si>
  <si>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</si>
  <si>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</si>
  <si>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</si>
  <si>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</si>
  <si>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</si>
  <si>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</si>
  <si>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</si>
  <si>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</si>
  <si>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</si>
  <si>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</si>
  <si>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</si>
  <si>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</si>
  <si>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</si>
  <si>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</si>
  <si>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</si>
  <si>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</si>
  <si>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</si>
  <si>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</si>
  <si>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</si>
  <si>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</si>
  <si>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</si>
  <si>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</si>
  <si>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</si>
  <si>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</si>
  <si>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</si>
  <si>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</si>
  <si>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</si>
  <si>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</si>
  <si>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</si>
  <si>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</si>
  <si>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</si>
  <si>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</si>
  <si>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</si>
  <si>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</si>
  <si>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</si>
  <si>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</si>
  <si>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</si>
  <si>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</si>
  <si>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</si>
  <si>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</si>
  <si>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</si>
  <si>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</si>
  <si>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</si>
  <si>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</si>
  <si>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</si>
  <si>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</si>
  <si>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</si>
  <si>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</si>
  <si>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</si>
  <si>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</si>
  <si>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</si>
  <si>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</si>
  <si>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</si>
  <si>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</si>
  <si>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</si>
  <si>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</si>
  <si>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</si>
  <si>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</si>
  <si>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</si>
  <si>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</si>
  <si>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</si>
  <si>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</si>
  <si>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</si>
  <si>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</si>
  <si>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</si>
  <si>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</si>
  <si>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</si>
  <si>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</si>
  <si>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</si>
  <si>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</si>
  <si>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</si>
  <si>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</si>
  <si>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</si>
  <si>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</si>
  <si>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</si>
  <si>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</si>
  <si>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</si>
  <si>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</si>
  <si>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</si>
  <si>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</si>
  <si>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</si>
  <si>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</si>
  <si>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</si>
  <si>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</si>
  <si>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</si>
  <si>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</si>
  <si>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</si>
  <si>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</si>
  <si>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</si>
  <si>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</si>
  <si>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</si>
  <si>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</si>
  <si>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</si>
  <si>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</si>
  <si>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</si>
  <si>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</si>
  <si>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</si>
  <si>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</si>
  <si>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</si>
  <si>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</si>
  <si>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</si>
  <si>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</si>
  <si>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</si>
  <si>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</si>
  <si>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</si>
  <si>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</si>
  <si>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</si>
  <si>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</si>
  <si>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</si>
  <si>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</si>
  <si>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</si>
  <si>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</si>
  <si>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</si>
  <si>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</si>
  <si>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</si>
  <si>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</si>
  <si>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</si>
  <si>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</si>
  <si>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</si>
  <si>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</si>
  <si>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</si>
  <si>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</si>
  <si>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</si>
  <si>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</si>
  <si>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</si>
  <si>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</si>
  <si>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</si>
  <si>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</si>
  <si>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</si>
  <si>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</si>
  <si>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</si>
  <si>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</si>
  <si>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</si>
  <si>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</si>
  <si>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</si>
  <si>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</si>
  <si>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</si>
  <si>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</si>
  <si>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</si>
  <si>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</si>
  <si>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</si>
  <si>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</si>
  <si>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</si>
  <si>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</si>
  <si>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</si>
  <si>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</si>
  <si>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</si>
  <si>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</si>
  <si>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</si>
  <si>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</si>
  <si>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</si>
  <si>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</si>
  <si>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</si>
  <si>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</si>
  <si>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</si>
  <si>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</si>
  <si>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</si>
  <si>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</si>
  <si>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</si>
  <si>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</si>
  <si>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</si>
  <si>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</si>
  <si>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</si>
  <si>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</si>
  <si>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</si>
  <si>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</si>
  <si>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</si>
  <si>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</si>
  <si>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</si>
  <si>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</si>
  <si>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</si>
  <si>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</si>
  <si>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</si>
  <si>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</si>
  <si>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</si>
  <si>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</si>
  <si>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</si>
  <si>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</si>
  <si>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</si>
  <si>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</si>
  <si>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</si>
  <si>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</si>
  <si>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</si>
  <si>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</si>
  <si>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</si>
  <si>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</si>
  <si>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</si>
  <si>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</si>
  <si>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</si>
  <si>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</si>
  <si>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</si>
  <si>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</si>
  <si>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</si>
  <si>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</si>
  <si>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</si>
  <si>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</si>
  <si>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</si>
  <si>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</si>
  <si>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</si>
  <si>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</si>
  <si>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</si>
  <si>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</si>
  <si>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</si>
  <si>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</si>
  <si>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</si>
  <si>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</si>
  <si>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</si>
  <si>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</si>
  <si>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</si>
  <si>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</si>
  <si>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</si>
  <si>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</si>
  <si>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</si>
  <si>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</si>
  <si>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</si>
  <si>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</si>
  <si>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</si>
  <si>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</si>
  <si>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</si>
  <si>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</si>
  <si>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</si>
  <si>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</si>
  <si>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</si>
  <si>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</si>
  <si>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</si>
  <si>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</si>
  <si>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</si>
  <si>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</si>
  <si>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</si>
  <si>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</si>
  <si>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</si>
  <si>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</si>
  <si>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</si>
  <si>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</si>
  <si>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</si>
  <si>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</si>
  <si>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</si>
  <si>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</si>
  <si>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</si>
  <si>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</si>
  <si>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</si>
  <si>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</si>
  <si>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</si>
  <si>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</si>
  <si>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</si>
  <si>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</si>
  <si>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</si>
  <si>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</si>
  <si>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</si>
  <si>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</si>
  <si>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</si>
  <si>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</si>
  <si>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</si>
  <si>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</si>
  <si>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</si>
  <si>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</si>
  <si>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</si>
  <si>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</si>
  <si>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</si>
  <si>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</si>
  <si>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</si>
  <si>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</si>
  <si>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</si>
  <si>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</si>
  <si>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</si>
  <si>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</si>
  <si>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</si>
  <si>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</si>
  <si>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</si>
  <si>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</si>
  <si>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</si>
  <si>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</si>
  <si>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</si>
  <si>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</si>
  <si>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</si>
  <si>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</si>
  <si>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</si>
  <si>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</si>
  <si>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</si>
  <si>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</si>
  <si>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</si>
  <si>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</si>
  <si>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</si>
  <si>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</si>
  <si>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</si>
  <si>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</si>
  <si>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</si>
  <si>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</si>
  <si>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</si>
  <si>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</si>
  <si>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</si>
  <si>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</si>
  <si>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</si>
  <si>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</si>
  <si>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</si>
  <si>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</si>
  <si>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</si>
  <si>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</si>
  <si>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</si>
  <si>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</si>
  <si>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</si>
  <si>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</si>
  <si>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</si>
  <si>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</si>
  <si>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</si>
  <si>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</si>
  <si>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</si>
  <si>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</si>
  <si>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</si>
  <si>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</si>
  <si>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</si>
  <si>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</si>
  <si>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</si>
  <si>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</si>
  <si>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</si>
  <si>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</si>
  <si>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</si>
  <si>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</si>
  <si>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</si>
  <si>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</si>
  <si>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</si>
  <si>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</si>
  <si>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</si>
  <si>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</si>
  <si>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</si>
  <si>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</si>
  <si>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</si>
  <si>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</si>
  <si>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</si>
  <si>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</si>
  <si>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</si>
  <si>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</si>
  <si>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</si>
  <si>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</si>
  <si>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</si>
  <si>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</si>
  <si>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</si>
  <si>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</si>
  <si>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</si>
  <si>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</si>
  <si>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</si>
  <si>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</si>
  <si>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</si>
  <si>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</si>
  <si>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</si>
  <si>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</si>
  <si>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</si>
  <si>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</si>
  <si>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</si>
  <si>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</si>
  <si>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</si>
  <si>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</si>
  <si>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</si>
  <si>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</si>
  <si>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</si>
  <si>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</si>
  <si>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</si>
  <si>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</si>
  <si>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</si>
  <si>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</si>
  <si>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</si>
  <si>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</si>
  <si>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</si>
  <si>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</si>
  <si>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</si>
  <si>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</si>
  <si>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</si>
  <si>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</si>
  <si>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</si>
  <si>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</si>
  <si>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</si>
  <si>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</si>
  <si>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</si>
  <si>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</si>
  <si>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</si>
  <si>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</si>
  <si>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</si>
  <si>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</si>
  <si>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</si>
  <si>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</si>
  <si>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</si>
  <si>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</si>
  <si>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</si>
  <si>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</si>
  <si>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</si>
  <si>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</si>
  <si>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</si>
  <si>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</si>
  <si>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</si>
  <si>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</si>
  <si>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</si>
  <si>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</si>
  <si>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</si>
  <si>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</si>
  <si>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</si>
  <si>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</si>
  <si>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</si>
  <si>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</si>
  <si>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</si>
  <si>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</si>
  <si>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</si>
  <si>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</si>
  <si>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</si>
  <si>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</si>
  <si>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</si>
  <si>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</si>
  <si>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</si>
  <si>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</si>
  <si>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</si>
  <si>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</si>
  <si>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</si>
  <si>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</si>
  <si>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</si>
  <si>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</si>
  <si>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</si>
  <si>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</si>
  <si>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</si>
  <si>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</si>
  <si>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</si>
  <si>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</si>
  <si>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</si>
  <si>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</si>
  <si>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</si>
  <si>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</si>
  <si>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</si>
  <si>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</si>
  <si>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</si>
  <si>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</si>
  <si>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</si>
  <si>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</si>
  <si>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</si>
  <si>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</si>
  <si>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</si>
  <si>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</si>
  <si>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</si>
  <si>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</si>
  <si>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</si>
  <si>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</si>
  <si>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</si>
  <si>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</si>
  <si>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</si>
  <si>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</si>
  <si>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</si>
  <si>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</si>
  <si>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</si>
  <si>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</si>
  <si>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</si>
  <si>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</si>
  <si>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</si>
  <si>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</si>
  <si>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</si>
  <si>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</si>
  <si>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</si>
  <si>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</si>
  <si>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</si>
  <si>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</si>
  <si>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</si>
  <si>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</si>
  <si>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</si>
  <si>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</si>
  <si>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</si>
  <si>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</si>
  <si>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</si>
  <si>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</si>
  <si>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</si>
  <si>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</si>
  <si>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</si>
  <si>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</si>
  <si>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</si>
  <si>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</si>
  <si>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</si>
  <si>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</si>
  <si>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</si>
  <si>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</si>
  <si>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</si>
  <si>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</si>
  <si>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</si>
  <si>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</si>
  <si>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</si>
  <si>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</si>
  <si>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</si>
  <si>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</si>
  <si>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</si>
  <si>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</si>
  <si>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</si>
  <si>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</si>
  <si>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</si>
  <si>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</si>
  <si>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</si>
  <si>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</si>
  <si>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</si>
  <si>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</si>
  <si>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</si>
  <si>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</si>
  <si>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</si>
  <si>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</si>
  <si>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</si>
  <si>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</si>
  <si>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</si>
  <si>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</si>
  <si>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</si>
  <si>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</si>
  <si>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</si>
  <si>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</si>
  <si>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</si>
  <si>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</si>
  <si>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</si>
  <si>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</si>
  <si>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</si>
  <si>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</si>
  <si>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</si>
  <si>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</si>
  <si>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</si>
  <si>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</si>
  <si>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</si>
  <si>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</si>
  <si>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</si>
  <si>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</si>
  <si>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</si>
  <si>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</si>
  <si>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</si>
  <si>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</si>
  <si>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</si>
  <si>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</si>
  <si>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</si>
  <si>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</si>
  <si>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</si>
  <si>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</si>
  <si>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</si>
  <si>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</si>
  <si>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</si>
  <si>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</si>
  <si>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</si>
  <si>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</si>
  <si>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</si>
  <si>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</si>
  <si>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</si>
  <si>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</si>
  <si>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</si>
  <si>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</si>
  <si>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</si>
  <si>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</si>
  <si>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</si>
  <si>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</si>
  <si>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</si>
  <si>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</si>
  <si>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</si>
  <si>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</si>
  <si>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</si>
  <si>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</si>
  <si>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</si>
  <si>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</si>
  <si>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</si>
  <si>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</si>
  <si>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</si>
  <si>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</si>
  <si>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</si>
  <si>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</si>
  <si>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</si>
  <si>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</si>
  <si>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</si>
  <si>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</si>
  <si>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</si>
  <si>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</si>
  <si>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</si>
  <si>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</si>
  <si>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</si>
  <si>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</si>
  <si>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</si>
  <si>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</si>
  <si>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</si>
  <si>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</si>
  <si>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</si>
  <si>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</si>
  <si>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</si>
  <si>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</si>
  <si>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</si>
  <si>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</si>
  <si>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</si>
  <si>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</si>
  <si>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</si>
  <si>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</si>
  <si>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</si>
  <si>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</si>
  <si>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</si>
  <si>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</si>
  <si>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</si>
  <si>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</si>
  <si>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</si>
  <si>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</si>
  <si>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</si>
  <si>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</si>
  <si>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</si>
  <si>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</si>
  <si>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</si>
  <si>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</si>
  <si>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</si>
  <si>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</si>
  <si>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</si>
  <si>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</si>
  <si>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</si>
  <si>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</si>
  <si>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</si>
  <si>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</si>
  <si>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</si>
  <si>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</si>
  <si>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</si>
  <si>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</si>
  <si>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</si>
  <si>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</si>
  <si>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</si>
  <si>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</si>
  <si>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</si>
  <si>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</si>
  <si>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</si>
  <si>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</si>
  <si>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</si>
  <si>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</si>
  <si>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</si>
  <si>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</si>
  <si>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</si>
  <si>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</si>
  <si>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</si>
  <si>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</si>
  <si>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</si>
  <si>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</si>
  <si>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</si>
  <si>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</si>
  <si>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</si>
  <si>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</si>
  <si>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</si>
  <si>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</si>
  <si>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</si>
  <si>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</si>
  <si>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</si>
  <si>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</si>
  <si>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</si>
  <si>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</si>
  <si>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</si>
  <si>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</si>
  <si>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</si>
  <si>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</si>
  <si>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</si>
  <si>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</si>
  <si>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</si>
  <si>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</si>
  <si>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</si>
  <si>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</si>
  <si>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</si>
  <si>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</si>
  <si>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</si>
  <si>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</si>
  <si>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</si>
  <si>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</si>
  <si>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</si>
  <si>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</si>
  <si>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</si>
  <si>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</si>
  <si>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</si>
  <si>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</si>
  <si>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</si>
  <si>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</si>
  <si>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</si>
  <si>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</si>
  <si>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</si>
  <si>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</si>
  <si>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</si>
  <si>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</si>
  <si>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</si>
  <si>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</si>
  <si>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</si>
  <si>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</si>
  <si>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</si>
  <si>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</si>
  <si>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</si>
  <si>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</si>
  <si>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</si>
  <si>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</si>
  <si>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</si>
  <si>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</si>
  <si>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</si>
  <si>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</si>
  <si>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</si>
  <si>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</si>
  <si>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</si>
  <si>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</si>
  <si>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</si>
  <si>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</si>
  <si>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</si>
  <si>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</si>
  <si>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</si>
  <si>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</si>
  <si>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</si>
  <si>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</si>
  <si>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</si>
  <si>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</si>
  <si>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</si>
  <si>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</si>
  <si>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</si>
  <si>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</si>
  <si>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</si>
  <si>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</si>
  <si>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</si>
  <si>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</si>
  <si>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</si>
  <si>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</si>
  <si>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</si>
  <si>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</si>
  <si>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</si>
  <si>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</si>
  <si>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</si>
  <si>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</si>
  <si>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</si>
  <si>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</si>
  <si>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</si>
  <si>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</si>
  <si>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</si>
  <si>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</si>
  <si>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</si>
  <si>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</si>
  <si>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</si>
  <si>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</si>
  <si>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</si>
  <si>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</si>
  <si>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</si>
  <si>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</si>
  <si>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</si>
  <si>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</si>
  <si>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</si>
  <si>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</si>
  <si>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</si>
  <si>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</si>
  <si>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</si>
  <si>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</si>
  <si>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</si>
  <si>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</si>
  <si>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</si>
  <si>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</si>
  <si>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</si>
  <si>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</si>
  <si>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</si>
  <si>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</si>
  <si>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</si>
  <si>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</si>
  <si>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</si>
  <si>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</si>
  <si>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</si>
  <si>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</si>
  <si>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</si>
  <si>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</si>
  <si>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</si>
  <si>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</si>
  <si>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</si>
  <si>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</si>
  <si>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</si>
  <si>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</si>
  <si>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</si>
  <si>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</si>
  <si>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</si>
  <si>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</si>
  <si>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</si>
  <si>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</si>
  <si>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</si>
  <si>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</si>
  <si>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</si>
  <si>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</si>
  <si>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</si>
  <si>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</si>
  <si>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</si>
  <si>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</si>
  <si>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</si>
  <si>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</si>
  <si>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</si>
  <si>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</si>
  <si>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</si>
  <si>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</si>
  <si>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</si>
  <si>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</si>
  <si>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</si>
  <si>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</si>
  <si>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</si>
  <si>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</si>
  <si>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</si>
  <si>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</si>
  <si>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</si>
  <si>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</si>
  <si>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</si>
  <si>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</si>
  <si>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</si>
  <si>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</si>
  <si>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</si>
  <si>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</si>
  <si>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</si>
  <si>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</si>
  <si>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</si>
  <si>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</si>
  <si>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</si>
  <si>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</si>
  <si>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</si>
  <si>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</si>
  <si>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</si>
  <si>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</si>
  <si>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</si>
  <si>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</si>
  <si>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</si>
  <si>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</si>
  <si>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</si>
  <si>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</si>
  <si>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</si>
  <si>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</si>
  <si>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</si>
  <si>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</si>
  <si>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</si>
  <si>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</si>
  <si>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</si>
  <si>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</si>
  <si>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</si>
  <si>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</si>
  <si>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</si>
  <si>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</si>
  <si>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</si>
  <si>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</si>
  <si>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</si>
  <si>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</si>
  <si>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</si>
  <si>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</si>
  <si>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</si>
  <si>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</si>
  <si>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</si>
  <si>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</si>
  <si>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</si>
  <si>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</si>
  <si>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</si>
  <si>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</si>
  <si>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</si>
  <si>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</si>
  <si>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</si>
  <si>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</si>
  <si>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</si>
  <si>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</si>
  <si>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</si>
  <si>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</si>
  <si>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</si>
  <si>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</si>
  <si>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</si>
  <si>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</si>
  <si>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</si>
  <si>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</si>
  <si>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</si>
  <si>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</si>
  <si>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</si>
  <si>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</si>
  <si>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</si>
  <si>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</si>
  <si>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</si>
  <si>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</si>
  <si>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</si>
  <si>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</si>
  <si>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</si>
  <si>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</si>
  <si>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</si>
  <si>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</si>
  <si>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</si>
  <si>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</si>
  <si>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</si>
  <si>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</si>
  <si>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</si>
  <si>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</si>
  <si>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</si>
  <si>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</si>
  <si>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</si>
  <si>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</si>
  <si>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</si>
  <si>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</si>
  <si>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</si>
  <si>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</si>
  <si>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</si>
  <si>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</si>
  <si>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</si>
  <si>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</si>
  <si>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</si>
  <si>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</si>
  <si>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</si>
  <si>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</si>
  <si>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</si>
  <si>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</si>
  <si>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</si>
  <si>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</si>
  <si>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</si>
  <si>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</si>
  <si>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</si>
  <si>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</si>
  <si>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</si>
  <si>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</si>
  <si>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</si>
  <si>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</si>
  <si>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</si>
  <si>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</si>
  <si>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</si>
  <si>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</si>
  <si>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</si>
  <si>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</si>
  <si>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</si>
  <si>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</si>
  <si>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</si>
  <si>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</si>
  <si>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</si>
  <si>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</si>
  <si>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</si>
  <si>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</si>
  <si>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</si>
  <si>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</si>
  <si>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</si>
  <si>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</si>
  <si>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</si>
  <si>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</si>
  <si>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</si>
  <si>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</si>
  <si>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</si>
  <si>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</si>
  <si>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</si>
  <si>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</si>
  <si>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</si>
  <si>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</si>
  <si>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</si>
  <si>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</si>
  <si>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</si>
  <si>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</si>
  <si>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</si>
  <si>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</si>
  <si>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</si>
  <si>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</si>
  <si>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</si>
  <si>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</si>
  <si>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</si>
  <si>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</si>
  <si>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</si>
  <si>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</si>
  <si>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</si>
  <si>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</si>
  <si>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</si>
  <si>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</si>
  <si>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</si>
  <si>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</si>
  <si>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</si>
  <si>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</si>
  <si>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</si>
  <si>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</si>
  <si>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</si>
  <si>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</si>
  <si>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</si>
  <si>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</si>
  <si>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</si>
  <si>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</si>
  <si>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</si>
  <si>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</si>
  <si>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</si>
  <si>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</si>
  <si>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</si>
  <si>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</si>
  <si>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</si>
  <si>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</si>
  <si>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</si>
  <si>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</si>
  <si>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</si>
  <si>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</si>
  <si>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</si>
  <si>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</si>
  <si>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</si>
  <si>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</si>
  <si>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</si>
  <si>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</si>
  <si>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</si>
  <si>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</si>
  <si>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</si>
  <si>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</si>
  <si>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</si>
  <si>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</si>
  <si>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</si>
  <si>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</si>
  <si>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</si>
  <si>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</si>
  <si>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</si>
  <si>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</si>
  <si>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</si>
  <si>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</si>
  <si>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</si>
  <si>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</si>
  <si>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</si>
  <si>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</si>
  <si>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</si>
  <si>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</si>
  <si>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</si>
  <si>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</si>
  <si>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</si>
  <si>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</si>
  <si>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</si>
  <si>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</si>
  <si>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</si>
  <si>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</si>
  <si>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</si>
  <si>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</si>
  <si>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</si>
  <si>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</si>
  <si>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</si>
  <si>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</si>
  <si>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</si>
  <si>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</si>
  <si>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</si>
  <si>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</si>
  <si>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</si>
  <si>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</si>
  <si>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</si>
  <si>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</si>
  <si>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</si>
  <si>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</si>
  <si>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</si>
  <si>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</si>
  <si>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</si>
  <si>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</si>
  <si>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</si>
  <si>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</si>
  <si>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</si>
  <si>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</si>
  <si>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</si>
  <si>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</si>
  <si>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</si>
  <si>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</si>
  <si>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</si>
  <si>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</si>
  <si>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</si>
  <si>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</si>
  <si>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</si>
  <si>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</si>
  <si>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</si>
  <si>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</si>
  <si>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</si>
  <si>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</si>
  <si>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</si>
  <si>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</si>
  <si>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</si>
  <si>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</si>
  <si>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</si>
  <si>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</si>
  <si>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</si>
  <si>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</si>
  <si>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</si>
  <si>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</si>
  <si>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</si>
  <si>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</si>
  <si>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</si>
  <si>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</si>
  <si>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</si>
  <si>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</si>
  <si>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</si>
  <si>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</si>
  <si>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</si>
  <si>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</si>
  <si>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</si>
  <si>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</si>
  <si>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</si>
  <si>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</si>
  <si>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</si>
  <si>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</si>
  <si>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</si>
  <si>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</si>
  <si>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</si>
  <si>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</si>
  <si>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</si>
  <si>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</si>
  <si>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</si>
  <si>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</si>
  <si>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</si>
  <si>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</si>
  <si>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</si>
  <si>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</si>
  <si>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</si>
  <si>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</si>
  <si>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</si>
  <si>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</si>
  <si>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</si>
  <si>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</si>
  <si>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</si>
  <si>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</si>
  <si>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</si>
  <si>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</si>
  <si>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</si>
  <si>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</si>
  <si>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</si>
  <si>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</si>
  <si>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</si>
  <si>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</si>
  <si>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</si>
  <si>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</si>
  <si>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</si>
  <si>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</si>
  <si>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</si>
  <si>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</si>
  <si>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</si>
  <si>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</si>
  <si>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</si>
  <si>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</si>
  <si>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</si>
  <si>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</si>
  <si>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</si>
  <si>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</si>
  <si>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</si>
  <si>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</si>
  <si>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</si>
  <si>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</si>
  <si>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</si>
  <si>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</si>
  <si>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</si>
  <si>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</si>
  <si>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</si>
  <si>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</si>
  <si>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</si>
  <si>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</si>
  <si>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</si>
  <si>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</si>
  <si>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</si>
  <si>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</si>
  <si>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</si>
  <si>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</si>
  <si>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</si>
  <si>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</si>
  <si>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</si>
  <si>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</si>
  <si>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</si>
  <si>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</si>
  <si>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</si>
  <si>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</si>
  <si>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</si>
  <si>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</si>
  <si>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</si>
  <si>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</si>
  <si>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</si>
  <si>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</si>
  <si>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</si>
  <si>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</si>
  <si>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</si>
  <si>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</si>
  <si>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</si>
  <si>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</si>
  <si>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</si>
  <si>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</si>
  <si>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</si>
  <si>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</si>
  <si>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</si>
  <si>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</si>
  <si>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</si>
  <si>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</si>
  <si>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</si>
  <si>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</si>
  <si>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</si>
  <si>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</si>
  <si>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</si>
  <si>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</si>
  <si>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</si>
  <si>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</si>
  <si>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</si>
  <si>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</si>
  <si>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</si>
  <si>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</si>
  <si>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</si>
  <si>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</si>
  <si>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</si>
  <si>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</si>
  <si>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</si>
  <si>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</si>
  <si>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</si>
  <si>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</si>
  <si>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</si>
  <si>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</si>
  <si>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</si>
  <si>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</si>
  <si>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</si>
  <si>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</si>
  <si>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</si>
  <si>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</si>
  <si>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</si>
  <si>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</si>
  <si>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</si>
  <si>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</si>
  <si>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</si>
  <si>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</si>
  <si>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</si>
  <si>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</si>
  <si>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</si>
  <si>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</si>
  <si>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</si>
  <si>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</si>
  <si>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</si>
  <si>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</si>
  <si>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</si>
  <si>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</si>
  <si>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</si>
  <si>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</si>
  <si>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</si>
  <si>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</si>
  <si>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</si>
  <si>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</si>
  <si>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</si>
  <si>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</si>
  <si>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</si>
  <si>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</si>
  <si>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</si>
  <si>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</si>
  <si>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</si>
  <si>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</si>
  <si>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</si>
  <si>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</si>
  <si>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</si>
  <si>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</si>
  <si>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</si>
  <si>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</si>
  <si>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</si>
  <si>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</si>
  <si>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</si>
  <si>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</si>
  <si>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</si>
  <si>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</si>
  <si>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</si>
  <si>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</si>
  <si>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</si>
  <si>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theater</t>
  </si>
  <si>
    <t>Goal</t>
  </si>
  <si>
    <t>Total Projects</t>
  </si>
  <si>
    <t>Percentage Successful</t>
  </si>
  <si>
    <t>Percentage Failed</t>
  </si>
  <si>
    <t>Percentage Canceled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</si>
  <si>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</si>
  <si>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</si>
  <si>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</si>
  <si>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</si>
  <si>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</si>
  <si>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</si>
  <si>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</si>
  <si>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</si>
  <si>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</si>
  <si>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</si>
  <si>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</si>
  <si>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45000 to 49999</t>
  </si>
  <si>
    <t>20000 to 24999</t>
  </si>
  <si>
    <t>40000 to 44999</t>
  </si>
  <si>
    <t>Greater than 50000</t>
  </si>
  <si>
    <t xml:space="preserve"> Percentage Successful</t>
  </si>
  <si>
    <t xml:space="preserve">   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</si>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</sst>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 applyAlignment="1">
      <alignment wrapText="1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748585246678137E-2"/>
          <c:y val="0.15472319615329413"/>
          <c:w val="0.83297693275755247"/>
          <c:h val="0.7585221551636307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E-43FE-B259-CE55D32FEDA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E-43FE-B259-CE55D32FEDA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E-43FE-B259-CE55D32FE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878000"/>
        <c:axId val="2087880912"/>
      </c:lineChart>
      <c:catAx>
        <c:axId val="208787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80912"/>
        <c:crosses val="autoZero"/>
        <c:auto val="1"/>
        <c:lblAlgn val="ctr"/>
        <c:lblOffset val="100"/>
        <c:noMultiLvlLbl val="0"/>
      </c:catAx>
      <c:valAx>
        <c:axId val="208788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7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Goals Pivot!PivotTable4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5951225039201293"/>
          <c:y val="2.36819655839677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83467444518172E-2"/>
          <c:y val="0.10604485515612928"/>
          <c:w val="0.7879500155042215"/>
          <c:h val="0.7080367296623927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Pivot'!$B$3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Pivot'!$B$4:$B$15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9-4048-8549-0D60817291C0}"/>
            </c:ext>
          </c:extLst>
        </c:ser>
        <c:ser>
          <c:idx val="1"/>
          <c:order val="1"/>
          <c:tx>
            <c:strRef>
              <c:f>'Outcomes Based on Goals Pivot'!$C$3</c:f>
              <c:strCache>
                <c:ptCount val="1"/>
                <c:pt idx="0">
                  <c:v>  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Pivot'!$C$4:$C$15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9-4048-8549-0D60817291C0}"/>
            </c:ext>
          </c:extLst>
        </c:ser>
        <c:ser>
          <c:idx val="2"/>
          <c:order val="2"/>
          <c:tx>
            <c:strRef>
              <c:f>'Outcomes Based on Goals Pivot'!$D$3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Pivot'!$A$4:$A$15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Pivot'!$D$4:$D$15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F9-4048-8549-0D6081729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513520"/>
        <c:axId val="1338498960"/>
      </c:lineChart>
      <c:catAx>
        <c:axId val="133851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498960"/>
        <c:crosses val="autoZero"/>
        <c:auto val="1"/>
        <c:lblAlgn val="ctr"/>
        <c:lblOffset val="100"/>
        <c:noMultiLvlLbl val="0"/>
      </c:catAx>
      <c:valAx>
        <c:axId val="133849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5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126615951873628"/>
          <c:y val="0.88911571232626985"/>
          <c:w val="0.45476386956736997"/>
          <c:h val="9.56001161087462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A6D8AB-E35C-4C5F-921A-333AC587F7A8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6871F-FA5E-65AA-802D-4FBA1C2F08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4</xdr:row>
      <xdr:rowOff>9523</xdr:rowOff>
    </xdr:from>
    <xdr:to>
      <xdr:col>17</xdr:col>
      <xdr:colOff>495300</xdr:colOff>
      <xdr:row>25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91A0EE-4F7A-44B1-9C72-DCBD9FD69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te Williams" refreshedDate="44916.690653472222" createdVersion="8" refreshedVersion="8" minRefreshableVersion="3" recordCount="4115" xr:uid="{7089345F-E406-4215-9B46-AF7DD5BA0149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te Williams" refreshedDate="44917.449930671297" createdVersion="8" refreshedVersion="8" minRefreshableVersion="3" recordCount="12" xr:uid="{A42F81EC-5113-47D6-9B59-33ACB8219834}">
  <cacheSource type="worksheet">
    <worksheetSource ref="A1:H13" sheet="Outcomes Based on Goals"/>
  </cacheSource>
  <cacheFields count="8">
    <cacheField name="Goal" numFmtId="0">
      <sharedItems count="15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50000 or More" u="1"/>
        <s v="20000 to 249999" u="1"/>
        <s v="40000 to 449999" u="1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  <r>
    <m/>
    <m/>
    <m/>
    <m/>
    <m/>
    <x v="4"/>
    <m/>
    <m/>
    <m/>
    <m/>
    <m/>
    <m/>
    <m/>
    <m/>
    <x v="4114"/>
    <x v="9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BDA05-7304-451C-9EE3-FE0A8CA160D1}" name="PivotTable1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D776C-7BB7-4993-8FE8-9D1616957556}" name="PivotTable4" cacheId="69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A3:D15" firstHeaderRow="0" firstDataRow="1" firstDataCol="1"/>
  <pivotFields count="8">
    <pivotField axis="axisRow" showAll="0">
      <items count="16">
        <item x="0"/>
        <item m="1" x="12"/>
        <item x="1"/>
        <item x="2"/>
        <item x="3"/>
        <item x="4"/>
        <item x="5"/>
        <item x="6"/>
        <item x="7"/>
        <item x="8"/>
        <item x="9"/>
        <item x="10"/>
        <item m="1" x="14"/>
        <item m="1" x="13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2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 numFmtId="10"/>
    <dataField name="   Percentage Failed" fld="6" baseField="0" baseItem="0" numFmtId="10"/>
    <dataField name=" Percentage Canceled" fld="7" baseField="0" baseItem="0" numFmtId="10"/>
  </dataFields>
  <chartFormats count="6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K1" zoomScale="95" zoomScaleNormal="95" workbookViewId="0">
      <selection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42578125" customWidth="1"/>
    <col min="16" max="16" width="24.42578125" customWidth="1"/>
    <col min="17" max="17" width="23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autoFilter ref="A1:R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6F8B1-BDF2-48F9-957D-2F152F0DAF15}">
  <dimension ref="A2:E19"/>
  <sheetViews>
    <sheetView workbookViewId="0">
      <selection activeCell="B12" sqref="B1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2" spans="1:5" x14ac:dyDescent="0.25">
      <c r="A2" s="10" t="s">
        <v>8306</v>
      </c>
      <c r="B2" t="s">
        <v>8327</v>
      </c>
    </row>
    <row r="3" spans="1:5" x14ac:dyDescent="0.25">
      <c r="A3" s="10" t="s">
        <v>8308</v>
      </c>
      <c r="B3" t="s">
        <v>8310</v>
      </c>
    </row>
    <row r="5" spans="1:5" x14ac:dyDescent="0.25">
      <c r="A5" s="10" t="s">
        <v>8326</v>
      </c>
      <c r="B5" s="10" t="s">
        <v>8325</v>
      </c>
    </row>
    <row r="6" spans="1:5" x14ac:dyDescent="0.25">
      <c r="A6" s="10" t="s">
        <v>8311</v>
      </c>
      <c r="B6" t="s">
        <v>8218</v>
      </c>
      <c r="C6" t="s">
        <v>8219</v>
      </c>
      <c r="D6" t="s">
        <v>8220</v>
      </c>
      <c r="E6" t="s">
        <v>8312</v>
      </c>
    </row>
    <row r="7" spans="1:5" x14ac:dyDescent="0.25">
      <c r="A7" s="11" t="s">
        <v>8319</v>
      </c>
      <c r="B7" s="12">
        <v>56</v>
      </c>
      <c r="C7" s="12">
        <v>7</v>
      </c>
      <c r="D7" s="12">
        <v>33</v>
      </c>
      <c r="E7" s="12">
        <v>96</v>
      </c>
    </row>
    <row r="8" spans="1:5" x14ac:dyDescent="0.25">
      <c r="A8" s="11" t="s">
        <v>8320</v>
      </c>
      <c r="B8" s="12">
        <v>71</v>
      </c>
      <c r="C8" s="12">
        <v>3</v>
      </c>
      <c r="D8" s="12">
        <v>39</v>
      </c>
      <c r="E8" s="12">
        <v>113</v>
      </c>
    </row>
    <row r="9" spans="1:5" x14ac:dyDescent="0.25">
      <c r="A9" s="11" t="s">
        <v>8321</v>
      </c>
      <c r="B9" s="12">
        <v>56</v>
      </c>
      <c r="C9" s="12">
        <v>3</v>
      </c>
      <c r="D9" s="12">
        <v>33</v>
      </c>
      <c r="E9" s="12">
        <v>92</v>
      </c>
    </row>
    <row r="10" spans="1:5" x14ac:dyDescent="0.25">
      <c r="A10" s="11" t="s">
        <v>8322</v>
      </c>
      <c r="B10" s="12">
        <v>71</v>
      </c>
      <c r="C10" s="12">
        <v>2</v>
      </c>
      <c r="D10" s="12">
        <v>40</v>
      </c>
      <c r="E10" s="12">
        <v>113</v>
      </c>
    </row>
    <row r="11" spans="1:5" x14ac:dyDescent="0.25">
      <c r="A11" s="11" t="s">
        <v>8313</v>
      </c>
      <c r="B11" s="12">
        <v>111</v>
      </c>
      <c r="C11" s="12">
        <v>3</v>
      </c>
      <c r="D11" s="12">
        <v>52</v>
      </c>
      <c r="E11" s="12">
        <v>166</v>
      </c>
    </row>
    <row r="12" spans="1:5" x14ac:dyDescent="0.25">
      <c r="A12" s="11" t="s">
        <v>8323</v>
      </c>
      <c r="B12" s="12">
        <v>100</v>
      </c>
      <c r="C12" s="12">
        <v>4</v>
      </c>
      <c r="D12" s="12">
        <v>49</v>
      </c>
      <c r="E12" s="12">
        <v>153</v>
      </c>
    </row>
    <row r="13" spans="1:5" x14ac:dyDescent="0.25">
      <c r="A13" s="11" t="s">
        <v>8314</v>
      </c>
      <c r="B13" s="12">
        <v>87</v>
      </c>
      <c r="C13" s="12">
        <v>1</v>
      </c>
      <c r="D13" s="12">
        <v>50</v>
      </c>
      <c r="E13" s="12">
        <v>138</v>
      </c>
    </row>
    <row r="14" spans="1:5" x14ac:dyDescent="0.25">
      <c r="A14" s="11" t="s">
        <v>8315</v>
      </c>
      <c r="B14" s="12">
        <v>72</v>
      </c>
      <c r="C14" s="12">
        <v>4</v>
      </c>
      <c r="D14" s="12">
        <v>47</v>
      </c>
      <c r="E14" s="12">
        <v>123</v>
      </c>
    </row>
    <row r="15" spans="1:5" x14ac:dyDescent="0.25">
      <c r="A15" s="11" t="s">
        <v>8316</v>
      </c>
      <c r="B15" s="12">
        <v>59</v>
      </c>
      <c r="C15" s="12">
        <v>4</v>
      </c>
      <c r="D15" s="12">
        <v>34</v>
      </c>
      <c r="E15" s="12">
        <v>97</v>
      </c>
    </row>
    <row r="16" spans="1:5" x14ac:dyDescent="0.25">
      <c r="A16" s="11" t="s">
        <v>8317</v>
      </c>
      <c r="B16" s="12">
        <v>65</v>
      </c>
      <c r="C16" s="12"/>
      <c r="D16" s="12">
        <v>50</v>
      </c>
      <c r="E16" s="12">
        <v>115</v>
      </c>
    </row>
    <row r="17" spans="1:5" x14ac:dyDescent="0.25">
      <c r="A17" s="11" t="s">
        <v>8318</v>
      </c>
      <c r="B17" s="12">
        <v>54</v>
      </c>
      <c r="C17" s="12">
        <v>3</v>
      </c>
      <c r="D17" s="12">
        <v>31</v>
      </c>
      <c r="E17" s="12">
        <v>88</v>
      </c>
    </row>
    <row r="18" spans="1:5" x14ac:dyDescent="0.25">
      <c r="A18" s="11" t="s">
        <v>8324</v>
      </c>
      <c r="B18" s="12">
        <v>37</v>
      </c>
      <c r="C18" s="12">
        <v>3</v>
      </c>
      <c r="D18" s="12">
        <v>35</v>
      </c>
      <c r="E18" s="12">
        <v>75</v>
      </c>
    </row>
    <row r="19" spans="1:5" x14ac:dyDescent="0.25">
      <c r="A19" s="11" t="s">
        <v>8312</v>
      </c>
      <c r="B19" s="12">
        <v>839</v>
      </c>
      <c r="C19" s="12">
        <v>37</v>
      </c>
      <c r="D19" s="12">
        <v>493</v>
      </c>
      <c r="E19" s="12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C3ABD-8AE0-4C42-B0D8-F782EEC47CBC}">
  <dimension ref="A1:I13"/>
  <sheetViews>
    <sheetView workbookViewId="0">
      <selection activeCell="C8" sqref="C8"/>
    </sheetView>
  </sheetViews>
  <sheetFormatPr defaultRowHeight="15" x14ac:dyDescent="0.25"/>
  <cols>
    <col min="1" max="1" width="15.7109375" style="3" customWidth="1"/>
    <col min="2" max="2" width="10.140625" style="3" bestFit="1" customWidth="1"/>
    <col min="3" max="3" width="11.140625" style="3" customWidth="1"/>
    <col min="4" max="5" width="9.140625" style="3"/>
    <col min="6" max="6" width="12.42578125" style="3" customWidth="1"/>
    <col min="7" max="7" width="13.5703125" style="3" customWidth="1"/>
    <col min="8" max="8" width="13.28515625" style="3" customWidth="1"/>
    <col min="9" max="9" width="9.140625" style="3"/>
  </cols>
  <sheetData>
    <row r="1" spans="1:8" ht="60" x14ac:dyDescent="0.25">
      <c r="A1" s="3" t="s">
        <v>8328</v>
      </c>
      <c r="B1" s="3" t="s">
        <v>8333</v>
      </c>
      <c r="C1" s="3" t="s">
        <v>8334</v>
      </c>
      <c r="D1" s="3" t="s">
        <v>8335</v>
      </c>
      <c r="E1" s="3" t="s">
        <v>8329</v>
      </c>
      <c r="F1" s="3" t="s">
        <v>8330</v>
      </c>
      <c r="G1" s="3" t="s">
        <v>8331</v>
      </c>
      <c r="H1" s="3" t="s">
        <v>8332</v>
      </c>
    </row>
    <row r="2" spans="1:8" x14ac:dyDescent="0.25">
      <c r="A2" s="3" t="s">
        <v>8336</v>
      </c>
      <c r="B2" s="3">
        <f>COUNTIFS(Kickstarter!$F:$F,"successful",Kickstarter!$D:$D,"&lt;1000",Kickstarter!$Q:$Q,"plays")</f>
        <v>141</v>
      </c>
      <c r="C2" s="3">
        <f>COUNTIFS(Kickstarter!$F:$F,"failed",Kickstarter!$D:$D,"&lt;1000",Kickstarter!$Q:$Q,"plays")</f>
        <v>45</v>
      </c>
      <c r="D2" s="3">
        <f>COUNTIFS(Kickstarter!$F:$F,"canceled",Kickstarter!$D:$D,"&lt;1000",Kickstarter!$Q:$Q,"plays")</f>
        <v>0</v>
      </c>
      <c r="E2" s="3">
        <f>+SUM(B2:D2)</f>
        <v>186</v>
      </c>
      <c r="F2" s="13">
        <f>+B2/$E2</f>
        <v>0.75806451612903225</v>
      </c>
      <c r="G2" s="13">
        <f t="shared" ref="G2:H13" si="0">+C2/$E2</f>
        <v>0.24193548387096775</v>
      </c>
      <c r="H2" s="13">
        <f t="shared" si="0"/>
        <v>0</v>
      </c>
    </row>
    <row r="3" spans="1:8" x14ac:dyDescent="0.25">
      <c r="A3" s="3" t="s">
        <v>8337</v>
      </c>
      <c r="B3" s="3">
        <f>COUNTIFS(Kickstarter!$F:$F,"successful",Kickstarter!$D:$D,"&gt;=1000",Kickstarter!$D:$D,"&lt;=4999",Kickstarter!$Q:$Q,"plays")</f>
        <v>388</v>
      </c>
      <c r="C3" s="3">
        <f>COUNTIFS(Kickstarter!$F:$F,"failed",Kickstarter!$D:$D,"&gt;=1000",Kickstarter!$D:$D,"&lt;=4999",Kickstarter!$Q:$Q,"plays")</f>
        <v>146</v>
      </c>
      <c r="D3" s="3">
        <f>COUNTIFS(Kickstarter!$F:$F,"canceled",Kickstarter!$D:$D,"&gt;=1000",Kickstarter!$D:$D,"&lt;=4999",Kickstarter!$Q:$Q,"plays")</f>
        <v>0</v>
      </c>
      <c r="E3" s="3">
        <f t="shared" ref="E3:E13" si="1">+SUM(B3:D3)</f>
        <v>534</v>
      </c>
      <c r="F3" s="13">
        <f t="shared" ref="F3:F13" si="2">+B3/$E3</f>
        <v>0.72659176029962547</v>
      </c>
      <c r="G3" s="13">
        <f t="shared" si="0"/>
        <v>0.27340823970037453</v>
      </c>
      <c r="H3" s="13">
        <f>+D3/$E3</f>
        <v>0</v>
      </c>
    </row>
    <row r="4" spans="1:8" x14ac:dyDescent="0.25">
      <c r="A4" s="3" t="s">
        <v>8338</v>
      </c>
      <c r="B4" s="3">
        <f>COUNTIFS(Kickstarter!$F:$F,"successful",Kickstarter!$D:$D,"&gt;=5000",Kickstarter!$D:$D,"&lt;=9999",Kickstarter!$Q:$Q,"plays")</f>
        <v>93</v>
      </c>
      <c r="C4" s="3">
        <f>COUNTIFS(Kickstarter!$F:$F,"failed",Kickstarter!$D:$D,"&gt;=5000",Kickstarter!$D:$D,"&lt;=9999",Kickstarter!$Q:$Q,"plays")</f>
        <v>76</v>
      </c>
      <c r="D4" s="3">
        <f>COUNTIFS(Kickstarter!$F:$F,"canceled",Kickstarter!$D:$D,"&gt;=5000",Kickstarter!$D:$D,"&lt;=9999",Kickstarter!$Q:$Q,"plays")</f>
        <v>0</v>
      </c>
      <c r="E4" s="3">
        <f t="shared" si="1"/>
        <v>169</v>
      </c>
      <c r="F4" s="13">
        <f t="shared" si="2"/>
        <v>0.55029585798816572</v>
      </c>
      <c r="G4" s="13">
        <f t="shared" si="0"/>
        <v>0.44970414201183434</v>
      </c>
      <c r="H4" s="13">
        <f t="shared" ref="H4:H13" si="3">+D4/$E4</f>
        <v>0</v>
      </c>
    </row>
    <row r="5" spans="1:8" x14ac:dyDescent="0.25">
      <c r="A5" s="3" t="s">
        <v>8339</v>
      </c>
      <c r="B5" s="3">
        <f>COUNTIFS(Kickstarter!$F:$F,"successful",Kickstarter!$D:$D,"&gt;=10000",Kickstarter!$D:$D,"&lt;=14999",Kickstarter!$Q:$Q,"plays")</f>
        <v>39</v>
      </c>
      <c r="C5" s="3">
        <f>COUNTIFS(Kickstarter!$F:$F,"failed",Kickstarter!$D:$D,"&gt;=10000",Kickstarter!$D:$D,"&lt;=14999",Kickstarter!$Q:$Q,"plays")</f>
        <v>33</v>
      </c>
      <c r="D5" s="3">
        <f>COUNTIFS(Kickstarter!$F:$F,"canceled",Kickstarter!$D:$D,"&gt;=10000",Kickstarter!$D:$D,"&lt;=14999",Kickstarter!$Q:$Q,"plays")</f>
        <v>0</v>
      </c>
      <c r="E5" s="3">
        <f t="shared" si="1"/>
        <v>72</v>
      </c>
      <c r="F5" s="13">
        <f t="shared" si="2"/>
        <v>0.54166666666666663</v>
      </c>
      <c r="G5" s="13">
        <f t="shared" si="0"/>
        <v>0.45833333333333331</v>
      </c>
      <c r="H5" s="13">
        <f t="shared" si="3"/>
        <v>0</v>
      </c>
    </row>
    <row r="6" spans="1:8" x14ac:dyDescent="0.25">
      <c r="A6" s="3" t="s">
        <v>8340</v>
      </c>
      <c r="B6" s="3">
        <f>COUNTIFS(Kickstarter!$F:$F,"successful",Kickstarter!$D:$D,"&gt;=15000",Kickstarter!$D:$D,"&lt;=19999",Kickstarter!$Q:$Q,"plays")</f>
        <v>12</v>
      </c>
      <c r="C6" s="3">
        <f>COUNTIFS(Kickstarter!$F:$F,"failed",Kickstarter!$D:$D,"&gt;=15000",Kickstarter!$D:$D,"&lt;=19999",Kickstarter!$Q:$Q,"plays")</f>
        <v>12</v>
      </c>
      <c r="D6" s="3">
        <f>COUNTIFS(Kickstarter!$F:$F,"canceled",Kickstarter!$D:$D,"&gt;=15000",Kickstarter!$D:$D,"&lt;=19999",Kickstarter!$Q:$Q,"plays")</f>
        <v>0</v>
      </c>
      <c r="E6" s="3">
        <f t="shared" si="1"/>
        <v>24</v>
      </c>
      <c r="F6" s="13">
        <f t="shared" si="2"/>
        <v>0.5</v>
      </c>
      <c r="G6" s="13">
        <f t="shared" si="0"/>
        <v>0.5</v>
      </c>
      <c r="H6" s="13">
        <f t="shared" si="3"/>
        <v>0</v>
      </c>
    </row>
    <row r="7" spans="1:8" x14ac:dyDescent="0.25">
      <c r="A7" s="3" t="s">
        <v>8345</v>
      </c>
      <c r="B7" s="3">
        <f>COUNTIFS(Kickstarter!$F:$F,"successful",Kickstarter!$D:$D,"&gt;=20000",Kickstarter!$D:$D,"&lt;=24999",Kickstarter!$Q:$Q,"plays")</f>
        <v>9</v>
      </c>
      <c r="C7" s="3">
        <f>COUNTIFS(Kickstarter!$F:$F,"failed",Kickstarter!$D:$D,"&gt;=20000",Kickstarter!$D:$D,"&lt;=24999",Kickstarter!$Q:$Q,"plays")</f>
        <v>11</v>
      </c>
      <c r="D7" s="3">
        <f>COUNTIFS(Kickstarter!$F:$F,"canceled",Kickstarter!$D:$D,"&gt;=2000",Kickstarter!$D:$D,"&lt;=24999",Kickstarter!$Q:$Q,"plays")</f>
        <v>0</v>
      </c>
      <c r="E7" s="3">
        <f t="shared" si="1"/>
        <v>20</v>
      </c>
      <c r="F7" s="13">
        <f t="shared" si="2"/>
        <v>0.45</v>
      </c>
      <c r="G7" s="13">
        <f t="shared" si="0"/>
        <v>0.55000000000000004</v>
      </c>
      <c r="H7" s="13">
        <f t="shared" si="3"/>
        <v>0</v>
      </c>
    </row>
    <row r="8" spans="1:8" x14ac:dyDescent="0.25">
      <c r="A8" s="3" t="s">
        <v>8341</v>
      </c>
      <c r="B8" s="3">
        <f>COUNTIFS(Kickstarter!$F:$F,"successful",Kickstarter!$D:$D,"&gt;=25000",Kickstarter!$D:$D,"&lt;=29999",Kickstarter!$Q:$Q,"plays")</f>
        <v>1</v>
      </c>
      <c r="C8" s="3">
        <f>COUNTIFS(Kickstarter!$F:$F,"failed",Kickstarter!$D:$D,"&gt;=25000",Kickstarter!$D:$D,"&lt;=29999",Kickstarter!$Q:$Q,"plays")</f>
        <v>4</v>
      </c>
      <c r="D8" s="3">
        <f>COUNTIFS(Kickstarter!$F:$F,"canceled",Kickstarter!$D:$D,"&gt;=25000",Kickstarter!$D:$D,"&lt;=29999",Kickstarter!$Q:$Q,"plays")</f>
        <v>0</v>
      </c>
      <c r="E8" s="3">
        <f t="shared" si="1"/>
        <v>5</v>
      </c>
      <c r="F8" s="13">
        <f t="shared" si="2"/>
        <v>0.2</v>
      </c>
      <c r="G8" s="13">
        <f t="shared" si="0"/>
        <v>0.8</v>
      </c>
      <c r="H8" s="13">
        <f t="shared" si="3"/>
        <v>0</v>
      </c>
    </row>
    <row r="9" spans="1:8" x14ac:dyDescent="0.25">
      <c r="A9" s="3" t="s">
        <v>8342</v>
      </c>
      <c r="B9" s="3">
        <f>COUNTIFS(Kickstarter!$F:$F,"successful",Kickstarter!$D:$D,"&gt;=30000",Kickstarter!$D:$D,"&lt;=34999",Kickstarter!$Q:$Q,"plays")</f>
        <v>3</v>
      </c>
      <c r="C9" s="3">
        <f>COUNTIFS(Kickstarter!$F:$F,"failed",Kickstarter!$D:$D,"&gt;=30000",Kickstarter!$D:$D,"&lt;=34999",Kickstarter!$Q:$Q,"plays")</f>
        <v>8</v>
      </c>
      <c r="D9" s="3">
        <f>COUNTIFS(Kickstarter!$F:$F,"canceled",Kickstarter!$D:$D,"&gt;=30000",Kickstarter!$D:$D,"&lt;=34999",Kickstarter!$Q:$Q,"plays")</f>
        <v>0</v>
      </c>
      <c r="E9" s="3">
        <f t="shared" si="1"/>
        <v>11</v>
      </c>
      <c r="F9" s="13">
        <f t="shared" si="2"/>
        <v>0.27272727272727271</v>
      </c>
      <c r="G9" s="13">
        <f t="shared" si="0"/>
        <v>0.72727272727272729</v>
      </c>
      <c r="H9" s="13">
        <f t="shared" si="3"/>
        <v>0</v>
      </c>
    </row>
    <row r="10" spans="1:8" x14ac:dyDescent="0.25">
      <c r="A10" s="3" t="s">
        <v>8343</v>
      </c>
      <c r="B10" s="3">
        <f>COUNTIFS(Kickstarter!$F:$F,"successful",Kickstarter!$D:$D,"&gt;=35000",Kickstarter!$D:$D,"&lt;=39999",Kickstarter!$Q:$Q,"plays")</f>
        <v>4</v>
      </c>
      <c r="C10" s="3">
        <f>COUNTIFS(Kickstarter!$F:$F,"failed",Kickstarter!$D:$D,"&gt;=35000",Kickstarter!$D:$D,"&lt;=39999",Kickstarter!$Q:$Q,"plays")</f>
        <v>2</v>
      </c>
      <c r="D10" s="3">
        <f>COUNTIFS(Kickstarter!$F:$F,"canceled",Kickstarter!$D:$D,"&gt;=35000",Kickstarter!$D:$D,"&lt;=39999",Kickstarter!$Q:$Q,"plays")</f>
        <v>0</v>
      </c>
      <c r="E10" s="3">
        <f t="shared" si="1"/>
        <v>6</v>
      </c>
      <c r="F10" s="13">
        <f t="shared" si="2"/>
        <v>0.66666666666666663</v>
      </c>
      <c r="G10" s="13">
        <f t="shared" si="0"/>
        <v>0.33333333333333331</v>
      </c>
      <c r="H10" s="13">
        <f t="shared" si="3"/>
        <v>0</v>
      </c>
    </row>
    <row r="11" spans="1:8" x14ac:dyDescent="0.25">
      <c r="A11" s="3" t="s">
        <v>8346</v>
      </c>
      <c r="B11" s="3">
        <f>COUNTIFS(Kickstarter!$F:$F,"successful",Kickstarter!$D:$D,"&gt;=40000",Kickstarter!$D:$D,"&lt;=44999",Kickstarter!$Q:$Q,"plays")</f>
        <v>2</v>
      </c>
      <c r="C11" s="3">
        <f>COUNTIFS(Kickstarter!$F:$F,"failed",Kickstarter!$D:$D,"&gt;=40000",Kickstarter!$D:$D,"&lt;=44999",Kickstarter!$Q:$Q,"plays")</f>
        <v>1</v>
      </c>
      <c r="D11" s="3">
        <f>COUNTIFS(Kickstarter!$F:$F,"canceled",Kickstarter!$D:$D,"&gt;=40000",Kickstarter!$D:$D,"&lt;=44999",Kickstarter!$Q:$Q,"plays")</f>
        <v>0</v>
      </c>
      <c r="E11" s="3">
        <f t="shared" si="1"/>
        <v>3</v>
      </c>
      <c r="F11" s="13">
        <f t="shared" si="2"/>
        <v>0.66666666666666663</v>
      </c>
      <c r="G11" s="13">
        <f t="shared" si="0"/>
        <v>0.33333333333333331</v>
      </c>
      <c r="H11" s="13">
        <f t="shared" si="3"/>
        <v>0</v>
      </c>
    </row>
    <row r="12" spans="1:8" x14ac:dyDescent="0.25">
      <c r="A12" s="3" t="s">
        <v>8344</v>
      </c>
      <c r="B12" s="3">
        <f>COUNTIFS(Kickstarter!$F:$F,"successful",Kickstarter!$D:$D,"&gt;=45000",Kickstarter!$D:$D,"&lt;=49999",Kickstarter!$Q:$Q,"plays")</f>
        <v>0</v>
      </c>
      <c r="C12" s="3">
        <f>COUNTIFS(Kickstarter!$F:$F,"failed",Kickstarter!$D:$D,"&gt;=45000",Kickstarter!$D:$D,"&lt;=49999",Kickstarter!$Q:$Q,"plays")</f>
        <v>1</v>
      </c>
      <c r="D12" s="3">
        <f>COUNTIFS(Kickstarter!$F:$F,"canceled",Kickstarter!$D:$D,"&gt;=45000",Kickstarter!$D:$D,"&lt;=49999",Kickstarter!$Q:$Q,"plays")</f>
        <v>0</v>
      </c>
      <c r="E12" s="3">
        <f t="shared" si="1"/>
        <v>1</v>
      </c>
      <c r="F12" s="13">
        <f t="shared" si="2"/>
        <v>0</v>
      </c>
      <c r="G12" s="13">
        <f t="shared" si="0"/>
        <v>1</v>
      </c>
      <c r="H12" s="13">
        <f t="shared" si="3"/>
        <v>0</v>
      </c>
    </row>
    <row r="13" spans="1:8" ht="30" x14ac:dyDescent="0.25">
      <c r="A13" s="3" t="s">
        <v>8347</v>
      </c>
      <c r="B13" s="3">
        <f>COUNTIFS(Kickstarter!$F:$F,"successful",Kickstarter!$D:$D,"&gt;50000",Kickstarter!$Q:$Q,"plays")</f>
        <v>2</v>
      </c>
      <c r="C13" s="3">
        <f>COUNTIFS(Kickstarter!$F:$F,"failed",Kickstarter!$D:$D,"&gt;50000",Kickstarter!$Q:$Q,"plays")</f>
        <v>10</v>
      </c>
      <c r="D13" s="3">
        <f>COUNTIFS(Kickstarter!$F:$F,"canceled",Kickstarter!$D:$D,"&gt;50000",Kickstarter!$Q:$Q,"plays")</f>
        <v>0</v>
      </c>
      <c r="E13" s="3">
        <f t="shared" si="1"/>
        <v>12</v>
      </c>
      <c r="F13" s="13">
        <f t="shared" si="2"/>
        <v>0.16666666666666666</v>
      </c>
      <c r="G13" s="13">
        <f t="shared" si="0"/>
        <v>0.83333333333333337</v>
      </c>
      <c r="H13" s="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A129F-ABEE-45AA-B0A3-EF25F017F831}">
  <dimension ref="A3:D15"/>
  <sheetViews>
    <sheetView workbookViewId="0">
      <selection activeCell="B7" sqref="B7"/>
    </sheetView>
  </sheetViews>
  <sheetFormatPr defaultRowHeight="15" x14ac:dyDescent="0.25"/>
  <cols>
    <col min="1" max="1" width="17.85546875" bestFit="1" customWidth="1"/>
    <col min="2" max="2" width="21.42578125" bestFit="1" customWidth="1"/>
    <col min="3" max="3" width="18.42578125" bestFit="1" customWidth="1"/>
    <col min="4" max="4" width="20.28515625" bestFit="1" customWidth="1"/>
    <col min="5" max="12" width="13.85546875" bestFit="1" customWidth="1"/>
    <col min="13" max="13" width="18" bestFit="1" customWidth="1"/>
  </cols>
  <sheetData>
    <row r="3" spans="1:4" x14ac:dyDescent="0.25">
      <c r="A3" s="10" t="s">
        <v>8311</v>
      </c>
      <c r="B3" t="s">
        <v>8348</v>
      </c>
      <c r="C3" t="s">
        <v>8349</v>
      </c>
      <c r="D3" t="s">
        <v>8350</v>
      </c>
    </row>
    <row r="4" spans="1:4" x14ac:dyDescent="0.25">
      <c r="A4" s="11" t="s">
        <v>8336</v>
      </c>
      <c r="B4" s="14">
        <v>0.75806451612903225</v>
      </c>
      <c r="C4" s="14">
        <v>0.24193548387096775</v>
      </c>
      <c r="D4" s="14">
        <v>0</v>
      </c>
    </row>
    <row r="5" spans="1:4" x14ac:dyDescent="0.25">
      <c r="A5" s="11" t="s">
        <v>8337</v>
      </c>
      <c r="B5" s="14">
        <v>0.72659176029962547</v>
      </c>
      <c r="C5" s="14">
        <v>0.27340823970037453</v>
      </c>
      <c r="D5" s="14">
        <v>0</v>
      </c>
    </row>
    <row r="6" spans="1:4" x14ac:dyDescent="0.25">
      <c r="A6" s="11" t="s">
        <v>8338</v>
      </c>
      <c r="B6" s="14">
        <v>0.55029585798816572</v>
      </c>
      <c r="C6" s="14">
        <v>0.44970414201183434</v>
      </c>
      <c r="D6" s="14">
        <v>0</v>
      </c>
    </row>
    <row r="7" spans="1:4" x14ac:dyDescent="0.25">
      <c r="A7" s="11" t="s">
        <v>8339</v>
      </c>
      <c r="B7" s="14">
        <v>0.54166666666666663</v>
      </c>
      <c r="C7" s="14">
        <v>0.45833333333333331</v>
      </c>
      <c r="D7" s="14">
        <v>0</v>
      </c>
    </row>
    <row r="8" spans="1:4" x14ac:dyDescent="0.25">
      <c r="A8" s="11" t="s">
        <v>8340</v>
      </c>
      <c r="B8" s="14">
        <v>0.5</v>
      </c>
      <c r="C8" s="14">
        <v>0.5</v>
      </c>
      <c r="D8" s="14">
        <v>0</v>
      </c>
    </row>
    <row r="9" spans="1:4" x14ac:dyDescent="0.25">
      <c r="A9" s="11" t="s">
        <v>8345</v>
      </c>
      <c r="B9" s="14">
        <v>0.45</v>
      </c>
      <c r="C9" s="14">
        <v>0.55000000000000004</v>
      </c>
      <c r="D9" s="14">
        <v>0</v>
      </c>
    </row>
    <row r="10" spans="1:4" x14ac:dyDescent="0.25">
      <c r="A10" s="11" t="s">
        <v>8341</v>
      </c>
      <c r="B10" s="14">
        <v>0.2</v>
      </c>
      <c r="C10" s="14">
        <v>0.8</v>
      </c>
      <c r="D10" s="14">
        <v>0</v>
      </c>
    </row>
    <row r="11" spans="1:4" x14ac:dyDescent="0.25">
      <c r="A11" s="11" t="s">
        <v>8342</v>
      </c>
      <c r="B11" s="14">
        <v>0.27272727272727271</v>
      </c>
      <c r="C11" s="14">
        <v>0.72727272727272729</v>
      </c>
      <c r="D11" s="14">
        <v>0</v>
      </c>
    </row>
    <row r="12" spans="1:4" x14ac:dyDescent="0.25">
      <c r="A12" s="11" t="s">
        <v>8343</v>
      </c>
      <c r="B12" s="14">
        <v>0.66666666666666663</v>
      </c>
      <c r="C12" s="14">
        <v>0.33333333333333331</v>
      </c>
      <c r="D12" s="14">
        <v>0</v>
      </c>
    </row>
    <row r="13" spans="1:4" x14ac:dyDescent="0.25">
      <c r="A13" s="11" t="s">
        <v>8346</v>
      </c>
      <c r="B13" s="14">
        <v>0.66666666666666663</v>
      </c>
      <c r="C13" s="14">
        <v>0.33333333333333331</v>
      </c>
      <c r="D13" s="14">
        <v>0</v>
      </c>
    </row>
    <row r="14" spans="1:4" x14ac:dyDescent="0.25">
      <c r="A14" s="11" t="s">
        <v>8344</v>
      </c>
      <c r="B14" s="14">
        <v>0</v>
      </c>
      <c r="C14" s="14">
        <v>1</v>
      </c>
      <c r="D14" s="14">
        <v>0</v>
      </c>
    </row>
    <row r="15" spans="1:4" x14ac:dyDescent="0.25">
      <c r="A15" s="11" t="s">
        <v>8347</v>
      </c>
      <c r="B15" s="14">
        <v>0.16666666666666666</v>
      </c>
      <c r="C15" s="14">
        <v>0.83333333333333337</v>
      </c>
      <c r="D15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ADB30-B8FE-4E50-B5BF-1969440F3E69}">
  <dimension ref="A1"/>
  <sheetViews>
    <sheetView workbookViewId="0">
      <selection activeCell="T29" sqref="T2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Outcomes Based on Goals Pivot</vt:lpstr>
      <vt:lpstr>Chart Outcomes vs Goals</vt:lpstr>
      <vt:lpstr>Chart Theater Outcomes Launch 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Johnte Williams</cp:lastModifiedBy>
  <dcterms:created xsi:type="dcterms:W3CDTF">2017-04-20T15:17:24Z</dcterms:created>
  <dcterms:modified xsi:type="dcterms:W3CDTF">2022-12-22T17:42:15Z</dcterms:modified>
</cp:coreProperties>
</file>