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hange" sheetId="1" r:id="rId4"/>
    <sheet state="visible" name="Companies" sheetId="2" r:id="rId5"/>
    <sheet state="visible" name="Grade-Sheet" sheetId="3" r:id="rId6"/>
    <sheet state="visible" name="Time Table" sheetId="4" r:id="rId7"/>
    <sheet state="visible" name="MAY" sheetId="5" r:id="rId8"/>
    <sheet state="visible" name="JUNE" sheetId="6" r:id="rId9"/>
    <sheet state="visible" name="JULY" sheetId="7" r:id="rId10"/>
    <sheet state="visible" name="August" sheetId="8" r:id="rId11"/>
    <sheet state="visible" name="September" sheetId="9" r:id="rId12"/>
    <sheet state="visible" name="October" sheetId="10" r:id="rId13"/>
    <sheet state="visible" name="November" sheetId="11" r:id="rId14"/>
    <sheet state="visible" name="December" sheetId="12" r:id="rId15"/>
    <sheet state="visible" name="January" sheetId="13" r:id="rId16"/>
    <sheet state="visible" name="Bucket List" sheetId="14" r:id="rId17"/>
    <sheet state="visible" name="Items" sheetId="15" r:id="rId18"/>
    <sheet state="visible" name="Trip Expense" sheetId="16" r:id="rId19"/>
    <sheet state="visible" name="Wedding Expenses" sheetId="17" r:id="rId20"/>
  </sheets>
  <definedNames/>
  <calcPr/>
</workbook>
</file>

<file path=xl/sharedStrings.xml><?xml version="1.0" encoding="utf-8"?>
<sst xmlns="http://schemas.openxmlformats.org/spreadsheetml/2006/main" count="933" uniqueCount="553">
  <si>
    <t>CATEGORY</t>
  </si>
  <si>
    <t>FUNDS</t>
  </si>
  <si>
    <t>EXPENSES - July And August</t>
  </si>
  <si>
    <t>AMOUNT IN FIVERR WITHDRAWAL</t>
  </si>
  <si>
    <r>
      <rPr>
        <rFont val="Arial"/>
        <b/>
        <color theme="1"/>
      </rPr>
      <t>Rent</t>
    </r>
    <r>
      <rPr>
        <rFont val="Arial"/>
        <color theme="1"/>
      </rPr>
      <t xml:space="preserve"> (Basic Rent, Electricity, Radio Bill and Internet)</t>
    </r>
  </si>
  <si>
    <t>AMOUNT IN FIVERR CLEARANCE</t>
  </si>
  <si>
    <t>Health Insurance</t>
  </si>
  <si>
    <t>UPWORK - SABABA</t>
  </si>
  <si>
    <t>UPWORK - NAUMAN</t>
  </si>
  <si>
    <r>
      <rPr>
        <rFont val="Arial"/>
        <b/>
        <color theme="1"/>
      </rPr>
      <t>Monthly Expense</t>
    </r>
    <r>
      <rPr>
        <rFont val="Arial"/>
        <color theme="1"/>
      </rPr>
      <t xml:space="preserve"> (Groceries, Toiletries, Room Cleaning, Laundry and Personal Hygiene)</t>
    </r>
  </si>
  <si>
    <t>9th August - 17:11</t>
  </si>
  <si>
    <t>SPARKASSE BALANCE - SABABA</t>
  </si>
  <si>
    <t>Mobile Charges</t>
  </si>
  <si>
    <t>SPARKASSE BALANCE - NAUMAN</t>
  </si>
  <si>
    <t>PAYONEER BALANCE - USD</t>
  </si>
  <si>
    <t>University Fee</t>
  </si>
  <si>
    <t>PAYONEER BALANCE - EUR</t>
  </si>
  <si>
    <t>Blocked Deposit + Fee</t>
  </si>
  <si>
    <t>WISE - USD</t>
  </si>
  <si>
    <t>Visa Fee</t>
  </si>
  <si>
    <t>WISE - EUR</t>
  </si>
  <si>
    <t>PAYPAL</t>
  </si>
  <si>
    <t>Netflix</t>
  </si>
  <si>
    <t>Etoro</t>
  </si>
  <si>
    <t>Chat GPT</t>
  </si>
  <si>
    <t>CASH</t>
  </si>
  <si>
    <t>GYM</t>
  </si>
  <si>
    <t>CASH PKR</t>
  </si>
  <si>
    <t xml:space="preserve">Nauman's Blocked Amount </t>
  </si>
  <si>
    <t>Fiverr Dues (Promotional + Overdraft + Seller Plus)</t>
  </si>
  <si>
    <t xml:space="preserve">Sababa's Blocked Amount </t>
  </si>
  <si>
    <t>Upwork Dues (Monthly Subs)</t>
  </si>
  <si>
    <t>Developers Dues</t>
  </si>
  <si>
    <t>Binance Nauman 1st April 2024 - 30th April 2024</t>
  </si>
  <si>
    <t>Family</t>
  </si>
  <si>
    <t>Binance Sababa 1st April 2024 - 30th April 2024</t>
  </si>
  <si>
    <t>Cat Food</t>
  </si>
  <si>
    <t>Cell Recharge</t>
  </si>
  <si>
    <t>CASH IN HAND</t>
  </si>
  <si>
    <t>EXPECTED CASH IN HAND EXLCUDING EXPENSES</t>
  </si>
  <si>
    <t>FIXED MONTHLY COSTS</t>
  </si>
  <si>
    <t>WEEK 1</t>
  </si>
  <si>
    <t>USD to PKR (07/07)</t>
  </si>
  <si>
    <t>WEEK 2</t>
  </si>
  <si>
    <t>USD to EUR (07/07)</t>
  </si>
  <si>
    <t>WEEK 3</t>
  </si>
  <si>
    <t>WEEK 4</t>
  </si>
  <si>
    <t>Clothing + MakeUp</t>
  </si>
  <si>
    <t>WEEK 5</t>
  </si>
  <si>
    <t>Home Maintenance</t>
  </si>
  <si>
    <t>Medicines + Supplements</t>
  </si>
  <si>
    <t>Vet</t>
  </si>
  <si>
    <t>Birthdays</t>
  </si>
  <si>
    <t>Miscellaneous</t>
  </si>
  <si>
    <t>Sadqa + Zakat</t>
  </si>
  <si>
    <t>TOTAL</t>
  </si>
  <si>
    <t>COMPANIES</t>
  </si>
  <si>
    <t>WEBSITE LINKS</t>
  </si>
  <si>
    <t>SAP</t>
  </si>
  <si>
    <t>https://jobs.sap.com/go/Germany/8806101/</t>
  </si>
  <si>
    <t>Siemens</t>
  </si>
  <si>
    <t>https://www.siemens.com/de/de/unternehmen/jobs.html</t>
  </si>
  <si>
    <t>Deutsche Telekom</t>
  </si>
  <si>
    <t>https://telekom.jobs/global-careers</t>
  </si>
  <si>
    <t>Allianz</t>
  </si>
  <si>
    <t>https://careers.allianz.com/Germany?locale=de_DE</t>
  </si>
  <si>
    <t>Porsche</t>
  </si>
  <si>
    <t>https://www.porsche.com/germany/aboutporsche/jobs/</t>
  </si>
  <si>
    <t>Mercedes-Benz</t>
  </si>
  <si>
    <t>https://jobs.mercedes-benz.com/enUS</t>
  </si>
  <si>
    <t>BMW</t>
  </si>
  <si>
    <t>https://www.bmwgroup.jobs/de/en.html</t>
  </si>
  <si>
    <t>Volkswagen</t>
  </si>
  <si>
    <t>https://www.volkswagen-karriere.de/en.html</t>
  </si>
  <si>
    <t>Merck KGaA</t>
  </si>
  <si>
    <t>https://www.merckgroup.com/en/careers/job-search.html?s=10&amp;f=0&amp;fjc=Germany</t>
  </si>
  <si>
    <t>Siemens Healthineers</t>
  </si>
  <si>
    <t>https://www.siemens-healthineers.com/careers</t>
  </si>
  <si>
    <t>Munich RE (Münchener Rück)</t>
  </si>
  <si>
    <t>https://www.munichre.com/en/careers.html</t>
  </si>
  <si>
    <t>BASF</t>
  </si>
  <si>
    <t>https://www.basf.com/global/en/careers.html</t>
  </si>
  <si>
    <t>DHL Group (Deutsche Post)</t>
  </si>
  <si>
    <t>https://careers.dhl.com/amer/en/search-results?keywords=&amp;p=ChIJa76xwh5ymkcRW-WRjmtd6HU&amp;location=Germany</t>
  </si>
  <si>
    <t>Infineon</t>
  </si>
  <si>
    <t>https://www.infineon.com/cms/en/careers/</t>
  </si>
  <si>
    <t>Daimler Truck</t>
  </si>
  <si>
    <t>https://www.daimlertruck.com/en/career</t>
  </si>
  <si>
    <t>Deutsche Börse</t>
  </si>
  <si>
    <t>https://careers.deutsche-boerse.com/</t>
  </si>
  <si>
    <t>Adidas</t>
  </si>
  <si>
    <t>https://careers.adidas-group.com/jobs?brand=adidas&amp;team=&amp;type=&amp;keywords=&amp;location=%5B%7B%22country%22%3A%22Germany%22%7D%5D&amp;sort=&amp;locale=en&amp;offset=0</t>
  </si>
  <si>
    <t>E.ON</t>
  </si>
  <si>
    <t>https://jobs.eon.com/en</t>
  </si>
  <si>
    <t>Beiersdorf</t>
  </si>
  <si>
    <t>https://www.beiersdorf.com/career/your-application/job-search?country=Germany&amp;count=10&amp;sort=date</t>
  </si>
  <si>
    <t>Deutsche Bank</t>
  </si>
  <si>
    <t>https://careers.db.com/</t>
  </si>
  <si>
    <t>Henkel</t>
  </si>
  <si>
    <t>https://www.henkel.com/careers</t>
  </si>
  <si>
    <t>Hannover Rück</t>
  </si>
  <si>
    <t>https://jobs.hannover-re.com/</t>
  </si>
  <si>
    <t>Bayer</t>
  </si>
  <si>
    <t>https://www.bayer.com/de/de/karriere</t>
  </si>
  <si>
    <t>Hapag-Lloyd</t>
  </si>
  <si>
    <t>https://www.hapag-lloyd.com/en/company/career/vacancies/job-search.html</t>
  </si>
  <si>
    <t>RWE</t>
  </si>
  <si>
    <t>https://www.rwe.com/en/rwe-careers-portal/</t>
  </si>
  <si>
    <t>Rheinmetall</t>
  </si>
  <si>
    <t>https://www.rheinmetall.com/en/career/career-overview</t>
  </si>
  <si>
    <t>Uniper</t>
  </si>
  <si>
    <t>https://www.uniper.energy/career</t>
  </si>
  <si>
    <t>Vonovia</t>
  </si>
  <si>
    <t>https://www.vonovia.com/en/careers</t>
  </si>
  <si>
    <t>Sartorius</t>
  </si>
  <si>
    <t>https://www.sartorius.com/en/company-de/career-de/vacancies-job-opportunities-de</t>
  </si>
  <si>
    <t>BioNTech</t>
  </si>
  <si>
    <t>https://www.biontech.com/int/en/home/careers/working-at-biontech.html</t>
  </si>
  <si>
    <t>EnBW Energie</t>
  </si>
  <si>
    <t>https://careers.enbw.com/de_DE/careers/SearchJobs/</t>
  </si>
  <si>
    <t>Talanx</t>
  </si>
  <si>
    <t>https://www.talanx.com/en/talanx-group/careers</t>
  </si>
  <si>
    <t>HeidelbergCement</t>
  </si>
  <si>
    <t>https://www.heidelbergmaterials.com/en/career</t>
  </si>
  <si>
    <t>Traton</t>
  </si>
  <si>
    <t>https://jobs.traton.com/</t>
  </si>
  <si>
    <t>Commerzbank</t>
  </si>
  <si>
    <t>https://jobs.commerzbank.com/index.php?ac=search_result</t>
  </si>
  <si>
    <t>Porsche SE</t>
  </si>
  <si>
    <t>https://www.porsche-se.com/kontakt/jobs-und-karriere</t>
  </si>
  <si>
    <t>Symrise</t>
  </si>
  <si>
    <t>Fresenius</t>
  </si>
  <si>
    <t>https://karriere.fresenius.de/en-US/</t>
  </si>
  <si>
    <t>Siemens Energy</t>
  </si>
  <si>
    <t>https://jobs.siemens-energy.com/en_US/jobs/searchJobsGermany</t>
  </si>
  <si>
    <t>Continental</t>
  </si>
  <si>
    <t>https://www.continental.com/en/career/</t>
  </si>
  <si>
    <t>MTU Aero Engines</t>
  </si>
  <si>
    <t>https://www.mtu.de/careers/</t>
  </si>
  <si>
    <t>Brenntag</t>
  </si>
  <si>
    <t>https://www.brenntag.com/en-de/career/</t>
  </si>
  <si>
    <t>Knorr-Bremse</t>
  </si>
  <si>
    <t>https://www.knorr-bremse.com/en/careers/job-market/</t>
  </si>
  <si>
    <t>Fresenius Medical Care</t>
  </si>
  <si>
    <t>https://jobs.freseniusmedicalcare.de/</t>
  </si>
  <si>
    <t>Nemetschek</t>
  </si>
  <si>
    <t>https://www.nemetschek.com/en/career-nemetschek-se</t>
  </si>
  <si>
    <t>HELLA</t>
  </si>
  <si>
    <t>https://www.hella.com/en/Career-230/</t>
  </si>
  <si>
    <t>Covestro</t>
  </si>
  <si>
    <t>https://www.covestro.com/en/career/locations/germany</t>
  </si>
  <si>
    <t>Carl Zeiss Meditec</t>
  </si>
  <si>
    <t>https://www.zeiss.de/corporate/karriere.html</t>
  </si>
  <si>
    <t>Rational AG</t>
  </si>
  <si>
    <t>https://jobs.rational-online.com/search/?createNewAlert=false&amp;q=&amp;optionsFacetsDD_country=DE&amp;optionsFacetsDD_facility=&amp;optionsFacetsDD_shifttype=</t>
  </si>
  <si>
    <t>Evonik Industries</t>
  </si>
  <si>
    <t>Delivery Hero</t>
  </si>
  <si>
    <t>Lufthansa</t>
  </si>
  <si>
    <t>DWS Group</t>
  </si>
  <si>
    <t>CTS Eventim</t>
  </si>
  <si>
    <t>Hochtief</t>
  </si>
  <si>
    <t>Birkenstock</t>
  </si>
  <si>
    <t>Deutsche Wohnen</t>
  </si>
  <si>
    <t>Telefónica Deutschland (O2)</t>
  </si>
  <si>
    <t>Zalando</t>
  </si>
  <si>
    <t>GEA Group</t>
  </si>
  <si>
    <t>KION Group</t>
  </si>
  <si>
    <t>Bechtle</t>
  </si>
  <si>
    <t>PUMA</t>
  </si>
  <si>
    <t>LEG Immobilien</t>
  </si>
  <si>
    <t>Fuchs Petrolub</t>
  </si>
  <si>
    <t>Wacker Chemie</t>
  </si>
  <si>
    <t>Scout24</t>
  </si>
  <si>
    <t>Hensoldt</t>
  </si>
  <si>
    <t>Krones</t>
  </si>
  <si>
    <t>Schaeffler</t>
  </si>
  <si>
    <t>Fraport</t>
  </si>
  <si>
    <t>Sixt</t>
  </si>
  <si>
    <t>Jungheinrich</t>
  </si>
  <si>
    <t>United Internet</t>
  </si>
  <si>
    <t>TUI</t>
  </si>
  <si>
    <t>Fielmann</t>
  </si>
  <si>
    <t>HUGO BOSS</t>
  </si>
  <si>
    <t>DMG Mori</t>
  </si>
  <si>
    <t>Gerresheimer</t>
  </si>
  <si>
    <t>IONOS Group</t>
  </si>
  <si>
    <t>Aurubis</t>
  </si>
  <si>
    <t>Ströer</t>
  </si>
  <si>
    <t>Freenet</t>
  </si>
  <si>
    <t>Thyssenkrupp</t>
  </si>
  <si>
    <t>Nordex</t>
  </si>
  <si>
    <t>1&amp;1</t>
  </si>
  <si>
    <t>Software AG</t>
  </si>
  <si>
    <t>Südzucker</t>
  </si>
  <si>
    <t>Encavis</t>
  </si>
  <si>
    <t>Vitesco Technologies Group</t>
  </si>
  <si>
    <t>Tradegate Exchange</t>
  </si>
  <si>
    <t>Siltronic</t>
  </si>
  <si>
    <t>Lechwerke</t>
  </si>
  <si>
    <t>Morphosys</t>
  </si>
  <si>
    <t>K+S</t>
  </si>
  <si>
    <t>Aixtron</t>
  </si>
  <si>
    <t>Evotec</t>
  </si>
  <si>
    <t>SYNLAB</t>
  </si>
  <si>
    <t>Gelsenwasser</t>
  </si>
  <si>
    <t>Lanxess</t>
  </si>
  <si>
    <t>COURSES</t>
  </si>
  <si>
    <t>ECTS</t>
  </si>
  <si>
    <t>MODULE</t>
  </si>
  <si>
    <t>GRADE</t>
  </si>
  <si>
    <t>PRODUCT</t>
  </si>
  <si>
    <t>Introduction to AI Engineering</t>
  </si>
  <si>
    <t>Pf</t>
  </si>
  <si>
    <t>Cooperative Autonomous Vehicles</t>
  </si>
  <si>
    <t>Responsible Machine Learning</t>
  </si>
  <si>
    <t>AIM</t>
  </si>
  <si>
    <t>Computational Linguistics</t>
  </si>
  <si>
    <t>Machine Learning Lab</t>
  </si>
  <si>
    <t>Data on the Web</t>
  </si>
  <si>
    <t>Data Science Lab</t>
  </si>
  <si>
    <t>Regression in R</t>
  </si>
  <si>
    <t>AIA</t>
  </si>
  <si>
    <t>Requirements Engineering</t>
  </si>
  <si>
    <t>Statistical Learning in R</t>
  </si>
  <si>
    <t>Wireless Security</t>
  </si>
  <si>
    <t>Deep Learning and Textual Analysis in Finance</t>
  </si>
  <si>
    <t>Hardware Oriented Security</t>
  </si>
  <si>
    <t>Multimedia and Databases</t>
  </si>
  <si>
    <t xml:space="preserve">Data Visualisation </t>
  </si>
  <si>
    <t>Seminar</t>
  </si>
  <si>
    <t>RS</t>
  </si>
  <si>
    <t>-</t>
  </si>
  <si>
    <t xml:space="preserve">SQL for Data Science </t>
  </si>
  <si>
    <t>AISE</t>
  </si>
  <si>
    <t xml:space="preserve">Semantic Data Integration </t>
  </si>
  <si>
    <t xml:space="preserve">Applied AI Lab </t>
  </si>
  <si>
    <t xml:space="preserve">Cross Cutting Concerns </t>
  </si>
  <si>
    <t>CCC</t>
  </si>
  <si>
    <t>IoT Security</t>
  </si>
  <si>
    <t>Misc</t>
  </si>
  <si>
    <t>Advanced IT Security</t>
  </si>
  <si>
    <t>Thesis</t>
  </si>
  <si>
    <t>Pf = Pflicht/Compulsory</t>
  </si>
  <si>
    <t>AEMM = Algorithmic Engineering and Mathematical Modelling</t>
  </si>
  <si>
    <t>AIM = Artifical Intelligence Methods</t>
  </si>
  <si>
    <t>AISE = Artifical Intelligence Systems Engineering</t>
  </si>
  <si>
    <t>AIA = Artifical Intelligence Applications</t>
  </si>
  <si>
    <t>CCC = Cross-Cutting Concerns</t>
  </si>
  <si>
    <t>RS = Research Seminars</t>
  </si>
  <si>
    <t>COURSE</t>
  </si>
  <si>
    <t>EXAM DATE - FIRST INTAKE</t>
  </si>
  <si>
    <t>EXAM DATE - SECOND INTAKE</t>
  </si>
  <si>
    <t>Data Visualisation</t>
  </si>
  <si>
    <t>12th July (Submission)</t>
  </si>
  <si>
    <t>16th July (Presentation)</t>
  </si>
  <si>
    <t>Applied AI Lab</t>
  </si>
  <si>
    <t>17th July (Presentation)</t>
  </si>
  <si>
    <t>22nd/23rd/24th July (Oral Exam)</t>
  </si>
  <si>
    <t>SQL for Data Science</t>
  </si>
  <si>
    <t>26th July (16:30 - 17:30) (AM HS-10)</t>
  </si>
  <si>
    <t>1st October (10:00 - 11:00)</t>
  </si>
  <si>
    <t>28th July (Report Submission)</t>
  </si>
  <si>
    <t>30th July (10:00 - 11:30)</t>
  </si>
  <si>
    <t>Cross Cutting</t>
  </si>
  <si>
    <t>14th August (08:00 - 09:00) (ISA)</t>
  </si>
  <si>
    <t xml:space="preserve">IoT Security </t>
  </si>
  <si>
    <t>29th August (16:00 - 18:00) (PHIL HS-1)</t>
  </si>
  <si>
    <t>OLD ONGOING PROJECTS</t>
  </si>
  <si>
    <t>ONGOING PROJECTS</t>
  </si>
  <si>
    <t>Client</t>
  </si>
  <si>
    <t>Arrears</t>
  </si>
  <si>
    <t>Net Amount</t>
  </si>
  <si>
    <t>Boxer</t>
  </si>
  <si>
    <t>Dashboard</t>
  </si>
  <si>
    <t>Shutterdown</t>
  </si>
  <si>
    <t>Football Website</t>
  </si>
  <si>
    <t xml:space="preserve">TOTAL </t>
  </si>
  <si>
    <t>Mario - Gravocentro</t>
  </si>
  <si>
    <t>Rebecca</t>
  </si>
  <si>
    <t>Edgar - 3,4</t>
  </si>
  <si>
    <t>Mario - Drive</t>
  </si>
  <si>
    <t>R + Tableau</t>
  </si>
  <si>
    <t>Vercel Deployment</t>
  </si>
  <si>
    <t>USD to PKR (25/5)</t>
  </si>
  <si>
    <t>R Project + Report</t>
  </si>
  <si>
    <t>USD to EUR (25/5)</t>
  </si>
  <si>
    <t>Python + Power BI</t>
  </si>
  <si>
    <t>Weka</t>
  </si>
  <si>
    <t>Regression Task</t>
  </si>
  <si>
    <t>Yaadch</t>
  </si>
  <si>
    <t>Edgar - 2</t>
  </si>
  <si>
    <t>Python task - Upwork</t>
  </si>
  <si>
    <t>Financial Data Analysis (Python)</t>
  </si>
  <si>
    <t>Time Series</t>
  </si>
  <si>
    <t>Excel</t>
  </si>
  <si>
    <t>TOTAL (USD)</t>
  </si>
  <si>
    <t>PRECEDENTED NET INCOME (Euro)</t>
  </si>
  <si>
    <t>SPARKASSE BALANCE</t>
  </si>
  <si>
    <t>1st WEEK</t>
  </si>
  <si>
    <t>2nd WEEK</t>
  </si>
  <si>
    <t>3rd WEEK</t>
  </si>
  <si>
    <t>4th WEEK</t>
  </si>
  <si>
    <t>PAYONEER BALANCE</t>
  </si>
  <si>
    <t xml:space="preserve">Dashboard </t>
  </si>
  <si>
    <t>Mario - 1</t>
  </si>
  <si>
    <t>CURRENT STATE (Euro)</t>
  </si>
  <si>
    <t xml:space="preserve">Football Website </t>
  </si>
  <si>
    <t>Edgar 3,4</t>
  </si>
  <si>
    <t>DAYS REMAINING</t>
  </si>
  <si>
    <t xml:space="preserve">Mario - Gravocentro (Partial) </t>
  </si>
  <si>
    <t xml:space="preserve">Yaadch </t>
  </si>
  <si>
    <t>Mario - Drive (Initiate Project)</t>
  </si>
  <si>
    <t>EXPECTATION - MAY (Euro)</t>
  </si>
  <si>
    <t>AMOUNT RELEASED</t>
  </si>
  <si>
    <t>Edgar (Partial Payment)</t>
  </si>
  <si>
    <t>AMOUNT EXPECTED TO BE RELEASED</t>
  </si>
  <si>
    <t>EARNING (USD)</t>
  </si>
  <si>
    <t>Edgar 1</t>
  </si>
  <si>
    <t>Edgar 2</t>
  </si>
  <si>
    <t>Edgar 3</t>
  </si>
  <si>
    <t>Marcel 1</t>
  </si>
  <si>
    <t>Marcel 2</t>
  </si>
  <si>
    <t>Python Project</t>
  </si>
  <si>
    <t>Edgar 4</t>
  </si>
  <si>
    <t>Python Project - Sabir</t>
  </si>
  <si>
    <t>USD to PKR (26/6)</t>
  </si>
  <si>
    <t>USD to EUR (26/6)</t>
  </si>
  <si>
    <t>5th WEEK</t>
  </si>
  <si>
    <t>Edgar 2_1</t>
  </si>
  <si>
    <t>Edgar 2_2</t>
  </si>
  <si>
    <t>Edgar 2_3</t>
  </si>
  <si>
    <t>Upwork Project Milestone 1 + 2</t>
  </si>
  <si>
    <t>Edgar 1_3</t>
  </si>
  <si>
    <t>Edgar 1_4</t>
  </si>
  <si>
    <t xml:space="preserve"> </t>
  </si>
  <si>
    <t>USD to PKR (15/07)</t>
  </si>
  <si>
    <t>USD to EUR (15/07)</t>
  </si>
  <si>
    <t>Edgar - fixing</t>
  </si>
  <si>
    <t>Edgar - Thumbnail</t>
  </si>
  <si>
    <t>Edgar - Portfolio (Part 1)</t>
  </si>
  <si>
    <t>Edgar - Portfolio (Part 2)</t>
  </si>
  <si>
    <t>Restructuing Code - React</t>
  </si>
  <si>
    <t>Edgar - Portfolio (Part 3)</t>
  </si>
  <si>
    <t>Edgar - Launch Phase + SSL</t>
  </si>
  <si>
    <t>Edgar - ASAP</t>
  </si>
  <si>
    <t>Cyber Attack - Upwork</t>
  </si>
  <si>
    <t>USD to PKR (31/08)</t>
  </si>
  <si>
    <t>USD to EUR (31/08)</t>
  </si>
  <si>
    <t xml:space="preserve">Edgar - Launch Phase </t>
  </si>
  <si>
    <t>Edgar - Image Restriction</t>
  </si>
  <si>
    <t>Edgar - Image Review</t>
  </si>
  <si>
    <t>Edgar - New And Update Api</t>
  </si>
  <si>
    <t>Vue Project</t>
  </si>
  <si>
    <t>Edgar - Thumbnail quality</t>
  </si>
  <si>
    <t>Edgar - Deployment + SSL</t>
  </si>
  <si>
    <t>Google Map</t>
  </si>
  <si>
    <t>Thrifty</t>
  </si>
  <si>
    <t>Cryptox</t>
  </si>
  <si>
    <t>Image Approve Section</t>
  </si>
  <si>
    <t>Immad AI Model</t>
  </si>
  <si>
    <t>USD to PKR (27/09)</t>
  </si>
  <si>
    <t>USD to EUR (27/09)</t>
  </si>
  <si>
    <t>Imad AI Model</t>
  </si>
  <si>
    <t>Edgar Email Image</t>
  </si>
  <si>
    <t>Vue 2x to 3x</t>
  </si>
  <si>
    <t>Car rental</t>
  </si>
  <si>
    <t>Edgar Routing Issue</t>
  </si>
  <si>
    <t>USD to PKR (18/10)</t>
  </si>
  <si>
    <t>USD to EUR (18/10)</t>
  </si>
  <si>
    <t>Edgar - Transfer and bugs</t>
  </si>
  <si>
    <t>Edgar - Artist new design</t>
  </si>
  <si>
    <t>Eduardo</t>
  </si>
  <si>
    <t>Marcel</t>
  </si>
  <si>
    <t>Karan</t>
  </si>
  <si>
    <t>USD to PKR (30/11)</t>
  </si>
  <si>
    <t>USD to EUR (30/11)</t>
  </si>
  <si>
    <t>Sababa Upwork</t>
  </si>
  <si>
    <t>USD to PKR (10/12)</t>
  </si>
  <si>
    <t>USD to EUR (10/12)</t>
  </si>
  <si>
    <t>Concert</t>
  </si>
  <si>
    <t>Switzerland</t>
  </si>
  <si>
    <t>Drone</t>
  </si>
  <si>
    <t>Football Match</t>
  </si>
  <si>
    <t>Northern Lights</t>
  </si>
  <si>
    <t>water g</t>
  </si>
  <si>
    <t xml:space="preserve">ITEMS - NAUMAN </t>
  </si>
  <si>
    <t>ITEMS TO BRING</t>
  </si>
  <si>
    <t>ITEMS - SABABA</t>
  </si>
  <si>
    <t>ITEMS - NAUMAN (Family)</t>
  </si>
  <si>
    <t>Item</t>
  </si>
  <si>
    <t>Quantity</t>
  </si>
  <si>
    <t>Name</t>
  </si>
  <si>
    <t>Passport</t>
  </si>
  <si>
    <t>Medical Test Reports</t>
  </si>
  <si>
    <t>Hot Wheels</t>
  </si>
  <si>
    <t>Abbu</t>
  </si>
  <si>
    <t>Adidas - Shoes</t>
  </si>
  <si>
    <t>Residence Card</t>
  </si>
  <si>
    <t>Isner Mile - B3 Serum</t>
  </si>
  <si>
    <t>Gel Sole</t>
  </si>
  <si>
    <t>COVID certificate</t>
  </si>
  <si>
    <t>Shan Masala</t>
  </si>
  <si>
    <t>Ordinary - Retinol</t>
  </si>
  <si>
    <t>T-Shirt - Stripes</t>
  </si>
  <si>
    <t>Matriculation</t>
  </si>
  <si>
    <t>Knorr Chilli Garlic</t>
  </si>
  <si>
    <t>Coco Chanel</t>
  </si>
  <si>
    <t>Bleu By Chanel</t>
  </si>
  <si>
    <t>Admission Letter</t>
  </si>
  <si>
    <t>Levis - Pants</t>
  </si>
  <si>
    <t>Gift Cards</t>
  </si>
  <si>
    <t>Shower Gel</t>
  </si>
  <si>
    <t>Campus Card</t>
  </si>
  <si>
    <t>Outdoor Clothing</t>
  </si>
  <si>
    <t>Hair Tools</t>
  </si>
  <si>
    <t>Ammi</t>
  </si>
  <si>
    <t>Swarovski</t>
  </si>
  <si>
    <t>Cash</t>
  </si>
  <si>
    <t>Seeds</t>
  </si>
  <si>
    <t>Nose Pin</t>
  </si>
  <si>
    <t>Ticket</t>
  </si>
  <si>
    <t>Cocomo</t>
  </si>
  <si>
    <t>Cosmetics</t>
  </si>
  <si>
    <t>Medical Insurance</t>
  </si>
  <si>
    <t>Sim</t>
  </si>
  <si>
    <t>Hanuta</t>
  </si>
  <si>
    <t>Wallet</t>
  </si>
  <si>
    <t>Pillow Case</t>
  </si>
  <si>
    <t>Lindt Pralines</t>
  </si>
  <si>
    <t>Shower Gel - Nivea Rose</t>
  </si>
  <si>
    <t>Tooth Brush - Automatic</t>
  </si>
  <si>
    <t>Spectacles</t>
  </si>
  <si>
    <t>Toblerone (Normal, Dark, Fruit &amp; Nut)</t>
  </si>
  <si>
    <t>Nivea Lotion</t>
  </si>
  <si>
    <t>Tooth Brush - Attachment</t>
  </si>
  <si>
    <t>Spectacle Cloth</t>
  </si>
  <si>
    <t>Lindt Golden Packet - Ribbon</t>
  </si>
  <si>
    <t>Bhai Jaan</t>
  </si>
  <si>
    <t>Armani - White</t>
  </si>
  <si>
    <t>Tooth Brush - Manual</t>
  </si>
  <si>
    <t>Mobile Cover S10+</t>
  </si>
  <si>
    <t>Milka</t>
  </si>
  <si>
    <t>Face Wash</t>
  </si>
  <si>
    <t>Mobile Protector iPhone</t>
  </si>
  <si>
    <t>T-Shirt - Dark Blue</t>
  </si>
  <si>
    <t>Shampoo</t>
  </si>
  <si>
    <t>Bhabhi</t>
  </si>
  <si>
    <t>Tiffany</t>
  </si>
  <si>
    <t>Chicken Spread</t>
  </si>
  <si>
    <t>Shower Gel - Nivea</t>
  </si>
  <si>
    <t>Trimmer</t>
  </si>
  <si>
    <t>Panadol</t>
  </si>
  <si>
    <t>5 month supplies</t>
  </si>
  <si>
    <t>Razor</t>
  </si>
  <si>
    <t>Arinac</t>
  </si>
  <si>
    <t>Arsalan</t>
  </si>
  <si>
    <t>Shirt - Trees</t>
  </si>
  <si>
    <t>Clean Wipes</t>
  </si>
  <si>
    <t>Joshanda</t>
  </si>
  <si>
    <t>Armani - Blue</t>
  </si>
  <si>
    <t>Empty Bottle</t>
  </si>
  <si>
    <t>Motilium</t>
  </si>
  <si>
    <t>Hair Brush</t>
  </si>
  <si>
    <t>Alcohol Swab</t>
  </si>
  <si>
    <t>All</t>
  </si>
  <si>
    <t>Kitkat mix</t>
  </si>
  <si>
    <t>Tissue Paper</t>
  </si>
  <si>
    <t>Nature's Bounty (Fish Oil + D3)</t>
  </si>
  <si>
    <t>Lindt Pralines (1)</t>
  </si>
  <si>
    <t>Mask</t>
  </si>
  <si>
    <t>Ferrous Sulphate (2 month supplies)</t>
  </si>
  <si>
    <t>2 month supplies</t>
  </si>
  <si>
    <t>Milka (2)</t>
  </si>
  <si>
    <t>Hugo Boss</t>
  </si>
  <si>
    <t>Wiesbaden (Potency 30)</t>
  </si>
  <si>
    <t>Toblerone (Normal, Dark, Fruit &amp; Nut) (3)</t>
  </si>
  <si>
    <t xml:space="preserve">Laptop - Mac </t>
  </si>
  <si>
    <t>Thyroidinum (Potency 1M)</t>
  </si>
  <si>
    <t>Nutella (1)</t>
  </si>
  <si>
    <t>Laptop - Dell</t>
  </si>
  <si>
    <t>Tashla</t>
  </si>
  <si>
    <t>Peanut Butter (1)</t>
  </si>
  <si>
    <t>Dell Battery</t>
  </si>
  <si>
    <t>Chakla</t>
  </si>
  <si>
    <t>Lindt Red</t>
  </si>
  <si>
    <t>Dell Charger</t>
  </si>
  <si>
    <t>Lindt Black</t>
  </si>
  <si>
    <t>Mac Charger</t>
  </si>
  <si>
    <t>Gym Clothing</t>
  </si>
  <si>
    <t>Rabia</t>
  </si>
  <si>
    <t>Hot Wheel - Toy Trucks</t>
  </si>
  <si>
    <t>Vivo</t>
  </si>
  <si>
    <t>Jewellery</t>
  </si>
  <si>
    <t>Mahrukh</t>
  </si>
  <si>
    <t>Ice Cream Clay Set</t>
  </si>
  <si>
    <t>Vivo Charger</t>
  </si>
  <si>
    <t>Samsung A50</t>
  </si>
  <si>
    <t>Samsung Charger</t>
  </si>
  <si>
    <t>Bose</t>
  </si>
  <si>
    <t>Bose Lead</t>
  </si>
  <si>
    <t>Mac Keyboard</t>
  </si>
  <si>
    <t>Mac Mouse</t>
  </si>
  <si>
    <t>Leads for Mac Keyboard + Mouse</t>
  </si>
  <si>
    <t>Pants - 3</t>
  </si>
  <si>
    <t>T-Shirts - Outdoor - 6</t>
  </si>
  <si>
    <t>Undergarments (Vest + Boxers)</t>
  </si>
  <si>
    <t>Socks</t>
  </si>
  <si>
    <t>Belt</t>
  </si>
  <si>
    <t>Trousers</t>
  </si>
  <si>
    <t>T-Shirts - Casual</t>
  </si>
  <si>
    <t>Shopping Bags</t>
  </si>
  <si>
    <t>Expenses</t>
  </si>
  <si>
    <t>Cost</t>
  </si>
  <si>
    <t>USD Equivalent</t>
  </si>
  <si>
    <t>PKR Equivalent</t>
  </si>
  <si>
    <t>49-Euro Ticket</t>
  </si>
  <si>
    <t>Amount Reserved</t>
  </si>
  <si>
    <t>Return Flight to Pakistan</t>
  </si>
  <si>
    <t>Amount Left</t>
  </si>
  <si>
    <t>Shopping</t>
  </si>
  <si>
    <t>USD to PKR (04/07)</t>
  </si>
  <si>
    <t>Shoes - Uncle</t>
  </si>
  <si>
    <t>USD to EUR (04/07)</t>
  </si>
  <si>
    <t xml:space="preserve">Perfume </t>
  </si>
  <si>
    <t>Cosmetics - Ammi &amp; Bhabhi</t>
  </si>
  <si>
    <t>Jewellery - Ammi</t>
  </si>
  <si>
    <t>Chocolates</t>
  </si>
  <si>
    <t>Toys</t>
  </si>
  <si>
    <t>T-Shirts</t>
  </si>
  <si>
    <t>Lotion</t>
  </si>
  <si>
    <t>Hair serum</t>
  </si>
  <si>
    <t>Bags</t>
  </si>
  <si>
    <t>Sole Comforter</t>
  </si>
  <si>
    <t>Total</t>
  </si>
  <si>
    <t>Estimate</t>
  </si>
  <si>
    <t>Actual</t>
  </si>
  <si>
    <t>Wedding Venue</t>
  </si>
  <si>
    <t>Valima Venue</t>
  </si>
  <si>
    <t>Wedding Dress - Sababa</t>
  </si>
  <si>
    <t>Wedding Budget</t>
  </si>
  <si>
    <t>Valima Dress - Sababa</t>
  </si>
  <si>
    <t>Parlour</t>
  </si>
  <si>
    <t>Amount Left in PKR</t>
  </si>
  <si>
    <t xml:space="preserve">Jewellery </t>
  </si>
  <si>
    <t>Hotel Rooms</t>
  </si>
  <si>
    <t>Photography and videography</t>
  </si>
  <si>
    <t>Wedding Dress - Nauman</t>
  </si>
  <si>
    <t>Valima Dress - Nauman</t>
  </si>
  <si>
    <t>Nauman Family Dresses</t>
  </si>
  <si>
    <t xml:space="preserve">Miscellaneous </t>
  </si>
  <si>
    <t>Furniture</t>
  </si>
  <si>
    <t>TV</t>
  </si>
  <si>
    <t>Cutlery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</si>
</sst>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, h:mm"/>
  </numFmts>
  <fonts count="3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9.0"/>
      <color rgb="FF1155CC"/>
      <name val="&quot;Google Sans Mono&quot;"/>
    </font>
    <font>
      <sz val="9.0"/>
      <color rgb="FF000000"/>
      <name val="&quot;Google Sans Mono&quot;"/>
    </font>
    <font>
      <sz val="9.0"/>
      <color rgb="FF34A853"/>
      <name val="&quot;Google Sans Mono&quot;"/>
    </font>
    <font>
      <sz val="9.0"/>
      <color rgb="FF11A9CC"/>
      <name val="&quot;Google Sans Mono&quot;"/>
    </font>
    <font>
      <b/>
      <sz val="15.0"/>
      <color theme="1"/>
      <name val="Arial"/>
      <scheme val="minor"/>
    </font>
    <font>
      <b/>
      <color theme="1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color rgb="FF000000"/>
      <name val="Arial"/>
    </font>
    <font>
      <color rgb="FFFFFFFF"/>
      <name val="Arial"/>
    </font>
    <font>
      <b/>
      <sz val="10.0"/>
      <color theme="1"/>
      <name val="Arial"/>
      <scheme val="minor"/>
    </font>
    <font>
      <sz val="10.0"/>
      <color rgb="FF1F1F1F"/>
      <name val="Arial"/>
      <scheme val="minor"/>
    </font>
    <font>
      <b/>
      <sz val="11.0"/>
      <color theme="1"/>
      <name val="Arial"/>
      <scheme val="minor"/>
    </font>
    <font>
      <color rgb="FFFFFFFF"/>
      <name val="Arial"/>
      <scheme val="minor"/>
    </font>
    <font>
      <color theme="0"/>
      <name val="Arial"/>
      <scheme val="minor"/>
    </font>
    <font>
      <sz val="10.0"/>
      <color theme="0"/>
      <name val="Arial"/>
      <scheme val="minor"/>
    </font>
    <font>
      <sz val="10.0"/>
      <color rgb="FFFFFFFF"/>
      <name val="Arial"/>
      <scheme val="minor"/>
    </font>
    <font>
      <color rgb="FF000000"/>
      <name val="Arial"/>
      <scheme val="minor"/>
    </font>
    <font>
      <sz val="9.0"/>
      <color theme="0"/>
      <name val="&quot;Google Sans Mono&quot;"/>
    </font>
    <font>
      <b/>
      <sz val="10.0"/>
      <color rgb="FF000000"/>
      <name val="Arial"/>
      <scheme val="minor"/>
    </font>
    <font>
      <color theme="0"/>
      <name val="Arial"/>
    </font>
    <font>
      <sz val="9.0"/>
      <color theme="1"/>
      <name val="&quot;Google Sans Mono&quot;"/>
    </font>
    <font>
      <sz val="9.0"/>
      <color theme="0"/>
      <name val="Arial"/>
      <scheme val="minor"/>
    </font>
    <font>
      <b/>
      <color rgb="FF000000"/>
      <name val="Arial"/>
    </font>
    <font>
      <sz val="10.0"/>
      <color rgb="FFF7981D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34A853"/>
        <bgColor rgb="FF34A85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2" fontId="3" numFmtId="0" xfId="0" applyFill="1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2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7" fillId="0" fontId="2" numFmtId="0" xfId="0" applyBorder="1" applyFont="1"/>
    <xf borderId="0" fillId="0" fontId="2" numFmtId="0" xfId="0" applyFont="1"/>
    <xf borderId="6" fillId="0" fontId="2" numFmtId="0" xfId="0" applyBorder="1" applyFont="1"/>
    <xf borderId="3" fillId="0" fontId="2" numFmtId="0" xfId="0" applyBorder="1" applyFont="1"/>
    <xf borderId="7" fillId="0" fontId="2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Font="1"/>
    <xf borderId="0" fillId="2" fontId="5" numFmtId="0" xfId="0" applyAlignment="1" applyFont="1">
      <alignment readingOrder="0"/>
    </xf>
    <xf borderId="0" fillId="2" fontId="6" numFmtId="0" xfId="0" applyFont="1"/>
    <xf borderId="0" fillId="2" fontId="6" numFmtId="0" xfId="0" applyFont="1"/>
    <xf borderId="7" fillId="2" fontId="0" numFmtId="0" xfId="0" applyAlignment="1" applyBorder="1" applyFont="1">
      <alignment readingOrder="0"/>
    </xf>
    <xf borderId="6" fillId="2" fontId="0" numFmtId="0" xfId="0" applyAlignment="1" applyBorder="1" applyFont="1">
      <alignment readingOrder="0"/>
    </xf>
    <xf borderId="0" fillId="2" fontId="3" numFmtId="0" xfId="0" applyAlignment="1" applyFont="1">
      <alignment horizontal="left"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right"/>
    </xf>
    <xf borderId="8" fillId="0" fontId="7" numFmtId="0" xfId="0" applyAlignment="1" applyBorder="1" applyFont="1">
      <alignment horizontal="right"/>
    </xf>
    <xf borderId="2" fillId="0" fontId="8" numFmtId="0" xfId="0" applyAlignment="1" applyBorder="1" applyFont="1">
      <alignment readingOrder="0" vertical="bottom"/>
    </xf>
    <xf borderId="3" fillId="0" fontId="8" numFmtId="0" xfId="0" applyAlignment="1" applyBorder="1" applyFont="1">
      <alignment horizontal="right" readingOrder="0" vertical="bottom"/>
    </xf>
    <xf borderId="0" fillId="2" fontId="4" numFmtId="0" xfId="0" applyAlignment="1" applyFont="1">
      <alignment horizontal="left"/>
    </xf>
    <xf borderId="5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horizontal="right" readingOrder="0" vertical="bottom"/>
    </xf>
    <xf borderId="3" fillId="0" fontId="9" numFmtId="0" xfId="0" applyBorder="1" applyFont="1"/>
    <xf borderId="7" fillId="0" fontId="9" numFmtId="0" xfId="0" applyBorder="1" applyFont="1"/>
    <xf borderId="9" fillId="0" fontId="2" numFmtId="0" xfId="0" applyBorder="1" applyFont="1"/>
    <xf borderId="8" fillId="0" fontId="10" numFmtId="0" xfId="0" applyBorder="1" applyFont="1"/>
    <xf borderId="7" fillId="2" fontId="0" numFmtId="0" xfId="0" applyBorder="1" applyFont="1"/>
    <xf borderId="6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8" fillId="0" fontId="1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vertical="top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right" readingOrder="0" vertical="bottom"/>
    </xf>
    <xf borderId="0" fillId="0" fontId="13" numFmtId="0" xfId="0" applyAlignment="1" applyFont="1">
      <alignment readingOrder="0" vertical="bottom"/>
    </xf>
    <xf borderId="0" fillId="3" fontId="13" numFmtId="0" xfId="0" applyAlignment="1" applyFill="1" applyFont="1">
      <alignment readingOrder="0" vertical="bottom"/>
    </xf>
    <xf borderId="0" fillId="3" fontId="13" numFmtId="0" xfId="0" applyAlignment="1" applyFont="1">
      <alignment horizontal="right" vertical="bottom"/>
    </xf>
    <xf borderId="0" fillId="3" fontId="13" numFmtId="0" xfId="0" applyAlignment="1" applyFont="1">
      <alignment horizontal="right" readingOrder="0" vertical="bottom"/>
    </xf>
    <xf borderId="0" fillId="2" fontId="14" numFmtId="0" xfId="0" applyAlignment="1" applyFont="1">
      <alignment vertical="bottom"/>
    </xf>
    <xf borderId="0" fillId="2" fontId="14" numFmtId="0" xfId="0" applyAlignment="1" applyFont="1">
      <alignment horizontal="right" vertical="bottom"/>
    </xf>
    <xf borderId="0" fillId="2" fontId="14" numFmtId="0" xfId="0" applyAlignment="1" applyFont="1">
      <alignment horizontal="right" readingOrder="0" vertical="bottom"/>
    </xf>
    <xf borderId="0" fillId="4" fontId="15" numFmtId="0" xfId="0" applyAlignment="1" applyFill="1" applyFont="1">
      <alignment readingOrder="0" vertical="bottom"/>
    </xf>
    <xf borderId="0" fillId="4" fontId="15" numFmtId="0" xfId="0" applyAlignment="1" applyFont="1">
      <alignment horizontal="right" vertical="bottom"/>
    </xf>
    <xf borderId="0" fillId="4" fontId="15" numFmtId="0" xfId="0" applyAlignment="1" applyFont="1">
      <alignment horizontal="right" readingOrder="0" vertical="bottom"/>
    </xf>
    <xf borderId="0" fillId="2" fontId="14" numFmtId="0" xfId="0" applyAlignment="1" applyFont="1">
      <alignment horizontal="right" vertical="bottom"/>
    </xf>
    <xf borderId="0" fillId="4" fontId="15" numFmtId="0" xfId="0" applyAlignment="1" applyFont="1">
      <alignment vertical="bottom"/>
    </xf>
    <xf borderId="0" fillId="2" fontId="14" numFmtId="0" xfId="0" applyAlignment="1" applyFont="1">
      <alignment readingOrder="0" vertical="bottom"/>
    </xf>
    <xf borderId="0" fillId="0" fontId="10" numFmtId="0" xfId="0" applyFont="1"/>
    <xf borderId="0" fillId="0" fontId="16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2" fontId="17" numFmtId="0" xfId="0" applyAlignment="1" applyFont="1">
      <alignment readingOrder="0"/>
    </xf>
    <xf borderId="0" fillId="5" fontId="9" numFmtId="0" xfId="0" applyAlignment="1" applyFill="1" applyFont="1">
      <alignment readingOrder="0"/>
    </xf>
    <xf borderId="0" fillId="6" fontId="9" numFmtId="0" xfId="0" applyAlignment="1" applyFill="1" applyFont="1">
      <alignment readingOrder="0"/>
    </xf>
    <xf borderId="0" fillId="2" fontId="9" numFmtId="0" xfId="0" applyAlignment="1" applyFont="1">
      <alignment readingOrder="0"/>
    </xf>
    <xf borderId="0" fillId="0" fontId="18" numFmtId="0" xfId="0" applyAlignment="1" applyFont="1">
      <alignment readingOrder="0"/>
    </xf>
    <xf borderId="0" fillId="7" fontId="19" numFmtId="0" xfId="0" applyAlignment="1" applyFill="1" applyFont="1">
      <alignment readingOrder="0"/>
    </xf>
    <xf borderId="0" fillId="8" fontId="19" numFmtId="0" xfId="0" applyAlignment="1" applyFill="1" applyFont="1">
      <alignment readingOrder="0"/>
    </xf>
    <xf borderId="0" fillId="8" fontId="19" numFmtId="0" xfId="0" applyFont="1"/>
    <xf borderId="0" fillId="2" fontId="0" numFmtId="0" xfId="0" applyAlignment="1" applyFont="1">
      <alignment readingOrder="0"/>
    </xf>
    <xf borderId="0" fillId="8" fontId="20" numFmtId="0" xfId="0" applyAlignment="1" applyFont="1">
      <alignment readingOrder="0"/>
    </xf>
    <xf borderId="0" fillId="8" fontId="20" numFmtId="0" xfId="0" applyFont="1"/>
    <xf borderId="0" fillId="7" fontId="19" numFmtId="0" xfId="0" applyFont="1"/>
    <xf borderId="0" fillId="8" fontId="21" numFmtId="0" xfId="0" applyFont="1"/>
    <xf borderId="0" fillId="0" fontId="8" numFmtId="0" xfId="0" applyAlignment="1" applyFont="1">
      <alignment horizontal="right" readingOrder="0" vertical="bottom"/>
    </xf>
    <xf borderId="0" fillId="9" fontId="20" numFmtId="0" xfId="0" applyAlignment="1" applyFill="1" applyFont="1">
      <alignment readingOrder="0"/>
    </xf>
    <xf borderId="0" fillId="9" fontId="19" numFmtId="0" xfId="0" applyAlignment="1" applyFont="1">
      <alignment readingOrder="0"/>
    </xf>
    <xf borderId="0" fillId="9" fontId="22" numFmtId="0" xfId="0" applyAlignment="1" applyFont="1">
      <alignment readingOrder="0"/>
    </xf>
    <xf borderId="0" fillId="8" fontId="22" numFmtId="0" xfId="0" applyFont="1"/>
    <xf borderId="0" fillId="2" fontId="23" numFmtId="0" xfId="0" applyAlignment="1" applyFont="1">
      <alignment readingOrder="0"/>
    </xf>
    <xf borderId="0" fillId="2" fontId="0" numFmtId="0" xfId="0" applyFont="1"/>
    <xf borderId="0" fillId="8" fontId="24" numFmtId="0" xfId="0" applyFont="1"/>
    <xf borderId="0" fillId="2" fontId="25" numFmtId="0" xfId="0" applyFont="1"/>
    <xf borderId="0" fillId="9" fontId="15" numFmtId="0" xfId="0" applyAlignment="1" applyFont="1">
      <alignment readingOrder="0" vertical="bottom"/>
    </xf>
    <xf borderId="0" fillId="9" fontId="15" numFmtId="0" xfId="0" applyAlignment="1" applyFont="1">
      <alignment vertical="bottom"/>
    </xf>
    <xf borderId="0" fillId="8" fontId="26" numFmtId="0" xfId="0" applyAlignment="1" applyFont="1">
      <alignment vertical="bottom"/>
    </xf>
    <xf borderId="0" fillId="8" fontId="15" numFmtId="0" xfId="0" applyAlignment="1" applyFont="1">
      <alignment vertical="bottom"/>
    </xf>
    <xf borderId="0" fillId="8" fontId="26" numFmtId="0" xfId="0" applyAlignment="1" applyFont="1">
      <alignment readingOrder="0" vertical="bottom"/>
    </xf>
    <xf borderId="0" fillId="9" fontId="26" numFmtId="0" xfId="0" applyAlignment="1" applyFont="1">
      <alignment readingOrder="0" vertical="bottom"/>
    </xf>
    <xf borderId="0" fillId="0" fontId="16" numFmtId="0" xfId="0" applyFont="1"/>
    <xf borderId="0" fillId="8" fontId="24" numFmtId="0" xfId="0" applyFont="1"/>
    <xf borderId="0" fillId="7" fontId="22" numFmtId="0" xfId="0" applyAlignment="1" applyFont="1">
      <alignment readingOrder="0"/>
    </xf>
    <xf borderId="0" fillId="10" fontId="20" numFmtId="0" xfId="0" applyAlignment="1" applyFill="1" applyFont="1">
      <alignment readingOrder="0"/>
    </xf>
    <xf borderId="0" fillId="10" fontId="19" numFmtId="0" xfId="0" applyAlignment="1" applyFont="1">
      <alignment readingOrder="0"/>
    </xf>
    <xf borderId="0" fillId="10" fontId="24" numFmtId="0" xfId="0" applyFont="1"/>
    <xf borderId="0" fillId="10" fontId="20" numFmtId="0" xfId="0" applyFont="1"/>
    <xf borderId="0" fillId="10" fontId="19" numFmtId="0" xfId="0" applyFont="1"/>
    <xf borderId="0" fillId="0" fontId="27" numFmtId="0" xfId="0" applyFont="1"/>
    <xf borderId="0" fillId="9" fontId="15" numFmtId="0" xfId="0" applyAlignment="1" applyFont="1">
      <alignment vertical="bottom"/>
    </xf>
    <xf borderId="0" fillId="8" fontId="15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8" fontId="28" numFmtId="0" xfId="0" applyFont="1"/>
    <xf borderId="0" fillId="11" fontId="15" numFmtId="0" xfId="0" applyAlignment="1" applyFill="1" applyFont="1">
      <alignment vertical="bottom"/>
    </xf>
    <xf borderId="0" fillId="11" fontId="15" numFmtId="0" xfId="0" applyAlignment="1" applyFont="1">
      <alignment vertical="bottom"/>
    </xf>
    <xf borderId="0" fillId="8" fontId="26" numFmtId="0" xfId="0" applyAlignment="1" applyFont="1">
      <alignment horizontal="right" vertical="bottom"/>
    </xf>
    <xf borderId="0" fillId="2" fontId="27" numFmtId="0" xfId="0" applyFont="1"/>
    <xf borderId="0" fillId="0" fontId="9" numFmtId="0" xfId="0" applyFont="1"/>
    <xf borderId="0" fillId="9" fontId="20" numFmtId="0" xfId="0" applyFont="1"/>
    <xf borderId="0" fillId="2" fontId="9" numFmtId="0" xfId="0" applyFont="1"/>
    <xf borderId="0" fillId="8" fontId="21" numFmtId="0" xfId="0" applyFont="1"/>
    <xf borderId="0" fillId="10" fontId="21" numFmtId="0" xfId="0" applyFont="1"/>
    <xf borderId="0" fillId="2" fontId="27" numFmtId="0" xfId="0" applyAlignment="1" applyFont="1">
      <alignment readingOrder="0"/>
    </xf>
    <xf borderId="0" fillId="9" fontId="21" numFmtId="0" xfId="0" applyFont="1"/>
    <xf borderId="0" fillId="0" fontId="20" numFmtId="0" xfId="0" applyAlignment="1" applyFont="1">
      <alignment readingOrder="0"/>
    </xf>
    <xf borderId="0" fillId="0" fontId="20" numFmtId="0" xfId="0" applyFont="1"/>
    <xf borderId="0" fillId="2" fontId="29" numFmtId="0" xfId="0" applyAlignment="1" applyFont="1">
      <alignment horizontal="left" readingOrder="0"/>
    </xf>
    <xf borderId="0" fillId="0" fontId="2" numFmtId="4" xfId="0" applyAlignment="1" applyFont="1" applyNumberFormat="1">
      <alignment readingOrder="0"/>
    </xf>
    <xf borderId="0" fillId="8" fontId="2" numFmtId="0" xfId="0" applyAlignment="1" applyFont="1">
      <alignment readingOrder="0"/>
    </xf>
    <xf borderId="0" fillId="8" fontId="2" numFmtId="0" xfId="0" applyFont="1"/>
    <xf borderId="0" fillId="0" fontId="2" numFmtId="0" xfId="0" applyAlignment="1" applyFont="1">
      <alignment readingOrder="0"/>
    </xf>
    <xf borderId="0" fillId="2" fontId="3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tu.de/careers/" TargetMode="External"/><Relationship Id="rId42" Type="http://schemas.openxmlformats.org/officeDocument/2006/relationships/hyperlink" Target="https://www.knorr-bremse.com/en/careers/job-market/" TargetMode="External"/><Relationship Id="rId41" Type="http://schemas.openxmlformats.org/officeDocument/2006/relationships/hyperlink" Target="https://www.brenntag.com/en-de/career/" TargetMode="External"/><Relationship Id="rId44" Type="http://schemas.openxmlformats.org/officeDocument/2006/relationships/hyperlink" Target="https://www.nemetschek.com/en/career-nemetschek-se" TargetMode="External"/><Relationship Id="rId43" Type="http://schemas.openxmlformats.org/officeDocument/2006/relationships/hyperlink" Target="https://jobs.freseniusmedicalcare.de/" TargetMode="External"/><Relationship Id="rId46" Type="http://schemas.openxmlformats.org/officeDocument/2006/relationships/hyperlink" Target="https://www.covestro.com/en/career/locations/germany" TargetMode="External"/><Relationship Id="rId45" Type="http://schemas.openxmlformats.org/officeDocument/2006/relationships/hyperlink" Target="https://www.hella.com/en/Career-230/" TargetMode="External"/><Relationship Id="rId1" Type="http://schemas.openxmlformats.org/officeDocument/2006/relationships/hyperlink" Target="https://jobs.sap.com/go/Germany/8806101/" TargetMode="External"/><Relationship Id="rId2" Type="http://schemas.openxmlformats.org/officeDocument/2006/relationships/hyperlink" Target="https://www.siemens.com/de/de/unternehmen/jobs.html" TargetMode="External"/><Relationship Id="rId3" Type="http://schemas.openxmlformats.org/officeDocument/2006/relationships/hyperlink" Target="https://telekom.jobs/global-careers" TargetMode="External"/><Relationship Id="rId4" Type="http://schemas.openxmlformats.org/officeDocument/2006/relationships/hyperlink" Target="https://careers.allianz.com/Germany?locale=de_DE" TargetMode="External"/><Relationship Id="rId9" Type="http://schemas.openxmlformats.org/officeDocument/2006/relationships/hyperlink" Target="https://www.merckgroup.com/en/careers/job-search.html?s=10&amp;f=0&amp;fjc=Germany" TargetMode="External"/><Relationship Id="rId48" Type="http://schemas.openxmlformats.org/officeDocument/2006/relationships/hyperlink" Target="https://jobs.rational-online.com/search/?createNewAlert=false&amp;q=&amp;optionsFacetsDD_country=DE&amp;optionsFacetsDD_facility=&amp;optionsFacetsDD_shifttype=" TargetMode="External"/><Relationship Id="rId47" Type="http://schemas.openxmlformats.org/officeDocument/2006/relationships/hyperlink" Target="https://www.zeiss.de/corporate/karriere.html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https://www.porsche.com/germany/aboutporsche/jobs/" TargetMode="External"/><Relationship Id="rId6" Type="http://schemas.openxmlformats.org/officeDocument/2006/relationships/hyperlink" Target="https://jobs.mercedes-benz.com/enUS" TargetMode="External"/><Relationship Id="rId7" Type="http://schemas.openxmlformats.org/officeDocument/2006/relationships/hyperlink" Target="https://www.bmwgroup.jobs/de/en.html" TargetMode="External"/><Relationship Id="rId8" Type="http://schemas.openxmlformats.org/officeDocument/2006/relationships/hyperlink" Target="https://www.volkswagen-karriere.de/en.html" TargetMode="External"/><Relationship Id="rId31" Type="http://schemas.openxmlformats.org/officeDocument/2006/relationships/hyperlink" Target="https://careers.enbw.com/de_DE/careers/SearchJobs/" TargetMode="External"/><Relationship Id="rId30" Type="http://schemas.openxmlformats.org/officeDocument/2006/relationships/hyperlink" Target="https://www.biontech.com/int/en/home/careers/working-at-biontech.html" TargetMode="External"/><Relationship Id="rId33" Type="http://schemas.openxmlformats.org/officeDocument/2006/relationships/hyperlink" Target="https://www.heidelbergmaterials.com/en/career" TargetMode="External"/><Relationship Id="rId32" Type="http://schemas.openxmlformats.org/officeDocument/2006/relationships/hyperlink" Target="https://www.talanx.com/en/talanx-group/careers" TargetMode="External"/><Relationship Id="rId35" Type="http://schemas.openxmlformats.org/officeDocument/2006/relationships/hyperlink" Target="https://jobs.commerzbank.com/index.php?ac=search_result" TargetMode="External"/><Relationship Id="rId34" Type="http://schemas.openxmlformats.org/officeDocument/2006/relationships/hyperlink" Target="https://jobs.traton.com/" TargetMode="External"/><Relationship Id="rId37" Type="http://schemas.openxmlformats.org/officeDocument/2006/relationships/hyperlink" Target="https://karriere.fresenius.de/en-US/" TargetMode="External"/><Relationship Id="rId36" Type="http://schemas.openxmlformats.org/officeDocument/2006/relationships/hyperlink" Target="https://www.porsche-se.com/kontakt/jobs-und-karriere" TargetMode="External"/><Relationship Id="rId39" Type="http://schemas.openxmlformats.org/officeDocument/2006/relationships/hyperlink" Target="https://www.continental.com/en/career/" TargetMode="External"/><Relationship Id="rId38" Type="http://schemas.openxmlformats.org/officeDocument/2006/relationships/hyperlink" Target="https://jobs.siemens-energy.com/en_US/jobs/searchJobsGermany" TargetMode="External"/><Relationship Id="rId20" Type="http://schemas.openxmlformats.org/officeDocument/2006/relationships/hyperlink" Target="https://careers.db.com/" TargetMode="External"/><Relationship Id="rId22" Type="http://schemas.openxmlformats.org/officeDocument/2006/relationships/hyperlink" Target="https://jobs.hannover-re.com/" TargetMode="External"/><Relationship Id="rId21" Type="http://schemas.openxmlformats.org/officeDocument/2006/relationships/hyperlink" Target="https://www.henkel.com/careers" TargetMode="External"/><Relationship Id="rId24" Type="http://schemas.openxmlformats.org/officeDocument/2006/relationships/hyperlink" Target="https://www.hapag-lloyd.com/en/company/career/vacancies/job-search.html" TargetMode="External"/><Relationship Id="rId23" Type="http://schemas.openxmlformats.org/officeDocument/2006/relationships/hyperlink" Target="https://www.bayer.com/de/de/karriere" TargetMode="External"/><Relationship Id="rId26" Type="http://schemas.openxmlformats.org/officeDocument/2006/relationships/hyperlink" Target="https://www.rheinmetall.com/en/career/career-overview" TargetMode="External"/><Relationship Id="rId25" Type="http://schemas.openxmlformats.org/officeDocument/2006/relationships/hyperlink" Target="https://www.rwe.com/en/rwe-careers-portal/" TargetMode="External"/><Relationship Id="rId28" Type="http://schemas.openxmlformats.org/officeDocument/2006/relationships/hyperlink" Target="https://www.vonovia.com/en/careers" TargetMode="External"/><Relationship Id="rId27" Type="http://schemas.openxmlformats.org/officeDocument/2006/relationships/hyperlink" Target="https://www.uniper.energy/career" TargetMode="External"/><Relationship Id="rId29" Type="http://schemas.openxmlformats.org/officeDocument/2006/relationships/hyperlink" Target="https://www.sartorius.com/en/company-de/career-de/vacancies-job-opportunities-de" TargetMode="External"/><Relationship Id="rId11" Type="http://schemas.openxmlformats.org/officeDocument/2006/relationships/hyperlink" Target="https://www.munichre.com/en/careers.html" TargetMode="External"/><Relationship Id="rId10" Type="http://schemas.openxmlformats.org/officeDocument/2006/relationships/hyperlink" Target="https://www.siemens-healthineers.com/careers" TargetMode="External"/><Relationship Id="rId13" Type="http://schemas.openxmlformats.org/officeDocument/2006/relationships/hyperlink" Target="https://careers.dhl.com/amer/en/search-results?keywords=&amp;p=ChIJa76xwh5ymkcRW-WRjmtd6HU&amp;location=Germany" TargetMode="External"/><Relationship Id="rId12" Type="http://schemas.openxmlformats.org/officeDocument/2006/relationships/hyperlink" Target="https://www.basf.com/global/en/careers.html" TargetMode="External"/><Relationship Id="rId15" Type="http://schemas.openxmlformats.org/officeDocument/2006/relationships/hyperlink" Target="https://www.daimlertruck.com/en/career" TargetMode="External"/><Relationship Id="rId14" Type="http://schemas.openxmlformats.org/officeDocument/2006/relationships/hyperlink" Target="https://www.infineon.com/cms/en/careers/" TargetMode="External"/><Relationship Id="rId17" Type="http://schemas.openxmlformats.org/officeDocument/2006/relationships/hyperlink" Target="https://careers.adidas-group.com/jobs?brand=adidas&amp;team=&amp;type=&amp;keywords=&amp;location=%5B%7B%22country%22%3A%22Germany%22%7D%5D&amp;sort=&amp;locale=en&amp;offset=0" TargetMode="External"/><Relationship Id="rId16" Type="http://schemas.openxmlformats.org/officeDocument/2006/relationships/hyperlink" Target="https://careers.deutsche-boerse.com/" TargetMode="External"/><Relationship Id="rId19" Type="http://schemas.openxmlformats.org/officeDocument/2006/relationships/hyperlink" Target="https://www.beiersdorf.com/career/your-application/job-search?country=Germany&amp;count=10&amp;sort=date" TargetMode="External"/><Relationship Id="rId18" Type="http://schemas.openxmlformats.org/officeDocument/2006/relationships/hyperlink" Target="https://jobs.eon.com/e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21.75"/>
    <col customWidth="1" min="3" max="3" width="7.25"/>
    <col customWidth="1" min="4" max="4" width="68.38"/>
    <col customWidth="1" min="5" max="5" width="23.75"/>
    <col customWidth="1" min="6" max="6" width="16.5"/>
    <col customWidth="1" min="7" max="7" width="12.63"/>
    <col customWidth="1" min="8" max="8" width="11.0"/>
    <col customWidth="1" min="9" max="9" width="18.0"/>
  </cols>
  <sheetData>
    <row r="1">
      <c r="A1" s="1"/>
      <c r="B1" s="1"/>
      <c r="D1" s="1"/>
      <c r="E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0</v>
      </c>
      <c r="B2" s="4" t="s">
        <v>1</v>
      </c>
      <c r="D2" s="3" t="s">
        <v>2</v>
      </c>
      <c r="E2" s="4" t="s">
        <v>1</v>
      </c>
      <c r="G2" s="1"/>
      <c r="H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 t="s">
        <v>3</v>
      </c>
      <c r="B3" s="5">
        <f>0*E28</f>
        <v>0</v>
      </c>
      <c r="D3" s="5" t="s">
        <v>4</v>
      </c>
      <c r="E3" s="6">
        <f>((800*2)+55.08+55.08)-(349+19+11+345+55.08+55.08)-(349+345+11+19+152)</f>
        <v>0</v>
      </c>
      <c r="L3" s="7"/>
      <c r="M3" s="7"/>
      <c r="O3" s="8">
        <v>2000.0</v>
      </c>
    </row>
    <row r="4">
      <c r="A4" s="9" t="s">
        <v>5</v>
      </c>
      <c r="B4" s="9">
        <f>0*E28</f>
        <v>0</v>
      </c>
      <c r="D4" s="10" t="s">
        <v>6</v>
      </c>
      <c r="E4" s="11">
        <f>(129.27+125.21)</f>
        <v>254.48</v>
      </c>
    </row>
    <row r="5">
      <c r="A5" s="9" t="s">
        <v>7</v>
      </c>
      <c r="B5" s="9">
        <f>(0)*E28</f>
        <v>0</v>
      </c>
      <c r="D5" s="12"/>
      <c r="E5" s="13"/>
      <c r="F5" s="14"/>
      <c r="G5" s="15"/>
      <c r="J5" s="7"/>
    </row>
    <row r="6">
      <c r="A6" s="9" t="s">
        <v>8</v>
      </c>
      <c r="B6" s="9">
        <f>67.98</f>
        <v>67.98</v>
      </c>
      <c r="D6" s="5" t="s">
        <v>9</v>
      </c>
      <c r="E6" s="6">
        <f>500-(9.63+4.54+41.45+6.2+1.29+11.64+71.96+11+6.96+19+0.79+25.43+12.99+35+7.24)</f>
        <v>234.88</v>
      </c>
      <c r="F6" s="8" t="s">
        <v>10</v>
      </c>
      <c r="G6" s="15"/>
      <c r="J6" s="7"/>
    </row>
    <row r="7">
      <c r="A7" s="9" t="s">
        <v>11</v>
      </c>
      <c r="B7" s="9">
        <f>1194.63</f>
        <v>1194.63</v>
      </c>
      <c r="D7" s="10" t="s">
        <v>12</v>
      </c>
      <c r="E7" s="11">
        <f>(40*2)-(20+25+15)</f>
        <v>20</v>
      </c>
      <c r="J7" s="7"/>
    </row>
    <row r="8">
      <c r="A8" s="9" t="s">
        <v>13</v>
      </c>
      <c r="B8" s="9">
        <f>1293.6-(15+27.5)</f>
        <v>1251.1</v>
      </c>
      <c r="E8" s="13"/>
      <c r="J8" s="7"/>
    </row>
    <row r="9">
      <c r="A9" s="9" t="s">
        <v>14</v>
      </c>
      <c r="B9" s="9">
        <f>(4606.64)*E28</f>
        <v>4238.1088</v>
      </c>
      <c r="D9" s="5" t="s">
        <v>15</v>
      </c>
      <c r="E9" s="6">
        <f>(0)</f>
        <v>0</v>
      </c>
    </row>
    <row r="10">
      <c r="A10" s="9" t="s">
        <v>16</v>
      </c>
      <c r="B10" s="9">
        <v>194.97</v>
      </c>
      <c r="D10" s="9" t="s">
        <v>17</v>
      </c>
      <c r="E10" s="16">
        <f>(((934*6)*2)+189+189)</f>
        <v>11586</v>
      </c>
      <c r="O10" s="17">
        <f>O3-(J10+K10+L10+M10)</f>
        <v>2000</v>
      </c>
    </row>
    <row r="11">
      <c r="A11" s="9" t="s">
        <v>18</v>
      </c>
      <c r="B11" s="9"/>
      <c r="D11" s="10" t="s">
        <v>19</v>
      </c>
      <c r="E11" s="18">
        <f>(106+106)</f>
        <v>212</v>
      </c>
    </row>
    <row r="12">
      <c r="A12" s="9" t="s">
        <v>20</v>
      </c>
      <c r="B12" s="9">
        <f>0.13</f>
        <v>0.13</v>
      </c>
      <c r="D12" s="13"/>
      <c r="E12" s="13"/>
    </row>
    <row r="13">
      <c r="A13" s="9" t="s">
        <v>21</v>
      </c>
      <c r="B13" s="9">
        <f>(0)</f>
        <v>0</v>
      </c>
      <c r="D13" s="5" t="s">
        <v>22</v>
      </c>
      <c r="E13" s="19">
        <f>(20*2)-(20)</f>
        <v>20</v>
      </c>
    </row>
    <row r="14">
      <c r="A14" s="9" t="s">
        <v>23</v>
      </c>
      <c r="B14" s="9">
        <v>0.0</v>
      </c>
      <c r="D14" s="9" t="s">
        <v>24</v>
      </c>
      <c r="E14" s="16">
        <f>((24.04*2-24.04)*E28)</f>
        <v>22.1168</v>
      </c>
    </row>
    <row r="15">
      <c r="A15" s="9" t="s">
        <v>25</v>
      </c>
      <c r="B15" s="9">
        <f>94.4</f>
        <v>94.4</v>
      </c>
      <c r="D15" s="10" t="s">
        <v>26</v>
      </c>
      <c r="E15" s="18">
        <f>(63.2*2)-(15.8*2)</f>
        <v>94.8</v>
      </c>
    </row>
    <row r="16">
      <c r="A16" s="20" t="s">
        <v>27</v>
      </c>
      <c r="B16" s="16">
        <f>ROUND((((5100+5274.85+735))/(E27))*E28,2)</f>
        <v>36.68</v>
      </c>
      <c r="D16" s="13"/>
      <c r="E16" s="13"/>
    </row>
    <row r="17">
      <c r="A17" s="8" t="s">
        <v>28</v>
      </c>
      <c r="B17" s="9">
        <f>938.9</f>
        <v>938.9</v>
      </c>
      <c r="D17" s="5" t="s">
        <v>29</v>
      </c>
      <c r="E17" s="6">
        <f>((39)+23.23)*E28</f>
        <v>57.2516</v>
      </c>
    </row>
    <row r="18">
      <c r="A18" s="11" t="s">
        <v>30</v>
      </c>
      <c r="B18" s="18">
        <f>1872.9</f>
        <v>1872.9</v>
      </c>
      <c r="D18" s="9" t="s">
        <v>31</v>
      </c>
      <c r="E18" s="16">
        <f>(40*2)-(20+20)</f>
        <v>40</v>
      </c>
      <c r="G18" s="21"/>
    </row>
    <row r="19">
      <c r="D19" s="10" t="s">
        <v>32</v>
      </c>
      <c r="E19" s="11">
        <f>((20000)/(E27)*E28)</f>
        <v>66.03265746</v>
      </c>
      <c r="F19" s="22"/>
    </row>
    <row r="20">
      <c r="D20" s="13"/>
      <c r="E20" s="13"/>
    </row>
    <row r="21">
      <c r="A21" s="8" t="s">
        <v>33</v>
      </c>
      <c r="B21" s="8">
        <v>102.2</v>
      </c>
      <c r="D21" s="5" t="s">
        <v>34</v>
      </c>
      <c r="E21" s="19">
        <f>(0)</f>
        <v>0</v>
      </c>
      <c r="F21" s="23"/>
      <c r="G21" s="24"/>
      <c r="I21" s="25"/>
    </row>
    <row r="22">
      <c r="A22" s="8" t="s">
        <v>35</v>
      </c>
      <c r="B22" s="8">
        <v>2161.0</v>
      </c>
      <c r="D22" s="9" t="s">
        <v>36</v>
      </c>
      <c r="E22" s="26">
        <f>(16000*2-23400-811-451)/(E27)*E28</f>
        <v>24.22738202</v>
      </c>
    </row>
    <row r="23">
      <c r="D23" s="10" t="s">
        <v>37</v>
      </c>
      <c r="E23" s="27">
        <f>(2600*2-1300-1300)/(E27)*E28</f>
        <v>8.584245469</v>
      </c>
      <c r="G23" s="28"/>
    </row>
    <row r="24">
      <c r="A24" s="29" t="s">
        <v>38</v>
      </c>
      <c r="B24" s="30" t="str">
        <f>Fixed(SUM(B3:B19),2)</f>
        <v>9,889.80</v>
      </c>
      <c r="D24" s="13"/>
      <c r="E24" s="13"/>
    </row>
    <row r="25">
      <c r="A25" s="21"/>
      <c r="D25" s="29" t="s">
        <v>39</v>
      </c>
      <c r="E25" s="31" t="str">
        <f>FIXED(B24-SUM(E3:E24),2)</f>
        <v>-2,750.57</v>
      </c>
    </row>
    <row r="26">
      <c r="A26" s="5" t="s">
        <v>40</v>
      </c>
      <c r="B26" s="6">
        <f>42.29-19</f>
        <v>23.29</v>
      </c>
      <c r="G26" s="22"/>
    </row>
    <row r="27">
      <c r="A27" s="9" t="s">
        <v>41</v>
      </c>
      <c r="B27" s="20">
        <v>0.0</v>
      </c>
      <c r="D27" s="32" t="s">
        <v>42</v>
      </c>
      <c r="E27" s="33">
        <f>278.65</f>
        <v>278.65</v>
      </c>
      <c r="G27" s="34"/>
    </row>
    <row r="28">
      <c r="A28" s="9" t="s">
        <v>43</v>
      </c>
      <c r="B28" s="20">
        <v>0.0</v>
      </c>
      <c r="D28" s="35" t="s">
        <v>44</v>
      </c>
      <c r="E28" s="36">
        <v>0.92</v>
      </c>
    </row>
    <row r="29">
      <c r="A29" s="9" t="s">
        <v>45</v>
      </c>
      <c r="B29" s="20">
        <f>50</f>
        <v>50</v>
      </c>
    </row>
    <row r="30">
      <c r="A30" s="9" t="s">
        <v>46</v>
      </c>
      <c r="B30" s="20">
        <f t="shared" ref="B30:B31" si="1">80.8</f>
        <v>80.8</v>
      </c>
      <c r="D30" s="5" t="s">
        <v>47</v>
      </c>
      <c r="E30" s="37">
        <f>(160*2)+(100)</f>
        <v>420</v>
      </c>
    </row>
    <row r="31">
      <c r="A31" s="9" t="s">
        <v>48</v>
      </c>
      <c r="B31" s="20">
        <f t="shared" si="1"/>
        <v>80.8</v>
      </c>
      <c r="D31" s="9" t="s">
        <v>49</v>
      </c>
      <c r="E31" s="38">
        <f>100+120</f>
        <v>220</v>
      </c>
    </row>
    <row r="32">
      <c r="A32" s="39"/>
      <c r="B32" s="40">
        <f>SUM(B26:B31)</f>
        <v>234.89</v>
      </c>
      <c r="D32" s="9" t="s">
        <v>50</v>
      </c>
      <c r="E32" s="38">
        <f>120</f>
        <v>120</v>
      </c>
    </row>
    <row r="33">
      <c r="D33" s="9" t="s">
        <v>51</v>
      </c>
      <c r="E33" s="41">
        <f>((20000)/(E27)*E28)</f>
        <v>66.03265746</v>
      </c>
    </row>
    <row r="34">
      <c r="D34" s="9" t="s">
        <v>52</v>
      </c>
      <c r="E34" s="38">
        <f>10*((7000)/(E27)*E28)</f>
        <v>231.1143011</v>
      </c>
    </row>
    <row r="35">
      <c r="D35" s="9" t="s">
        <v>53</v>
      </c>
      <c r="E35" s="38">
        <f>50</f>
        <v>50</v>
      </c>
    </row>
    <row r="36">
      <c r="D36" s="9" t="s">
        <v>34</v>
      </c>
      <c r="E36" s="38">
        <f>((72000)/(E27)*E28)*2</f>
        <v>475.4351337</v>
      </c>
    </row>
    <row r="37">
      <c r="D37" s="10" t="s">
        <v>54</v>
      </c>
      <c r="E37" s="42">
        <f>((60000)/(E27)*E28)</f>
        <v>198.0979724</v>
      </c>
    </row>
    <row r="38">
      <c r="D38" s="43" t="s">
        <v>55</v>
      </c>
      <c r="E38" s="44">
        <v>1800.0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3" max="3" width="17.13"/>
    <col customWidth="1" min="4" max="4" width="15.13"/>
    <col customWidth="1" min="5" max="5" width="27.75"/>
    <col customWidth="1" min="6" max="6" width="27.63"/>
    <col customWidth="1" min="7" max="7" width="23.0"/>
    <col customWidth="1" min="8" max="8" width="25.63"/>
    <col customWidth="1" min="9" max="9" width="14.75"/>
  </cols>
  <sheetData>
    <row r="1">
      <c r="A1" s="76" t="s">
        <v>267</v>
      </c>
      <c r="E1" s="76" t="s">
        <v>268</v>
      </c>
      <c r="I1" s="45"/>
      <c r="J1" s="45"/>
    </row>
    <row r="2">
      <c r="A2" s="45" t="s">
        <v>269</v>
      </c>
      <c r="B2" s="45" t="s">
        <v>270</v>
      </c>
      <c r="C2" s="45" t="s">
        <v>271</v>
      </c>
      <c r="D2" s="68"/>
      <c r="E2" s="45" t="s">
        <v>269</v>
      </c>
      <c r="F2" s="45" t="s">
        <v>270</v>
      </c>
      <c r="G2" s="45" t="s">
        <v>271</v>
      </c>
      <c r="I2" s="45"/>
      <c r="J2" s="45"/>
    </row>
    <row r="3">
      <c r="A3" s="77" t="s">
        <v>274</v>
      </c>
      <c r="B3" s="83">
        <f>550*0.8</f>
        <v>440</v>
      </c>
      <c r="C3" s="102">
        <f>B3-(36000/B19)</f>
        <v>309.8246248</v>
      </c>
    </row>
    <row r="4">
      <c r="A4" s="8"/>
      <c r="C4" s="8"/>
      <c r="E4" s="86" t="s">
        <v>348</v>
      </c>
      <c r="F4" s="86">
        <f>250</f>
        <v>250</v>
      </c>
      <c r="G4" s="87">
        <v>0.0</v>
      </c>
    </row>
    <row r="5">
      <c r="A5" s="8"/>
      <c r="B5" s="8"/>
      <c r="E5" s="8" t="s">
        <v>345</v>
      </c>
      <c r="F5" s="17">
        <f>25*14</f>
        <v>350</v>
      </c>
      <c r="G5" s="17">
        <f>F5*0.9</f>
        <v>315</v>
      </c>
    </row>
    <row r="6">
      <c r="E6" s="8" t="s">
        <v>277</v>
      </c>
      <c r="F6" s="17">
        <f>150+50</f>
        <v>200</v>
      </c>
      <c r="G6" s="117">
        <f>(F6-(0/B19))*0.97</f>
        <v>194</v>
      </c>
    </row>
    <row r="7">
      <c r="A7" s="8"/>
      <c r="B7" s="8"/>
      <c r="C7" s="108"/>
      <c r="E7" s="8" t="s">
        <v>280</v>
      </c>
      <c r="F7" s="8">
        <f>325</f>
        <v>325</v>
      </c>
      <c r="G7" s="70">
        <f>(F7-(20000/B19))*0.97</f>
        <v>245.0999367</v>
      </c>
    </row>
    <row r="8">
      <c r="A8" s="8"/>
      <c r="C8" s="8"/>
      <c r="E8" s="81" t="s">
        <v>354</v>
      </c>
      <c r="F8" s="82">
        <f>700</f>
        <v>700</v>
      </c>
      <c r="G8" s="84">
        <f>(F8*0.97-(15000/B19))</f>
        <v>624.7602604</v>
      </c>
    </row>
    <row r="9">
      <c r="A9" s="8"/>
      <c r="E9" s="86" t="s">
        <v>355</v>
      </c>
      <c r="F9" s="118">
        <f>480</f>
        <v>480</v>
      </c>
      <c r="G9" s="88">
        <v>0.0</v>
      </c>
    </row>
    <row r="10">
      <c r="E10" s="86" t="s">
        <v>356</v>
      </c>
      <c r="F10" s="118">
        <f>400</f>
        <v>400</v>
      </c>
      <c r="G10" s="88">
        <v>0.0</v>
      </c>
    </row>
    <row r="11">
      <c r="E11" s="86" t="s">
        <v>357</v>
      </c>
      <c r="F11" s="118">
        <f>250</f>
        <v>250</v>
      </c>
      <c r="G11" s="88">
        <v>0.0</v>
      </c>
    </row>
    <row r="12">
      <c r="A12" s="8"/>
      <c r="E12" s="81" t="s">
        <v>358</v>
      </c>
      <c r="F12" s="81">
        <f>400</f>
        <v>400</v>
      </c>
      <c r="G12" s="84">
        <f>F12*0.97</f>
        <v>388</v>
      </c>
    </row>
    <row r="13">
      <c r="A13" s="45" t="s">
        <v>276</v>
      </c>
      <c r="C13" s="68">
        <f>SUM(C3:C10)</f>
        <v>309.8246248</v>
      </c>
      <c r="E13" s="8" t="s">
        <v>362</v>
      </c>
      <c r="F13" s="17">
        <f>1200/B20</f>
        <v>1263.157895</v>
      </c>
      <c r="G13" s="119">
        <f>(F13-(80000/B19))</f>
        <v>973.8792833</v>
      </c>
    </row>
    <row r="14">
      <c r="A14" s="8" t="s">
        <v>334</v>
      </c>
      <c r="E14" s="81" t="s">
        <v>363</v>
      </c>
      <c r="F14" s="82">
        <f>250</f>
        <v>250</v>
      </c>
      <c r="G14" s="84">
        <f>(F14-(0/B20))*0.97</f>
        <v>242.5</v>
      </c>
    </row>
    <row r="15">
      <c r="E15" s="8" t="s">
        <v>364</v>
      </c>
      <c r="F15" s="8">
        <v>1500.0</v>
      </c>
      <c r="G15" s="91">
        <f>(F15-(80000/B19))</f>
        <v>1210.721389</v>
      </c>
    </row>
    <row r="16">
      <c r="E16" s="81" t="s">
        <v>365</v>
      </c>
      <c r="F16" s="78">
        <v>1000.0</v>
      </c>
      <c r="G16" s="84">
        <f>((F16*0.8)-(50000/B19))</f>
        <v>619.2008678</v>
      </c>
    </row>
    <row r="17">
      <c r="E17" s="78" t="s">
        <v>366</v>
      </c>
      <c r="F17" s="82">
        <f>700</f>
        <v>700</v>
      </c>
      <c r="G17" s="84">
        <f>(F17)*0.97</f>
        <v>679</v>
      </c>
    </row>
    <row r="18">
      <c r="E18" s="8"/>
      <c r="G18" s="70"/>
    </row>
    <row r="19">
      <c r="A19" s="51" t="s">
        <v>367</v>
      </c>
      <c r="B19" s="85">
        <f>276.55</f>
        <v>276.55</v>
      </c>
      <c r="E19" s="8"/>
      <c r="F19" s="8"/>
      <c r="G19" s="70"/>
    </row>
    <row r="20">
      <c r="A20" s="51" t="s">
        <v>368</v>
      </c>
      <c r="B20" s="85">
        <v>0.95</v>
      </c>
      <c r="E20" s="8"/>
      <c r="F20" s="8"/>
      <c r="G20" s="71"/>
    </row>
    <row r="21">
      <c r="E21" s="8"/>
      <c r="F21" s="8"/>
      <c r="G21" s="70"/>
    </row>
    <row r="22">
      <c r="E22" s="8"/>
      <c r="F22" s="8"/>
      <c r="G22" s="108"/>
    </row>
    <row r="23">
      <c r="E23" s="45" t="s">
        <v>295</v>
      </c>
      <c r="F23" s="93">
        <f t="shared" ref="F23:G23" si="1">SUM(F3:F21)</f>
        <v>8068.157895</v>
      </c>
      <c r="G23" s="68">
        <f t="shared" si="1"/>
        <v>5492.161737</v>
      </c>
    </row>
    <row r="24">
      <c r="E24" s="45"/>
      <c r="G24" s="68"/>
    </row>
    <row r="26">
      <c r="A26" s="45" t="s">
        <v>296</v>
      </c>
      <c r="B26" s="68"/>
      <c r="C26" s="93">
        <f>(C13+G23)*B20</f>
        <v>5511.887043</v>
      </c>
    </row>
    <row r="28">
      <c r="A28" s="45" t="s">
        <v>313</v>
      </c>
      <c r="B28" s="68"/>
      <c r="C28" s="68">
        <f>E45+F45+G45+H45</f>
        <v>3924.578947</v>
      </c>
    </row>
    <row r="29">
      <c r="A29" s="45" t="s">
        <v>315</v>
      </c>
      <c r="B29" s="68"/>
      <c r="C29" s="68">
        <f>C26-C28</f>
        <v>1587.308096</v>
      </c>
      <c r="E29" s="45" t="s">
        <v>298</v>
      </c>
      <c r="F29" s="45" t="s">
        <v>299</v>
      </c>
      <c r="G29" s="45" t="s">
        <v>300</v>
      </c>
      <c r="H29" s="45" t="s">
        <v>301</v>
      </c>
      <c r="I29" s="45" t="s">
        <v>327</v>
      </c>
    </row>
    <row r="30" ht="18.75" customHeight="1">
      <c r="E30" s="81" t="s">
        <v>354</v>
      </c>
      <c r="F30" s="81" t="s">
        <v>358</v>
      </c>
      <c r="G30" s="81" t="s">
        <v>363</v>
      </c>
      <c r="H30" s="81" t="s">
        <v>365</v>
      </c>
      <c r="I30" s="52"/>
    </row>
    <row r="31">
      <c r="F31" s="78" t="s">
        <v>366</v>
      </c>
      <c r="G31" s="8" t="s">
        <v>362</v>
      </c>
      <c r="H31" s="81" t="s">
        <v>369</v>
      </c>
      <c r="I31" s="52"/>
    </row>
    <row r="32">
      <c r="I32" s="52"/>
    </row>
    <row r="33">
      <c r="E33" s="8"/>
      <c r="G33" s="111"/>
      <c r="H33" s="52"/>
      <c r="I33" s="52"/>
    </row>
    <row r="34">
      <c r="A34" s="8"/>
      <c r="E34" s="8"/>
      <c r="G34" s="111"/>
      <c r="H34" s="111"/>
      <c r="I34" s="52"/>
    </row>
    <row r="35">
      <c r="E35" s="8"/>
      <c r="F35" s="55"/>
      <c r="G35" s="8"/>
      <c r="H35" s="111"/>
      <c r="I35" s="8"/>
    </row>
    <row r="36">
      <c r="G36" s="8"/>
      <c r="H36" s="111"/>
    </row>
    <row r="37">
      <c r="F37" s="8"/>
      <c r="H37" s="111"/>
    </row>
    <row r="38">
      <c r="F38" s="8"/>
    </row>
    <row r="39">
      <c r="D39" s="45"/>
      <c r="E39" s="68"/>
      <c r="F39" s="8"/>
    </row>
    <row r="40">
      <c r="D40" s="45"/>
      <c r="E40" s="68"/>
      <c r="F40" s="8"/>
    </row>
    <row r="45">
      <c r="D45" s="45"/>
      <c r="E45" s="68">
        <f>485+679+970</f>
        <v>2134</v>
      </c>
      <c r="F45" s="17">
        <f>679</f>
        <v>679</v>
      </c>
      <c r="G45" s="68">
        <f>300/B20</f>
        <v>315.7894737</v>
      </c>
      <c r="H45" s="100">
        <f>160+320+(300/0.95)</f>
        <v>795.7894737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3" max="3" width="17.13"/>
    <col customWidth="1" min="4" max="4" width="15.13"/>
    <col customWidth="1" min="5" max="5" width="27.75"/>
    <col customWidth="1" min="6" max="6" width="27.63"/>
    <col customWidth="1" min="7" max="7" width="23.0"/>
    <col customWidth="1" min="8" max="8" width="25.63"/>
    <col customWidth="1" min="9" max="9" width="14.75"/>
  </cols>
  <sheetData>
    <row r="1">
      <c r="A1" s="76" t="s">
        <v>267</v>
      </c>
      <c r="E1" s="76" t="s">
        <v>268</v>
      </c>
      <c r="I1" s="45"/>
      <c r="J1" s="45"/>
    </row>
    <row r="2">
      <c r="A2" s="45" t="s">
        <v>269</v>
      </c>
      <c r="B2" s="45" t="s">
        <v>270</v>
      </c>
      <c r="C2" s="45" t="s">
        <v>271</v>
      </c>
      <c r="D2" s="68"/>
      <c r="E2" s="45" t="s">
        <v>269</v>
      </c>
      <c r="F2" s="45" t="s">
        <v>270</v>
      </c>
      <c r="G2" s="45" t="s">
        <v>271</v>
      </c>
      <c r="I2" s="45"/>
      <c r="J2" s="45"/>
    </row>
    <row r="3">
      <c r="A3" s="77" t="s">
        <v>274</v>
      </c>
      <c r="B3" s="83">
        <f>550*0.8</f>
        <v>440</v>
      </c>
      <c r="C3" s="102">
        <f>B3-(36000/B19)</f>
        <v>314.0025199</v>
      </c>
    </row>
    <row r="4">
      <c r="A4" s="8"/>
      <c r="C4" s="8"/>
      <c r="E4" s="81" t="s">
        <v>277</v>
      </c>
      <c r="F4" s="82">
        <f>150+50</f>
        <v>200</v>
      </c>
      <c r="G4" s="120">
        <f>(F4*0.97-(0/B19))</f>
        <v>194</v>
      </c>
    </row>
    <row r="5">
      <c r="A5" s="8"/>
      <c r="B5" s="8"/>
      <c r="E5" s="81" t="s">
        <v>280</v>
      </c>
      <c r="F5" s="81">
        <f>325</f>
        <v>325</v>
      </c>
      <c r="G5" s="84">
        <f>(F5*0.97-(23000/B19))</f>
        <v>234.75161</v>
      </c>
    </row>
    <row r="6">
      <c r="E6" s="103" t="s">
        <v>364</v>
      </c>
      <c r="F6" s="103">
        <v>1500.0</v>
      </c>
      <c r="G6" s="121">
        <f>(F6-(80000/B19))</f>
        <v>1220.0056</v>
      </c>
    </row>
    <row r="7">
      <c r="A7" s="8"/>
      <c r="B7" s="8"/>
      <c r="C7" s="108"/>
      <c r="E7" s="8" t="s">
        <v>365</v>
      </c>
      <c r="F7" s="8">
        <f>500*0.8</f>
        <v>400</v>
      </c>
      <c r="G7" s="70">
        <f>((F7*0.8)-(20000/B19))</f>
        <v>250.0014</v>
      </c>
    </row>
    <row r="8">
      <c r="A8" s="8"/>
      <c r="C8" s="8"/>
      <c r="E8" s="103" t="s">
        <v>362</v>
      </c>
      <c r="F8" s="106">
        <f>900-425-225/B20</f>
        <v>227.7472527</v>
      </c>
      <c r="G8" s="121">
        <f>F8-((110000-55000)/B19)</f>
        <v>35.25110267</v>
      </c>
    </row>
    <row r="9">
      <c r="A9" s="8"/>
      <c r="E9" s="81" t="s">
        <v>370</v>
      </c>
      <c r="F9" s="82">
        <f>1500</f>
        <v>1500</v>
      </c>
      <c r="G9" s="84">
        <f>(F9*0.97-(0/B19))</f>
        <v>1455</v>
      </c>
    </row>
    <row r="10">
      <c r="E10" s="8" t="s">
        <v>371</v>
      </c>
      <c r="F10" s="17">
        <f>8000/B20</f>
        <v>8791.208791</v>
      </c>
      <c r="G10" s="70">
        <f>(F10*0.97-(500000/B19))</f>
        <v>6777.507527</v>
      </c>
    </row>
    <row r="11">
      <c r="E11" s="8" t="s">
        <v>372</v>
      </c>
      <c r="F11" s="17">
        <f>(15*15)/B20</f>
        <v>247.2527473</v>
      </c>
      <c r="G11" s="70">
        <f>(F11*0.86-(10000/B19))</f>
        <v>177.6380626</v>
      </c>
    </row>
    <row r="12">
      <c r="A12" s="8"/>
      <c r="E12" s="81" t="s">
        <v>373</v>
      </c>
      <c r="F12" s="82">
        <f>100</f>
        <v>100</v>
      </c>
      <c r="G12" s="92">
        <f>(F12*0.97-(15000/B19))</f>
        <v>44.50104998</v>
      </c>
    </row>
    <row r="13">
      <c r="A13" s="45" t="s">
        <v>276</v>
      </c>
      <c r="C13" s="68">
        <f>SUM(C3:C10)</f>
        <v>314.0025199</v>
      </c>
    </row>
    <row r="14">
      <c r="A14" s="8" t="s">
        <v>334</v>
      </c>
      <c r="G14" s="70"/>
    </row>
    <row r="17">
      <c r="G17" s="70"/>
    </row>
    <row r="18">
      <c r="E18" s="8"/>
      <c r="F18" s="8"/>
      <c r="G18" s="70"/>
    </row>
    <row r="19">
      <c r="A19" s="32" t="s">
        <v>374</v>
      </c>
      <c r="B19" s="33">
        <f>285.72</f>
        <v>285.72</v>
      </c>
      <c r="E19" s="8"/>
      <c r="F19" s="8"/>
      <c r="G19" s="70"/>
    </row>
    <row r="20">
      <c r="A20" s="35" t="s">
        <v>375</v>
      </c>
      <c r="B20" s="36">
        <v>0.91</v>
      </c>
      <c r="E20" s="8"/>
      <c r="F20" s="8"/>
      <c r="G20" s="71"/>
    </row>
    <row r="21">
      <c r="E21" s="8"/>
      <c r="F21" s="8"/>
      <c r="G21" s="70"/>
    </row>
    <row r="22">
      <c r="E22" s="8"/>
      <c r="F22" s="8"/>
      <c r="G22" s="108"/>
    </row>
    <row r="23">
      <c r="E23" s="45" t="s">
        <v>295</v>
      </c>
      <c r="F23" s="93">
        <f t="shared" ref="F23:G23" si="1">SUM(F3:F21)</f>
        <v>13291.20879</v>
      </c>
      <c r="G23" s="68">
        <f t="shared" si="1"/>
        <v>10388.65635</v>
      </c>
    </row>
    <row r="24">
      <c r="E24" s="45"/>
      <c r="G24" s="68"/>
    </row>
    <row r="26">
      <c r="A26" s="45" t="s">
        <v>296</v>
      </c>
      <c r="B26" s="68"/>
      <c r="C26" s="93">
        <f>(C13+G23)*B20</f>
        <v>9739.419573</v>
      </c>
    </row>
    <row r="28">
      <c r="A28" s="45" t="s">
        <v>313</v>
      </c>
      <c r="B28" s="68"/>
      <c r="C28" s="68">
        <f>E45+F45+G45+H45+I45</f>
        <v>3494.890989</v>
      </c>
    </row>
    <row r="29">
      <c r="A29" s="45" t="s">
        <v>315</v>
      </c>
      <c r="B29" s="68"/>
      <c r="C29" s="68">
        <f>C26-C28</f>
        <v>6244.528584</v>
      </c>
      <c r="E29" s="45" t="s">
        <v>298</v>
      </c>
      <c r="F29" s="45" t="s">
        <v>299</v>
      </c>
      <c r="G29" s="45" t="s">
        <v>300</v>
      </c>
      <c r="H29" s="45" t="s">
        <v>301</v>
      </c>
      <c r="I29" s="45" t="s">
        <v>327</v>
      </c>
    </row>
    <row r="30" ht="18.75" customHeight="1">
      <c r="E30" s="81" t="s">
        <v>362</v>
      </c>
      <c r="F30" s="81" t="s">
        <v>370</v>
      </c>
      <c r="G30" s="81" t="s">
        <v>365</v>
      </c>
      <c r="H30" s="81" t="s">
        <v>373</v>
      </c>
      <c r="I30" s="81" t="s">
        <v>362</v>
      </c>
    </row>
    <row r="31">
      <c r="I31" s="81" t="s">
        <v>277</v>
      </c>
    </row>
    <row r="32">
      <c r="I32" s="52"/>
    </row>
    <row r="33">
      <c r="G33" s="111"/>
      <c r="H33" s="52"/>
      <c r="I33" s="52"/>
    </row>
    <row r="34">
      <c r="A34" s="8"/>
      <c r="G34" s="111"/>
      <c r="H34" s="111"/>
      <c r="I34" s="52"/>
    </row>
    <row r="35">
      <c r="F35" s="55"/>
      <c r="H35" s="111"/>
      <c r="I35" s="8"/>
    </row>
    <row r="36">
      <c r="H36" s="111"/>
    </row>
    <row r="37">
      <c r="H37" s="111"/>
    </row>
    <row r="39">
      <c r="D39" s="45"/>
      <c r="E39" s="68"/>
    </row>
    <row r="40">
      <c r="D40" s="45"/>
      <c r="E40" s="68"/>
    </row>
    <row r="45">
      <c r="D45" s="45"/>
      <c r="E45" s="122">
        <f>(425/B20)+432.44</f>
        <v>899.472967</v>
      </c>
      <c r="F45" s="116">
        <f>1455</f>
        <v>1455</v>
      </c>
      <c r="G45" s="17">
        <f>160</f>
        <v>160</v>
      </c>
      <c r="H45" s="70">
        <f>500+44.44</f>
        <v>544.44</v>
      </c>
      <c r="I45" s="22">
        <f>220+(20/B20)+194</f>
        <v>435.978022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3" max="3" width="17.13"/>
    <col customWidth="1" min="4" max="4" width="15.13"/>
    <col customWidth="1" min="5" max="5" width="27.75"/>
    <col customWidth="1" min="6" max="6" width="27.63"/>
    <col customWidth="1" min="7" max="7" width="23.0"/>
    <col customWidth="1" min="8" max="8" width="25.63"/>
    <col customWidth="1" min="9" max="9" width="14.75"/>
  </cols>
  <sheetData>
    <row r="1">
      <c r="A1" s="76" t="s">
        <v>267</v>
      </c>
      <c r="E1" s="76" t="s">
        <v>268</v>
      </c>
      <c r="I1" s="45"/>
      <c r="J1" s="45"/>
    </row>
    <row r="2">
      <c r="A2" s="45" t="s">
        <v>269</v>
      </c>
      <c r="B2" s="45" t="s">
        <v>270</v>
      </c>
      <c r="C2" s="45" t="s">
        <v>271</v>
      </c>
      <c r="D2" s="68"/>
      <c r="E2" s="45" t="s">
        <v>269</v>
      </c>
      <c r="F2" s="45" t="s">
        <v>270</v>
      </c>
      <c r="G2" s="45" t="s">
        <v>271</v>
      </c>
      <c r="I2" s="45"/>
      <c r="J2" s="45"/>
    </row>
    <row r="3">
      <c r="A3" s="77" t="s">
        <v>274</v>
      </c>
      <c r="B3" s="83">
        <f>550*0.8</f>
        <v>440</v>
      </c>
      <c r="C3" s="102">
        <f>B3-(50000/B19)</f>
        <v>263.9374626</v>
      </c>
      <c r="E3" s="81" t="s">
        <v>364</v>
      </c>
      <c r="F3" s="81">
        <v>1500.0</v>
      </c>
      <c r="G3" s="84">
        <f>(F3-(80000/B19))</f>
        <v>1218.29994</v>
      </c>
    </row>
    <row r="4">
      <c r="A4" s="8"/>
      <c r="C4" s="8"/>
      <c r="E4" s="81" t="s">
        <v>317</v>
      </c>
      <c r="F4" s="82">
        <f t="shared" ref="F4:F5" si="1">500</f>
        <v>500</v>
      </c>
      <c r="G4" s="84">
        <f t="shared" ref="G4:G5" si="2">F4*0.97</f>
        <v>485</v>
      </c>
    </row>
    <row r="5">
      <c r="A5" s="8"/>
      <c r="B5" s="8"/>
      <c r="E5" s="81" t="s">
        <v>318</v>
      </c>
      <c r="F5" s="82">
        <f t="shared" si="1"/>
        <v>500</v>
      </c>
      <c r="G5" s="84">
        <f t="shared" si="2"/>
        <v>485</v>
      </c>
    </row>
    <row r="6">
      <c r="E6" s="86" t="s">
        <v>372</v>
      </c>
      <c r="F6" s="118">
        <f>(15*15)/B20</f>
        <v>241.9354839</v>
      </c>
      <c r="G6" s="123">
        <f>(0*0.86-(0/B19))</f>
        <v>0</v>
      </c>
    </row>
    <row r="7">
      <c r="A7" s="8"/>
      <c r="B7" s="8"/>
      <c r="C7" s="108"/>
      <c r="E7" s="103" t="s">
        <v>362</v>
      </c>
      <c r="F7" s="106">
        <f>900-425-225/B20</f>
        <v>233.0645161</v>
      </c>
      <c r="G7" s="121">
        <f>F7-((27500+10000)/B19)</f>
        <v>101.0176131</v>
      </c>
    </row>
    <row r="8">
      <c r="A8" s="8"/>
      <c r="C8" s="8"/>
      <c r="E8" s="103" t="s">
        <v>365</v>
      </c>
      <c r="F8" s="103">
        <f>50</f>
        <v>50</v>
      </c>
      <c r="G8" s="121">
        <f>((F8*0.8)-(10000/B19))</f>
        <v>4.787492517</v>
      </c>
    </row>
    <row r="9">
      <c r="A9" s="8"/>
      <c r="E9" s="8" t="s">
        <v>371</v>
      </c>
      <c r="F9" s="17">
        <f>8000/B20</f>
        <v>8602.150538</v>
      </c>
      <c r="G9" s="70">
        <f>(F9*0.97-(500000/B19))</f>
        <v>6583.460647</v>
      </c>
    </row>
    <row r="10">
      <c r="E10" s="81" t="s">
        <v>376</v>
      </c>
      <c r="F10" s="82">
        <f>1440</f>
        <v>1440</v>
      </c>
      <c r="G10" s="82">
        <f>(F10*0.9-(0/B19))</f>
        <v>1296</v>
      </c>
    </row>
    <row r="12">
      <c r="A12" s="8"/>
    </row>
    <row r="13">
      <c r="A13" s="45" t="s">
        <v>276</v>
      </c>
      <c r="C13" s="68">
        <f>SUM(C3:C10)</f>
        <v>263.9374626</v>
      </c>
    </row>
    <row r="14">
      <c r="A14" s="8" t="s">
        <v>334</v>
      </c>
      <c r="G14" s="70"/>
    </row>
    <row r="17">
      <c r="G17" s="70"/>
    </row>
    <row r="18">
      <c r="E18" s="8"/>
      <c r="F18" s="8"/>
      <c r="G18" s="70"/>
    </row>
    <row r="19">
      <c r="A19" s="32" t="s">
        <v>377</v>
      </c>
      <c r="B19" s="33">
        <f>283.99</f>
        <v>283.99</v>
      </c>
      <c r="E19" s="8"/>
      <c r="F19" s="8"/>
      <c r="G19" s="70"/>
    </row>
    <row r="20">
      <c r="A20" s="35" t="s">
        <v>378</v>
      </c>
      <c r="B20" s="36">
        <v>0.93</v>
      </c>
      <c r="E20" s="8"/>
      <c r="F20" s="8"/>
      <c r="G20" s="71"/>
    </row>
    <row r="21">
      <c r="E21" s="8"/>
      <c r="F21" s="8"/>
      <c r="G21" s="70"/>
    </row>
    <row r="22">
      <c r="E22" s="8"/>
      <c r="F22" s="8"/>
      <c r="G22" s="108"/>
    </row>
    <row r="23">
      <c r="E23" s="45" t="s">
        <v>295</v>
      </c>
      <c r="F23" s="93">
        <f t="shared" ref="F23:G23" si="3">SUM(F3:F21)</f>
        <v>13067.15054</v>
      </c>
      <c r="G23" s="68">
        <f t="shared" si="3"/>
        <v>10173.56569</v>
      </c>
    </row>
    <row r="24">
      <c r="E24" s="45"/>
      <c r="G24" s="68"/>
    </row>
    <row r="26">
      <c r="A26" s="45" t="s">
        <v>296</v>
      </c>
      <c r="B26" s="68"/>
      <c r="C26" s="93">
        <f>(C13+G23)*B20</f>
        <v>9706.877935</v>
      </c>
    </row>
    <row r="28">
      <c r="A28" s="45" t="s">
        <v>313</v>
      </c>
      <c r="B28" s="68"/>
      <c r="C28" s="68">
        <f>E45+F45+G45+H45+I45</f>
        <v>3844.29994</v>
      </c>
    </row>
    <row r="29">
      <c r="A29" s="45" t="s">
        <v>315</v>
      </c>
      <c r="B29" s="68"/>
      <c r="C29" s="68">
        <f>C26-C28</f>
        <v>5862.577995</v>
      </c>
      <c r="E29" s="45" t="s">
        <v>298</v>
      </c>
      <c r="F29" s="45" t="s">
        <v>299</v>
      </c>
      <c r="G29" s="45" t="s">
        <v>300</v>
      </c>
      <c r="H29" s="45" t="s">
        <v>301</v>
      </c>
      <c r="I29" s="45" t="s">
        <v>327</v>
      </c>
    </row>
    <row r="30" ht="18.75" customHeight="1">
      <c r="E30" s="81" t="s">
        <v>317</v>
      </c>
      <c r="F30" s="103" t="s">
        <v>362</v>
      </c>
      <c r="G30" s="81" t="s">
        <v>318</v>
      </c>
      <c r="H30" s="81" t="s">
        <v>376</v>
      </c>
      <c r="I30" s="124"/>
    </row>
    <row r="31">
      <c r="E31" s="81" t="s">
        <v>364</v>
      </c>
      <c r="F31" s="103" t="s">
        <v>365</v>
      </c>
      <c r="G31" s="81" t="s">
        <v>365</v>
      </c>
      <c r="I31" s="124"/>
    </row>
    <row r="32">
      <c r="I32" s="52"/>
    </row>
    <row r="33">
      <c r="G33" s="111"/>
      <c r="H33" s="52"/>
      <c r="I33" s="52"/>
    </row>
    <row r="34">
      <c r="A34" s="8"/>
      <c r="G34" s="111"/>
      <c r="H34" s="111"/>
      <c r="I34" s="52"/>
    </row>
    <row r="35">
      <c r="F35" s="55"/>
      <c r="H35" s="111"/>
      <c r="I35" s="8"/>
    </row>
    <row r="36">
      <c r="H36" s="111"/>
    </row>
    <row r="37">
      <c r="H37" s="111"/>
    </row>
    <row r="39">
      <c r="D39" s="45"/>
      <c r="E39" s="68"/>
    </row>
    <row r="40">
      <c r="D40" s="45"/>
      <c r="E40" s="68"/>
    </row>
    <row r="45">
      <c r="D45" s="45"/>
      <c r="E45" s="75">
        <f>G4+G3</f>
        <v>1703.29994</v>
      </c>
      <c r="F45" s="116"/>
      <c r="G45" s="17">
        <f>485+(450*0.8)</f>
        <v>845</v>
      </c>
      <c r="H45" s="70">
        <f>G10</f>
        <v>1296</v>
      </c>
      <c r="I45" s="2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3" max="3" width="17.13"/>
    <col customWidth="1" min="4" max="4" width="15.13"/>
    <col customWidth="1" min="5" max="5" width="27.75"/>
    <col customWidth="1" min="6" max="6" width="27.63"/>
    <col customWidth="1" min="7" max="7" width="23.0"/>
    <col customWidth="1" min="8" max="8" width="25.63"/>
    <col customWidth="1" min="9" max="9" width="14.75"/>
  </cols>
  <sheetData>
    <row r="1">
      <c r="A1" s="76" t="s">
        <v>267</v>
      </c>
      <c r="E1" s="76" t="s">
        <v>268</v>
      </c>
      <c r="I1" s="45"/>
      <c r="J1" s="45"/>
    </row>
    <row r="2">
      <c r="A2" s="45" t="s">
        <v>269</v>
      </c>
      <c r="B2" s="45" t="s">
        <v>270</v>
      </c>
      <c r="C2" s="45" t="s">
        <v>271</v>
      </c>
      <c r="D2" s="68"/>
      <c r="E2" s="45" t="s">
        <v>269</v>
      </c>
      <c r="F2" s="45" t="s">
        <v>270</v>
      </c>
      <c r="G2" s="45" t="s">
        <v>271</v>
      </c>
      <c r="I2" s="45"/>
      <c r="J2" s="45"/>
    </row>
    <row r="3">
      <c r="A3" s="77" t="s">
        <v>274</v>
      </c>
      <c r="B3" s="83">
        <f>550*0.8</f>
        <v>440</v>
      </c>
      <c r="C3" s="102">
        <f>B3-(40000/B19)</f>
        <v>299.1499701</v>
      </c>
      <c r="E3" s="103" t="s">
        <v>362</v>
      </c>
      <c r="F3" s="106">
        <f>900-425-225/B20</f>
        <v>233.0645161</v>
      </c>
      <c r="G3" s="121">
        <f>F3-((0)/B19)</f>
        <v>233.0645161</v>
      </c>
    </row>
    <row r="4">
      <c r="C4" s="8"/>
      <c r="E4" s="103" t="s">
        <v>365</v>
      </c>
      <c r="F4" s="103">
        <f>50</f>
        <v>50</v>
      </c>
      <c r="G4" s="121">
        <f>((F4*0.8)-(10000/B19))</f>
        <v>4.787492517</v>
      </c>
    </row>
    <row r="5">
      <c r="A5" s="8"/>
      <c r="B5" s="8"/>
      <c r="E5" s="8" t="s">
        <v>371</v>
      </c>
      <c r="F5" s="17">
        <f>8000/B20</f>
        <v>8602.150538</v>
      </c>
      <c r="G5" s="70">
        <f>(F5*0.97-(500000/B19))</f>
        <v>6583.460647</v>
      </c>
    </row>
    <row r="6">
      <c r="E6" s="81" t="s">
        <v>376</v>
      </c>
      <c r="F6" s="82">
        <f>1192.5</f>
        <v>1192.5</v>
      </c>
      <c r="G6" s="82">
        <f>(F6*0.9-(0/B19))</f>
        <v>1073.25</v>
      </c>
    </row>
    <row r="7">
      <c r="A7" s="8"/>
      <c r="B7" s="8"/>
      <c r="C7" s="108"/>
    </row>
    <row r="8">
      <c r="A8" s="8"/>
      <c r="C8" s="8"/>
    </row>
    <row r="9">
      <c r="A9" s="8"/>
    </row>
    <row r="10">
      <c r="E10" s="124"/>
      <c r="F10" s="125"/>
      <c r="G10" s="125"/>
    </row>
    <row r="12">
      <c r="A12" s="8"/>
    </row>
    <row r="13">
      <c r="A13" s="45" t="s">
        <v>276</v>
      </c>
      <c r="C13" s="68">
        <f>SUM(C3:C10)</f>
        <v>299.1499701</v>
      </c>
    </row>
    <row r="14">
      <c r="A14" s="8" t="s">
        <v>334</v>
      </c>
      <c r="G14" s="70"/>
    </row>
    <row r="17">
      <c r="G17" s="70"/>
    </row>
    <row r="18">
      <c r="E18" s="8"/>
      <c r="F18" s="8"/>
      <c r="G18" s="70"/>
    </row>
    <row r="19">
      <c r="A19" s="32" t="s">
        <v>377</v>
      </c>
      <c r="B19" s="33">
        <f>283.99</f>
        <v>283.99</v>
      </c>
      <c r="E19" s="8"/>
      <c r="F19" s="8"/>
      <c r="G19" s="70"/>
    </row>
    <row r="20">
      <c r="A20" s="35" t="s">
        <v>378</v>
      </c>
      <c r="B20" s="36">
        <v>0.93</v>
      </c>
      <c r="E20" s="8"/>
      <c r="F20" s="8"/>
      <c r="G20" s="71"/>
    </row>
    <row r="21">
      <c r="E21" s="8"/>
      <c r="F21" s="8"/>
      <c r="G21" s="70"/>
    </row>
    <row r="22">
      <c r="E22" s="8"/>
      <c r="F22" s="8"/>
      <c r="G22" s="108"/>
    </row>
    <row r="23">
      <c r="E23" s="45" t="s">
        <v>295</v>
      </c>
      <c r="F23" s="93">
        <f t="shared" ref="F23:G23" si="1">SUM(F3:F21)</f>
        <v>10077.71505</v>
      </c>
      <c r="G23" s="68">
        <f t="shared" si="1"/>
        <v>7894.562656</v>
      </c>
    </row>
    <row r="24">
      <c r="E24" s="45"/>
      <c r="G24" s="68"/>
    </row>
    <row r="26">
      <c r="A26" s="45" t="s">
        <v>296</v>
      </c>
      <c r="B26" s="68"/>
      <c r="C26" s="93">
        <f>(C13+G23)*B20</f>
        <v>7620.152742</v>
      </c>
    </row>
    <row r="28">
      <c r="A28" s="45" t="s">
        <v>313</v>
      </c>
      <c r="B28" s="68"/>
      <c r="C28" s="68">
        <f>E45+F45+G45+H45+I45</f>
        <v>1073.25</v>
      </c>
    </row>
    <row r="29">
      <c r="A29" s="45" t="s">
        <v>315</v>
      </c>
      <c r="B29" s="68"/>
      <c r="C29" s="68">
        <f>C26-C28</f>
        <v>6546.902742</v>
      </c>
      <c r="E29" s="45" t="s">
        <v>298</v>
      </c>
      <c r="F29" s="45" t="s">
        <v>299</v>
      </c>
      <c r="G29" s="45" t="s">
        <v>300</v>
      </c>
      <c r="H29" s="45" t="s">
        <v>301</v>
      </c>
      <c r="I29" s="45" t="s">
        <v>327</v>
      </c>
    </row>
    <row r="30" ht="18.75" customHeight="1">
      <c r="E30" s="81" t="s">
        <v>376</v>
      </c>
      <c r="F30" s="124"/>
      <c r="G30" s="124"/>
      <c r="H30" s="124"/>
      <c r="I30" s="124"/>
    </row>
    <row r="31">
      <c r="E31" s="124"/>
      <c r="F31" s="124"/>
      <c r="G31" s="124"/>
      <c r="I31" s="124"/>
    </row>
    <row r="32">
      <c r="I32" s="52"/>
    </row>
    <row r="33">
      <c r="G33" s="111"/>
      <c r="H33" s="52"/>
      <c r="I33" s="52"/>
    </row>
    <row r="34">
      <c r="A34" s="8"/>
      <c r="G34" s="111"/>
      <c r="H34" s="111"/>
      <c r="I34" s="52"/>
    </row>
    <row r="35">
      <c r="F35" s="55"/>
      <c r="H35" s="111"/>
      <c r="I35" s="8"/>
    </row>
    <row r="36">
      <c r="H36" s="111"/>
    </row>
    <row r="37">
      <c r="H37" s="111"/>
    </row>
    <row r="39">
      <c r="D39" s="45"/>
      <c r="E39" s="68"/>
    </row>
    <row r="40">
      <c r="D40" s="45"/>
      <c r="E40" s="68"/>
    </row>
    <row r="45">
      <c r="D45" s="45"/>
      <c r="E45" s="75">
        <f>G6</f>
        <v>1073.25</v>
      </c>
      <c r="F45" s="116"/>
      <c r="H45" s="70" t="str">
        <f>G10</f>
        <v/>
      </c>
      <c r="I45" s="2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379</v>
      </c>
    </row>
    <row r="2">
      <c r="A2" s="8" t="s">
        <v>380</v>
      </c>
    </row>
    <row r="3">
      <c r="A3" s="8" t="s">
        <v>381</v>
      </c>
    </row>
    <row r="4">
      <c r="A4" s="8" t="s">
        <v>382</v>
      </c>
    </row>
    <row r="5">
      <c r="A5" s="8" t="s">
        <v>383</v>
      </c>
    </row>
    <row r="6">
      <c r="A6" s="8" t="s">
        <v>384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3" max="3" width="28.5"/>
    <col customWidth="1" min="4" max="4" width="14.25"/>
    <col customWidth="1" min="6" max="6" width="19.38"/>
    <col customWidth="1" min="7" max="7" width="15.38"/>
    <col customWidth="1" min="9" max="9" width="22.88"/>
    <col customWidth="1" min="10" max="10" width="32.38"/>
  </cols>
  <sheetData>
    <row r="1">
      <c r="A1" s="45" t="s">
        <v>385</v>
      </c>
      <c r="C1" s="45" t="s">
        <v>386</v>
      </c>
      <c r="F1" s="45" t="s">
        <v>387</v>
      </c>
      <c r="I1" s="45" t="s">
        <v>388</v>
      </c>
    </row>
    <row r="3">
      <c r="A3" s="45" t="s">
        <v>389</v>
      </c>
      <c r="C3" s="45" t="s">
        <v>389</v>
      </c>
      <c r="D3" s="45" t="s">
        <v>390</v>
      </c>
      <c r="F3" s="45" t="s">
        <v>389</v>
      </c>
      <c r="G3" s="45" t="s">
        <v>390</v>
      </c>
      <c r="I3" s="45" t="s">
        <v>391</v>
      </c>
      <c r="J3" s="45" t="s">
        <v>389</v>
      </c>
    </row>
    <row r="4">
      <c r="A4" s="8" t="s">
        <v>392</v>
      </c>
      <c r="C4" s="78" t="s">
        <v>393</v>
      </c>
      <c r="F4" s="8" t="s">
        <v>394</v>
      </c>
      <c r="G4" s="8">
        <v>34.0</v>
      </c>
      <c r="I4" s="8" t="s">
        <v>395</v>
      </c>
      <c r="J4" s="8" t="s">
        <v>396</v>
      </c>
    </row>
    <row r="5">
      <c r="A5" s="8" t="s">
        <v>397</v>
      </c>
      <c r="F5" s="8" t="s">
        <v>398</v>
      </c>
      <c r="G5" s="8">
        <v>1.0</v>
      </c>
      <c r="I5" s="8" t="s">
        <v>395</v>
      </c>
      <c r="J5" s="8" t="s">
        <v>399</v>
      </c>
    </row>
    <row r="6">
      <c r="A6" s="8" t="s">
        <v>400</v>
      </c>
      <c r="C6" s="8" t="s">
        <v>401</v>
      </c>
      <c r="F6" s="8" t="s">
        <v>402</v>
      </c>
      <c r="G6" s="8">
        <v>1.0</v>
      </c>
      <c r="I6" s="8" t="s">
        <v>395</v>
      </c>
      <c r="J6" s="8" t="s">
        <v>403</v>
      </c>
    </row>
    <row r="7">
      <c r="A7" s="8" t="s">
        <v>404</v>
      </c>
      <c r="C7" s="8" t="s">
        <v>405</v>
      </c>
      <c r="D7" s="8">
        <v>4.0</v>
      </c>
      <c r="F7" s="8" t="s">
        <v>406</v>
      </c>
      <c r="G7" s="8">
        <v>1.0</v>
      </c>
      <c r="I7" s="8" t="s">
        <v>395</v>
      </c>
      <c r="J7" s="8" t="s">
        <v>407</v>
      </c>
    </row>
    <row r="8">
      <c r="A8" s="8" t="s">
        <v>408</v>
      </c>
      <c r="C8" s="78" t="s">
        <v>409</v>
      </c>
      <c r="F8" s="8" t="s">
        <v>410</v>
      </c>
      <c r="G8" s="8">
        <v>2.0</v>
      </c>
      <c r="I8" s="8" t="s">
        <v>395</v>
      </c>
      <c r="J8" s="8" t="s">
        <v>411</v>
      </c>
    </row>
    <row r="9">
      <c r="A9" s="8" t="s">
        <v>412</v>
      </c>
      <c r="C9" s="8" t="s">
        <v>413</v>
      </c>
      <c r="F9" s="8" t="s">
        <v>414</v>
      </c>
      <c r="G9" s="8">
        <v>3.0</v>
      </c>
      <c r="I9" s="8" t="s">
        <v>415</v>
      </c>
      <c r="J9" s="8" t="s">
        <v>416</v>
      </c>
    </row>
    <row r="10">
      <c r="A10" s="8" t="s">
        <v>417</v>
      </c>
      <c r="F10" s="8" t="s">
        <v>418</v>
      </c>
      <c r="G10" s="8">
        <v>4.0</v>
      </c>
      <c r="I10" s="8" t="s">
        <v>415</v>
      </c>
      <c r="J10" s="8" t="s">
        <v>419</v>
      </c>
    </row>
    <row r="11">
      <c r="A11" s="8" t="s">
        <v>420</v>
      </c>
      <c r="C11" s="8" t="s">
        <v>421</v>
      </c>
      <c r="F11" s="8" t="s">
        <v>36</v>
      </c>
      <c r="G11" s="8">
        <v>1.0</v>
      </c>
      <c r="I11" s="8" t="s">
        <v>415</v>
      </c>
      <c r="J11" s="8" t="s">
        <v>422</v>
      </c>
    </row>
    <row r="12">
      <c r="A12" s="8" t="s">
        <v>423</v>
      </c>
      <c r="C12" s="81" t="s">
        <v>424</v>
      </c>
      <c r="F12" s="8" t="s">
        <v>425</v>
      </c>
      <c r="G12" s="8">
        <v>2.0</v>
      </c>
      <c r="I12" s="8" t="s">
        <v>415</v>
      </c>
      <c r="J12" s="8" t="s">
        <v>406</v>
      </c>
    </row>
    <row r="13">
      <c r="A13" s="8" t="s">
        <v>426</v>
      </c>
      <c r="C13" s="8" t="s">
        <v>427</v>
      </c>
      <c r="D13" s="8">
        <v>3.0</v>
      </c>
      <c r="F13" s="8" t="s">
        <v>428</v>
      </c>
      <c r="G13" s="8">
        <v>1.0</v>
      </c>
      <c r="I13" s="8" t="s">
        <v>415</v>
      </c>
      <c r="J13" s="8" t="s">
        <v>429</v>
      </c>
    </row>
    <row r="14">
      <c r="A14" s="8" t="s">
        <v>430</v>
      </c>
      <c r="C14" s="8" t="s">
        <v>431</v>
      </c>
      <c r="F14" s="8" t="s">
        <v>432</v>
      </c>
      <c r="G14" s="8">
        <v>3.0</v>
      </c>
      <c r="I14" s="8" t="s">
        <v>415</v>
      </c>
      <c r="J14" s="8" t="s">
        <v>433</v>
      </c>
    </row>
    <row r="15">
      <c r="A15" s="8" t="s">
        <v>434</v>
      </c>
      <c r="C15" s="8" t="s">
        <v>435</v>
      </c>
      <c r="F15" s="8" t="s">
        <v>436</v>
      </c>
      <c r="G15" s="8">
        <v>1.0</v>
      </c>
      <c r="I15" s="8" t="s">
        <v>437</v>
      </c>
      <c r="J15" s="8" t="s">
        <v>438</v>
      </c>
    </row>
    <row r="16">
      <c r="A16" s="8" t="s">
        <v>439</v>
      </c>
      <c r="C16" s="8" t="s">
        <v>440</v>
      </c>
      <c r="F16" s="8" t="s">
        <v>441</v>
      </c>
      <c r="G16" s="8">
        <v>2.0</v>
      </c>
      <c r="I16" s="8" t="s">
        <v>437</v>
      </c>
      <c r="J16" s="8" t="s">
        <v>411</v>
      </c>
    </row>
    <row r="17">
      <c r="A17" s="8" t="s">
        <v>442</v>
      </c>
      <c r="C17" s="8" t="s">
        <v>443</v>
      </c>
      <c r="I17" s="8" t="s">
        <v>437</v>
      </c>
      <c r="J17" s="8" t="s">
        <v>444</v>
      </c>
    </row>
    <row r="18">
      <c r="A18" s="8" t="s">
        <v>445</v>
      </c>
      <c r="I18" s="8" t="s">
        <v>446</v>
      </c>
      <c r="J18" s="8" t="s">
        <v>447</v>
      </c>
    </row>
    <row r="19">
      <c r="A19" s="8" t="s">
        <v>411</v>
      </c>
      <c r="C19" s="8" t="s">
        <v>448</v>
      </c>
      <c r="D19" s="8">
        <v>3.0</v>
      </c>
      <c r="I19" s="8" t="s">
        <v>446</v>
      </c>
      <c r="J19" s="8" t="s">
        <v>449</v>
      </c>
    </row>
    <row r="20">
      <c r="A20" s="8" t="s">
        <v>450</v>
      </c>
      <c r="C20" s="8" t="s">
        <v>451</v>
      </c>
      <c r="D20" s="8" t="s">
        <v>452</v>
      </c>
      <c r="I20" s="8" t="s">
        <v>446</v>
      </c>
      <c r="J20" s="8" t="s">
        <v>422</v>
      </c>
    </row>
    <row r="21">
      <c r="A21" s="8" t="s">
        <v>453</v>
      </c>
      <c r="C21" s="8" t="s">
        <v>454</v>
      </c>
      <c r="D21" s="8" t="s">
        <v>452</v>
      </c>
      <c r="I21" s="8" t="s">
        <v>455</v>
      </c>
      <c r="J21" s="8" t="s">
        <v>456</v>
      </c>
    </row>
    <row r="22">
      <c r="A22" s="8" t="s">
        <v>457</v>
      </c>
      <c r="C22" s="8" t="s">
        <v>458</v>
      </c>
      <c r="D22" s="8" t="s">
        <v>452</v>
      </c>
      <c r="I22" s="8" t="s">
        <v>455</v>
      </c>
      <c r="J22" s="8" t="s">
        <v>459</v>
      </c>
    </row>
    <row r="23">
      <c r="A23" s="8" t="s">
        <v>460</v>
      </c>
      <c r="C23" s="8" t="s">
        <v>461</v>
      </c>
      <c r="D23" s="8" t="s">
        <v>452</v>
      </c>
      <c r="I23" s="8" t="s">
        <v>455</v>
      </c>
      <c r="J23" s="8" t="s">
        <v>411</v>
      </c>
    </row>
    <row r="24">
      <c r="A24" s="8" t="s">
        <v>462</v>
      </c>
      <c r="C24" s="8" t="s">
        <v>463</v>
      </c>
      <c r="D24" s="8" t="s">
        <v>231</v>
      </c>
      <c r="I24" s="8" t="s">
        <v>464</v>
      </c>
      <c r="J24" s="8" t="s">
        <v>465</v>
      </c>
    </row>
    <row r="25">
      <c r="A25" s="8" t="s">
        <v>466</v>
      </c>
      <c r="C25" s="8" t="s">
        <v>467</v>
      </c>
      <c r="D25" s="8">
        <v>1.0</v>
      </c>
      <c r="I25" s="8" t="s">
        <v>464</v>
      </c>
      <c r="J25" s="8" t="s">
        <v>468</v>
      </c>
    </row>
    <row r="26">
      <c r="A26" s="8" t="s">
        <v>469</v>
      </c>
      <c r="C26" s="8" t="s">
        <v>470</v>
      </c>
      <c r="D26" s="8" t="s">
        <v>471</v>
      </c>
      <c r="I26" s="8" t="s">
        <v>464</v>
      </c>
      <c r="J26" s="8" t="s">
        <v>472</v>
      </c>
    </row>
    <row r="27">
      <c r="A27" s="8" t="s">
        <v>473</v>
      </c>
      <c r="C27" s="8" t="s">
        <v>474</v>
      </c>
      <c r="I27" s="8" t="s">
        <v>464</v>
      </c>
      <c r="J27" s="8" t="s">
        <v>475</v>
      </c>
    </row>
    <row r="28">
      <c r="A28" s="8" t="s">
        <v>476</v>
      </c>
      <c r="C28" s="8" t="s">
        <v>477</v>
      </c>
      <c r="I28" s="8" t="s">
        <v>464</v>
      </c>
      <c r="J28" s="8" t="s">
        <v>478</v>
      </c>
    </row>
    <row r="29">
      <c r="A29" s="8" t="s">
        <v>479</v>
      </c>
      <c r="C29" s="8" t="s">
        <v>480</v>
      </c>
      <c r="D29" s="8">
        <v>1.0</v>
      </c>
      <c r="I29" s="8" t="s">
        <v>464</v>
      </c>
      <c r="J29" s="8" t="s">
        <v>481</v>
      </c>
    </row>
    <row r="30">
      <c r="A30" s="8" t="s">
        <v>482</v>
      </c>
      <c r="C30" s="8" t="s">
        <v>483</v>
      </c>
      <c r="D30" s="8">
        <v>1.0</v>
      </c>
      <c r="I30" s="8" t="s">
        <v>464</v>
      </c>
      <c r="J30" s="8" t="s">
        <v>484</v>
      </c>
    </row>
    <row r="31">
      <c r="A31" s="8" t="s">
        <v>485</v>
      </c>
      <c r="D31" s="8">
        <v>2.0</v>
      </c>
      <c r="I31" s="8" t="s">
        <v>464</v>
      </c>
      <c r="J31" s="8" t="s">
        <v>486</v>
      </c>
    </row>
    <row r="32">
      <c r="A32" s="8" t="s">
        <v>487</v>
      </c>
      <c r="C32" s="8" t="s">
        <v>488</v>
      </c>
      <c r="D32" s="8" t="s">
        <v>231</v>
      </c>
      <c r="I32" s="8" t="s">
        <v>489</v>
      </c>
      <c r="J32" s="8" t="s">
        <v>490</v>
      </c>
    </row>
    <row r="33">
      <c r="A33" s="8" t="s">
        <v>491</v>
      </c>
      <c r="C33" s="8" t="s">
        <v>492</v>
      </c>
      <c r="I33" s="8" t="s">
        <v>493</v>
      </c>
      <c r="J33" s="8" t="s">
        <v>494</v>
      </c>
    </row>
    <row r="34">
      <c r="A34" s="8" t="s">
        <v>495</v>
      </c>
    </row>
    <row r="35">
      <c r="A35" s="8" t="s">
        <v>496</v>
      </c>
    </row>
    <row r="36">
      <c r="A36" s="8" t="s">
        <v>497</v>
      </c>
    </row>
    <row r="37">
      <c r="A37" s="8" t="s">
        <v>498</v>
      </c>
    </row>
    <row r="38">
      <c r="A38" s="8" t="s">
        <v>499</v>
      </c>
    </row>
    <row r="39">
      <c r="A39" s="8" t="s">
        <v>500</v>
      </c>
    </row>
    <row r="40">
      <c r="A40" s="8" t="s">
        <v>501</v>
      </c>
    </row>
    <row r="41">
      <c r="A41" s="8" t="s">
        <v>502</v>
      </c>
    </row>
    <row r="42">
      <c r="A42" s="8"/>
    </row>
    <row r="43">
      <c r="A43" s="8" t="s">
        <v>503</v>
      </c>
    </row>
    <row r="44">
      <c r="A44" s="8" t="s">
        <v>504</v>
      </c>
    </row>
    <row r="45">
      <c r="A45" s="8" t="s">
        <v>505</v>
      </c>
    </row>
    <row r="46">
      <c r="A46" s="8" t="s">
        <v>506</v>
      </c>
    </row>
    <row r="47">
      <c r="A47" s="8" t="s">
        <v>507</v>
      </c>
    </row>
    <row r="48">
      <c r="A48" s="8" t="s">
        <v>508</v>
      </c>
    </row>
    <row r="49">
      <c r="A49" s="8" t="s">
        <v>509</v>
      </c>
    </row>
    <row r="50">
      <c r="A50" s="8" t="s">
        <v>435</v>
      </c>
    </row>
    <row r="52">
      <c r="A52" s="8" t="s">
        <v>510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4" max="4" width="34.38"/>
    <col customWidth="1" min="6" max="6" width="14.88"/>
    <col customWidth="1" min="7" max="7" width="13.75"/>
  </cols>
  <sheetData>
    <row r="1">
      <c r="A1" s="1" t="s">
        <v>511</v>
      </c>
      <c r="B1" s="1" t="s">
        <v>512</v>
      </c>
      <c r="F1" s="45" t="s">
        <v>513</v>
      </c>
      <c r="G1" s="126" t="s">
        <v>514</v>
      </c>
    </row>
    <row r="2">
      <c r="A2" s="8" t="s">
        <v>515</v>
      </c>
      <c r="B2" s="8">
        <v>49.0</v>
      </c>
      <c r="D2" s="45" t="s">
        <v>516</v>
      </c>
      <c r="E2" s="8">
        <v>2500.0</v>
      </c>
      <c r="F2" s="17">
        <f>E2/E6</f>
        <v>2717.391304</v>
      </c>
      <c r="G2" s="17">
        <f>F2*E5</f>
        <v>747554.3478</v>
      </c>
    </row>
    <row r="3">
      <c r="A3" s="8" t="s">
        <v>517</v>
      </c>
      <c r="B3" s="127">
        <v>1136.49</v>
      </c>
      <c r="D3" s="45" t="s">
        <v>518</v>
      </c>
      <c r="E3" s="17">
        <f>E2-B19</f>
        <v>373.83</v>
      </c>
      <c r="F3" s="17">
        <f>E3/E6</f>
        <v>406.3369565</v>
      </c>
      <c r="G3" s="17">
        <f>F3*E5</f>
        <v>111783.2967</v>
      </c>
    </row>
    <row r="4">
      <c r="D4" s="68"/>
    </row>
    <row r="5">
      <c r="A5" s="1" t="s">
        <v>519</v>
      </c>
      <c r="B5" s="1" t="s">
        <v>512</v>
      </c>
      <c r="D5" s="51" t="s">
        <v>520</v>
      </c>
      <c r="E5" s="85">
        <v>275.1</v>
      </c>
    </row>
    <row r="6">
      <c r="A6" s="128" t="s">
        <v>521</v>
      </c>
      <c r="B6" s="129">
        <f>60.3</f>
        <v>60.3</v>
      </c>
      <c r="D6" s="51" t="s">
        <v>522</v>
      </c>
      <c r="E6" s="85">
        <v>0.92</v>
      </c>
    </row>
    <row r="7">
      <c r="A7" s="128" t="s">
        <v>523</v>
      </c>
      <c r="B7" s="129">
        <f>80*5</f>
        <v>400</v>
      </c>
    </row>
    <row r="8">
      <c r="A8" s="128" t="s">
        <v>524</v>
      </c>
      <c r="B8" s="129">
        <f>149.65</f>
        <v>149.65</v>
      </c>
    </row>
    <row r="9">
      <c r="A9" s="128" t="s">
        <v>525</v>
      </c>
      <c r="B9" s="129">
        <f>122.5</f>
        <v>122.5</v>
      </c>
    </row>
    <row r="10">
      <c r="A10" s="8" t="s">
        <v>526</v>
      </c>
      <c r="B10" s="17">
        <f>100</f>
        <v>100</v>
      </c>
    </row>
    <row r="11">
      <c r="A11" s="128" t="s">
        <v>527</v>
      </c>
      <c r="B11" s="128">
        <v>33.23</v>
      </c>
    </row>
    <row r="12">
      <c r="A12" s="8" t="s">
        <v>528</v>
      </c>
      <c r="B12" s="8">
        <v>75.0</v>
      </c>
    </row>
    <row r="13">
      <c r="A13" s="8" t="s">
        <v>411</v>
      </c>
      <c r="B13" s="45"/>
    </row>
    <row r="14">
      <c r="A14" s="8" t="s">
        <v>529</v>
      </c>
      <c r="B14" s="45"/>
    </row>
    <row r="15">
      <c r="A15" s="130" t="s">
        <v>530</v>
      </c>
      <c r="B15" s="45"/>
    </row>
    <row r="16">
      <c r="A16" s="130" t="s">
        <v>531</v>
      </c>
      <c r="B16" s="45"/>
    </row>
    <row r="17">
      <c r="A17" s="130" t="s">
        <v>532</v>
      </c>
      <c r="B17" s="45"/>
    </row>
    <row r="18">
      <c r="A18" s="45"/>
      <c r="B18" s="45"/>
    </row>
    <row r="19">
      <c r="A19" s="45" t="s">
        <v>533</v>
      </c>
      <c r="B19" s="45">
        <f>SUM(B2:B3)+SUM(B6:B16)</f>
        <v>2126.17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6" max="6" width="17.88"/>
  </cols>
  <sheetData>
    <row r="1">
      <c r="A1" s="1" t="s">
        <v>334</v>
      </c>
      <c r="B1" s="1" t="s">
        <v>534</v>
      </c>
      <c r="C1" s="1" t="s">
        <v>535</v>
      </c>
      <c r="F1" s="51" t="s">
        <v>283</v>
      </c>
      <c r="G1" s="85">
        <v>277.0</v>
      </c>
    </row>
    <row r="2">
      <c r="A2" s="8" t="s">
        <v>536</v>
      </c>
      <c r="B2" s="17">
        <f>(2000000)/G1</f>
        <v>7220.216606</v>
      </c>
      <c r="C2" s="119">
        <f>(1250000)/G1</f>
        <v>4512.635379</v>
      </c>
      <c r="F2" s="51" t="s">
        <v>285</v>
      </c>
      <c r="G2" s="85">
        <v>0.92</v>
      </c>
    </row>
    <row r="3">
      <c r="A3" s="8" t="s">
        <v>537</v>
      </c>
      <c r="B3" s="119">
        <f>(2000000)/G1</f>
        <v>7220.216606</v>
      </c>
      <c r="C3" s="119">
        <f>(1300000)/G1</f>
        <v>4693.140794</v>
      </c>
    </row>
    <row r="4">
      <c r="A4" s="8" t="s">
        <v>538</v>
      </c>
      <c r="B4" s="17">
        <f>500000/G1</f>
        <v>1805.054152</v>
      </c>
      <c r="C4" s="17">
        <f>550000/G1</f>
        <v>1985.559567</v>
      </c>
      <c r="F4" s="8" t="s">
        <v>539</v>
      </c>
      <c r="G4" s="17">
        <f>35000</f>
        <v>35000</v>
      </c>
    </row>
    <row r="5">
      <c r="A5" s="8" t="s">
        <v>540</v>
      </c>
      <c r="B5" s="17">
        <f>500000/G1</f>
        <v>1805.054152</v>
      </c>
      <c r="C5" s="17">
        <f>350000/G1</f>
        <v>1263.537906</v>
      </c>
      <c r="F5" s="8" t="s">
        <v>518</v>
      </c>
      <c r="G5" s="17">
        <f>G4-B15</f>
        <v>9470.9499</v>
      </c>
    </row>
    <row r="6">
      <c r="A6" s="8" t="s">
        <v>541</v>
      </c>
      <c r="B6" s="17">
        <f>150000/G1</f>
        <v>541.5162455</v>
      </c>
      <c r="C6" s="17">
        <f>130000/G1</f>
        <v>469.3140794</v>
      </c>
      <c r="F6" s="8" t="s">
        <v>542</v>
      </c>
      <c r="G6" s="17">
        <f>G5*G1</f>
        <v>2623453.122</v>
      </c>
    </row>
    <row r="7">
      <c r="A7" s="8" t="s">
        <v>543</v>
      </c>
      <c r="B7" s="17">
        <f>500000/G1</f>
        <v>1805.054152</v>
      </c>
      <c r="C7" s="17">
        <f>500000/G1</f>
        <v>1805.054152</v>
      </c>
    </row>
    <row r="8">
      <c r="A8" s="8" t="s">
        <v>544</v>
      </c>
      <c r="B8" s="17">
        <f>50000/G1</f>
        <v>180.5054152</v>
      </c>
      <c r="C8" s="131">
        <f>50000/G1</f>
        <v>180.5054152</v>
      </c>
    </row>
    <row r="9">
      <c r="A9" s="8" t="s">
        <v>545</v>
      </c>
      <c r="B9" s="17">
        <f>300000/G1</f>
        <v>1083.032491</v>
      </c>
      <c r="C9" s="131">
        <f>300000/G1</f>
        <v>1083.032491</v>
      </c>
    </row>
    <row r="10">
      <c r="A10" s="8" t="s">
        <v>546</v>
      </c>
      <c r="B10" s="17">
        <f>150000/G1</f>
        <v>541.5162455</v>
      </c>
      <c r="C10" s="17">
        <f>100000/G1</f>
        <v>361.0108303</v>
      </c>
    </row>
    <row r="11">
      <c r="A11" s="8" t="s">
        <v>547</v>
      </c>
      <c r="B11" s="8">
        <v>521.8298835</v>
      </c>
      <c r="C11" s="17">
        <f>100000/G1</f>
        <v>361.0108303</v>
      </c>
    </row>
    <row r="12">
      <c r="A12" s="8" t="s">
        <v>548</v>
      </c>
      <c r="B12" s="17">
        <f>500000/G1</f>
        <v>1805.054152</v>
      </c>
      <c r="C12" s="131">
        <f>500000/G1</f>
        <v>1805.054152</v>
      </c>
    </row>
    <row r="13">
      <c r="A13" s="8" t="s">
        <v>549</v>
      </c>
      <c r="B13" s="17">
        <f t="shared" ref="B13:C13" si="1">1000</f>
        <v>1000</v>
      </c>
      <c r="C13" s="131">
        <f t="shared" si="1"/>
        <v>1000</v>
      </c>
    </row>
    <row r="15">
      <c r="A15" s="8" t="s">
        <v>533</v>
      </c>
      <c r="B15" s="17">
        <f>SUM(B2:B14)</f>
        <v>25529.0501</v>
      </c>
      <c r="C15" s="17">
        <f>SUM(C3:C14)</f>
        <v>15007.22022</v>
      </c>
    </row>
    <row r="18">
      <c r="A18" s="8" t="s">
        <v>550</v>
      </c>
    </row>
    <row r="19">
      <c r="A19" s="8" t="s">
        <v>551</v>
      </c>
    </row>
    <row r="20">
      <c r="A20" s="8" t="s">
        <v>552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32.13"/>
  </cols>
  <sheetData>
    <row r="1">
      <c r="A1" s="45" t="s">
        <v>56</v>
      </c>
      <c r="B1" s="45" t="s">
        <v>57</v>
      </c>
    </row>
    <row r="2">
      <c r="A2" s="8" t="s">
        <v>58</v>
      </c>
      <c r="B2" s="46" t="s">
        <v>59</v>
      </c>
    </row>
    <row r="3">
      <c r="A3" s="8" t="s">
        <v>60</v>
      </c>
      <c r="B3" s="47" t="s">
        <v>61</v>
      </c>
    </row>
    <row r="4">
      <c r="A4" s="8" t="s">
        <v>62</v>
      </c>
      <c r="B4" s="47" t="s">
        <v>63</v>
      </c>
    </row>
    <row r="5">
      <c r="A5" s="48" t="s">
        <v>64</v>
      </c>
      <c r="B5" s="47" t="s">
        <v>65</v>
      </c>
    </row>
    <row r="6">
      <c r="A6" s="8" t="s">
        <v>66</v>
      </c>
      <c r="B6" s="47" t="s">
        <v>67</v>
      </c>
    </row>
    <row r="7">
      <c r="A7" s="8" t="s">
        <v>68</v>
      </c>
      <c r="B7" s="47" t="s">
        <v>69</v>
      </c>
    </row>
    <row r="8">
      <c r="A8" s="8" t="s">
        <v>70</v>
      </c>
      <c r="B8" s="46" t="s">
        <v>71</v>
      </c>
    </row>
    <row r="9">
      <c r="A9" s="8" t="s">
        <v>72</v>
      </c>
      <c r="B9" s="47" t="s">
        <v>73</v>
      </c>
    </row>
    <row r="10">
      <c r="A10" s="8" t="s">
        <v>74</v>
      </c>
      <c r="B10" s="47" t="s">
        <v>75</v>
      </c>
    </row>
    <row r="11">
      <c r="A11" s="8" t="s">
        <v>76</v>
      </c>
      <c r="B11" s="47" t="s">
        <v>77</v>
      </c>
    </row>
    <row r="12">
      <c r="A12" s="8" t="s">
        <v>78</v>
      </c>
      <c r="B12" s="47" t="s">
        <v>79</v>
      </c>
    </row>
    <row r="13">
      <c r="A13" s="8" t="s">
        <v>80</v>
      </c>
      <c r="B13" s="47" t="s">
        <v>81</v>
      </c>
    </row>
    <row r="14">
      <c r="A14" s="8" t="s">
        <v>82</v>
      </c>
      <c r="B14" s="47" t="s">
        <v>83</v>
      </c>
    </row>
    <row r="15">
      <c r="A15" s="8" t="s">
        <v>84</v>
      </c>
      <c r="B15" s="47" t="s">
        <v>85</v>
      </c>
    </row>
    <row r="16">
      <c r="A16" s="8" t="s">
        <v>86</v>
      </c>
      <c r="B16" s="46" t="s">
        <v>87</v>
      </c>
    </row>
    <row r="17">
      <c r="A17" s="48" t="s">
        <v>88</v>
      </c>
      <c r="B17" s="47" t="s">
        <v>89</v>
      </c>
    </row>
    <row r="18">
      <c r="A18" s="8" t="s">
        <v>90</v>
      </c>
      <c r="B18" s="47" t="s">
        <v>91</v>
      </c>
    </row>
    <row r="19">
      <c r="A19" s="48" t="s">
        <v>92</v>
      </c>
      <c r="B19" s="47" t="s">
        <v>93</v>
      </c>
    </row>
    <row r="20">
      <c r="A20" s="8" t="s">
        <v>94</v>
      </c>
      <c r="B20" s="47" t="s">
        <v>95</v>
      </c>
    </row>
    <row r="21">
      <c r="A21" s="8" t="s">
        <v>96</v>
      </c>
      <c r="B21" s="47" t="s">
        <v>97</v>
      </c>
    </row>
    <row r="22">
      <c r="A22" s="48" t="s">
        <v>98</v>
      </c>
      <c r="B22" s="47" t="s">
        <v>99</v>
      </c>
    </row>
    <row r="23">
      <c r="A23" s="8" t="s">
        <v>100</v>
      </c>
      <c r="B23" s="46" t="s">
        <v>101</v>
      </c>
    </row>
    <row r="24">
      <c r="A24" s="8" t="s">
        <v>102</v>
      </c>
      <c r="B24" s="46" t="s">
        <v>103</v>
      </c>
    </row>
    <row r="25">
      <c r="A25" s="8" t="s">
        <v>104</v>
      </c>
      <c r="B25" s="47" t="s">
        <v>105</v>
      </c>
    </row>
    <row r="26">
      <c r="A26" s="8" t="s">
        <v>106</v>
      </c>
      <c r="B26" s="47" t="s">
        <v>107</v>
      </c>
    </row>
    <row r="27">
      <c r="A27" s="8" t="s">
        <v>108</v>
      </c>
      <c r="B27" s="47" t="s">
        <v>109</v>
      </c>
    </row>
    <row r="28">
      <c r="A28" s="8" t="s">
        <v>110</v>
      </c>
      <c r="B28" s="47" t="s">
        <v>111</v>
      </c>
    </row>
    <row r="29">
      <c r="A29" s="8" t="s">
        <v>112</v>
      </c>
      <c r="B29" s="47" t="s">
        <v>113</v>
      </c>
    </row>
    <row r="30">
      <c r="A30" s="8" t="s">
        <v>114</v>
      </c>
      <c r="B30" s="47" t="s">
        <v>115</v>
      </c>
    </row>
    <row r="31">
      <c r="A31" s="8" t="s">
        <v>116</v>
      </c>
      <c r="B31" s="47" t="s">
        <v>117</v>
      </c>
    </row>
    <row r="32">
      <c r="A32" s="8" t="s">
        <v>118</v>
      </c>
      <c r="B32" s="47" t="s">
        <v>119</v>
      </c>
    </row>
    <row r="33">
      <c r="A33" s="8" t="s">
        <v>120</v>
      </c>
      <c r="B33" s="47" t="s">
        <v>121</v>
      </c>
    </row>
    <row r="34">
      <c r="A34" s="8" t="s">
        <v>122</v>
      </c>
      <c r="B34" s="47" t="s">
        <v>123</v>
      </c>
    </row>
    <row r="35">
      <c r="A35" s="48" t="s">
        <v>124</v>
      </c>
      <c r="B35" s="47" t="s">
        <v>125</v>
      </c>
    </row>
    <row r="36">
      <c r="A36" s="8" t="s">
        <v>126</v>
      </c>
      <c r="B36" s="47" t="s">
        <v>127</v>
      </c>
    </row>
    <row r="37">
      <c r="A37" s="8" t="s">
        <v>128</v>
      </c>
      <c r="B37" s="47" t="s">
        <v>129</v>
      </c>
    </row>
    <row r="38">
      <c r="A38" s="8" t="s">
        <v>130</v>
      </c>
    </row>
    <row r="39">
      <c r="A39" s="8" t="s">
        <v>131</v>
      </c>
      <c r="B39" s="47" t="s">
        <v>132</v>
      </c>
    </row>
    <row r="40">
      <c r="A40" s="8" t="s">
        <v>133</v>
      </c>
      <c r="B40" s="47" t="s">
        <v>134</v>
      </c>
    </row>
    <row r="41">
      <c r="A41" s="8" t="s">
        <v>135</v>
      </c>
      <c r="B41" s="47" t="s">
        <v>136</v>
      </c>
    </row>
    <row r="42">
      <c r="A42" s="8" t="s">
        <v>137</v>
      </c>
      <c r="B42" s="47" t="s">
        <v>138</v>
      </c>
    </row>
    <row r="43">
      <c r="A43" s="8" t="s">
        <v>139</v>
      </c>
      <c r="B43" s="47" t="s">
        <v>140</v>
      </c>
    </row>
    <row r="44">
      <c r="A44" s="8" t="s">
        <v>141</v>
      </c>
      <c r="B44" s="47" t="s">
        <v>142</v>
      </c>
    </row>
    <row r="45">
      <c r="A45" s="8" t="s">
        <v>143</v>
      </c>
      <c r="B45" s="47" t="s">
        <v>144</v>
      </c>
    </row>
    <row r="46">
      <c r="A46" s="8" t="s">
        <v>145</v>
      </c>
      <c r="B46" s="47" t="s">
        <v>146</v>
      </c>
    </row>
    <row r="47">
      <c r="A47" s="8" t="s">
        <v>147</v>
      </c>
      <c r="B47" s="47" t="s">
        <v>148</v>
      </c>
    </row>
    <row r="48">
      <c r="A48" s="8" t="s">
        <v>149</v>
      </c>
      <c r="B48" s="47" t="s">
        <v>150</v>
      </c>
    </row>
    <row r="49">
      <c r="A49" s="8" t="s">
        <v>151</v>
      </c>
      <c r="B49" s="47" t="s">
        <v>152</v>
      </c>
    </row>
    <row r="50">
      <c r="A50" s="8" t="s">
        <v>153</v>
      </c>
      <c r="B50" s="47" t="s">
        <v>154</v>
      </c>
    </row>
    <row r="51">
      <c r="A51" s="8" t="s">
        <v>155</v>
      </c>
    </row>
    <row r="52">
      <c r="A52" s="8" t="s">
        <v>156</v>
      </c>
    </row>
    <row r="53">
      <c r="A53" s="8" t="s">
        <v>157</v>
      </c>
    </row>
    <row r="54">
      <c r="A54" s="8" t="s">
        <v>158</v>
      </c>
    </row>
    <row r="55">
      <c r="A55" s="8" t="s">
        <v>159</v>
      </c>
    </row>
    <row r="56">
      <c r="A56" s="8" t="s">
        <v>160</v>
      </c>
    </row>
    <row r="57">
      <c r="A57" s="8" t="s">
        <v>161</v>
      </c>
    </row>
    <row r="58">
      <c r="A58" s="8" t="s">
        <v>162</v>
      </c>
    </row>
    <row r="59">
      <c r="A59" s="8" t="s">
        <v>163</v>
      </c>
    </row>
    <row r="60">
      <c r="A60" s="8" t="s">
        <v>164</v>
      </c>
    </row>
    <row r="61">
      <c r="A61" s="8" t="s">
        <v>165</v>
      </c>
    </row>
    <row r="62">
      <c r="A62" s="8" t="s">
        <v>166</v>
      </c>
    </row>
    <row r="63">
      <c r="A63" s="8" t="s">
        <v>167</v>
      </c>
    </row>
    <row r="64">
      <c r="A64" s="8" t="s">
        <v>168</v>
      </c>
    </row>
    <row r="65">
      <c r="A65" s="8" t="s">
        <v>169</v>
      </c>
    </row>
    <row r="66">
      <c r="A66" s="8" t="s">
        <v>170</v>
      </c>
    </row>
    <row r="67">
      <c r="A67" s="8" t="s">
        <v>171</v>
      </c>
    </row>
    <row r="68">
      <c r="A68" s="8" t="s">
        <v>172</v>
      </c>
    </row>
    <row r="69">
      <c r="A69" s="8" t="s">
        <v>173</v>
      </c>
    </row>
    <row r="70">
      <c r="A70" s="8" t="s">
        <v>174</v>
      </c>
    </row>
    <row r="71">
      <c r="A71" s="8" t="s">
        <v>175</v>
      </c>
    </row>
    <row r="72">
      <c r="A72" s="8" t="s">
        <v>176</v>
      </c>
    </row>
    <row r="73">
      <c r="A73" s="8" t="s">
        <v>177</v>
      </c>
    </row>
    <row r="74">
      <c r="A74" s="8" t="s">
        <v>178</v>
      </c>
    </row>
    <row r="75">
      <c r="A75" s="8" t="s">
        <v>179</v>
      </c>
    </row>
    <row r="76">
      <c r="A76" s="8" t="s">
        <v>180</v>
      </c>
    </row>
    <row r="77">
      <c r="A77" s="8" t="s">
        <v>181</v>
      </c>
    </row>
    <row r="78">
      <c r="A78" s="8" t="s">
        <v>182</v>
      </c>
    </row>
    <row r="79">
      <c r="A79" s="8" t="s">
        <v>183</v>
      </c>
    </row>
    <row r="80">
      <c r="A80" s="8" t="s">
        <v>184</v>
      </c>
    </row>
    <row r="81">
      <c r="A81" s="8" t="s">
        <v>185</v>
      </c>
    </row>
    <row r="82">
      <c r="A82" s="8" t="s">
        <v>186</v>
      </c>
    </row>
    <row r="83">
      <c r="A83" s="8" t="s">
        <v>187</v>
      </c>
    </row>
    <row r="84">
      <c r="A84" s="8" t="s">
        <v>188</v>
      </c>
    </row>
    <row r="85">
      <c r="A85" s="8" t="s">
        <v>189</v>
      </c>
    </row>
    <row r="86">
      <c r="A86" s="8" t="s">
        <v>190</v>
      </c>
    </row>
    <row r="87">
      <c r="A87" s="8" t="s">
        <v>191</v>
      </c>
    </row>
    <row r="88">
      <c r="A88" s="8" t="s">
        <v>192</v>
      </c>
    </row>
    <row r="89">
      <c r="A89" s="8" t="s">
        <v>193</v>
      </c>
    </row>
    <row r="90">
      <c r="A90" s="8" t="s">
        <v>194</v>
      </c>
    </row>
    <row r="91">
      <c r="A91" s="8" t="s">
        <v>195</v>
      </c>
    </row>
    <row r="92">
      <c r="A92" s="8" t="s">
        <v>196</v>
      </c>
    </row>
    <row r="93">
      <c r="A93" s="8" t="s">
        <v>197</v>
      </c>
    </row>
    <row r="94">
      <c r="A94" s="8" t="s">
        <v>198</v>
      </c>
    </row>
    <row r="95">
      <c r="A95" s="8" t="s">
        <v>199</v>
      </c>
    </row>
    <row r="96">
      <c r="A96" s="8" t="s">
        <v>200</v>
      </c>
    </row>
    <row r="97">
      <c r="A97" s="8" t="s">
        <v>201</v>
      </c>
    </row>
    <row r="98">
      <c r="A98" s="8" t="s">
        <v>202</v>
      </c>
    </row>
    <row r="99">
      <c r="A99" s="8" t="s">
        <v>203</v>
      </c>
    </row>
    <row r="100">
      <c r="A100" s="8" t="s">
        <v>204</v>
      </c>
    </row>
    <row r="101">
      <c r="A101" s="8" t="s">
        <v>205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13"/>
    <col customWidth="1" min="6" max="6" width="6.88"/>
    <col customWidth="1" min="7" max="7" width="29.25"/>
    <col customWidth="1" min="8" max="8" width="13.63"/>
  </cols>
  <sheetData>
    <row r="1">
      <c r="A1" s="49" t="s">
        <v>206</v>
      </c>
      <c r="B1" s="50" t="s">
        <v>207</v>
      </c>
      <c r="C1" s="51" t="s">
        <v>208</v>
      </c>
      <c r="D1" s="50" t="s">
        <v>209</v>
      </c>
      <c r="E1" s="50" t="s">
        <v>210</v>
      </c>
      <c r="F1" s="52"/>
      <c r="G1" s="49" t="s">
        <v>206</v>
      </c>
      <c r="H1" s="50" t="s">
        <v>207</v>
      </c>
      <c r="I1" s="50" t="s">
        <v>209</v>
      </c>
      <c r="J1" s="50" t="s">
        <v>210</v>
      </c>
    </row>
    <row r="2">
      <c r="A2" s="52" t="s">
        <v>211</v>
      </c>
      <c r="B2" s="53">
        <v>5.0</v>
      </c>
      <c r="C2" s="54" t="s">
        <v>212</v>
      </c>
      <c r="D2" s="53">
        <v>2.7</v>
      </c>
      <c r="E2" s="53">
        <f t="shared" ref="E2:E19" si="1">B2*D2</f>
        <v>13.5</v>
      </c>
      <c r="F2" s="52"/>
      <c r="G2" s="55" t="s">
        <v>213</v>
      </c>
      <c r="H2" s="54">
        <v>6.0</v>
      </c>
      <c r="I2" s="54">
        <v>3.3</v>
      </c>
      <c r="J2" s="53">
        <f t="shared" ref="J2:J18" si="2">H2*I2</f>
        <v>19.8</v>
      </c>
    </row>
    <row r="3">
      <c r="A3" s="52" t="s">
        <v>214</v>
      </c>
      <c r="B3" s="53">
        <v>6.0</v>
      </c>
      <c r="C3" s="54" t="s">
        <v>215</v>
      </c>
      <c r="D3" s="53">
        <v>2.3</v>
      </c>
      <c r="E3" s="53">
        <f t="shared" si="1"/>
        <v>13.8</v>
      </c>
      <c r="F3" s="52"/>
      <c r="G3" s="56" t="s">
        <v>216</v>
      </c>
      <c r="H3" s="57">
        <v>6.0</v>
      </c>
      <c r="I3" s="58">
        <v>3.7</v>
      </c>
      <c r="J3" s="57">
        <f t="shared" si="2"/>
        <v>22.2</v>
      </c>
    </row>
    <row r="4">
      <c r="A4" s="52" t="s">
        <v>217</v>
      </c>
      <c r="B4" s="53">
        <v>6.0</v>
      </c>
      <c r="C4" s="54" t="s">
        <v>215</v>
      </c>
      <c r="D4" s="53">
        <v>1.7</v>
      </c>
      <c r="E4" s="53">
        <f t="shared" si="1"/>
        <v>10.2</v>
      </c>
      <c r="F4" s="52"/>
      <c r="G4" s="55" t="s">
        <v>218</v>
      </c>
      <c r="H4" s="53">
        <v>6.0</v>
      </c>
      <c r="I4" s="54">
        <v>3.3</v>
      </c>
      <c r="J4" s="53">
        <f t="shared" si="2"/>
        <v>19.8</v>
      </c>
    </row>
    <row r="5">
      <c r="A5" s="52" t="s">
        <v>219</v>
      </c>
      <c r="B5" s="53">
        <v>6.0</v>
      </c>
      <c r="C5" s="54" t="s">
        <v>215</v>
      </c>
      <c r="D5" s="53">
        <v>2.0</v>
      </c>
      <c r="E5" s="53">
        <f t="shared" si="1"/>
        <v>12</v>
      </c>
      <c r="F5" s="52"/>
      <c r="G5" s="52" t="s">
        <v>219</v>
      </c>
      <c r="H5" s="53">
        <v>6.0</v>
      </c>
      <c r="I5" s="54">
        <v>1.3</v>
      </c>
      <c r="J5" s="53">
        <f t="shared" si="2"/>
        <v>7.8</v>
      </c>
    </row>
    <row r="6">
      <c r="A6" s="52" t="s">
        <v>220</v>
      </c>
      <c r="B6" s="53">
        <v>3.0</v>
      </c>
      <c r="C6" s="54" t="s">
        <v>221</v>
      </c>
      <c r="D6" s="53">
        <v>2.7</v>
      </c>
      <c r="E6" s="53">
        <f t="shared" si="1"/>
        <v>8.1</v>
      </c>
      <c r="F6" s="52"/>
      <c r="G6" s="55" t="s">
        <v>222</v>
      </c>
      <c r="H6" s="54">
        <v>6.0</v>
      </c>
      <c r="I6" s="54">
        <v>3.3</v>
      </c>
      <c r="J6" s="53">
        <f t="shared" si="2"/>
        <v>19.8</v>
      </c>
    </row>
    <row r="7">
      <c r="A7" s="52" t="s">
        <v>223</v>
      </c>
      <c r="B7" s="53">
        <v>3.0</v>
      </c>
      <c r="C7" s="54" t="s">
        <v>221</v>
      </c>
      <c r="D7" s="53">
        <v>1.0</v>
      </c>
      <c r="E7" s="53">
        <f t="shared" si="1"/>
        <v>3</v>
      </c>
      <c r="F7" s="52"/>
      <c r="G7" s="56" t="s">
        <v>217</v>
      </c>
      <c r="H7" s="58">
        <v>6.0</v>
      </c>
      <c r="I7" s="58">
        <v>4.0</v>
      </c>
      <c r="J7" s="57">
        <f t="shared" si="2"/>
        <v>24</v>
      </c>
    </row>
    <row r="8">
      <c r="A8" s="52" t="s">
        <v>216</v>
      </c>
      <c r="B8" s="53">
        <v>6.0</v>
      </c>
      <c r="C8" s="54" t="s">
        <v>221</v>
      </c>
      <c r="D8" s="53">
        <v>2.7</v>
      </c>
      <c r="E8" s="53">
        <f t="shared" si="1"/>
        <v>16.2</v>
      </c>
      <c r="F8" s="52"/>
      <c r="G8" s="55" t="s">
        <v>224</v>
      </c>
      <c r="H8" s="53">
        <v>5.0</v>
      </c>
      <c r="I8" s="53">
        <f>2.3</f>
        <v>2.3</v>
      </c>
      <c r="J8" s="53">
        <f t="shared" si="2"/>
        <v>11.5</v>
      </c>
    </row>
    <row r="9">
      <c r="A9" s="8" t="s">
        <v>225</v>
      </c>
      <c r="B9" s="8">
        <v>5.0</v>
      </c>
      <c r="C9" s="54" t="s">
        <v>221</v>
      </c>
      <c r="D9" s="17">
        <f>3.7</f>
        <v>3.7</v>
      </c>
      <c r="E9" s="17">
        <f t="shared" si="1"/>
        <v>18.5</v>
      </c>
      <c r="F9" s="52"/>
      <c r="G9" s="55" t="s">
        <v>226</v>
      </c>
      <c r="H9" s="54">
        <v>6.0</v>
      </c>
      <c r="I9" s="54">
        <v>3.3</v>
      </c>
      <c r="J9" s="53">
        <f t="shared" si="2"/>
        <v>19.8</v>
      </c>
    </row>
    <row r="10">
      <c r="A10" s="8" t="s">
        <v>227</v>
      </c>
      <c r="B10" s="8">
        <v>7.0</v>
      </c>
      <c r="C10" s="54" t="s">
        <v>221</v>
      </c>
      <c r="D10" s="8">
        <v>3.3</v>
      </c>
      <c r="E10" s="17">
        <f t="shared" si="1"/>
        <v>23.1</v>
      </c>
      <c r="F10" s="52"/>
      <c r="G10" s="52" t="s">
        <v>228</v>
      </c>
      <c r="H10" s="53">
        <v>6.0</v>
      </c>
      <c r="I10" s="54">
        <v>2.0</v>
      </c>
      <c r="J10" s="53">
        <f t="shared" si="2"/>
        <v>12</v>
      </c>
    </row>
    <row r="11">
      <c r="A11" s="52" t="s">
        <v>213</v>
      </c>
      <c r="B11" s="53">
        <v>6.0</v>
      </c>
      <c r="C11" s="54" t="s">
        <v>221</v>
      </c>
      <c r="D11" s="53">
        <v>2.7</v>
      </c>
      <c r="E11" s="53">
        <f t="shared" si="1"/>
        <v>16.2</v>
      </c>
      <c r="F11" s="52"/>
      <c r="G11" s="55" t="s">
        <v>229</v>
      </c>
      <c r="H11" s="54">
        <v>5.0</v>
      </c>
      <c r="I11" s="54">
        <v>3.7</v>
      </c>
      <c r="J11" s="53">
        <f t="shared" si="2"/>
        <v>18.5</v>
      </c>
    </row>
    <row r="12">
      <c r="A12" s="59" t="s">
        <v>229</v>
      </c>
      <c r="B12" s="60">
        <v>5.0</v>
      </c>
      <c r="C12" s="61" t="s">
        <v>230</v>
      </c>
      <c r="D12" s="60">
        <f>2.7</f>
        <v>2.7</v>
      </c>
      <c r="E12" s="60">
        <f t="shared" si="1"/>
        <v>13.5</v>
      </c>
      <c r="F12" s="52"/>
      <c r="G12" s="62" t="s">
        <v>231</v>
      </c>
      <c r="H12" s="63">
        <v>6.0</v>
      </c>
      <c r="I12" s="64">
        <v>2.3</v>
      </c>
      <c r="J12" s="63">
        <f t="shared" si="2"/>
        <v>13.8</v>
      </c>
    </row>
    <row r="13">
      <c r="A13" s="59" t="s">
        <v>228</v>
      </c>
      <c r="B13" s="60">
        <v>6.0</v>
      </c>
      <c r="C13" s="65" t="s">
        <v>215</v>
      </c>
      <c r="D13" s="61">
        <v>1.3</v>
      </c>
      <c r="E13" s="60">
        <f t="shared" si="1"/>
        <v>7.8</v>
      </c>
      <c r="F13" s="52"/>
      <c r="G13" s="66" t="s">
        <v>232</v>
      </c>
      <c r="H13" s="63">
        <v>6.0</v>
      </c>
      <c r="I13" s="64">
        <f t="shared" ref="I13:I16" si="3">2</f>
        <v>2</v>
      </c>
      <c r="J13" s="63">
        <f t="shared" si="2"/>
        <v>12</v>
      </c>
    </row>
    <row r="14">
      <c r="A14" s="66" t="s">
        <v>232</v>
      </c>
      <c r="B14" s="63">
        <v>6.0</v>
      </c>
      <c r="C14" s="64" t="s">
        <v>233</v>
      </c>
      <c r="D14" s="64">
        <v>1.7</v>
      </c>
      <c r="E14" s="63">
        <f t="shared" si="1"/>
        <v>10.2</v>
      </c>
      <c r="F14" s="52"/>
      <c r="G14" s="66" t="s">
        <v>234</v>
      </c>
      <c r="H14" s="63">
        <f t="shared" ref="H14:H15" si="4">6</f>
        <v>6</v>
      </c>
      <c r="I14" s="64">
        <f t="shared" si="3"/>
        <v>2</v>
      </c>
      <c r="J14" s="63">
        <f t="shared" si="2"/>
        <v>12</v>
      </c>
    </row>
    <row r="15">
      <c r="A15" s="66" t="s">
        <v>235</v>
      </c>
      <c r="B15" s="64">
        <v>6.0</v>
      </c>
      <c r="C15" s="64" t="s">
        <v>221</v>
      </c>
      <c r="D15" s="64">
        <v>2.0</v>
      </c>
      <c r="E15" s="63">
        <f t="shared" si="1"/>
        <v>12</v>
      </c>
      <c r="F15" s="52"/>
      <c r="G15" s="66" t="s">
        <v>235</v>
      </c>
      <c r="H15" s="63">
        <f t="shared" si="4"/>
        <v>6</v>
      </c>
      <c r="I15" s="64">
        <f t="shared" si="3"/>
        <v>2</v>
      </c>
      <c r="J15" s="63">
        <f t="shared" si="2"/>
        <v>12</v>
      </c>
    </row>
    <row r="16">
      <c r="A16" s="66" t="s">
        <v>236</v>
      </c>
      <c r="B16" s="63">
        <v>5.0</v>
      </c>
      <c r="C16" s="64" t="s">
        <v>237</v>
      </c>
      <c r="D16" s="64">
        <v>2.0</v>
      </c>
      <c r="E16" s="63">
        <f t="shared" si="1"/>
        <v>10</v>
      </c>
      <c r="F16" s="52"/>
      <c r="G16" s="62" t="s">
        <v>238</v>
      </c>
      <c r="H16" s="64">
        <v>3.0</v>
      </c>
      <c r="I16" s="64">
        <f t="shared" si="3"/>
        <v>2</v>
      </c>
      <c r="J16" s="63">
        <f t="shared" si="2"/>
        <v>6</v>
      </c>
    </row>
    <row r="17">
      <c r="A17" s="62" t="s">
        <v>238</v>
      </c>
      <c r="B17" s="64">
        <v>3.0</v>
      </c>
      <c r="C17" s="64" t="s">
        <v>221</v>
      </c>
      <c r="D17" s="64">
        <v>2.0</v>
      </c>
      <c r="E17" s="64">
        <f t="shared" si="1"/>
        <v>6</v>
      </c>
      <c r="F17" s="52"/>
      <c r="G17" s="55" t="s">
        <v>239</v>
      </c>
      <c r="H17" s="54">
        <v>5.0</v>
      </c>
      <c r="I17" s="54">
        <v>2.0</v>
      </c>
      <c r="J17" s="53">
        <f t="shared" si="2"/>
        <v>10</v>
      </c>
    </row>
    <row r="18">
      <c r="A18" s="67" t="s">
        <v>240</v>
      </c>
      <c r="B18" s="60">
        <v>6.0</v>
      </c>
      <c r="C18" s="61" t="s">
        <v>233</v>
      </c>
      <c r="D18" s="61">
        <v>2.0</v>
      </c>
      <c r="E18" s="60">
        <f t="shared" si="1"/>
        <v>12</v>
      </c>
      <c r="F18" s="52"/>
      <c r="G18" s="52" t="s">
        <v>241</v>
      </c>
      <c r="H18" s="54">
        <v>30.0</v>
      </c>
      <c r="I18" s="54">
        <v>2.0</v>
      </c>
      <c r="J18" s="53">
        <f t="shared" si="2"/>
        <v>60</v>
      </c>
    </row>
    <row r="19">
      <c r="A19" s="52" t="s">
        <v>241</v>
      </c>
      <c r="B19" s="54">
        <v>30.0</v>
      </c>
      <c r="C19" s="53"/>
      <c r="D19" s="53">
        <f>2</f>
        <v>2</v>
      </c>
      <c r="E19" s="53">
        <f t="shared" si="1"/>
        <v>60</v>
      </c>
      <c r="F19" s="52"/>
      <c r="G19" s="52"/>
      <c r="H19" s="53">
        <f>SUM(H2:H18)</f>
        <v>120</v>
      </c>
      <c r="I19" s="52"/>
      <c r="J19" s="53">
        <f>SUM(J2:J18)</f>
        <v>301</v>
      </c>
    </row>
    <row r="20">
      <c r="A20" s="52"/>
      <c r="B20" s="53">
        <f>SUM(B2:B19)</f>
        <v>120</v>
      </c>
      <c r="C20" s="52"/>
      <c r="D20" s="52"/>
      <c r="E20" s="53">
        <f>SUM(E2:E19)</f>
        <v>266.1</v>
      </c>
      <c r="F20" s="52"/>
    </row>
    <row r="21">
      <c r="F21" s="52"/>
      <c r="J21" s="68">
        <f>J19/H19</f>
        <v>2.508333333</v>
      </c>
    </row>
    <row r="22">
      <c r="A22" s="8" t="s">
        <v>242</v>
      </c>
      <c r="B22" s="8">
        <v>5.0</v>
      </c>
      <c r="E22" s="68">
        <f>E20/B20</f>
        <v>2.2175</v>
      </c>
      <c r="F22" s="52"/>
    </row>
    <row r="23">
      <c r="A23" s="8" t="s">
        <v>243</v>
      </c>
      <c r="B23" s="8">
        <v>0.0</v>
      </c>
      <c r="F23" s="52"/>
      <c r="J23" s="68">
        <f>SUM(J2:J11)/SUM(H2:H11)</f>
        <v>3.020689655</v>
      </c>
    </row>
    <row r="24">
      <c r="A24" s="8" t="s">
        <v>244</v>
      </c>
      <c r="B24" s="8">
        <v>24.0</v>
      </c>
      <c r="E24" s="68">
        <f>SUM(E2:E13)/SUM(B2:B13)</f>
        <v>2.4359375</v>
      </c>
      <c r="F24" s="52"/>
    </row>
    <row r="25">
      <c r="A25" s="8" t="s">
        <v>245</v>
      </c>
      <c r="B25" s="8">
        <v>12.0</v>
      </c>
      <c r="F25" s="53"/>
    </row>
    <row r="26">
      <c r="A26" s="8" t="s">
        <v>246</v>
      </c>
      <c r="B26" s="8">
        <v>39.0</v>
      </c>
    </row>
    <row r="27">
      <c r="A27" s="8" t="s">
        <v>247</v>
      </c>
      <c r="B27" s="8">
        <v>5.0</v>
      </c>
    </row>
    <row r="28">
      <c r="A28" s="8" t="s">
        <v>248</v>
      </c>
      <c r="B28" s="8">
        <v>5.0</v>
      </c>
    </row>
    <row r="29">
      <c r="B29" s="68">
        <f>SUM(B22:B28)</f>
        <v>90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2" max="2" width="35.38"/>
    <col customWidth="1" min="3" max="3" width="27.13"/>
  </cols>
  <sheetData>
    <row r="1">
      <c r="A1" s="69" t="s">
        <v>249</v>
      </c>
      <c r="B1" s="69" t="s">
        <v>250</v>
      </c>
      <c r="C1" s="69" t="s">
        <v>251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1" t="s">
        <v>252</v>
      </c>
      <c r="B2" s="71" t="s">
        <v>253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71" t="s">
        <v>252</v>
      </c>
      <c r="B3" s="71" t="s">
        <v>254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1" t="s">
        <v>255</v>
      </c>
      <c r="B4" s="71" t="s">
        <v>256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1" t="s">
        <v>252</v>
      </c>
      <c r="B5" s="71" t="s">
        <v>257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1" t="s">
        <v>258</v>
      </c>
      <c r="B6" s="71" t="s">
        <v>259</v>
      </c>
      <c r="C6" s="72" t="s">
        <v>260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71" t="s">
        <v>255</v>
      </c>
      <c r="B7" s="71" t="s">
        <v>261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3" t="s">
        <v>234</v>
      </c>
      <c r="B8" s="73" t="s">
        <v>262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4" t="s">
        <v>263</v>
      </c>
      <c r="B9" s="74" t="s">
        <v>264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5" t="s">
        <v>265</v>
      </c>
      <c r="B10" s="75" t="s">
        <v>266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3" max="3" width="17.13"/>
    <col customWidth="1" min="4" max="5" width="15.13"/>
    <col customWidth="1" min="6" max="6" width="29.5"/>
    <col customWidth="1" min="7" max="7" width="19.63"/>
    <col customWidth="1" min="8" max="8" width="16.75"/>
    <col customWidth="1" min="9" max="9" width="25.63"/>
    <col customWidth="1" min="10" max="10" width="14.75"/>
  </cols>
  <sheetData>
    <row r="1">
      <c r="A1" s="76" t="s">
        <v>267</v>
      </c>
      <c r="F1" s="76" t="s">
        <v>268</v>
      </c>
      <c r="J1" s="45"/>
      <c r="K1" s="45"/>
    </row>
    <row r="2">
      <c r="A2" s="45" t="s">
        <v>269</v>
      </c>
      <c r="B2" s="45" t="s">
        <v>270</v>
      </c>
      <c r="C2" s="45" t="s">
        <v>271</v>
      </c>
      <c r="D2" s="68"/>
      <c r="E2" s="68"/>
      <c r="F2" s="45" t="s">
        <v>269</v>
      </c>
      <c r="G2" s="45" t="s">
        <v>270</v>
      </c>
      <c r="H2" s="45" t="s">
        <v>271</v>
      </c>
      <c r="J2" s="45"/>
      <c r="K2" s="45"/>
    </row>
    <row r="3">
      <c r="A3" s="77" t="s">
        <v>272</v>
      </c>
      <c r="B3" s="17">
        <f>400*0.8</f>
        <v>320</v>
      </c>
      <c r="C3" s="8">
        <f>B3</f>
        <v>320</v>
      </c>
      <c r="F3" s="78" t="s">
        <v>273</v>
      </c>
      <c r="G3" s="78">
        <f>600*0.8</f>
        <v>480</v>
      </c>
      <c r="H3" s="79">
        <f>G3-(37000/B11)</f>
        <v>350.1754386</v>
      </c>
    </row>
    <row r="4">
      <c r="A4" s="77" t="s">
        <v>274</v>
      </c>
      <c r="B4" s="17">
        <f>550*0.8</f>
        <v>440</v>
      </c>
      <c r="C4" s="80">
        <f>B4-(36000/B11)</f>
        <v>313.6842105</v>
      </c>
      <c r="F4" s="81" t="s">
        <v>275</v>
      </c>
      <c r="G4" s="82">
        <f>500*0.8</f>
        <v>400</v>
      </c>
      <c r="H4" s="82">
        <f>G4-(15000/B11)</f>
        <v>347.3684211</v>
      </c>
    </row>
    <row r="5">
      <c r="A5" s="45" t="s">
        <v>276</v>
      </c>
      <c r="C5" s="68">
        <f>SUM(C3:C4)</f>
        <v>633.6842105</v>
      </c>
      <c r="F5" s="77" t="s">
        <v>277</v>
      </c>
      <c r="G5" s="83">
        <f>270*0.8+((1350-270))</f>
        <v>1296</v>
      </c>
      <c r="H5" s="83">
        <f>G5-(140000/B11)</f>
        <v>804.7719298</v>
      </c>
    </row>
    <row r="6">
      <c r="F6" s="78" t="s">
        <v>278</v>
      </c>
      <c r="G6" s="79">
        <f>1000*0.8</f>
        <v>800</v>
      </c>
      <c r="H6" s="79">
        <f>G6-(15000/B11)</f>
        <v>747.3684211</v>
      </c>
    </row>
    <row r="7">
      <c r="F7" s="81" t="s">
        <v>279</v>
      </c>
      <c r="G7" s="81">
        <f>700*0.97</f>
        <v>679</v>
      </c>
      <c r="H7" s="82">
        <f>G7-(15000/B11)</f>
        <v>626.3684211</v>
      </c>
    </row>
    <row r="8">
      <c r="F8" s="8" t="s">
        <v>280</v>
      </c>
      <c r="G8" s="8">
        <f>1500</f>
        <v>1500</v>
      </c>
      <c r="H8" s="17">
        <f>G8-(80000/B11)</f>
        <v>1219.298246</v>
      </c>
    </row>
    <row r="9">
      <c r="F9" s="81" t="s">
        <v>281</v>
      </c>
      <c r="G9" s="81">
        <f>240</f>
        <v>240</v>
      </c>
      <c r="H9" s="84">
        <f>G9-(12000/B11)</f>
        <v>197.8947368</v>
      </c>
    </row>
    <row r="10">
      <c r="F10" s="81" t="s">
        <v>282</v>
      </c>
      <c r="G10" s="81">
        <f>110*0.8</f>
        <v>88</v>
      </c>
      <c r="H10" s="84">
        <f>G10</f>
        <v>88</v>
      </c>
    </row>
    <row r="11">
      <c r="A11" s="51" t="s">
        <v>283</v>
      </c>
      <c r="B11" s="85">
        <v>285.0</v>
      </c>
      <c r="F11" s="81" t="s">
        <v>284</v>
      </c>
      <c r="G11" s="81">
        <f>700*0.8</f>
        <v>560</v>
      </c>
      <c r="H11" s="84">
        <f>G11-(35000/B11)</f>
        <v>437.1929825</v>
      </c>
    </row>
    <row r="12">
      <c r="A12" s="51" t="s">
        <v>285</v>
      </c>
      <c r="B12" s="85">
        <v>0.93</v>
      </c>
      <c r="F12" s="86" t="s">
        <v>286</v>
      </c>
      <c r="G12" s="87">
        <v>0.0</v>
      </c>
      <c r="H12" s="88">
        <v>0.0</v>
      </c>
    </row>
    <row r="13">
      <c r="F13" s="78" t="s">
        <v>287</v>
      </c>
      <c r="G13" s="78">
        <f>200*0.8</f>
        <v>160</v>
      </c>
      <c r="H13" s="89">
        <f t="shared" ref="H13:H14" si="1">G13</f>
        <v>160</v>
      </c>
    </row>
    <row r="14">
      <c r="F14" s="81" t="s">
        <v>288</v>
      </c>
      <c r="G14" s="81">
        <f>400*0.8</f>
        <v>320</v>
      </c>
      <c r="H14" s="84">
        <f t="shared" si="1"/>
        <v>320</v>
      </c>
    </row>
    <row r="15">
      <c r="F15" s="8" t="s">
        <v>289</v>
      </c>
      <c r="G15" s="8">
        <f>450*0.8</f>
        <v>360</v>
      </c>
      <c r="H15" s="70">
        <f>G15-(30000/B11)</f>
        <v>254.7368421</v>
      </c>
    </row>
    <row r="16">
      <c r="F16" s="81" t="s">
        <v>290</v>
      </c>
      <c r="G16" s="81">
        <f>600*0.97</f>
        <v>582</v>
      </c>
      <c r="H16" s="84">
        <f t="shared" ref="H16:H17" si="2">G16</f>
        <v>582</v>
      </c>
    </row>
    <row r="17">
      <c r="F17" s="81" t="s">
        <v>291</v>
      </c>
      <c r="G17" s="81">
        <f>130*0.8</f>
        <v>104</v>
      </c>
      <c r="H17" s="84">
        <f t="shared" si="2"/>
        <v>104</v>
      </c>
    </row>
    <row r="18">
      <c r="F18" s="90" t="s">
        <v>292</v>
      </c>
      <c r="G18" s="90">
        <f>670*0.8</f>
        <v>536</v>
      </c>
      <c r="H18" s="91">
        <f>G18-(25000/B11)</f>
        <v>448.2807018</v>
      </c>
    </row>
    <row r="19">
      <c r="F19" s="81" t="s">
        <v>293</v>
      </c>
      <c r="G19" s="81">
        <f>590*0.8</f>
        <v>472</v>
      </c>
      <c r="H19" s="92">
        <f>G19-(0/B11)</f>
        <v>472</v>
      </c>
    </row>
    <row r="20">
      <c r="F20" s="90" t="s">
        <v>294</v>
      </c>
      <c r="G20" s="90">
        <f>300*0.8</f>
        <v>240</v>
      </c>
      <c r="H20" s="91">
        <f>G20-(20000/B11)</f>
        <v>169.8245614</v>
      </c>
    </row>
    <row r="21">
      <c r="F21" s="45" t="s">
        <v>295</v>
      </c>
      <c r="G21" s="93">
        <f>SUM(G3:G19)</f>
        <v>8577</v>
      </c>
      <c r="H21" s="68">
        <f>SUM(H3:H20)</f>
        <v>7329.280702</v>
      </c>
    </row>
    <row r="22">
      <c r="F22" s="45"/>
      <c r="H22" s="68"/>
    </row>
    <row r="24">
      <c r="A24" s="45" t="s">
        <v>296</v>
      </c>
      <c r="B24" s="68"/>
      <c r="C24" s="68">
        <f>(C5+H21-97.52-((134000+55000)/B11))*B12</f>
        <v>6698.126926</v>
      </c>
    </row>
    <row r="27">
      <c r="A27" s="8" t="s">
        <v>297</v>
      </c>
      <c r="C27" s="17">
        <f>1917.54-10.9+73.89-22.9-349-121-120-20-30</f>
        <v>1317.63</v>
      </c>
      <c r="F27" s="45" t="s">
        <v>298</v>
      </c>
      <c r="G27" s="45" t="s">
        <v>299</v>
      </c>
      <c r="H27" s="45" t="s">
        <v>300</v>
      </c>
      <c r="I27" s="45" t="s">
        <v>301</v>
      </c>
    </row>
    <row r="28" ht="18.75" customHeight="1">
      <c r="A28" s="8" t="s">
        <v>302</v>
      </c>
      <c r="C28" s="17">
        <f>278.7*K2+18.76</f>
        <v>18.76</v>
      </c>
      <c r="F28" s="94" t="s">
        <v>303</v>
      </c>
      <c r="G28" s="78" t="s">
        <v>278</v>
      </c>
      <c r="H28" s="86" t="s">
        <v>304</v>
      </c>
      <c r="I28" s="95" t="s">
        <v>304</v>
      </c>
    </row>
    <row r="29">
      <c r="A29" s="45" t="s">
        <v>305</v>
      </c>
      <c r="B29" s="68"/>
      <c r="C29" s="68">
        <f>SUM(C27:C28)</f>
        <v>1336.39</v>
      </c>
      <c r="F29" s="94" t="s">
        <v>306</v>
      </c>
      <c r="G29" s="86" t="s">
        <v>277</v>
      </c>
      <c r="H29" s="8" t="s">
        <v>274</v>
      </c>
      <c r="I29" s="95" t="s">
        <v>272</v>
      </c>
    </row>
    <row r="30">
      <c r="F30" s="94" t="s">
        <v>307</v>
      </c>
      <c r="G30" s="86" t="s">
        <v>272</v>
      </c>
      <c r="H30" s="86" t="s">
        <v>272</v>
      </c>
      <c r="I30" s="96" t="s">
        <v>284</v>
      </c>
    </row>
    <row r="31">
      <c r="A31" s="8" t="s">
        <v>308</v>
      </c>
      <c r="C31" s="8">
        <v>16.0</v>
      </c>
      <c r="F31" s="87" t="s">
        <v>309</v>
      </c>
      <c r="G31" s="97" t="s">
        <v>273</v>
      </c>
      <c r="H31" s="98" t="s">
        <v>307</v>
      </c>
      <c r="I31" s="95" t="s">
        <v>310</v>
      </c>
    </row>
    <row r="32">
      <c r="A32" s="8"/>
      <c r="F32" s="81" t="s">
        <v>311</v>
      </c>
      <c r="G32" s="96" t="s">
        <v>275</v>
      </c>
      <c r="H32" s="86" t="s">
        <v>284</v>
      </c>
      <c r="I32" s="87" t="s">
        <v>292</v>
      </c>
    </row>
    <row r="33">
      <c r="A33" s="45" t="s">
        <v>312</v>
      </c>
      <c r="B33" s="68"/>
      <c r="C33" s="68">
        <f>C24+C29</f>
        <v>8034.516926</v>
      </c>
      <c r="F33" s="81" t="s">
        <v>281</v>
      </c>
      <c r="G33" s="99" t="s">
        <v>307</v>
      </c>
      <c r="H33" s="86" t="s">
        <v>286</v>
      </c>
      <c r="I33" s="81" t="s">
        <v>293</v>
      </c>
    </row>
    <row r="34">
      <c r="F34" s="81" t="s">
        <v>288</v>
      </c>
      <c r="G34" s="81" t="s">
        <v>282</v>
      </c>
      <c r="H34" s="86" t="s">
        <v>310</v>
      </c>
      <c r="I34" s="87" t="s">
        <v>294</v>
      </c>
    </row>
    <row r="35">
      <c r="A35" s="45" t="s">
        <v>313</v>
      </c>
      <c r="B35" s="68"/>
      <c r="C35" s="68">
        <f>(F43+G43+H43+I43)*B12</f>
        <v>4257.980526</v>
      </c>
      <c r="F35" s="81" t="s">
        <v>314</v>
      </c>
      <c r="G35" s="86" t="s">
        <v>284</v>
      </c>
      <c r="I35" s="81" t="s">
        <v>291</v>
      </c>
    </row>
    <row r="36">
      <c r="A36" s="45" t="s">
        <v>315</v>
      </c>
      <c r="B36" s="68"/>
      <c r="C36" s="68">
        <f>C24-C35</f>
        <v>2440.1464</v>
      </c>
      <c r="G36" s="86" t="s">
        <v>286</v>
      </c>
      <c r="H36" s="8"/>
    </row>
    <row r="37">
      <c r="D37" s="45"/>
      <c r="E37" s="45"/>
      <c r="F37" s="68"/>
      <c r="G37" s="81" t="s">
        <v>287</v>
      </c>
    </row>
    <row r="38">
      <c r="D38" s="45"/>
      <c r="E38" s="45"/>
      <c r="F38" s="68"/>
      <c r="G38" s="86" t="s">
        <v>310</v>
      </c>
    </row>
    <row r="39">
      <c r="G39" s="8"/>
    </row>
    <row r="40">
      <c r="G40" s="8"/>
    </row>
    <row r="43">
      <c r="D43" s="45"/>
      <c r="E43" s="45" t="s">
        <v>316</v>
      </c>
      <c r="F43" s="68">
        <f>G9+G14+(600*0.97)</f>
        <v>1142</v>
      </c>
      <c r="G43" s="68">
        <f>G10+H6+H4+H3+H13</f>
        <v>1692.912281</v>
      </c>
      <c r="H43" s="68">
        <f>H17+H7</f>
        <v>730.3684211</v>
      </c>
      <c r="I43" s="100">
        <f>H11+H19+H17</f>
        <v>1013.192982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3" max="3" width="17.13"/>
    <col customWidth="1" min="4" max="4" width="15.13"/>
    <col customWidth="1" min="5" max="5" width="27.75"/>
    <col customWidth="1" min="6" max="6" width="27.63"/>
    <col customWidth="1" min="7" max="7" width="21.13"/>
    <col customWidth="1" min="8" max="8" width="25.63"/>
    <col customWidth="1" min="9" max="9" width="14.75"/>
  </cols>
  <sheetData>
    <row r="1">
      <c r="A1" s="76" t="s">
        <v>267</v>
      </c>
      <c r="E1" s="76" t="s">
        <v>268</v>
      </c>
      <c r="I1" s="45"/>
      <c r="J1" s="45"/>
    </row>
    <row r="2">
      <c r="A2" s="45" t="s">
        <v>269</v>
      </c>
      <c r="B2" s="45" t="s">
        <v>270</v>
      </c>
      <c r="C2" s="45" t="s">
        <v>271</v>
      </c>
      <c r="D2" s="68"/>
      <c r="E2" s="45" t="s">
        <v>269</v>
      </c>
      <c r="F2" s="45" t="s">
        <v>270</v>
      </c>
      <c r="G2" s="45" t="s">
        <v>271</v>
      </c>
      <c r="I2" s="45"/>
      <c r="J2" s="45"/>
    </row>
    <row r="3">
      <c r="A3" s="77" t="s">
        <v>272</v>
      </c>
      <c r="B3" s="83">
        <f>400*0.8</f>
        <v>320</v>
      </c>
      <c r="C3" s="77">
        <f>B3-(10000/B17)</f>
        <v>285.0691631</v>
      </c>
      <c r="E3" s="81" t="s">
        <v>317</v>
      </c>
      <c r="F3" s="81">
        <v>1000.0</v>
      </c>
      <c r="G3" s="101">
        <f>F3*0.97-(0/B17)</f>
        <v>970</v>
      </c>
    </row>
    <row r="4">
      <c r="A4" s="77" t="s">
        <v>274</v>
      </c>
      <c r="B4" s="83">
        <f>550*0.8</f>
        <v>440</v>
      </c>
      <c r="C4" s="102">
        <f>B4-(36000/B17)</f>
        <v>314.248987</v>
      </c>
      <c r="E4" s="81" t="s">
        <v>318</v>
      </c>
      <c r="F4" s="81">
        <v>1500.0</v>
      </c>
      <c r="G4" s="92">
        <f>F4*0.97-(0/B17)</f>
        <v>1455</v>
      </c>
    </row>
    <row r="5">
      <c r="A5" s="81" t="s">
        <v>289</v>
      </c>
      <c r="B5" s="81">
        <f>450*0.8</f>
        <v>360</v>
      </c>
      <c r="C5" s="84">
        <f>B5-(30000/B17)</f>
        <v>255.2074892</v>
      </c>
      <c r="E5" s="103" t="s">
        <v>319</v>
      </c>
      <c r="F5" s="104">
        <v>500.0</v>
      </c>
      <c r="G5" s="105">
        <f>F5*0.97-(0/B17)</f>
        <v>485</v>
      </c>
    </row>
    <row r="6">
      <c r="A6" s="81" t="s">
        <v>292</v>
      </c>
      <c r="B6" s="81">
        <f>670*0.8</f>
        <v>536</v>
      </c>
      <c r="C6" s="84">
        <f>B6-(25000/B17)</f>
        <v>448.6729076</v>
      </c>
      <c r="E6" s="81" t="s">
        <v>320</v>
      </c>
      <c r="F6" s="78">
        <v>420.0</v>
      </c>
      <c r="G6" s="92">
        <f t="shared" ref="G6:G7" si="1">F6*0.9</f>
        <v>378</v>
      </c>
    </row>
    <row r="7">
      <c r="A7" s="8" t="s">
        <v>280</v>
      </c>
      <c r="B7" s="8">
        <f>1500-300-400</f>
        <v>800</v>
      </c>
      <c r="C7" s="17">
        <f>B7-(40000/B17)</f>
        <v>660.2766522</v>
      </c>
      <c r="E7" s="78" t="s">
        <v>321</v>
      </c>
      <c r="F7" s="78">
        <f>500</f>
        <v>500</v>
      </c>
      <c r="G7" s="92">
        <f t="shared" si="1"/>
        <v>450</v>
      </c>
    </row>
    <row r="8">
      <c r="A8" s="81" t="s">
        <v>294</v>
      </c>
      <c r="B8" s="81">
        <f>300*0.8</f>
        <v>240</v>
      </c>
      <c r="C8" s="84">
        <f>B8-(20000/B17)</f>
        <v>170.1383261</v>
      </c>
      <c r="E8" s="103" t="s">
        <v>322</v>
      </c>
      <c r="F8" s="106">
        <f>900*0.8</f>
        <v>720</v>
      </c>
      <c r="G8" s="103">
        <f>F8-(25000/B17)</f>
        <v>632.6729076</v>
      </c>
    </row>
    <row r="9">
      <c r="A9" s="77" t="s">
        <v>277</v>
      </c>
      <c r="B9" s="83">
        <f>1296-400-400</f>
        <v>496</v>
      </c>
      <c r="C9" s="83">
        <f>B9-(70000/B17)</f>
        <v>251.4841414</v>
      </c>
      <c r="E9" s="104" t="s">
        <v>323</v>
      </c>
      <c r="F9" s="107">
        <f>700</f>
        <v>700</v>
      </c>
      <c r="G9" s="107">
        <f>F9*0.97</f>
        <v>679</v>
      </c>
    </row>
    <row r="10">
      <c r="A10" s="81" t="s">
        <v>293</v>
      </c>
      <c r="B10" s="81">
        <f>590*0.8</f>
        <v>472</v>
      </c>
      <c r="C10" s="92">
        <f>B10-(0/B17)</f>
        <v>472</v>
      </c>
      <c r="E10" s="104" t="s">
        <v>324</v>
      </c>
      <c r="F10" s="107">
        <f>550</f>
        <v>550</v>
      </c>
      <c r="G10" s="107">
        <f>F10-(30000/B17)</f>
        <v>445.2074892</v>
      </c>
    </row>
    <row r="11">
      <c r="A11" s="45" t="s">
        <v>276</v>
      </c>
      <c r="C11" s="68">
        <f>SUM(C3:C10)</f>
        <v>2857.097667</v>
      </c>
      <c r="E11" s="8"/>
    </row>
    <row r="12">
      <c r="E12" s="8"/>
    </row>
    <row r="13">
      <c r="E13" s="8"/>
      <c r="F13" s="8"/>
    </row>
    <row r="15">
      <c r="E15" s="8"/>
      <c r="F15" s="8"/>
      <c r="G15" s="70"/>
    </row>
    <row r="16">
      <c r="E16" s="8"/>
      <c r="F16" s="8"/>
      <c r="G16" s="70"/>
    </row>
    <row r="17">
      <c r="A17" s="51" t="s">
        <v>325</v>
      </c>
      <c r="B17" s="85">
        <v>286.28</v>
      </c>
      <c r="E17" s="8"/>
      <c r="F17" s="8"/>
      <c r="G17" s="70"/>
    </row>
    <row r="18">
      <c r="A18" s="51" t="s">
        <v>326</v>
      </c>
      <c r="B18" s="85">
        <v>0.92</v>
      </c>
      <c r="E18" s="8"/>
      <c r="F18" s="8"/>
      <c r="G18" s="71"/>
    </row>
    <row r="19">
      <c r="E19" s="8"/>
      <c r="F19" s="8"/>
      <c r="G19" s="70"/>
    </row>
    <row r="20">
      <c r="E20" s="8"/>
      <c r="F20" s="8"/>
      <c r="G20" s="108"/>
    </row>
    <row r="21">
      <c r="E21" s="45" t="s">
        <v>295</v>
      </c>
      <c r="F21" s="93">
        <f>SUM(F3:F19)</f>
        <v>5890</v>
      </c>
      <c r="G21" s="68">
        <f>SUM(G3:G20)</f>
        <v>5494.880397</v>
      </c>
    </row>
    <row r="22">
      <c r="E22" s="45"/>
      <c r="G22" s="68"/>
    </row>
    <row r="24">
      <c r="A24" s="45" t="s">
        <v>296</v>
      </c>
      <c r="B24" s="68"/>
      <c r="C24" s="93">
        <f>(C11+G21)*B18</f>
        <v>7683.819818</v>
      </c>
    </row>
    <row r="26">
      <c r="A26" s="45" t="s">
        <v>313</v>
      </c>
      <c r="B26" s="68"/>
      <c r="C26" s="68">
        <f>(E43+F43+G43+H43+I43)*B18</f>
        <v>4966.73575</v>
      </c>
    </row>
    <row r="27">
      <c r="A27" s="45" t="s">
        <v>315</v>
      </c>
      <c r="B27" s="68"/>
      <c r="C27" s="68">
        <f>C24-C26</f>
        <v>2717.084068</v>
      </c>
      <c r="E27" s="45" t="s">
        <v>298</v>
      </c>
      <c r="F27" s="45" t="s">
        <v>299</v>
      </c>
      <c r="G27" s="45" t="s">
        <v>300</v>
      </c>
      <c r="H27" s="45" t="s">
        <v>301</v>
      </c>
      <c r="I27" s="45" t="s">
        <v>327</v>
      </c>
    </row>
    <row r="28" ht="18.75" customHeight="1">
      <c r="E28" s="87" t="s">
        <v>272</v>
      </c>
      <c r="F28" s="87" t="s">
        <v>272</v>
      </c>
      <c r="G28" s="86" t="s">
        <v>320</v>
      </c>
      <c r="H28" s="86" t="s">
        <v>319</v>
      </c>
      <c r="I28" s="95" t="s">
        <v>319</v>
      </c>
    </row>
    <row r="29">
      <c r="E29" s="87" t="s">
        <v>289</v>
      </c>
      <c r="F29" s="87" t="s">
        <v>289</v>
      </c>
      <c r="G29" s="109" t="s">
        <v>272</v>
      </c>
      <c r="H29" s="87" t="s">
        <v>321</v>
      </c>
      <c r="I29" s="97" t="s">
        <v>321</v>
      </c>
    </row>
    <row r="30">
      <c r="E30" s="87" t="s">
        <v>292</v>
      </c>
      <c r="F30" s="78" t="s">
        <v>292</v>
      </c>
      <c r="G30" s="110" t="s">
        <v>289</v>
      </c>
      <c r="H30" s="86" t="s">
        <v>322</v>
      </c>
      <c r="I30" s="95" t="s">
        <v>280</v>
      </c>
    </row>
    <row r="31">
      <c r="E31" s="87" t="s">
        <v>280</v>
      </c>
      <c r="F31" s="87" t="s">
        <v>280</v>
      </c>
      <c r="G31" s="109" t="s">
        <v>280</v>
      </c>
      <c r="H31" s="97" t="s">
        <v>320</v>
      </c>
      <c r="I31" s="95" t="s">
        <v>322</v>
      </c>
    </row>
    <row r="32">
      <c r="A32" s="8"/>
      <c r="E32" s="78" t="s">
        <v>294</v>
      </c>
      <c r="F32" s="86" t="s">
        <v>317</v>
      </c>
      <c r="G32" s="110" t="s">
        <v>317</v>
      </c>
      <c r="H32" s="109" t="s">
        <v>272</v>
      </c>
      <c r="I32" s="95" t="s">
        <v>272</v>
      </c>
    </row>
    <row r="33">
      <c r="E33" s="81" t="s">
        <v>293</v>
      </c>
      <c r="F33" s="55"/>
      <c r="G33" s="86" t="s">
        <v>318</v>
      </c>
      <c r="H33" s="110" t="s">
        <v>280</v>
      </c>
      <c r="I33" s="78" t="s">
        <v>277</v>
      </c>
    </row>
    <row r="34">
      <c r="F34" s="8"/>
      <c r="G34" s="86" t="s">
        <v>318</v>
      </c>
      <c r="H34" s="110" t="s">
        <v>318</v>
      </c>
    </row>
    <row r="35">
      <c r="F35" s="8"/>
      <c r="H35" s="111"/>
    </row>
    <row r="36">
      <c r="F36" s="8"/>
    </row>
    <row r="37">
      <c r="D37" s="45"/>
      <c r="E37" s="68"/>
      <c r="F37" s="8"/>
    </row>
    <row r="38">
      <c r="D38" s="45"/>
      <c r="E38" s="68"/>
      <c r="F38" s="8"/>
    </row>
    <row r="43">
      <c r="D43" s="45"/>
      <c r="E43" s="68">
        <f>C8+C10</f>
        <v>642.1383261</v>
      </c>
      <c r="F43" s="45">
        <v>448.28</v>
      </c>
      <c r="G43" s="68">
        <f>G3+C5</f>
        <v>1225.207489</v>
      </c>
      <c r="H43" s="100">
        <f>400+G6+G4</f>
        <v>2233</v>
      </c>
      <c r="I43" s="8">
        <f>G7+400</f>
        <v>850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3" max="3" width="17.13"/>
    <col customWidth="1" min="4" max="4" width="15.13"/>
    <col customWidth="1" min="5" max="5" width="27.75"/>
    <col customWidth="1" min="6" max="6" width="27.63"/>
    <col customWidth="1" min="7" max="7" width="21.13"/>
    <col customWidth="1" min="8" max="8" width="25.63"/>
    <col customWidth="1" min="9" max="9" width="14.75"/>
  </cols>
  <sheetData>
    <row r="1">
      <c r="A1" s="76" t="s">
        <v>267</v>
      </c>
      <c r="E1" s="76" t="s">
        <v>268</v>
      </c>
      <c r="I1" s="45"/>
      <c r="J1" s="45"/>
    </row>
    <row r="2">
      <c r="A2" s="45" t="s">
        <v>269</v>
      </c>
      <c r="B2" s="45" t="s">
        <v>270</v>
      </c>
      <c r="C2" s="45" t="s">
        <v>271</v>
      </c>
      <c r="D2" s="68"/>
      <c r="E2" s="45" t="s">
        <v>269</v>
      </c>
      <c r="F2" s="45" t="s">
        <v>270</v>
      </c>
      <c r="G2" s="45" t="s">
        <v>271</v>
      </c>
      <c r="I2" s="45"/>
      <c r="J2" s="45"/>
    </row>
    <row r="3">
      <c r="A3" s="78" t="s">
        <v>272</v>
      </c>
      <c r="B3" s="79">
        <f>400*0.8</f>
        <v>320</v>
      </c>
      <c r="C3" s="78">
        <f>B3-(10000/B19)</f>
        <v>283.963964</v>
      </c>
      <c r="E3" s="81" t="s">
        <v>328</v>
      </c>
      <c r="F3" s="81">
        <v>1000.0</v>
      </c>
      <c r="G3" s="82">
        <f t="shared" ref="G3:G5" si="1">F3*0.97</f>
        <v>970</v>
      </c>
    </row>
    <row r="4">
      <c r="A4" s="77" t="s">
        <v>274</v>
      </c>
      <c r="B4" s="83">
        <f>550*0.8</f>
        <v>440</v>
      </c>
      <c r="C4" s="102">
        <f>B4-(36000/B19)</f>
        <v>310.2702703</v>
      </c>
      <c r="E4" s="81" t="s">
        <v>329</v>
      </c>
      <c r="F4" s="81">
        <v>500.0</v>
      </c>
      <c r="G4" s="82">
        <f t="shared" si="1"/>
        <v>485</v>
      </c>
    </row>
    <row r="5">
      <c r="A5" s="77" t="s">
        <v>277</v>
      </c>
      <c r="B5" s="83">
        <f>1296-400-400</f>
        <v>496</v>
      </c>
      <c r="C5" s="83">
        <f>B5-(70000/B19)</f>
        <v>243.7477477</v>
      </c>
      <c r="E5" s="81" t="s">
        <v>330</v>
      </c>
      <c r="F5" s="81">
        <v>500.0</v>
      </c>
      <c r="G5" s="82">
        <f t="shared" si="1"/>
        <v>485</v>
      </c>
    </row>
    <row r="6">
      <c r="A6" s="103" t="s">
        <v>280</v>
      </c>
      <c r="B6" s="103">
        <f>1500-300-400-400-250</f>
        <v>150</v>
      </c>
      <c r="C6" s="106">
        <f>B6-(30000/B19)</f>
        <v>41.89189189</v>
      </c>
      <c r="E6" s="81" t="s">
        <v>331</v>
      </c>
      <c r="F6" s="81">
        <v>81.0</v>
      </c>
      <c r="G6" s="82">
        <f>F6*0.9</f>
        <v>72.9</v>
      </c>
    </row>
    <row r="7">
      <c r="A7" s="78" t="s">
        <v>332</v>
      </c>
      <c r="B7" s="78">
        <v>500.0</v>
      </c>
      <c r="C7" s="92">
        <f>B7*0.97-(0/B19)</f>
        <v>485</v>
      </c>
      <c r="G7" s="108"/>
    </row>
    <row r="8">
      <c r="A8" s="81" t="s">
        <v>322</v>
      </c>
      <c r="B8" s="82">
        <f>900*0.8</f>
        <v>720</v>
      </c>
      <c r="C8" s="81">
        <f>B8-(15000/B19)</f>
        <v>665.9459459</v>
      </c>
    </row>
    <row r="9">
      <c r="A9" s="104" t="s">
        <v>333</v>
      </c>
      <c r="B9" s="107">
        <f>700</f>
        <v>700</v>
      </c>
      <c r="C9" s="107">
        <f>B9*0.97</f>
        <v>679</v>
      </c>
    </row>
    <row r="10">
      <c r="A10" s="78" t="s">
        <v>324</v>
      </c>
      <c r="B10" s="78">
        <v>500.0</v>
      </c>
      <c r="C10" s="78">
        <v>500.0</v>
      </c>
    </row>
    <row r="12">
      <c r="A12" s="8"/>
    </row>
    <row r="13">
      <c r="A13" s="45" t="s">
        <v>276</v>
      </c>
      <c r="C13" s="68">
        <f>SUM(C3:C10)</f>
        <v>3209.81982</v>
      </c>
      <c r="E13" s="8"/>
    </row>
    <row r="14">
      <c r="A14" s="8" t="s">
        <v>334</v>
      </c>
      <c r="E14" s="8"/>
    </row>
    <row r="15">
      <c r="E15" s="8"/>
      <c r="F15" s="8"/>
    </row>
    <row r="17">
      <c r="E17" s="8"/>
      <c r="F17" s="8"/>
      <c r="G17" s="70"/>
    </row>
    <row r="18">
      <c r="E18" s="8"/>
      <c r="F18" s="8"/>
      <c r="G18" s="70"/>
    </row>
    <row r="19">
      <c r="A19" s="51" t="s">
        <v>335</v>
      </c>
      <c r="B19" s="85">
        <v>277.5</v>
      </c>
      <c r="E19" s="8"/>
      <c r="F19" s="8"/>
      <c r="G19" s="70"/>
    </row>
    <row r="20">
      <c r="A20" s="51" t="s">
        <v>336</v>
      </c>
      <c r="B20" s="85">
        <v>0.89</v>
      </c>
      <c r="E20" s="8"/>
      <c r="F20" s="8"/>
      <c r="G20" s="71"/>
    </row>
    <row r="21">
      <c r="E21" s="8"/>
      <c r="F21" s="8"/>
      <c r="G21" s="70"/>
    </row>
    <row r="22">
      <c r="E22" s="8"/>
      <c r="F22" s="8"/>
      <c r="G22" s="108"/>
    </row>
    <row r="23">
      <c r="E23" s="45" t="s">
        <v>295</v>
      </c>
      <c r="F23" s="93">
        <f>SUM(F3:F21)</f>
        <v>2081</v>
      </c>
      <c r="G23" s="68">
        <f>SUM(G3:G22)</f>
        <v>2012.9</v>
      </c>
    </row>
    <row r="24">
      <c r="E24" s="45"/>
      <c r="G24" s="68"/>
    </row>
    <row r="26">
      <c r="A26" s="45" t="s">
        <v>296</v>
      </c>
      <c r="B26" s="68"/>
      <c r="C26" s="93">
        <f>(C13+G23)*B20</f>
        <v>4648.22064</v>
      </c>
    </row>
    <row r="28">
      <c r="A28" s="45" t="s">
        <v>313</v>
      </c>
      <c r="B28" s="68"/>
      <c r="C28" s="68">
        <f>(E45+F45+G45+H45+I45)*B20</f>
        <v>3513.55082</v>
      </c>
    </row>
    <row r="29">
      <c r="A29" s="45" t="s">
        <v>315</v>
      </c>
      <c r="B29" s="68"/>
      <c r="C29" s="68">
        <f>C26-C28</f>
        <v>1134.66982</v>
      </c>
      <c r="E29" s="45" t="s">
        <v>298</v>
      </c>
      <c r="F29" s="45" t="s">
        <v>299</v>
      </c>
      <c r="G29" s="45" t="s">
        <v>300</v>
      </c>
      <c r="H29" s="45" t="s">
        <v>301</v>
      </c>
      <c r="I29" s="45" t="s">
        <v>327</v>
      </c>
    </row>
    <row r="30" ht="18.75" customHeight="1">
      <c r="E30" s="78" t="s">
        <v>272</v>
      </c>
      <c r="F30" s="81" t="s">
        <v>328</v>
      </c>
      <c r="G30" s="81" t="s">
        <v>331</v>
      </c>
      <c r="H30" s="8">
        <f>G5</f>
        <v>485</v>
      </c>
      <c r="I30" s="52"/>
    </row>
    <row r="31">
      <c r="E31" s="78" t="s">
        <v>324</v>
      </c>
      <c r="F31" s="103" t="s">
        <v>329</v>
      </c>
      <c r="G31" s="81" t="s">
        <v>329</v>
      </c>
      <c r="H31" s="8"/>
      <c r="I31" s="52"/>
    </row>
    <row r="32">
      <c r="E32" s="78" t="s">
        <v>332</v>
      </c>
      <c r="F32" s="8"/>
      <c r="G32" s="111"/>
      <c r="H32" s="8"/>
      <c r="I32" s="52"/>
    </row>
    <row r="33">
      <c r="E33" s="81" t="s">
        <v>322</v>
      </c>
      <c r="F33" s="8"/>
      <c r="G33" s="111"/>
      <c r="H33" s="52"/>
      <c r="I33" s="52"/>
    </row>
    <row r="34">
      <c r="A34" s="8"/>
      <c r="E34" s="103" t="s">
        <v>328</v>
      </c>
      <c r="F34" s="8"/>
      <c r="G34" s="111"/>
      <c r="H34" s="111"/>
      <c r="I34" s="52"/>
    </row>
    <row r="35">
      <c r="E35" s="8"/>
      <c r="F35" s="55"/>
      <c r="G35" s="8"/>
      <c r="H35" s="111"/>
      <c r="I35" s="8"/>
    </row>
    <row r="36">
      <c r="G36" s="8"/>
      <c r="H36" s="111"/>
    </row>
    <row r="37">
      <c r="F37" s="8"/>
      <c r="H37" s="111"/>
    </row>
    <row r="38">
      <c r="F38" s="8"/>
    </row>
    <row r="39">
      <c r="D39" s="45"/>
      <c r="E39" s="68"/>
      <c r="F39" s="8"/>
    </row>
    <row r="40">
      <c r="D40" s="45"/>
      <c r="E40" s="68"/>
      <c r="F40" s="8"/>
    </row>
    <row r="45">
      <c r="D45" s="45"/>
      <c r="E45" s="68">
        <f>C3+C7+C8+C10</f>
        <v>1934.90991</v>
      </c>
      <c r="F45" s="45">
        <f>G3</f>
        <v>970</v>
      </c>
      <c r="G45" s="68">
        <f>G6+G4</f>
        <v>557.9</v>
      </c>
      <c r="H45" s="100">
        <f>G5</f>
        <v>485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3" max="3" width="17.13"/>
    <col customWidth="1" min="4" max="4" width="15.13"/>
    <col customWidth="1" min="5" max="5" width="27.75"/>
    <col customWidth="1" min="6" max="6" width="27.63"/>
    <col customWidth="1" min="7" max="7" width="21.13"/>
    <col customWidth="1" min="8" max="8" width="25.63"/>
    <col customWidth="1" min="9" max="9" width="14.75"/>
  </cols>
  <sheetData>
    <row r="1">
      <c r="A1" s="76" t="s">
        <v>267</v>
      </c>
      <c r="E1" s="76" t="s">
        <v>268</v>
      </c>
      <c r="I1" s="45"/>
      <c r="J1" s="45"/>
    </row>
    <row r="2">
      <c r="A2" s="45" t="s">
        <v>269</v>
      </c>
      <c r="B2" s="45" t="s">
        <v>270</v>
      </c>
      <c r="C2" s="45" t="s">
        <v>271</v>
      </c>
      <c r="D2" s="68"/>
      <c r="E2" s="45" t="s">
        <v>269</v>
      </c>
      <c r="F2" s="45" t="s">
        <v>270</v>
      </c>
      <c r="G2" s="45" t="s">
        <v>271</v>
      </c>
      <c r="I2" s="45"/>
      <c r="J2" s="45"/>
    </row>
    <row r="3">
      <c r="A3" s="77" t="s">
        <v>274</v>
      </c>
      <c r="B3" s="83">
        <f>550*0.8</f>
        <v>440</v>
      </c>
      <c r="C3" s="102">
        <f>B3-(36000/B19)</f>
        <v>322.5563566</v>
      </c>
      <c r="E3" s="78" t="s">
        <v>337</v>
      </c>
      <c r="F3" s="78">
        <v>750.0</v>
      </c>
      <c r="G3" s="79">
        <f t="shared" ref="G3:G6" si="1">F3*0.97</f>
        <v>727.5</v>
      </c>
    </row>
    <row r="4">
      <c r="A4" s="77" t="s">
        <v>277</v>
      </c>
      <c r="B4" s="83">
        <f>442</f>
        <v>442</v>
      </c>
      <c r="C4" s="77">
        <f>B4-(70000/B19)</f>
        <v>213.6373601</v>
      </c>
      <c r="E4" s="104" t="s">
        <v>338</v>
      </c>
      <c r="F4" s="104">
        <v>1600.0</v>
      </c>
      <c r="G4" s="107">
        <f t="shared" si="1"/>
        <v>1552</v>
      </c>
    </row>
    <row r="5">
      <c r="A5" s="103" t="s">
        <v>280</v>
      </c>
      <c r="B5" s="103">
        <f>170</f>
        <v>170</v>
      </c>
      <c r="C5" s="106">
        <f>B5-(5000/B19)</f>
        <v>153.6883829</v>
      </c>
      <c r="E5" s="78" t="s">
        <v>339</v>
      </c>
      <c r="F5" s="78">
        <v>1000.0</v>
      </c>
      <c r="G5" s="79">
        <f t="shared" si="1"/>
        <v>970</v>
      </c>
    </row>
    <row r="6">
      <c r="A6" s="104" t="s">
        <v>333</v>
      </c>
      <c r="B6" s="107">
        <f>700</f>
        <v>700</v>
      </c>
      <c r="C6" s="107">
        <f>B6*0.97</f>
        <v>679</v>
      </c>
      <c r="E6" s="78" t="s">
        <v>340</v>
      </c>
      <c r="F6" s="78">
        <v>1000.0</v>
      </c>
      <c r="G6" s="79">
        <f t="shared" si="1"/>
        <v>970</v>
      </c>
    </row>
    <row r="7">
      <c r="A7" s="8"/>
      <c r="B7" s="8"/>
      <c r="C7" s="108"/>
      <c r="E7" s="78" t="s">
        <v>341</v>
      </c>
      <c r="F7" s="82">
        <f>400</f>
        <v>400</v>
      </c>
      <c r="G7" s="112">
        <f>(F7*0.8)-(45000/B19)</f>
        <v>173.1954458</v>
      </c>
    </row>
    <row r="8">
      <c r="A8" s="8"/>
      <c r="C8" s="8"/>
      <c r="E8" s="78" t="s">
        <v>342</v>
      </c>
      <c r="F8" s="78">
        <v>100.0</v>
      </c>
      <c r="G8" s="79">
        <f t="shared" ref="G8:G10" si="2">F8*0.97</f>
        <v>97</v>
      </c>
    </row>
    <row r="9">
      <c r="A9" s="8"/>
      <c r="E9" s="8" t="s">
        <v>343</v>
      </c>
      <c r="F9" s="8">
        <f>700</f>
        <v>700</v>
      </c>
      <c r="G9" s="17">
        <f t="shared" si="2"/>
        <v>679</v>
      </c>
    </row>
    <row r="10">
      <c r="E10" s="81" t="s">
        <v>344</v>
      </c>
      <c r="F10" s="82">
        <f>550</f>
        <v>550</v>
      </c>
      <c r="G10" s="82">
        <f t="shared" si="2"/>
        <v>533.5</v>
      </c>
    </row>
    <row r="11">
      <c r="E11" s="8" t="s">
        <v>345</v>
      </c>
      <c r="F11" s="17">
        <f>25*35</f>
        <v>875</v>
      </c>
      <c r="G11" s="17">
        <f>F11*0.9</f>
        <v>787.5</v>
      </c>
    </row>
    <row r="12">
      <c r="A12" s="8"/>
    </row>
    <row r="13">
      <c r="A13" s="45" t="s">
        <v>276</v>
      </c>
      <c r="C13" s="68">
        <f>SUM(C3:C10)</f>
        <v>1368.8821</v>
      </c>
      <c r="E13" s="8"/>
    </row>
    <row r="14">
      <c r="A14" s="8" t="s">
        <v>334</v>
      </c>
      <c r="E14" s="8"/>
    </row>
    <row r="15">
      <c r="E15" s="8"/>
      <c r="F15" s="8"/>
    </row>
    <row r="17">
      <c r="E17" s="8"/>
      <c r="F17" s="8"/>
      <c r="G17" s="70"/>
    </row>
    <row r="18">
      <c r="E18" s="8"/>
      <c r="F18" s="8"/>
      <c r="G18" s="70"/>
    </row>
    <row r="19">
      <c r="A19" s="51" t="s">
        <v>346</v>
      </c>
      <c r="B19" s="85">
        <f>306.53</f>
        <v>306.53</v>
      </c>
      <c r="E19" s="8"/>
      <c r="F19" s="8"/>
      <c r="G19" s="70"/>
    </row>
    <row r="20">
      <c r="A20" s="51" t="s">
        <v>347</v>
      </c>
      <c r="B20" s="85">
        <v>0.92</v>
      </c>
      <c r="E20" s="8"/>
      <c r="F20" s="8"/>
      <c r="G20" s="71"/>
    </row>
    <row r="21">
      <c r="E21" s="8"/>
      <c r="F21" s="8"/>
      <c r="G21" s="70"/>
    </row>
    <row r="22">
      <c r="E22" s="8"/>
      <c r="F22" s="8"/>
      <c r="G22" s="108"/>
    </row>
    <row r="23">
      <c r="E23" s="45" t="s">
        <v>295</v>
      </c>
      <c r="F23" s="93">
        <f t="shared" ref="F23:G23" si="3">SUM(F3:F21)</f>
        <v>6975</v>
      </c>
      <c r="G23" s="68">
        <f t="shared" si="3"/>
        <v>6489.695446</v>
      </c>
    </row>
    <row r="24">
      <c r="E24" s="45"/>
      <c r="G24" s="68"/>
    </row>
    <row r="26">
      <c r="A26" s="45" t="s">
        <v>296</v>
      </c>
      <c r="B26" s="68"/>
      <c r="C26" s="93">
        <f>(C13+G23)*B20</f>
        <v>7229.891342</v>
      </c>
    </row>
    <row r="28">
      <c r="A28" s="45" t="s">
        <v>313</v>
      </c>
      <c r="B28" s="68"/>
      <c r="C28" s="68">
        <f>E45+F45+G45+H45</f>
        <v>3471.195446</v>
      </c>
    </row>
    <row r="29">
      <c r="A29" s="45" t="s">
        <v>315</v>
      </c>
      <c r="B29" s="68"/>
      <c r="C29" s="68">
        <f>C26-C28</f>
        <v>3758.695896</v>
      </c>
      <c r="E29" s="45" t="s">
        <v>298</v>
      </c>
      <c r="F29" s="45" t="s">
        <v>299</v>
      </c>
      <c r="G29" s="45" t="s">
        <v>300</v>
      </c>
      <c r="H29" s="45" t="s">
        <v>301</v>
      </c>
      <c r="I29" s="45" t="s">
        <v>327</v>
      </c>
    </row>
    <row r="30" ht="18.75" customHeight="1">
      <c r="E30" s="78" t="s">
        <v>339</v>
      </c>
      <c r="F30" s="8"/>
      <c r="G30" s="78" t="s">
        <v>340</v>
      </c>
      <c r="H30" s="113" t="s">
        <v>341</v>
      </c>
      <c r="I30" s="52"/>
    </row>
    <row r="31">
      <c r="E31" s="8"/>
      <c r="F31" s="8"/>
      <c r="G31" s="78" t="s">
        <v>337</v>
      </c>
      <c r="H31" s="114" t="s">
        <v>344</v>
      </c>
      <c r="I31" s="52"/>
    </row>
    <row r="32">
      <c r="E32" s="8"/>
      <c r="G32" s="78" t="s">
        <v>342</v>
      </c>
      <c r="H32" s="8"/>
      <c r="I32" s="52"/>
    </row>
    <row r="33">
      <c r="E33" s="8"/>
      <c r="G33" s="111"/>
      <c r="H33" s="52"/>
      <c r="I33" s="52"/>
    </row>
    <row r="34">
      <c r="A34" s="8"/>
      <c r="E34" s="8"/>
      <c r="G34" s="111"/>
      <c r="H34" s="111"/>
      <c r="I34" s="52"/>
    </row>
    <row r="35">
      <c r="E35" s="8"/>
      <c r="F35" s="55"/>
      <c r="G35" s="8"/>
      <c r="H35" s="111"/>
      <c r="I35" s="8"/>
    </row>
    <row r="36">
      <c r="G36" s="8"/>
      <c r="H36" s="111"/>
    </row>
    <row r="37">
      <c r="F37" s="8"/>
      <c r="H37" s="111"/>
    </row>
    <row r="38">
      <c r="F38" s="8"/>
    </row>
    <row r="39">
      <c r="D39" s="45"/>
      <c r="E39" s="68"/>
      <c r="F39" s="8"/>
    </row>
    <row r="40">
      <c r="D40" s="45"/>
      <c r="E40" s="68"/>
      <c r="F40" s="8"/>
    </row>
    <row r="45">
      <c r="D45" s="45"/>
      <c r="E45" s="68">
        <f>G5</f>
        <v>970</v>
      </c>
      <c r="F45" s="45">
        <f>0</f>
        <v>0</v>
      </c>
      <c r="G45" s="68">
        <f>G6+G3+G8</f>
        <v>1794.5</v>
      </c>
      <c r="H45" s="100">
        <f>G10+G7</f>
        <v>706.6954458</v>
      </c>
      <c r="I45" s="17">
        <f>0</f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3" max="3" width="17.13"/>
    <col customWidth="1" min="4" max="4" width="15.13"/>
    <col customWidth="1" min="5" max="5" width="27.75"/>
    <col customWidth="1" min="6" max="6" width="27.63"/>
    <col customWidth="1" min="7" max="7" width="23.0"/>
    <col customWidth="1" min="8" max="8" width="25.63"/>
    <col customWidth="1" min="9" max="9" width="14.75"/>
  </cols>
  <sheetData>
    <row r="1">
      <c r="A1" s="76" t="s">
        <v>334</v>
      </c>
      <c r="E1" s="76" t="s">
        <v>268</v>
      </c>
      <c r="I1" s="45"/>
      <c r="J1" s="45"/>
    </row>
    <row r="2">
      <c r="A2" s="45" t="s">
        <v>269</v>
      </c>
      <c r="B2" s="45" t="s">
        <v>270</v>
      </c>
      <c r="C2" s="45" t="s">
        <v>271</v>
      </c>
      <c r="D2" s="68"/>
      <c r="E2" s="45" t="s">
        <v>269</v>
      </c>
      <c r="F2" s="45" t="s">
        <v>270</v>
      </c>
      <c r="G2" s="45" t="s">
        <v>271</v>
      </c>
      <c r="I2" s="45"/>
      <c r="J2" s="45"/>
    </row>
    <row r="3">
      <c r="A3" s="77" t="s">
        <v>274</v>
      </c>
      <c r="B3" s="83">
        <f>550*0.8</f>
        <v>440</v>
      </c>
      <c r="C3" s="102">
        <f>B3-(36000/B19)</f>
        <v>316.1695102</v>
      </c>
    </row>
    <row r="4">
      <c r="A4" s="78" t="s">
        <v>277</v>
      </c>
      <c r="B4" s="79">
        <f>442</f>
        <v>442</v>
      </c>
      <c r="C4" s="78">
        <f>(B4-(0/B19))*0.8</f>
        <v>353.6</v>
      </c>
      <c r="E4" s="8" t="s">
        <v>348</v>
      </c>
      <c r="F4" s="8">
        <f>250</f>
        <v>250</v>
      </c>
      <c r="G4" s="17">
        <f>(F4-(30000/B19))*0.97</f>
        <v>142.4036874</v>
      </c>
    </row>
    <row r="5">
      <c r="A5" s="81" t="s">
        <v>280</v>
      </c>
      <c r="B5" s="81">
        <f>170</f>
        <v>170</v>
      </c>
      <c r="C5" s="82">
        <f>(B5-(0/B19))*0.8</f>
        <v>136</v>
      </c>
      <c r="E5" s="8" t="s">
        <v>345</v>
      </c>
      <c r="F5" s="17">
        <f>25*35</f>
        <v>875</v>
      </c>
      <c r="G5" s="17">
        <f>F5*0.9</f>
        <v>787.5</v>
      </c>
    </row>
    <row r="6">
      <c r="A6" s="8"/>
      <c r="E6" s="81" t="s">
        <v>349</v>
      </c>
      <c r="F6" s="81">
        <f>500</f>
        <v>500</v>
      </c>
      <c r="G6" s="82">
        <f t="shared" ref="G6:G8" si="1">F6*0.97</f>
        <v>485</v>
      </c>
    </row>
    <row r="7">
      <c r="A7" s="8"/>
      <c r="B7" s="8"/>
      <c r="C7" s="108"/>
      <c r="E7" s="81" t="s">
        <v>350</v>
      </c>
      <c r="F7" s="81">
        <f>700</f>
        <v>700</v>
      </c>
      <c r="G7" s="82">
        <f t="shared" si="1"/>
        <v>679</v>
      </c>
    </row>
    <row r="8">
      <c r="A8" s="8"/>
      <c r="C8" s="8"/>
      <c r="E8" s="81" t="s">
        <v>351</v>
      </c>
      <c r="F8" s="81">
        <f>600</f>
        <v>600</v>
      </c>
      <c r="G8" s="82">
        <f t="shared" si="1"/>
        <v>582</v>
      </c>
    </row>
    <row r="9">
      <c r="A9" s="8"/>
      <c r="E9" s="81" t="s">
        <v>352</v>
      </c>
      <c r="F9" s="82">
        <f>250</f>
        <v>250</v>
      </c>
      <c r="G9" s="82">
        <f>(F9*0.8)-(7000/B19)</f>
        <v>175.9218492</v>
      </c>
    </row>
    <row r="10">
      <c r="E10" s="98" t="s">
        <v>353</v>
      </c>
      <c r="F10" s="115">
        <f>500</f>
        <v>500</v>
      </c>
      <c r="G10" s="115">
        <f>F10*0.97</f>
        <v>485</v>
      </c>
    </row>
    <row r="11">
      <c r="E11" s="8" t="s">
        <v>354</v>
      </c>
      <c r="F11" s="17">
        <f>700</f>
        <v>700</v>
      </c>
      <c r="G11" s="17">
        <f>(F11-(15000/B19))*0.8</f>
        <v>518.7231701</v>
      </c>
    </row>
    <row r="12">
      <c r="A12" s="8"/>
      <c r="E12" s="8" t="s">
        <v>355</v>
      </c>
      <c r="F12" s="17">
        <f>550</f>
        <v>550</v>
      </c>
      <c r="G12" s="116">
        <f>(F12-(10000/B19))*0.8</f>
        <v>412.4821134</v>
      </c>
    </row>
    <row r="13">
      <c r="A13" s="45" t="s">
        <v>276</v>
      </c>
      <c r="C13" s="68">
        <f>SUM(C3:C10)</f>
        <v>805.7695102</v>
      </c>
      <c r="E13" s="8" t="s">
        <v>356</v>
      </c>
      <c r="F13" s="17">
        <f>400</f>
        <v>400</v>
      </c>
      <c r="G13" s="116">
        <f>(F13-(30000/B19))*0.8</f>
        <v>237.4463401</v>
      </c>
    </row>
    <row r="14">
      <c r="A14" s="8" t="s">
        <v>334</v>
      </c>
      <c r="E14" s="8" t="s">
        <v>357</v>
      </c>
      <c r="F14" s="17">
        <f>250</f>
        <v>250</v>
      </c>
      <c r="G14" s="116">
        <f>(F14-(30000/B19))*0.8</f>
        <v>117.4463401</v>
      </c>
    </row>
    <row r="15">
      <c r="E15" s="8" t="s">
        <v>358</v>
      </c>
      <c r="F15" s="8">
        <f>400</f>
        <v>400</v>
      </c>
      <c r="G15" s="17">
        <f>F15*0.97</f>
        <v>388</v>
      </c>
    </row>
    <row r="16">
      <c r="E16" s="8" t="s">
        <v>359</v>
      </c>
      <c r="F16" s="17">
        <f>1200</f>
        <v>1200</v>
      </c>
      <c r="G16" s="116">
        <f>(F16-(150000/B19))</f>
        <v>684.0396258</v>
      </c>
    </row>
    <row r="17">
      <c r="E17" s="8"/>
      <c r="F17" s="8"/>
      <c r="G17" s="70"/>
    </row>
    <row r="18">
      <c r="E18" s="8"/>
      <c r="F18" s="8"/>
      <c r="G18" s="70"/>
    </row>
    <row r="19">
      <c r="A19" s="51" t="s">
        <v>360</v>
      </c>
      <c r="B19" s="85">
        <v>290.72</v>
      </c>
      <c r="E19" s="8"/>
      <c r="F19" s="8"/>
      <c r="G19" s="70"/>
    </row>
    <row r="20">
      <c r="A20" s="51" t="s">
        <v>361</v>
      </c>
      <c r="B20" s="85">
        <v>0.95</v>
      </c>
      <c r="E20" s="8"/>
      <c r="F20" s="8"/>
      <c r="G20" s="71"/>
    </row>
    <row r="21">
      <c r="E21" s="8"/>
      <c r="F21" s="8"/>
      <c r="G21" s="70"/>
    </row>
    <row r="22">
      <c r="E22" s="8"/>
      <c r="F22" s="8"/>
      <c r="G22" s="108"/>
    </row>
    <row r="23">
      <c r="E23" s="45" t="s">
        <v>295</v>
      </c>
      <c r="F23" s="93">
        <f t="shared" ref="F23:G23" si="2">SUM(F3:F21)</f>
        <v>7175</v>
      </c>
      <c r="G23" s="68">
        <f t="shared" si="2"/>
        <v>5694.963126</v>
      </c>
    </row>
    <row r="24">
      <c r="E24" s="45"/>
      <c r="G24" s="68"/>
    </row>
    <row r="26">
      <c r="A26" s="45" t="s">
        <v>296</v>
      </c>
      <c r="B26" s="68"/>
      <c r="C26" s="93">
        <f>(C13+G23)*B20</f>
        <v>6175.696004</v>
      </c>
    </row>
    <row r="28">
      <c r="A28" s="45" t="s">
        <v>313</v>
      </c>
      <c r="B28" s="68"/>
      <c r="C28" s="68">
        <f>E45+F45+G45+H45</f>
        <v>2896.521849</v>
      </c>
    </row>
    <row r="29">
      <c r="A29" s="45" t="s">
        <v>315</v>
      </c>
      <c r="B29" s="68"/>
      <c r="C29" s="68">
        <f>C26-C28</f>
        <v>3279.174155</v>
      </c>
      <c r="E29" s="45" t="s">
        <v>298</v>
      </c>
      <c r="F29" s="45" t="s">
        <v>299</v>
      </c>
      <c r="G29" s="45" t="s">
        <v>300</v>
      </c>
      <c r="H29" s="45" t="s">
        <v>301</v>
      </c>
      <c r="I29" s="45" t="s">
        <v>327</v>
      </c>
    </row>
    <row r="30" ht="18.75" customHeight="1">
      <c r="E30" s="8"/>
      <c r="F30" s="8" t="s">
        <v>349</v>
      </c>
      <c r="G30" s="8" t="s">
        <v>350</v>
      </c>
      <c r="H30" s="55" t="s">
        <v>353</v>
      </c>
      <c r="I30" s="52"/>
    </row>
    <row r="31">
      <c r="G31" s="8" t="s">
        <v>351</v>
      </c>
      <c r="H31" s="8" t="s">
        <v>277</v>
      </c>
      <c r="I31" s="52"/>
    </row>
    <row r="32">
      <c r="G32" s="8" t="s">
        <v>352</v>
      </c>
      <c r="H32" s="8" t="s">
        <v>280</v>
      </c>
      <c r="I32" s="52"/>
    </row>
    <row r="33">
      <c r="E33" s="8"/>
      <c r="G33" s="111"/>
      <c r="H33" s="52"/>
      <c r="I33" s="52"/>
    </row>
    <row r="34">
      <c r="A34" s="8"/>
      <c r="E34" s="8"/>
      <c r="G34" s="111"/>
      <c r="H34" s="111"/>
      <c r="I34" s="52"/>
    </row>
    <row r="35">
      <c r="E35" s="8"/>
      <c r="F35" s="55"/>
      <c r="G35" s="8"/>
      <c r="H35" s="111"/>
      <c r="I35" s="8"/>
    </row>
    <row r="36">
      <c r="G36" s="8"/>
      <c r="H36" s="111"/>
    </row>
    <row r="37">
      <c r="F37" s="8"/>
      <c r="H37" s="111"/>
    </row>
    <row r="38">
      <c r="F38" s="8"/>
    </row>
    <row r="39">
      <c r="D39" s="45"/>
      <c r="E39" s="68"/>
      <c r="F39" s="8"/>
    </row>
    <row r="40">
      <c r="D40" s="45"/>
      <c r="E40" s="68"/>
      <c r="F40" s="8"/>
    </row>
    <row r="45">
      <c r="D45" s="45"/>
      <c r="E45" s="68"/>
      <c r="F45" s="17">
        <f>G6</f>
        <v>485</v>
      </c>
      <c r="G45" s="68">
        <f>G7+G8+G9</f>
        <v>1436.921849</v>
      </c>
      <c r="H45" s="100">
        <f>G10+C4+C5</f>
        <v>974.6</v>
      </c>
    </row>
  </sheetData>
  <drawing r:id="rId1"/>
</worksheet>
</file>